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ables/table13.xml" ContentType="application/vnd.openxmlformats-officedocument.spreadsheetml.table+xml"/>
  <Override PartName="/xl/comments2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2.xml" ContentType="application/vnd.openxmlformats-officedocument.drawing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gia\OneDrive\Desktop\MainFolders\Git\Project-ASRI\Database\Excel\"/>
    </mc:Choice>
  </mc:AlternateContent>
  <xr:revisionPtr revIDLastSave="0" documentId="13_ncr:1_{BA898C08-3C58-40CC-8CBD-C5A08CDE5FC4}" xr6:coauthVersionLast="47" xr6:coauthVersionMax="47" xr10:uidLastSave="{00000000-0000-0000-0000-000000000000}"/>
  <bookViews>
    <workbookView xWindow="-120" yWindow="-120" windowWidth="29040" windowHeight="15720" tabRatio="685" activeTab="1" xr2:uid="{00000000-000D-0000-FFFF-FFFF00000000}"/>
  </bookViews>
  <sheets>
    <sheet name="Employee" sheetId="24" r:id="rId1"/>
    <sheet name="EMPLOYEES" sheetId="1" r:id="rId2"/>
    <sheet name="LEVEL" sheetId="2" r:id="rId3"/>
    <sheet name="DIRECTORATE" sheetId="3" r:id="rId4"/>
    <sheet name="DIVISION" sheetId="4" r:id="rId5"/>
    <sheet name="DEPARTEMENT" sheetId="5" r:id="rId6"/>
    <sheet name="SUB-DEPARTEMENT" sheetId="6" r:id="rId7"/>
    <sheet name="BUSINESS-UNIT" sheetId="7" r:id="rId8"/>
    <sheet name="CORP" sheetId="8" r:id="rId9"/>
    <sheet name="EMAIL" sheetId="10" r:id="rId10"/>
    <sheet name="AD" sheetId="11" r:id="rId11"/>
    <sheet name="WORKSTATION" sheetId="15" r:id="rId12"/>
    <sheet name="Q-WS" sheetId="20" r:id="rId13"/>
    <sheet name="ME" sheetId="21" r:id="rId14"/>
    <sheet name="TASK" sheetId="22" r:id="rId15"/>
    <sheet name="WH" sheetId="23" r:id="rId16"/>
    <sheet name="AM" sheetId="12" r:id="rId17"/>
    <sheet name="ITEM" sheetId="16" r:id="rId18"/>
    <sheet name="SITE" sheetId="14" r:id="rId19"/>
  </sheets>
  <externalReferences>
    <externalReference r:id="rId20"/>
  </externalReferences>
  <definedNames>
    <definedName name="cabling">#REF!</definedName>
    <definedName name="license">#REF!</definedName>
    <definedName name="nextDate">#REF!</definedName>
    <definedName name="pEnd">#REF!</definedName>
    <definedName name="thisDate">#REF!</definedName>
    <definedName name="valuevx">42.314159</definedName>
    <definedName name="vertex42_copyright" hidden="1">"© 2017 Vertex42 LLC"</definedName>
    <definedName name="vertex42_id" hidden="1">"project-planner.xlsx"</definedName>
    <definedName name="vertex42_title" hidden="1">"Project Planner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5" i="1"/>
  <c r="D22" i="10"/>
  <c r="D30" i="10"/>
  <c r="J30" i="10" s="1"/>
  <c r="I30" i="10"/>
  <c r="D29" i="10"/>
  <c r="I29" i="10"/>
  <c r="J29" i="10"/>
  <c r="D27" i="10"/>
  <c r="J27" i="10" s="1"/>
  <c r="D28" i="10"/>
  <c r="J28" i="10" s="1"/>
  <c r="I27" i="10"/>
  <c r="I28" i="10"/>
  <c r="D26" i="10"/>
  <c r="J26" i="10" s="1"/>
  <c r="I26" i="10"/>
  <c r="D25" i="10"/>
  <c r="J25" i="10" s="1"/>
  <c r="I25" i="10"/>
  <c r="D24" i="10"/>
  <c r="J24" i="10" s="1"/>
  <c r="I24" i="10"/>
  <c r="D23" i="10"/>
  <c r="J23" i="10" s="1"/>
  <c r="I23" i="10"/>
  <c r="G29" i="1" l="1"/>
  <c r="F29" i="1" s="1"/>
  <c r="H29" i="1"/>
  <c r="I29" i="1"/>
  <c r="O29" i="1"/>
  <c r="Q29" i="1"/>
  <c r="R29" i="1"/>
  <c r="H31" i="1"/>
  <c r="I31" i="1"/>
  <c r="F31" i="1" s="1"/>
  <c r="H32" i="1"/>
  <c r="I32" i="1"/>
  <c r="F32" i="1" s="1"/>
  <c r="H33" i="1"/>
  <c r="I33" i="1"/>
  <c r="H34" i="1"/>
  <c r="F34" i="1" s="1"/>
  <c r="I34" i="1"/>
  <c r="H35" i="1"/>
  <c r="I35" i="1"/>
  <c r="H36" i="1"/>
  <c r="I36" i="1"/>
  <c r="H37" i="1"/>
  <c r="I37" i="1"/>
  <c r="I30" i="1"/>
  <c r="H30" i="1"/>
  <c r="G30" i="1"/>
  <c r="F30" i="1" s="1"/>
  <c r="G37" i="1"/>
  <c r="G36" i="1"/>
  <c r="G35" i="1"/>
  <c r="G34" i="1"/>
  <c r="G33" i="1"/>
  <c r="F33" i="1" s="1"/>
  <c r="G32" i="1"/>
  <c r="G31" i="1"/>
  <c r="H18" i="6"/>
  <c r="J18" i="6" s="1"/>
  <c r="H19" i="6"/>
  <c r="H20" i="6"/>
  <c r="H21" i="6"/>
  <c r="H22" i="6"/>
  <c r="H23" i="6"/>
  <c r="J23" i="6" s="1"/>
  <c r="H24" i="6"/>
  <c r="J24" i="6" s="1"/>
  <c r="H25" i="6"/>
  <c r="J25" i="6" s="1"/>
  <c r="H26" i="6"/>
  <c r="H27" i="6"/>
  <c r="J27" i="6" s="1"/>
  <c r="H28" i="6"/>
  <c r="J28" i="6" s="1"/>
  <c r="H29" i="6"/>
  <c r="J29" i="6" s="1"/>
  <c r="H30" i="6"/>
  <c r="J30" i="6" s="1"/>
  <c r="H31" i="6"/>
  <c r="H32" i="6"/>
  <c r="H33" i="6"/>
  <c r="H34" i="6"/>
  <c r="H35" i="6"/>
  <c r="J35" i="6" s="1"/>
  <c r="H36" i="6"/>
  <c r="J36" i="6" s="1"/>
  <c r="H37" i="6"/>
  <c r="J37" i="6" s="1"/>
  <c r="H38" i="6"/>
  <c r="H39" i="6"/>
  <c r="J39" i="6" s="1"/>
  <c r="H40" i="6"/>
  <c r="J40" i="6" s="1"/>
  <c r="H41" i="6"/>
  <c r="J41" i="6" s="1"/>
  <c r="H42" i="6"/>
  <c r="J42" i="6" s="1"/>
  <c r="H43" i="6"/>
  <c r="H44" i="6"/>
  <c r="H45" i="6"/>
  <c r="H46" i="6"/>
  <c r="H47" i="6"/>
  <c r="J47" i="6" s="1"/>
  <c r="H48" i="6"/>
  <c r="J48" i="6" s="1"/>
  <c r="H49" i="6"/>
  <c r="J49" i="6" s="1"/>
  <c r="H50" i="6"/>
  <c r="H51" i="6"/>
  <c r="J51" i="6" s="1"/>
  <c r="H52" i="6"/>
  <c r="J52" i="6" s="1"/>
  <c r="H53" i="6"/>
  <c r="J53" i="6" s="1"/>
  <c r="H54" i="6"/>
  <c r="J54" i="6" s="1"/>
  <c r="H55" i="6"/>
  <c r="H56" i="6"/>
  <c r="H57" i="6"/>
  <c r="H58" i="6"/>
  <c r="H59" i="6"/>
  <c r="J59" i="6" s="1"/>
  <c r="H14" i="6"/>
  <c r="H15" i="6"/>
  <c r="H16" i="6"/>
  <c r="H17" i="6"/>
  <c r="O30" i="1"/>
  <c r="O31" i="1"/>
  <c r="O32" i="1"/>
  <c r="O33" i="1"/>
  <c r="O34" i="1"/>
  <c r="O35" i="1"/>
  <c r="O36" i="1"/>
  <c r="O37" i="1"/>
  <c r="Q30" i="1"/>
  <c r="Q31" i="1"/>
  <c r="Q32" i="1"/>
  <c r="Q33" i="1"/>
  <c r="Q34" i="1"/>
  <c r="Q35" i="1"/>
  <c r="Q36" i="1"/>
  <c r="Q37" i="1"/>
  <c r="R30" i="1"/>
  <c r="R31" i="1"/>
  <c r="R32" i="1"/>
  <c r="R33" i="1"/>
  <c r="R34" i="1"/>
  <c r="R35" i="1"/>
  <c r="R36" i="1"/>
  <c r="R37" i="1"/>
  <c r="J14" i="6"/>
  <c r="J15" i="6"/>
  <c r="J16" i="6"/>
  <c r="J17" i="6"/>
  <c r="J19" i="6"/>
  <c r="J20" i="6"/>
  <c r="J21" i="6"/>
  <c r="J22" i="6"/>
  <c r="J26" i="6"/>
  <c r="J31" i="6"/>
  <c r="J32" i="6"/>
  <c r="J33" i="6"/>
  <c r="J34" i="6"/>
  <c r="J38" i="6"/>
  <c r="J43" i="6"/>
  <c r="J44" i="6"/>
  <c r="J45" i="6"/>
  <c r="J46" i="6"/>
  <c r="J50" i="6"/>
  <c r="J55" i="6"/>
  <c r="J56" i="6"/>
  <c r="J57" i="6"/>
  <c r="J58" i="6"/>
  <c r="F6" i="4"/>
  <c r="F7" i="4"/>
  <c r="F8" i="4"/>
  <c r="F9" i="4"/>
  <c r="F10" i="4"/>
  <c r="F11" i="4"/>
  <c r="F12" i="4"/>
  <c r="F13" i="4"/>
  <c r="F14" i="4"/>
  <c r="F15" i="4"/>
  <c r="F16" i="4"/>
  <c r="F5" i="4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5" i="5"/>
  <c r="S1109" i="24"/>
  <c r="Q1109" i="24"/>
  <c r="P1109" i="24"/>
  <c r="O1109" i="24"/>
  <c r="N1109" i="24"/>
  <c r="M1109" i="24"/>
  <c r="R1109" i="24" s="1"/>
  <c r="S1108" i="24"/>
  <c r="Q1108" i="24"/>
  <c r="P1108" i="24"/>
  <c r="O1108" i="24"/>
  <c r="N1108" i="24"/>
  <c r="M1108" i="24"/>
  <c r="R1108" i="24" s="1"/>
  <c r="S1107" i="24"/>
  <c r="Q1107" i="24"/>
  <c r="P1107" i="24"/>
  <c r="O1107" i="24"/>
  <c r="N1107" i="24"/>
  <c r="M1107" i="24"/>
  <c r="R1107" i="24" s="1"/>
  <c r="S1106" i="24"/>
  <c r="Q1106" i="24"/>
  <c r="P1106" i="24"/>
  <c r="O1106" i="24"/>
  <c r="N1106" i="24"/>
  <c r="M1106" i="24"/>
  <c r="R1106" i="24" s="1"/>
  <c r="S1105" i="24"/>
  <c r="Q1105" i="24"/>
  <c r="P1105" i="24"/>
  <c r="O1105" i="24"/>
  <c r="N1105" i="24"/>
  <c r="M1105" i="24"/>
  <c r="R1105" i="24" s="1"/>
  <c r="S1104" i="24"/>
  <c r="Q1104" i="24"/>
  <c r="P1104" i="24"/>
  <c r="O1104" i="24"/>
  <c r="N1104" i="24"/>
  <c r="M1104" i="24"/>
  <c r="R1104" i="24" s="1"/>
  <c r="S1103" i="24"/>
  <c r="Q1103" i="24"/>
  <c r="P1103" i="24"/>
  <c r="O1103" i="24"/>
  <c r="N1103" i="24"/>
  <c r="M1103" i="24"/>
  <c r="R1103" i="24" s="1"/>
  <c r="S1102" i="24"/>
  <c r="Q1102" i="24"/>
  <c r="P1102" i="24"/>
  <c r="O1102" i="24"/>
  <c r="N1102" i="24"/>
  <c r="M1102" i="24"/>
  <c r="R1102" i="24" s="1"/>
  <c r="S1101" i="24"/>
  <c r="Q1101" i="24"/>
  <c r="P1101" i="24"/>
  <c r="O1101" i="24"/>
  <c r="N1101" i="24"/>
  <c r="M1101" i="24"/>
  <c r="R1101" i="24" s="1"/>
  <c r="S1100" i="24"/>
  <c r="Q1100" i="24"/>
  <c r="P1100" i="24"/>
  <c r="O1100" i="24"/>
  <c r="N1100" i="24"/>
  <c r="M1100" i="24"/>
  <c r="R1100" i="24" s="1"/>
  <c r="S1099" i="24"/>
  <c r="Q1099" i="24"/>
  <c r="P1099" i="24"/>
  <c r="O1099" i="24"/>
  <c r="N1099" i="24"/>
  <c r="M1099" i="24"/>
  <c r="R1099" i="24" s="1"/>
  <c r="S1098" i="24"/>
  <c r="Q1098" i="24"/>
  <c r="P1098" i="24"/>
  <c r="O1098" i="24"/>
  <c r="N1098" i="24"/>
  <c r="M1098" i="24"/>
  <c r="R1098" i="24" s="1"/>
  <c r="S1097" i="24"/>
  <c r="Q1097" i="24"/>
  <c r="P1097" i="24"/>
  <c r="O1097" i="24"/>
  <c r="N1097" i="24"/>
  <c r="M1097" i="24"/>
  <c r="R1097" i="24" s="1"/>
  <c r="S1096" i="24"/>
  <c r="Q1096" i="24"/>
  <c r="P1096" i="24"/>
  <c r="O1096" i="24"/>
  <c r="N1096" i="24"/>
  <c r="M1096" i="24"/>
  <c r="R1096" i="24" s="1"/>
  <c r="S1095" i="24"/>
  <c r="Q1095" i="24"/>
  <c r="P1095" i="24"/>
  <c r="O1095" i="24"/>
  <c r="N1095" i="24"/>
  <c r="M1095" i="24"/>
  <c r="R1095" i="24" s="1"/>
  <c r="S1094" i="24"/>
  <c r="Q1094" i="24"/>
  <c r="P1094" i="24"/>
  <c r="O1094" i="24"/>
  <c r="N1094" i="24"/>
  <c r="M1094" i="24"/>
  <c r="R1094" i="24" s="1"/>
  <c r="S1093" i="24"/>
  <c r="Q1093" i="24"/>
  <c r="P1093" i="24"/>
  <c r="O1093" i="24"/>
  <c r="N1093" i="24"/>
  <c r="M1093" i="24"/>
  <c r="R1093" i="24" s="1"/>
  <c r="S1092" i="24"/>
  <c r="Q1092" i="24"/>
  <c r="P1092" i="24"/>
  <c r="O1092" i="24"/>
  <c r="N1092" i="24"/>
  <c r="M1092" i="24"/>
  <c r="R1092" i="24" s="1"/>
  <c r="S1091" i="24"/>
  <c r="Q1091" i="24"/>
  <c r="P1091" i="24"/>
  <c r="O1091" i="24"/>
  <c r="N1091" i="24"/>
  <c r="M1091" i="24"/>
  <c r="R1091" i="24" s="1"/>
  <c r="S1090" i="24"/>
  <c r="Q1090" i="24"/>
  <c r="P1090" i="24"/>
  <c r="O1090" i="24"/>
  <c r="N1090" i="24"/>
  <c r="M1090" i="24"/>
  <c r="R1090" i="24" s="1"/>
  <c r="S1089" i="24"/>
  <c r="Q1089" i="24"/>
  <c r="P1089" i="24"/>
  <c r="O1089" i="24"/>
  <c r="N1089" i="24"/>
  <c r="M1089" i="24"/>
  <c r="R1089" i="24" s="1"/>
  <c r="S1088" i="24"/>
  <c r="Q1088" i="24"/>
  <c r="P1088" i="24"/>
  <c r="O1088" i="24"/>
  <c r="N1088" i="24"/>
  <c r="M1088" i="24"/>
  <c r="R1088" i="24" s="1"/>
  <c r="S1087" i="24"/>
  <c r="Q1087" i="24"/>
  <c r="P1087" i="24"/>
  <c r="O1087" i="24"/>
  <c r="N1087" i="24"/>
  <c r="M1087" i="24"/>
  <c r="R1087" i="24" s="1"/>
  <c r="S1086" i="24"/>
  <c r="Q1086" i="24"/>
  <c r="P1086" i="24"/>
  <c r="O1086" i="24"/>
  <c r="N1086" i="24"/>
  <c r="M1086" i="24"/>
  <c r="R1086" i="24" s="1"/>
  <c r="S1085" i="24"/>
  <c r="Q1085" i="24"/>
  <c r="P1085" i="24"/>
  <c r="O1085" i="24"/>
  <c r="N1085" i="24"/>
  <c r="M1085" i="24"/>
  <c r="R1085" i="24" s="1"/>
  <c r="S1084" i="24"/>
  <c r="Q1084" i="24"/>
  <c r="P1084" i="24"/>
  <c r="O1084" i="24"/>
  <c r="N1084" i="24"/>
  <c r="M1084" i="24"/>
  <c r="R1084" i="24" s="1"/>
  <c r="S1083" i="24"/>
  <c r="Q1083" i="24"/>
  <c r="P1083" i="24"/>
  <c r="O1083" i="24"/>
  <c r="N1083" i="24"/>
  <c r="M1083" i="24"/>
  <c r="R1083" i="24" s="1"/>
  <c r="S1082" i="24"/>
  <c r="Q1082" i="24"/>
  <c r="P1082" i="24"/>
  <c r="O1082" i="24"/>
  <c r="N1082" i="24"/>
  <c r="M1082" i="24"/>
  <c r="R1082" i="24" s="1"/>
  <c r="S1081" i="24"/>
  <c r="Q1081" i="24"/>
  <c r="P1081" i="24"/>
  <c r="O1081" i="24"/>
  <c r="N1081" i="24"/>
  <c r="M1081" i="24"/>
  <c r="R1081" i="24" s="1"/>
  <c r="S1080" i="24"/>
  <c r="Q1080" i="24"/>
  <c r="P1080" i="24"/>
  <c r="O1080" i="24"/>
  <c r="N1080" i="24"/>
  <c r="M1080" i="24"/>
  <c r="R1080" i="24" s="1"/>
  <c r="S1079" i="24"/>
  <c r="Q1079" i="24"/>
  <c r="P1079" i="24"/>
  <c r="O1079" i="24"/>
  <c r="N1079" i="24"/>
  <c r="M1079" i="24"/>
  <c r="R1079" i="24" s="1"/>
  <c r="S1078" i="24"/>
  <c r="Q1078" i="24"/>
  <c r="P1078" i="24"/>
  <c r="O1078" i="24"/>
  <c r="N1078" i="24"/>
  <c r="M1078" i="24"/>
  <c r="R1078" i="24" s="1"/>
  <c r="S1077" i="24"/>
  <c r="Q1077" i="24"/>
  <c r="P1077" i="24"/>
  <c r="O1077" i="24"/>
  <c r="N1077" i="24"/>
  <c r="M1077" i="24"/>
  <c r="R1077" i="24" s="1"/>
  <c r="S1076" i="24"/>
  <c r="Q1076" i="24"/>
  <c r="P1076" i="24"/>
  <c r="O1076" i="24"/>
  <c r="N1076" i="24"/>
  <c r="M1076" i="24"/>
  <c r="R1076" i="24" s="1"/>
  <c r="S1075" i="24"/>
  <c r="Q1075" i="24"/>
  <c r="P1075" i="24"/>
  <c r="O1075" i="24"/>
  <c r="N1075" i="24"/>
  <c r="M1075" i="24"/>
  <c r="R1075" i="24" s="1"/>
  <c r="S1074" i="24"/>
  <c r="Q1074" i="24"/>
  <c r="P1074" i="24"/>
  <c r="O1074" i="24"/>
  <c r="N1074" i="24"/>
  <c r="M1074" i="24"/>
  <c r="R1074" i="24" s="1"/>
  <c r="S1073" i="24"/>
  <c r="Q1073" i="24"/>
  <c r="P1073" i="24"/>
  <c r="O1073" i="24"/>
  <c r="N1073" i="24"/>
  <c r="M1073" i="24"/>
  <c r="R1073" i="24" s="1"/>
  <c r="S1072" i="24"/>
  <c r="Q1072" i="24"/>
  <c r="P1072" i="24"/>
  <c r="O1072" i="24"/>
  <c r="N1072" i="24"/>
  <c r="M1072" i="24"/>
  <c r="R1072" i="24" s="1"/>
  <c r="S1071" i="24"/>
  <c r="Q1071" i="24"/>
  <c r="P1071" i="24"/>
  <c r="O1071" i="24"/>
  <c r="N1071" i="24"/>
  <c r="M1071" i="24"/>
  <c r="R1071" i="24" s="1"/>
  <c r="S1070" i="24"/>
  <c r="Q1070" i="24"/>
  <c r="P1070" i="24"/>
  <c r="O1070" i="24"/>
  <c r="N1070" i="24"/>
  <c r="M1070" i="24"/>
  <c r="R1070" i="24" s="1"/>
  <c r="S1069" i="24"/>
  <c r="Q1069" i="24"/>
  <c r="P1069" i="24"/>
  <c r="O1069" i="24"/>
  <c r="N1069" i="24"/>
  <c r="M1069" i="24"/>
  <c r="R1069" i="24" s="1"/>
  <c r="S1068" i="24"/>
  <c r="Q1068" i="24"/>
  <c r="P1068" i="24"/>
  <c r="O1068" i="24"/>
  <c r="N1068" i="24"/>
  <c r="M1068" i="24"/>
  <c r="R1068" i="24" s="1"/>
  <c r="S1067" i="24"/>
  <c r="Q1067" i="24"/>
  <c r="P1067" i="24"/>
  <c r="O1067" i="24"/>
  <c r="N1067" i="24"/>
  <c r="M1067" i="24"/>
  <c r="R1067" i="24" s="1"/>
  <c r="S1066" i="24"/>
  <c r="Q1066" i="24"/>
  <c r="P1066" i="24"/>
  <c r="O1066" i="24"/>
  <c r="N1066" i="24"/>
  <c r="M1066" i="24"/>
  <c r="R1066" i="24" s="1"/>
  <c r="S1065" i="24"/>
  <c r="Q1065" i="24"/>
  <c r="P1065" i="24"/>
  <c r="O1065" i="24"/>
  <c r="N1065" i="24"/>
  <c r="M1065" i="24"/>
  <c r="R1065" i="24" s="1"/>
  <c r="S1064" i="24"/>
  <c r="Q1064" i="24"/>
  <c r="P1064" i="24"/>
  <c r="O1064" i="24"/>
  <c r="N1064" i="24"/>
  <c r="M1064" i="24"/>
  <c r="R1064" i="24" s="1"/>
  <c r="S1063" i="24"/>
  <c r="Q1063" i="24"/>
  <c r="P1063" i="24"/>
  <c r="O1063" i="24"/>
  <c r="N1063" i="24"/>
  <c r="M1063" i="24"/>
  <c r="R1063" i="24" s="1"/>
  <c r="S1062" i="24"/>
  <c r="Q1062" i="24"/>
  <c r="P1062" i="24"/>
  <c r="O1062" i="24"/>
  <c r="N1062" i="24"/>
  <c r="M1062" i="24"/>
  <c r="R1062" i="24" s="1"/>
  <c r="S1061" i="24"/>
  <c r="Q1061" i="24"/>
  <c r="P1061" i="24"/>
  <c r="O1061" i="24"/>
  <c r="N1061" i="24"/>
  <c r="M1061" i="24"/>
  <c r="R1061" i="24" s="1"/>
  <c r="S1060" i="24"/>
  <c r="Q1060" i="24"/>
  <c r="P1060" i="24"/>
  <c r="O1060" i="24"/>
  <c r="N1060" i="24"/>
  <c r="M1060" i="24"/>
  <c r="R1060" i="24" s="1"/>
  <c r="S1059" i="24"/>
  <c r="Q1059" i="24"/>
  <c r="P1059" i="24"/>
  <c r="O1059" i="24"/>
  <c r="N1059" i="24"/>
  <c r="M1059" i="24"/>
  <c r="R1059" i="24" s="1"/>
  <c r="S1058" i="24"/>
  <c r="Q1058" i="24"/>
  <c r="P1058" i="24"/>
  <c r="O1058" i="24"/>
  <c r="N1058" i="24"/>
  <c r="M1058" i="24"/>
  <c r="R1058" i="24" s="1"/>
  <c r="S1057" i="24"/>
  <c r="Q1057" i="24"/>
  <c r="P1057" i="24"/>
  <c r="O1057" i="24"/>
  <c r="N1057" i="24"/>
  <c r="M1057" i="24"/>
  <c r="R1057" i="24" s="1"/>
  <c r="S1056" i="24"/>
  <c r="Q1056" i="24"/>
  <c r="P1056" i="24"/>
  <c r="O1056" i="24"/>
  <c r="N1056" i="24"/>
  <c r="M1056" i="24"/>
  <c r="R1056" i="24" s="1"/>
  <c r="S1055" i="24"/>
  <c r="Q1055" i="24"/>
  <c r="P1055" i="24"/>
  <c r="O1055" i="24"/>
  <c r="N1055" i="24"/>
  <c r="M1055" i="24"/>
  <c r="R1055" i="24" s="1"/>
  <c r="S1054" i="24"/>
  <c r="Q1054" i="24"/>
  <c r="P1054" i="24"/>
  <c r="O1054" i="24"/>
  <c r="N1054" i="24"/>
  <c r="M1054" i="24"/>
  <c r="R1054" i="24" s="1"/>
  <c r="S1053" i="24"/>
  <c r="Q1053" i="24"/>
  <c r="P1053" i="24"/>
  <c r="O1053" i="24"/>
  <c r="N1053" i="24"/>
  <c r="M1053" i="24"/>
  <c r="R1053" i="24" s="1"/>
  <c r="S1052" i="24"/>
  <c r="Q1052" i="24"/>
  <c r="P1052" i="24"/>
  <c r="O1052" i="24"/>
  <c r="N1052" i="24"/>
  <c r="M1052" i="24"/>
  <c r="R1052" i="24" s="1"/>
  <c r="S1051" i="24"/>
  <c r="Q1051" i="24"/>
  <c r="P1051" i="24"/>
  <c r="O1051" i="24"/>
  <c r="N1051" i="24"/>
  <c r="M1051" i="24"/>
  <c r="R1051" i="24" s="1"/>
  <c r="S1050" i="24"/>
  <c r="Q1050" i="24"/>
  <c r="P1050" i="24"/>
  <c r="O1050" i="24"/>
  <c r="N1050" i="24"/>
  <c r="M1050" i="24"/>
  <c r="R1050" i="24" s="1"/>
  <c r="S1049" i="24"/>
  <c r="Q1049" i="24"/>
  <c r="P1049" i="24"/>
  <c r="O1049" i="24"/>
  <c r="N1049" i="24"/>
  <c r="M1049" i="24"/>
  <c r="R1049" i="24" s="1"/>
  <c r="S1048" i="24"/>
  <c r="Q1048" i="24"/>
  <c r="P1048" i="24"/>
  <c r="O1048" i="24"/>
  <c r="N1048" i="24"/>
  <c r="M1048" i="24"/>
  <c r="R1048" i="24" s="1"/>
  <c r="S1047" i="24"/>
  <c r="Q1047" i="24"/>
  <c r="P1047" i="24"/>
  <c r="O1047" i="24"/>
  <c r="N1047" i="24"/>
  <c r="M1047" i="24"/>
  <c r="R1047" i="24" s="1"/>
  <c r="S1046" i="24"/>
  <c r="Q1046" i="24"/>
  <c r="P1046" i="24"/>
  <c r="O1046" i="24"/>
  <c r="N1046" i="24"/>
  <c r="M1046" i="24"/>
  <c r="R1046" i="24" s="1"/>
  <c r="S1045" i="24"/>
  <c r="Q1045" i="24"/>
  <c r="P1045" i="24"/>
  <c r="O1045" i="24"/>
  <c r="N1045" i="24"/>
  <c r="M1045" i="24"/>
  <c r="R1045" i="24" s="1"/>
  <c r="S1044" i="24"/>
  <c r="Q1044" i="24"/>
  <c r="P1044" i="24"/>
  <c r="O1044" i="24"/>
  <c r="N1044" i="24"/>
  <c r="M1044" i="24"/>
  <c r="R1044" i="24" s="1"/>
  <c r="S1043" i="24"/>
  <c r="Q1043" i="24"/>
  <c r="P1043" i="24"/>
  <c r="O1043" i="24"/>
  <c r="N1043" i="24"/>
  <c r="M1043" i="24"/>
  <c r="R1043" i="24" s="1"/>
  <c r="S1042" i="24"/>
  <c r="Q1042" i="24"/>
  <c r="P1042" i="24"/>
  <c r="O1042" i="24"/>
  <c r="N1042" i="24"/>
  <c r="M1042" i="24"/>
  <c r="R1042" i="24" s="1"/>
  <c r="S1041" i="24"/>
  <c r="Q1041" i="24"/>
  <c r="P1041" i="24"/>
  <c r="O1041" i="24"/>
  <c r="N1041" i="24"/>
  <c r="M1041" i="24"/>
  <c r="R1041" i="24" s="1"/>
  <c r="S1040" i="24"/>
  <c r="Q1040" i="24"/>
  <c r="P1040" i="24"/>
  <c r="O1040" i="24"/>
  <c r="N1040" i="24"/>
  <c r="M1040" i="24"/>
  <c r="R1040" i="24" s="1"/>
  <c r="S1039" i="24"/>
  <c r="Q1039" i="24"/>
  <c r="P1039" i="24"/>
  <c r="O1039" i="24"/>
  <c r="N1039" i="24"/>
  <c r="M1039" i="24"/>
  <c r="R1039" i="24" s="1"/>
  <c r="S1038" i="24"/>
  <c r="Q1038" i="24"/>
  <c r="P1038" i="24"/>
  <c r="O1038" i="24"/>
  <c r="N1038" i="24"/>
  <c r="M1038" i="24"/>
  <c r="R1038" i="24" s="1"/>
  <c r="S1037" i="24"/>
  <c r="Q1037" i="24"/>
  <c r="P1037" i="24"/>
  <c r="O1037" i="24"/>
  <c r="N1037" i="24"/>
  <c r="M1037" i="24"/>
  <c r="R1037" i="24" s="1"/>
  <c r="S1036" i="24"/>
  <c r="Q1036" i="24"/>
  <c r="P1036" i="24"/>
  <c r="O1036" i="24"/>
  <c r="N1036" i="24"/>
  <c r="M1036" i="24"/>
  <c r="R1036" i="24" s="1"/>
  <c r="S1035" i="24"/>
  <c r="Q1035" i="24"/>
  <c r="P1035" i="24"/>
  <c r="O1035" i="24"/>
  <c r="N1035" i="24"/>
  <c r="M1035" i="24"/>
  <c r="R1035" i="24" s="1"/>
  <c r="S1034" i="24"/>
  <c r="Q1034" i="24"/>
  <c r="P1034" i="24"/>
  <c r="O1034" i="24"/>
  <c r="N1034" i="24"/>
  <c r="M1034" i="24"/>
  <c r="R1034" i="24" s="1"/>
  <c r="S1033" i="24"/>
  <c r="Q1033" i="24"/>
  <c r="P1033" i="24"/>
  <c r="O1033" i="24"/>
  <c r="N1033" i="24"/>
  <c r="M1033" i="24"/>
  <c r="R1033" i="24" s="1"/>
  <c r="S1032" i="24"/>
  <c r="Q1032" i="24"/>
  <c r="P1032" i="24"/>
  <c r="O1032" i="24"/>
  <c r="N1032" i="24"/>
  <c r="M1032" i="24"/>
  <c r="R1032" i="24" s="1"/>
  <c r="S1031" i="24"/>
  <c r="Q1031" i="24"/>
  <c r="P1031" i="24"/>
  <c r="O1031" i="24"/>
  <c r="N1031" i="24"/>
  <c r="M1031" i="24"/>
  <c r="R1031" i="24" s="1"/>
  <c r="S1030" i="24"/>
  <c r="Q1030" i="24"/>
  <c r="P1030" i="24"/>
  <c r="O1030" i="24"/>
  <c r="N1030" i="24"/>
  <c r="M1030" i="24"/>
  <c r="R1030" i="24" s="1"/>
  <c r="S1029" i="24"/>
  <c r="Q1029" i="24"/>
  <c r="P1029" i="24"/>
  <c r="O1029" i="24"/>
  <c r="N1029" i="24"/>
  <c r="M1029" i="24"/>
  <c r="R1029" i="24" s="1"/>
  <c r="S1028" i="24"/>
  <c r="Q1028" i="24"/>
  <c r="P1028" i="24"/>
  <c r="O1028" i="24"/>
  <c r="N1028" i="24"/>
  <c r="M1028" i="24"/>
  <c r="R1028" i="24" s="1"/>
  <c r="S1027" i="24"/>
  <c r="Q1027" i="24"/>
  <c r="P1027" i="24"/>
  <c r="O1027" i="24"/>
  <c r="N1027" i="24"/>
  <c r="M1027" i="24"/>
  <c r="R1027" i="24" s="1"/>
  <c r="S1026" i="24"/>
  <c r="Q1026" i="24"/>
  <c r="P1026" i="24"/>
  <c r="O1026" i="24"/>
  <c r="N1026" i="24"/>
  <c r="M1026" i="24"/>
  <c r="R1026" i="24" s="1"/>
  <c r="S1025" i="24"/>
  <c r="Q1025" i="24"/>
  <c r="P1025" i="24"/>
  <c r="O1025" i="24"/>
  <c r="N1025" i="24"/>
  <c r="M1025" i="24"/>
  <c r="R1025" i="24" s="1"/>
  <c r="S1024" i="24"/>
  <c r="Q1024" i="24"/>
  <c r="P1024" i="24"/>
  <c r="O1024" i="24"/>
  <c r="N1024" i="24"/>
  <c r="M1024" i="24"/>
  <c r="R1024" i="24" s="1"/>
  <c r="S1023" i="24"/>
  <c r="Q1023" i="24"/>
  <c r="P1023" i="24"/>
  <c r="O1023" i="24"/>
  <c r="N1023" i="24"/>
  <c r="M1023" i="24"/>
  <c r="R1023" i="24" s="1"/>
  <c r="S1022" i="24"/>
  <c r="Q1022" i="24"/>
  <c r="P1022" i="24"/>
  <c r="O1022" i="24"/>
  <c r="N1022" i="24"/>
  <c r="M1022" i="24"/>
  <c r="R1022" i="24" s="1"/>
  <c r="S1021" i="24"/>
  <c r="Q1021" i="24"/>
  <c r="P1021" i="24"/>
  <c r="O1021" i="24"/>
  <c r="N1021" i="24"/>
  <c r="M1021" i="24"/>
  <c r="R1021" i="24" s="1"/>
  <c r="S1020" i="24"/>
  <c r="Q1020" i="24"/>
  <c r="P1020" i="24"/>
  <c r="O1020" i="24"/>
  <c r="N1020" i="24"/>
  <c r="M1020" i="24"/>
  <c r="R1020" i="24" s="1"/>
  <c r="S1019" i="24"/>
  <c r="Q1019" i="24"/>
  <c r="P1019" i="24"/>
  <c r="O1019" i="24"/>
  <c r="N1019" i="24"/>
  <c r="M1019" i="24"/>
  <c r="R1019" i="24" s="1"/>
  <c r="S1018" i="24"/>
  <c r="Q1018" i="24"/>
  <c r="P1018" i="24"/>
  <c r="O1018" i="24"/>
  <c r="N1018" i="24"/>
  <c r="M1018" i="24"/>
  <c r="R1018" i="24" s="1"/>
  <c r="S1017" i="24"/>
  <c r="Q1017" i="24"/>
  <c r="P1017" i="24"/>
  <c r="O1017" i="24"/>
  <c r="N1017" i="24"/>
  <c r="M1017" i="24"/>
  <c r="R1017" i="24" s="1"/>
  <c r="S1016" i="24"/>
  <c r="Q1016" i="24"/>
  <c r="P1016" i="24"/>
  <c r="O1016" i="24"/>
  <c r="N1016" i="24"/>
  <c r="M1016" i="24"/>
  <c r="R1016" i="24" s="1"/>
  <c r="S1015" i="24"/>
  <c r="Q1015" i="24"/>
  <c r="P1015" i="24"/>
  <c r="O1015" i="24"/>
  <c r="N1015" i="24"/>
  <c r="M1015" i="24"/>
  <c r="R1015" i="24" s="1"/>
  <c r="S1014" i="24"/>
  <c r="Q1014" i="24"/>
  <c r="P1014" i="24"/>
  <c r="O1014" i="24"/>
  <c r="N1014" i="24"/>
  <c r="M1014" i="24"/>
  <c r="R1014" i="24" s="1"/>
  <c r="S1013" i="24"/>
  <c r="Q1013" i="24"/>
  <c r="P1013" i="24"/>
  <c r="O1013" i="24"/>
  <c r="N1013" i="24"/>
  <c r="M1013" i="24"/>
  <c r="R1013" i="24" s="1"/>
  <c r="S1012" i="24"/>
  <c r="Q1012" i="24"/>
  <c r="P1012" i="24"/>
  <c r="O1012" i="24"/>
  <c r="N1012" i="24"/>
  <c r="M1012" i="24"/>
  <c r="R1012" i="24" s="1"/>
  <c r="S1011" i="24"/>
  <c r="Q1011" i="24"/>
  <c r="P1011" i="24"/>
  <c r="O1011" i="24"/>
  <c r="N1011" i="24"/>
  <c r="M1011" i="24"/>
  <c r="R1011" i="24" s="1"/>
  <c r="S1010" i="24"/>
  <c r="Q1010" i="24"/>
  <c r="P1010" i="24"/>
  <c r="O1010" i="24"/>
  <c r="N1010" i="24"/>
  <c r="M1010" i="24"/>
  <c r="R1010" i="24" s="1"/>
  <c r="S1009" i="24"/>
  <c r="Q1009" i="24"/>
  <c r="P1009" i="24"/>
  <c r="O1009" i="24"/>
  <c r="N1009" i="24"/>
  <c r="M1009" i="24"/>
  <c r="R1009" i="24" s="1"/>
  <c r="S1008" i="24"/>
  <c r="Q1008" i="24"/>
  <c r="P1008" i="24"/>
  <c r="O1008" i="24"/>
  <c r="N1008" i="24"/>
  <c r="M1008" i="24"/>
  <c r="R1008" i="24" s="1"/>
  <c r="S1007" i="24"/>
  <c r="Q1007" i="24"/>
  <c r="P1007" i="24"/>
  <c r="O1007" i="24"/>
  <c r="N1007" i="24"/>
  <c r="M1007" i="24"/>
  <c r="R1007" i="24" s="1"/>
  <c r="S1006" i="24"/>
  <c r="Q1006" i="24"/>
  <c r="P1006" i="24"/>
  <c r="O1006" i="24"/>
  <c r="N1006" i="24"/>
  <c r="M1006" i="24"/>
  <c r="R1006" i="24" s="1"/>
  <c r="S1005" i="24"/>
  <c r="Q1005" i="24"/>
  <c r="P1005" i="24"/>
  <c r="O1005" i="24"/>
  <c r="N1005" i="24"/>
  <c r="M1005" i="24"/>
  <c r="R1005" i="24" s="1"/>
  <c r="S1004" i="24"/>
  <c r="Q1004" i="24"/>
  <c r="P1004" i="24"/>
  <c r="O1004" i="24"/>
  <c r="N1004" i="24"/>
  <c r="M1004" i="24"/>
  <c r="R1004" i="24" s="1"/>
  <c r="S1003" i="24"/>
  <c r="Q1003" i="24"/>
  <c r="P1003" i="24"/>
  <c r="O1003" i="24"/>
  <c r="N1003" i="24"/>
  <c r="M1003" i="24"/>
  <c r="R1003" i="24" s="1"/>
  <c r="S1002" i="24"/>
  <c r="Q1002" i="24"/>
  <c r="P1002" i="24"/>
  <c r="O1002" i="24"/>
  <c r="N1002" i="24"/>
  <c r="M1002" i="24"/>
  <c r="R1002" i="24" s="1"/>
  <c r="S1001" i="24"/>
  <c r="Q1001" i="24"/>
  <c r="P1001" i="24"/>
  <c r="O1001" i="24"/>
  <c r="N1001" i="24"/>
  <c r="M1001" i="24"/>
  <c r="R1001" i="24" s="1"/>
  <c r="S1000" i="24"/>
  <c r="Q1000" i="24"/>
  <c r="P1000" i="24"/>
  <c r="O1000" i="24"/>
  <c r="N1000" i="24"/>
  <c r="M1000" i="24"/>
  <c r="R1000" i="24" s="1"/>
  <c r="S999" i="24"/>
  <c r="Q999" i="24"/>
  <c r="P999" i="24"/>
  <c r="O999" i="24"/>
  <c r="N999" i="24"/>
  <c r="M999" i="24"/>
  <c r="R999" i="24" s="1"/>
  <c r="S998" i="24"/>
  <c r="Q998" i="24"/>
  <c r="P998" i="24"/>
  <c r="O998" i="24"/>
  <c r="N998" i="24"/>
  <c r="M998" i="24"/>
  <c r="R998" i="24" s="1"/>
  <c r="S997" i="24"/>
  <c r="Q997" i="24"/>
  <c r="P997" i="24"/>
  <c r="O997" i="24"/>
  <c r="N997" i="24"/>
  <c r="M997" i="24"/>
  <c r="R997" i="24" s="1"/>
  <c r="S996" i="24"/>
  <c r="Q996" i="24"/>
  <c r="P996" i="24"/>
  <c r="O996" i="24"/>
  <c r="N996" i="24"/>
  <c r="M996" i="24"/>
  <c r="R996" i="24" s="1"/>
  <c r="S995" i="24"/>
  <c r="Q995" i="24"/>
  <c r="P995" i="24"/>
  <c r="O995" i="24"/>
  <c r="N995" i="24"/>
  <c r="M995" i="24"/>
  <c r="R995" i="24" s="1"/>
  <c r="S994" i="24"/>
  <c r="Q994" i="24"/>
  <c r="P994" i="24"/>
  <c r="O994" i="24"/>
  <c r="N994" i="24"/>
  <c r="M994" i="24"/>
  <c r="R994" i="24" s="1"/>
  <c r="S993" i="24"/>
  <c r="Q993" i="24"/>
  <c r="P993" i="24"/>
  <c r="O993" i="24"/>
  <c r="N993" i="24"/>
  <c r="M993" i="24"/>
  <c r="R993" i="24" s="1"/>
  <c r="S992" i="24"/>
  <c r="Q992" i="24"/>
  <c r="P992" i="24"/>
  <c r="O992" i="24"/>
  <c r="N992" i="24"/>
  <c r="M992" i="24"/>
  <c r="R992" i="24" s="1"/>
  <c r="S991" i="24"/>
  <c r="Q991" i="24"/>
  <c r="P991" i="24"/>
  <c r="O991" i="24"/>
  <c r="N991" i="24"/>
  <c r="M991" i="24"/>
  <c r="R991" i="24" s="1"/>
  <c r="S990" i="24"/>
  <c r="Q990" i="24"/>
  <c r="P990" i="24"/>
  <c r="O990" i="24"/>
  <c r="N990" i="24"/>
  <c r="M990" i="24"/>
  <c r="R990" i="24" s="1"/>
  <c r="S989" i="24"/>
  <c r="Q989" i="24"/>
  <c r="P989" i="24"/>
  <c r="O989" i="24"/>
  <c r="N989" i="24"/>
  <c r="M989" i="24"/>
  <c r="R989" i="24" s="1"/>
  <c r="S988" i="24"/>
  <c r="Q988" i="24"/>
  <c r="P988" i="24"/>
  <c r="O988" i="24"/>
  <c r="N988" i="24"/>
  <c r="M988" i="24"/>
  <c r="R988" i="24" s="1"/>
  <c r="S987" i="24"/>
  <c r="Q987" i="24"/>
  <c r="P987" i="24"/>
  <c r="O987" i="24"/>
  <c r="N987" i="24"/>
  <c r="M987" i="24"/>
  <c r="R987" i="24" s="1"/>
  <c r="S986" i="24"/>
  <c r="Q986" i="24"/>
  <c r="P986" i="24"/>
  <c r="O986" i="24"/>
  <c r="N986" i="24"/>
  <c r="M986" i="24"/>
  <c r="R986" i="24" s="1"/>
  <c r="S985" i="24"/>
  <c r="Q985" i="24"/>
  <c r="P985" i="24"/>
  <c r="O985" i="24"/>
  <c r="N985" i="24"/>
  <c r="M985" i="24"/>
  <c r="R985" i="24" s="1"/>
  <c r="S984" i="24"/>
  <c r="Q984" i="24"/>
  <c r="P984" i="24"/>
  <c r="O984" i="24"/>
  <c r="N984" i="24"/>
  <c r="M984" i="24"/>
  <c r="R984" i="24" s="1"/>
  <c r="S983" i="24"/>
  <c r="Q983" i="24"/>
  <c r="P983" i="24"/>
  <c r="O983" i="24"/>
  <c r="N983" i="24"/>
  <c r="M983" i="24"/>
  <c r="R983" i="24" s="1"/>
  <c r="S982" i="24"/>
  <c r="Q982" i="24"/>
  <c r="P982" i="24"/>
  <c r="O982" i="24"/>
  <c r="N982" i="24"/>
  <c r="M982" i="24"/>
  <c r="R982" i="24" s="1"/>
  <c r="S981" i="24"/>
  <c r="Q981" i="24"/>
  <c r="P981" i="24"/>
  <c r="O981" i="24"/>
  <c r="N981" i="24"/>
  <c r="M981" i="24"/>
  <c r="R981" i="24" s="1"/>
  <c r="S980" i="24"/>
  <c r="Q980" i="24"/>
  <c r="P980" i="24"/>
  <c r="O980" i="24"/>
  <c r="N980" i="24"/>
  <c r="M980" i="24"/>
  <c r="R980" i="24" s="1"/>
  <c r="S979" i="24"/>
  <c r="Q979" i="24"/>
  <c r="P979" i="24"/>
  <c r="O979" i="24"/>
  <c r="N979" i="24"/>
  <c r="M979" i="24"/>
  <c r="R979" i="24" s="1"/>
  <c r="S978" i="24"/>
  <c r="Q978" i="24"/>
  <c r="P978" i="24"/>
  <c r="O978" i="24"/>
  <c r="N978" i="24"/>
  <c r="M978" i="24"/>
  <c r="R978" i="24" s="1"/>
  <c r="S977" i="24"/>
  <c r="Q977" i="24"/>
  <c r="P977" i="24"/>
  <c r="O977" i="24"/>
  <c r="N977" i="24"/>
  <c r="M977" i="24"/>
  <c r="R977" i="24" s="1"/>
  <c r="S976" i="24"/>
  <c r="Q976" i="24"/>
  <c r="P976" i="24"/>
  <c r="O976" i="24"/>
  <c r="N976" i="24"/>
  <c r="M976" i="24"/>
  <c r="R976" i="24" s="1"/>
  <c r="S975" i="24"/>
  <c r="Q975" i="24"/>
  <c r="P975" i="24"/>
  <c r="O975" i="24"/>
  <c r="N975" i="24"/>
  <c r="M975" i="24"/>
  <c r="R975" i="24" s="1"/>
  <c r="S974" i="24"/>
  <c r="Q974" i="24"/>
  <c r="P974" i="24"/>
  <c r="O974" i="24"/>
  <c r="N974" i="24"/>
  <c r="M974" i="24"/>
  <c r="R974" i="24" s="1"/>
  <c r="S973" i="24"/>
  <c r="Q973" i="24"/>
  <c r="P973" i="24"/>
  <c r="O973" i="24"/>
  <c r="N973" i="24"/>
  <c r="M973" i="24"/>
  <c r="R973" i="24" s="1"/>
  <c r="S972" i="24"/>
  <c r="Q972" i="24"/>
  <c r="P972" i="24"/>
  <c r="O972" i="24"/>
  <c r="N972" i="24"/>
  <c r="M972" i="24"/>
  <c r="R972" i="24" s="1"/>
  <c r="S971" i="24"/>
  <c r="Q971" i="24"/>
  <c r="P971" i="24"/>
  <c r="O971" i="24"/>
  <c r="N971" i="24"/>
  <c r="M971" i="24"/>
  <c r="R971" i="24" s="1"/>
  <c r="S970" i="24"/>
  <c r="Q970" i="24"/>
  <c r="P970" i="24"/>
  <c r="O970" i="24"/>
  <c r="N970" i="24"/>
  <c r="M970" i="24"/>
  <c r="R970" i="24" s="1"/>
  <c r="S969" i="24"/>
  <c r="Q969" i="24"/>
  <c r="P969" i="24"/>
  <c r="O969" i="24"/>
  <c r="N969" i="24"/>
  <c r="M969" i="24"/>
  <c r="R969" i="24" s="1"/>
  <c r="S968" i="24"/>
  <c r="Q968" i="24"/>
  <c r="P968" i="24"/>
  <c r="O968" i="24"/>
  <c r="N968" i="24"/>
  <c r="M968" i="24"/>
  <c r="R968" i="24" s="1"/>
  <c r="S967" i="24"/>
  <c r="Q967" i="24"/>
  <c r="P967" i="24"/>
  <c r="O967" i="24"/>
  <c r="N967" i="24"/>
  <c r="M967" i="24"/>
  <c r="R967" i="24" s="1"/>
  <c r="S966" i="24"/>
  <c r="Q966" i="24"/>
  <c r="P966" i="24"/>
  <c r="O966" i="24"/>
  <c r="N966" i="24"/>
  <c r="M966" i="24"/>
  <c r="R966" i="24" s="1"/>
  <c r="S965" i="24"/>
  <c r="Q965" i="24"/>
  <c r="P965" i="24"/>
  <c r="O965" i="24"/>
  <c r="N965" i="24"/>
  <c r="M965" i="24"/>
  <c r="R965" i="24" s="1"/>
  <c r="S964" i="24"/>
  <c r="Q964" i="24"/>
  <c r="P964" i="24"/>
  <c r="O964" i="24"/>
  <c r="N964" i="24"/>
  <c r="M964" i="24"/>
  <c r="R964" i="24" s="1"/>
  <c r="S963" i="24"/>
  <c r="Q963" i="24"/>
  <c r="P963" i="24"/>
  <c r="O963" i="24"/>
  <c r="N963" i="24"/>
  <c r="M963" i="24"/>
  <c r="R963" i="24" s="1"/>
  <c r="S962" i="24"/>
  <c r="Q962" i="24"/>
  <c r="P962" i="24"/>
  <c r="O962" i="24"/>
  <c r="N962" i="24"/>
  <c r="M962" i="24"/>
  <c r="R962" i="24" s="1"/>
  <c r="S961" i="24"/>
  <c r="Q961" i="24"/>
  <c r="P961" i="24"/>
  <c r="O961" i="24"/>
  <c r="N961" i="24"/>
  <c r="M961" i="24"/>
  <c r="R961" i="24" s="1"/>
  <c r="S960" i="24"/>
  <c r="Q960" i="24"/>
  <c r="P960" i="24"/>
  <c r="O960" i="24"/>
  <c r="N960" i="24"/>
  <c r="M960" i="24"/>
  <c r="R960" i="24" s="1"/>
  <c r="S959" i="24"/>
  <c r="Q959" i="24"/>
  <c r="P959" i="24"/>
  <c r="O959" i="24"/>
  <c r="N959" i="24"/>
  <c r="M959" i="24"/>
  <c r="R959" i="24" s="1"/>
  <c r="S958" i="24"/>
  <c r="Q958" i="24"/>
  <c r="P958" i="24"/>
  <c r="O958" i="24"/>
  <c r="N958" i="24"/>
  <c r="M958" i="24"/>
  <c r="R958" i="24" s="1"/>
  <c r="S957" i="24"/>
  <c r="Q957" i="24"/>
  <c r="P957" i="24"/>
  <c r="O957" i="24"/>
  <c r="N957" i="24"/>
  <c r="M957" i="24"/>
  <c r="R957" i="24" s="1"/>
  <c r="S956" i="24"/>
  <c r="Q956" i="24"/>
  <c r="P956" i="24"/>
  <c r="O956" i="24"/>
  <c r="N956" i="24"/>
  <c r="M956" i="24"/>
  <c r="R956" i="24" s="1"/>
  <c r="S955" i="24"/>
  <c r="Q955" i="24"/>
  <c r="P955" i="24"/>
  <c r="O955" i="24"/>
  <c r="N955" i="24"/>
  <c r="M955" i="24"/>
  <c r="R955" i="24" s="1"/>
  <c r="S954" i="24"/>
  <c r="Q954" i="24"/>
  <c r="P954" i="24"/>
  <c r="O954" i="24"/>
  <c r="N954" i="24"/>
  <c r="M954" i="24"/>
  <c r="R954" i="24" s="1"/>
  <c r="S953" i="24"/>
  <c r="Q953" i="24"/>
  <c r="P953" i="24"/>
  <c r="O953" i="24"/>
  <c r="N953" i="24"/>
  <c r="M953" i="24"/>
  <c r="R953" i="24" s="1"/>
  <c r="S952" i="24"/>
  <c r="Q952" i="24"/>
  <c r="P952" i="24"/>
  <c r="O952" i="24"/>
  <c r="N952" i="24"/>
  <c r="M952" i="24"/>
  <c r="R952" i="24" s="1"/>
  <c r="S951" i="24"/>
  <c r="Q951" i="24"/>
  <c r="P951" i="24"/>
  <c r="O951" i="24"/>
  <c r="N951" i="24"/>
  <c r="M951" i="24"/>
  <c r="R951" i="24" s="1"/>
  <c r="S950" i="24"/>
  <c r="Q950" i="24"/>
  <c r="P950" i="24"/>
  <c r="O950" i="24"/>
  <c r="N950" i="24"/>
  <c r="M950" i="24"/>
  <c r="R950" i="24" s="1"/>
  <c r="S949" i="24"/>
  <c r="Q949" i="24"/>
  <c r="P949" i="24"/>
  <c r="O949" i="24"/>
  <c r="N949" i="24"/>
  <c r="M949" i="24"/>
  <c r="R949" i="24" s="1"/>
  <c r="S948" i="24"/>
  <c r="Q948" i="24"/>
  <c r="P948" i="24"/>
  <c r="O948" i="24"/>
  <c r="N948" i="24"/>
  <c r="M948" i="24"/>
  <c r="R948" i="24" s="1"/>
  <c r="S947" i="24"/>
  <c r="Q947" i="24"/>
  <c r="P947" i="24"/>
  <c r="O947" i="24"/>
  <c r="N947" i="24"/>
  <c r="M947" i="24"/>
  <c r="R947" i="24" s="1"/>
  <c r="S946" i="24"/>
  <c r="Q946" i="24"/>
  <c r="P946" i="24"/>
  <c r="O946" i="24"/>
  <c r="N946" i="24"/>
  <c r="M946" i="24"/>
  <c r="R946" i="24" s="1"/>
  <c r="S945" i="24"/>
  <c r="Q945" i="24"/>
  <c r="P945" i="24"/>
  <c r="O945" i="24"/>
  <c r="N945" i="24"/>
  <c r="M945" i="24"/>
  <c r="R945" i="24" s="1"/>
  <c r="S944" i="24"/>
  <c r="Q944" i="24"/>
  <c r="P944" i="24"/>
  <c r="O944" i="24"/>
  <c r="N944" i="24"/>
  <c r="M944" i="24"/>
  <c r="R944" i="24" s="1"/>
  <c r="S943" i="24"/>
  <c r="Q943" i="24"/>
  <c r="P943" i="24"/>
  <c r="O943" i="24"/>
  <c r="N943" i="24"/>
  <c r="M943" i="24"/>
  <c r="R943" i="24" s="1"/>
  <c r="S942" i="24"/>
  <c r="Q942" i="24"/>
  <c r="P942" i="24"/>
  <c r="O942" i="24"/>
  <c r="N942" i="24"/>
  <c r="M942" i="24"/>
  <c r="R942" i="24" s="1"/>
  <c r="S941" i="24"/>
  <c r="Q941" i="24"/>
  <c r="P941" i="24"/>
  <c r="O941" i="24"/>
  <c r="N941" i="24"/>
  <c r="M941" i="24"/>
  <c r="R941" i="24" s="1"/>
  <c r="S940" i="24"/>
  <c r="Q940" i="24"/>
  <c r="P940" i="24"/>
  <c r="O940" i="24"/>
  <c r="N940" i="24"/>
  <c r="M940" i="24"/>
  <c r="R940" i="24" s="1"/>
  <c r="S939" i="24"/>
  <c r="Q939" i="24"/>
  <c r="P939" i="24"/>
  <c r="O939" i="24"/>
  <c r="N939" i="24"/>
  <c r="M939" i="24"/>
  <c r="R939" i="24" s="1"/>
  <c r="S938" i="24"/>
  <c r="Q938" i="24"/>
  <c r="P938" i="24"/>
  <c r="O938" i="24"/>
  <c r="N938" i="24"/>
  <c r="M938" i="24"/>
  <c r="R938" i="24" s="1"/>
  <c r="S937" i="24"/>
  <c r="Q937" i="24"/>
  <c r="P937" i="24"/>
  <c r="O937" i="24"/>
  <c r="N937" i="24"/>
  <c r="M937" i="24"/>
  <c r="R937" i="24" s="1"/>
  <c r="S936" i="24"/>
  <c r="Q936" i="24"/>
  <c r="P936" i="24"/>
  <c r="O936" i="24"/>
  <c r="N936" i="24"/>
  <c r="M936" i="24"/>
  <c r="R936" i="24" s="1"/>
  <c r="S935" i="24"/>
  <c r="Q935" i="24"/>
  <c r="P935" i="24"/>
  <c r="O935" i="24"/>
  <c r="N935" i="24"/>
  <c r="M935" i="24"/>
  <c r="R935" i="24" s="1"/>
  <c r="S934" i="24"/>
  <c r="Q934" i="24"/>
  <c r="P934" i="24"/>
  <c r="O934" i="24"/>
  <c r="N934" i="24"/>
  <c r="M934" i="24"/>
  <c r="R934" i="24" s="1"/>
  <c r="S933" i="24"/>
  <c r="Q933" i="24"/>
  <c r="P933" i="24"/>
  <c r="O933" i="24"/>
  <c r="N933" i="24"/>
  <c r="M933" i="24"/>
  <c r="R933" i="24" s="1"/>
  <c r="S932" i="24"/>
  <c r="Q932" i="24"/>
  <c r="P932" i="24"/>
  <c r="O932" i="24"/>
  <c r="N932" i="24"/>
  <c r="M932" i="24"/>
  <c r="R932" i="24" s="1"/>
  <c r="S931" i="24"/>
  <c r="Q931" i="24"/>
  <c r="P931" i="24"/>
  <c r="O931" i="24"/>
  <c r="N931" i="24"/>
  <c r="M931" i="24"/>
  <c r="R931" i="24" s="1"/>
  <c r="S930" i="24"/>
  <c r="Q930" i="24"/>
  <c r="P930" i="24"/>
  <c r="O930" i="24"/>
  <c r="N930" i="24"/>
  <c r="M930" i="24"/>
  <c r="R930" i="24" s="1"/>
  <c r="S929" i="24"/>
  <c r="Q929" i="24"/>
  <c r="P929" i="24"/>
  <c r="O929" i="24"/>
  <c r="N929" i="24"/>
  <c r="M929" i="24"/>
  <c r="R929" i="24" s="1"/>
  <c r="S928" i="24"/>
  <c r="Q928" i="24"/>
  <c r="P928" i="24"/>
  <c r="O928" i="24"/>
  <c r="N928" i="24"/>
  <c r="M928" i="24"/>
  <c r="R928" i="24" s="1"/>
  <c r="S927" i="24"/>
  <c r="Q927" i="24"/>
  <c r="P927" i="24"/>
  <c r="O927" i="24"/>
  <c r="N927" i="24"/>
  <c r="M927" i="24"/>
  <c r="R927" i="24" s="1"/>
  <c r="S926" i="24"/>
  <c r="Q926" i="24"/>
  <c r="P926" i="24"/>
  <c r="O926" i="24"/>
  <c r="N926" i="24"/>
  <c r="M926" i="24"/>
  <c r="R926" i="24" s="1"/>
  <c r="S925" i="24"/>
  <c r="Q925" i="24"/>
  <c r="P925" i="24"/>
  <c r="O925" i="24"/>
  <c r="N925" i="24"/>
  <c r="M925" i="24"/>
  <c r="R925" i="24" s="1"/>
  <c r="S924" i="24"/>
  <c r="Q924" i="24"/>
  <c r="P924" i="24"/>
  <c r="O924" i="24"/>
  <c r="N924" i="24"/>
  <c r="M924" i="24"/>
  <c r="R924" i="24" s="1"/>
  <c r="S923" i="24"/>
  <c r="Q923" i="24"/>
  <c r="P923" i="24"/>
  <c r="O923" i="24"/>
  <c r="N923" i="24"/>
  <c r="M923" i="24"/>
  <c r="R923" i="24" s="1"/>
  <c r="S922" i="24"/>
  <c r="Q922" i="24"/>
  <c r="P922" i="24"/>
  <c r="O922" i="24"/>
  <c r="N922" i="24"/>
  <c r="M922" i="24"/>
  <c r="R922" i="24" s="1"/>
  <c r="S921" i="24"/>
  <c r="Q921" i="24"/>
  <c r="P921" i="24"/>
  <c r="O921" i="24"/>
  <c r="N921" i="24"/>
  <c r="M921" i="24"/>
  <c r="R921" i="24" s="1"/>
  <c r="S920" i="24"/>
  <c r="Q920" i="24"/>
  <c r="P920" i="24"/>
  <c r="O920" i="24"/>
  <c r="N920" i="24"/>
  <c r="M920" i="24"/>
  <c r="R920" i="24" s="1"/>
  <c r="S919" i="24"/>
  <c r="Q919" i="24"/>
  <c r="P919" i="24"/>
  <c r="O919" i="24"/>
  <c r="N919" i="24"/>
  <c r="M919" i="24"/>
  <c r="R919" i="24" s="1"/>
  <c r="S918" i="24"/>
  <c r="Q918" i="24"/>
  <c r="P918" i="24"/>
  <c r="O918" i="24"/>
  <c r="N918" i="24"/>
  <c r="M918" i="24"/>
  <c r="R918" i="24" s="1"/>
  <c r="S917" i="24"/>
  <c r="Q917" i="24"/>
  <c r="P917" i="24"/>
  <c r="O917" i="24"/>
  <c r="N917" i="24"/>
  <c r="M917" i="24"/>
  <c r="R917" i="24" s="1"/>
  <c r="S916" i="24"/>
  <c r="Q916" i="24"/>
  <c r="P916" i="24"/>
  <c r="O916" i="24"/>
  <c r="N916" i="24"/>
  <c r="M916" i="24"/>
  <c r="R916" i="24" s="1"/>
  <c r="S915" i="24"/>
  <c r="Q915" i="24"/>
  <c r="P915" i="24"/>
  <c r="O915" i="24"/>
  <c r="N915" i="24"/>
  <c r="M915" i="24"/>
  <c r="R915" i="24" s="1"/>
  <c r="S914" i="24"/>
  <c r="Q914" i="24"/>
  <c r="P914" i="24"/>
  <c r="O914" i="24"/>
  <c r="N914" i="24"/>
  <c r="M914" i="24"/>
  <c r="R914" i="24" s="1"/>
  <c r="S913" i="24"/>
  <c r="Q913" i="24"/>
  <c r="P913" i="24"/>
  <c r="O913" i="24"/>
  <c r="N913" i="24"/>
  <c r="M913" i="24"/>
  <c r="R913" i="24" s="1"/>
  <c r="S912" i="24"/>
  <c r="Q912" i="24"/>
  <c r="P912" i="24"/>
  <c r="O912" i="24"/>
  <c r="N912" i="24"/>
  <c r="M912" i="24"/>
  <c r="R912" i="24" s="1"/>
  <c r="S911" i="24"/>
  <c r="Q911" i="24"/>
  <c r="P911" i="24"/>
  <c r="O911" i="24"/>
  <c r="N911" i="24"/>
  <c r="M911" i="24"/>
  <c r="R911" i="24" s="1"/>
  <c r="S910" i="24"/>
  <c r="Q910" i="24"/>
  <c r="P910" i="24"/>
  <c r="O910" i="24"/>
  <c r="N910" i="24"/>
  <c r="M910" i="24"/>
  <c r="R910" i="24" s="1"/>
  <c r="S909" i="24"/>
  <c r="Q909" i="24"/>
  <c r="P909" i="24"/>
  <c r="O909" i="24"/>
  <c r="N909" i="24"/>
  <c r="M909" i="24"/>
  <c r="R909" i="24" s="1"/>
  <c r="S908" i="24"/>
  <c r="Q908" i="24"/>
  <c r="P908" i="24"/>
  <c r="O908" i="24"/>
  <c r="N908" i="24"/>
  <c r="M908" i="24"/>
  <c r="R908" i="24" s="1"/>
  <c r="S907" i="24"/>
  <c r="Q907" i="24"/>
  <c r="P907" i="24"/>
  <c r="O907" i="24"/>
  <c r="N907" i="24"/>
  <c r="M907" i="24"/>
  <c r="R907" i="24" s="1"/>
  <c r="S906" i="24"/>
  <c r="Q906" i="24"/>
  <c r="P906" i="24"/>
  <c r="O906" i="24"/>
  <c r="N906" i="24"/>
  <c r="M906" i="24"/>
  <c r="R906" i="24" s="1"/>
  <c r="S905" i="24"/>
  <c r="Q905" i="24"/>
  <c r="P905" i="24"/>
  <c r="O905" i="24"/>
  <c r="N905" i="24"/>
  <c r="M905" i="24"/>
  <c r="R905" i="24" s="1"/>
  <c r="S904" i="24"/>
  <c r="Q904" i="24"/>
  <c r="P904" i="24"/>
  <c r="O904" i="24"/>
  <c r="N904" i="24"/>
  <c r="M904" i="24"/>
  <c r="R904" i="24" s="1"/>
  <c r="S903" i="24"/>
  <c r="Q903" i="24"/>
  <c r="P903" i="24"/>
  <c r="O903" i="24"/>
  <c r="N903" i="24"/>
  <c r="M903" i="24"/>
  <c r="R903" i="24" s="1"/>
  <c r="S902" i="24"/>
  <c r="Q902" i="24"/>
  <c r="P902" i="24"/>
  <c r="O902" i="24"/>
  <c r="N902" i="24"/>
  <c r="M902" i="24"/>
  <c r="R902" i="24" s="1"/>
  <c r="S901" i="24"/>
  <c r="Q901" i="24"/>
  <c r="P901" i="24"/>
  <c r="O901" i="24"/>
  <c r="N901" i="24"/>
  <c r="M901" i="24"/>
  <c r="R901" i="24" s="1"/>
  <c r="S900" i="24"/>
  <c r="Q900" i="24"/>
  <c r="P900" i="24"/>
  <c r="O900" i="24"/>
  <c r="N900" i="24"/>
  <c r="M900" i="24"/>
  <c r="R900" i="24" s="1"/>
  <c r="S899" i="24"/>
  <c r="Q899" i="24"/>
  <c r="P899" i="24"/>
  <c r="O899" i="24"/>
  <c r="N899" i="24"/>
  <c r="M899" i="24"/>
  <c r="R899" i="24" s="1"/>
  <c r="S898" i="24"/>
  <c r="Q898" i="24"/>
  <c r="P898" i="24"/>
  <c r="O898" i="24"/>
  <c r="N898" i="24"/>
  <c r="M898" i="24"/>
  <c r="R898" i="24" s="1"/>
  <c r="S897" i="24"/>
  <c r="Q897" i="24"/>
  <c r="P897" i="24"/>
  <c r="O897" i="24"/>
  <c r="N897" i="24"/>
  <c r="M897" i="24"/>
  <c r="R897" i="24" s="1"/>
  <c r="S896" i="24"/>
  <c r="Q896" i="24"/>
  <c r="P896" i="24"/>
  <c r="O896" i="24"/>
  <c r="N896" i="24"/>
  <c r="M896" i="24"/>
  <c r="R896" i="24" s="1"/>
  <c r="S895" i="24"/>
  <c r="Q895" i="24"/>
  <c r="P895" i="24"/>
  <c r="O895" i="24"/>
  <c r="N895" i="24"/>
  <c r="M895" i="24"/>
  <c r="R895" i="24" s="1"/>
  <c r="S894" i="24"/>
  <c r="Q894" i="24"/>
  <c r="P894" i="24"/>
  <c r="O894" i="24"/>
  <c r="N894" i="24"/>
  <c r="M894" i="24"/>
  <c r="R894" i="24" s="1"/>
  <c r="S893" i="24"/>
  <c r="Q893" i="24"/>
  <c r="P893" i="24"/>
  <c r="O893" i="24"/>
  <c r="N893" i="24"/>
  <c r="M893" i="24"/>
  <c r="R893" i="24" s="1"/>
  <c r="S892" i="24"/>
  <c r="Q892" i="24"/>
  <c r="P892" i="24"/>
  <c r="O892" i="24"/>
  <c r="N892" i="24"/>
  <c r="M892" i="24"/>
  <c r="R892" i="24" s="1"/>
  <c r="S891" i="24"/>
  <c r="Q891" i="24"/>
  <c r="P891" i="24"/>
  <c r="O891" i="24"/>
  <c r="N891" i="24"/>
  <c r="M891" i="24"/>
  <c r="R891" i="24" s="1"/>
  <c r="S890" i="24"/>
  <c r="Q890" i="24"/>
  <c r="P890" i="24"/>
  <c r="O890" i="24"/>
  <c r="N890" i="24"/>
  <c r="M890" i="24"/>
  <c r="R890" i="24" s="1"/>
  <c r="S889" i="24"/>
  <c r="Q889" i="24"/>
  <c r="P889" i="24"/>
  <c r="O889" i="24"/>
  <c r="N889" i="24"/>
  <c r="M889" i="24"/>
  <c r="R889" i="24" s="1"/>
  <c r="S888" i="24"/>
  <c r="Q888" i="24"/>
  <c r="P888" i="24"/>
  <c r="O888" i="24"/>
  <c r="N888" i="24"/>
  <c r="M888" i="24"/>
  <c r="R888" i="24" s="1"/>
  <c r="S887" i="24"/>
  <c r="Q887" i="24"/>
  <c r="P887" i="24"/>
  <c r="O887" i="24"/>
  <c r="N887" i="24"/>
  <c r="M887" i="24"/>
  <c r="R887" i="24" s="1"/>
  <c r="S886" i="24"/>
  <c r="Q886" i="24"/>
  <c r="P886" i="24"/>
  <c r="O886" i="24"/>
  <c r="N886" i="24"/>
  <c r="M886" i="24"/>
  <c r="R886" i="24" s="1"/>
  <c r="S885" i="24"/>
  <c r="Q885" i="24"/>
  <c r="P885" i="24"/>
  <c r="O885" i="24"/>
  <c r="N885" i="24"/>
  <c r="M885" i="24"/>
  <c r="R885" i="24" s="1"/>
  <c r="S884" i="24"/>
  <c r="Q884" i="24"/>
  <c r="P884" i="24"/>
  <c r="O884" i="24"/>
  <c r="N884" i="24"/>
  <c r="M884" i="24"/>
  <c r="R884" i="24" s="1"/>
  <c r="S883" i="24"/>
  <c r="Q883" i="24"/>
  <c r="P883" i="24"/>
  <c r="O883" i="24"/>
  <c r="N883" i="24"/>
  <c r="M883" i="24"/>
  <c r="R883" i="24" s="1"/>
  <c r="S882" i="24"/>
  <c r="Q882" i="24"/>
  <c r="P882" i="24"/>
  <c r="O882" i="24"/>
  <c r="N882" i="24"/>
  <c r="M882" i="24"/>
  <c r="R882" i="24" s="1"/>
  <c r="S881" i="24"/>
  <c r="Q881" i="24"/>
  <c r="P881" i="24"/>
  <c r="O881" i="24"/>
  <c r="N881" i="24"/>
  <c r="M881" i="24"/>
  <c r="R881" i="24" s="1"/>
  <c r="S880" i="24"/>
  <c r="Q880" i="24"/>
  <c r="P880" i="24"/>
  <c r="O880" i="24"/>
  <c r="N880" i="24"/>
  <c r="M880" i="24"/>
  <c r="R880" i="24" s="1"/>
  <c r="S879" i="24"/>
  <c r="Q879" i="24"/>
  <c r="P879" i="24"/>
  <c r="O879" i="24"/>
  <c r="N879" i="24"/>
  <c r="M879" i="24"/>
  <c r="R879" i="24" s="1"/>
  <c r="S878" i="24"/>
  <c r="Q878" i="24"/>
  <c r="P878" i="24"/>
  <c r="O878" i="24"/>
  <c r="N878" i="24"/>
  <c r="M878" i="24"/>
  <c r="R878" i="24" s="1"/>
  <c r="S877" i="24"/>
  <c r="Q877" i="24"/>
  <c r="P877" i="24"/>
  <c r="O877" i="24"/>
  <c r="N877" i="24"/>
  <c r="M877" i="24"/>
  <c r="R877" i="24" s="1"/>
  <c r="S876" i="24"/>
  <c r="Q876" i="24"/>
  <c r="P876" i="24"/>
  <c r="O876" i="24"/>
  <c r="N876" i="24"/>
  <c r="M876" i="24"/>
  <c r="R876" i="24" s="1"/>
  <c r="S875" i="24"/>
  <c r="Q875" i="24"/>
  <c r="P875" i="24"/>
  <c r="O875" i="24"/>
  <c r="N875" i="24"/>
  <c r="M875" i="24"/>
  <c r="R875" i="24" s="1"/>
  <c r="S874" i="24"/>
  <c r="Q874" i="24"/>
  <c r="P874" i="24"/>
  <c r="O874" i="24"/>
  <c r="N874" i="24"/>
  <c r="M874" i="24"/>
  <c r="R874" i="24" s="1"/>
  <c r="S873" i="24"/>
  <c r="Q873" i="24"/>
  <c r="P873" i="24"/>
  <c r="O873" i="24"/>
  <c r="N873" i="24"/>
  <c r="M873" i="24"/>
  <c r="R873" i="24" s="1"/>
  <c r="S872" i="24"/>
  <c r="Q872" i="24"/>
  <c r="P872" i="24"/>
  <c r="O872" i="24"/>
  <c r="N872" i="24"/>
  <c r="M872" i="24"/>
  <c r="R872" i="24" s="1"/>
  <c r="S871" i="24"/>
  <c r="Q871" i="24"/>
  <c r="P871" i="24"/>
  <c r="O871" i="24"/>
  <c r="N871" i="24"/>
  <c r="M871" i="24"/>
  <c r="R871" i="24" s="1"/>
  <c r="S870" i="24"/>
  <c r="Q870" i="24"/>
  <c r="P870" i="24"/>
  <c r="O870" i="24"/>
  <c r="N870" i="24"/>
  <c r="M870" i="24"/>
  <c r="R870" i="24" s="1"/>
  <c r="S869" i="24"/>
  <c r="Q869" i="24"/>
  <c r="P869" i="24"/>
  <c r="O869" i="24"/>
  <c r="N869" i="24"/>
  <c r="M869" i="24"/>
  <c r="R869" i="24" s="1"/>
  <c r="S868" i="24"/>
  <c r="Q868" i="24"/>
  <c r="P868" i="24"/>
  <c r="O868" i="24"/>
  <c r="N868" i="24"/>
  <c r="M868" i="24"/>
  <c r="R868" i="24" s="1"/>
  <c r="S867" i="24"/>
  <c r="Q867" i="24"/>
  <c r="P867" i="24"/>
  <c r="O867" i="24"/>
  <c r="N867" i="24"/>
  <c r="M867" i="24"/>
  <c r="R867" i="24" s="1"/>
  <c r="S866" i="24"/>
  <c r="Q866" i="24"/>
  <c r="P866" i="24"/>
  <c r="O866" i="24"/>
  <c r="N866" i="24"/>
  <c r="M866" i="24"/>
  <c r="R866" i="24" s="1"/>
  <c r="S865" i="24"/>
  <c r="Q865" i="24"/>
  <c r="P865" i="24"/>
  <c r="O865" i="24"/>
  <c r="N865" i="24"/>
  <c r="M865" i="24"/>
  <c r="R865" i="24" s="1"/>
  <c r="S864" i="24"/>
  <c r="Q864" i="24"/>
  <c r="P864" i="24"/>
  <c r="O864" i="24"/>
  <c r="N864" i="24"/>
  <c r="M864" i="24"/>
  <c r="R864" i="24" s="1"/>
  <c r="S863" i="24"/>
  <c r="Q863" i="24"/>
  <c r="P863" i="24"/>
  <c r="O863" i="24"/>
  <c r="N863" i="24"/>
  <c r="M863" i="24"/>
  <c r="R863" i="24" s="1"/>
  <c r="S862" i="24"/>
  <c r="Q862" i="24"/>
  <c r="P862" i="24"/>
  <c r="O862" i="24"/>
  <c r="N862" i="24"/>
  <c r="M862" i="24"/>
  <c r="R862" i="24" s="1"/>
  <c r="S861" i="24"/>
  <c r="Q861" i="24"/>
  <c r="P861" i="24"/>
  <c r="O861" i="24"/>
  <c r="N861" i="24"/>
  <c r="M861" i="24"/>
  <c r="R861" i="24" s="1"/>
  <c r="S860" i="24"/>
  <c r="Q860" i="24"/>
  <c r="P860" i="24"/>
  <c r="O860" i="24"/>
  <c r="N860" i="24"/>
  <c r="M860" i="24"/>
  <c r="R860" i="24" s="1"/>
  <c r="S859" i="24"/>
  <c r="Q859" i="24"/>
  <c r="P859" i="24"/>
  <c r="O859" i="24"/>
  <c r="N859" i="24"/>
  <c r="M859" i="24"/>
  <c r="R859" i="24" s="1"/>
  <c r="S858" i="24"/>
  <c r="Q858" i="24"/>
  <c r="P858" i="24"/>
  <c r="O858" i="24"/>
  <c r="N858" i="24"/>
  <c r="M858" i="24"/>
  <c r="R858" i="24" s="1"/>
  <c r="S857" i="24"/>
  <c r="Q857" i="24"/>
  <c r="P857" i="24"/>
  <c r="O857" i="24"/>
  <c r="N857" i="24"/>
  <c r="M857" i="24"/>
  <c r="R857" i="24" s="1"/>
  <c r="S856" i="24"/>
  <c r="Q856" i="24"/>
  <c r="P856" i="24"/>
  <c r="O856" i="24"/>
  <c r="N856" i="24"/>
  <c r="M856" i="24"/>
  <c r="R856" i="24" s="1"/>
  <c r="S855" i="24"/>
  <c r="Q855" i="24"/>
  <c r="P855" i="24"/>
  <c r="O855" i="24"/>
  <c r="N855" i="24"/>
  <c r="M855" i="24"/>
  <c r="R855" i="24" s="1"/>
  <c r="S854" i="24"/>
  <c r="Q854" i="24"/>
  <c r="P854" i="24"/>
  <c r="O854" i="24"/>
  <c r="N854" i="24"/>
  <c r="M854" i="24"/>
  <c r="R854" i="24" s="1"/>
  <c r="S853" i="24"/>
  <c r="Q853" i="24"/>
  <c r="P853" i="24"/>
  <c r="O853" i="24"/>
  <c r="N853" i="24"/>
  <c r="M853" i="24"/>
  <c r="R853" i="24" s="1"/>
  <c r="S852" i="24"/>
  <c r="Q852" i="24"/>
  <c r="P852" i="24"/>
  <c r="O852" i="24"/>
  <c r="N852" i="24"/>
  <c r="M852" i="24"/>
  <c r="R852" i="24" s="1"/>
  <c r="S851" i="24"/>
  <c r="Q851" i="24"/>
  <c r="P851" i="24"/>
  <c r="O851" i="24"/>
  <c r="N851" i="24"/>
  <c r="M851" i="24"/>
  <c r="R851" i="24" s="1"/>
  <c r="S850" i="24"/>
  <c r="Q850" i="24"/>
  <c r="P850" i="24"/>
  <c r="O850" i="24"/>
  <c r="N850" i="24"/>
  <c r="M850" i="24"/>
  <c r="R850" i="24" s="1"/>
  <c r="S849" i="24"/>
  <c r="Q849" i="24"/>
  <c r="P849" i="24"/>
  <c r="O849" i="24"/>
  <c r="N849" i="24"/>
  <c r="M849" i="24"/>
  <c r="R849" i="24" s="1"/>
  <c r="S848" i="24"/>
  <c r="Q848" i="24"/>
  <c r="P848" i="24"/>
  <c r="O848" i="24"/>
  <c r="N848" i="24"/>
  <c r="M848" i="24"/>
  <c r="R848" i="24" s="1"/>
  <c r="S847" i="24"/>
  <c r="Q847" i="24"/>
  <c r="P847" i="24"/>
  <c r="O847" i="24"/>
  <c r="N847" i="24"/>
  <c r="M847" i="24"/>
  <c r="R847" i="24" s="1"/>
  <c r="S846" i="24"/>
  <c r="Q846" i="24"/>
  <c r="P846" i="24"/>
  <c r="O846" i="24"/>
  <c r="N846" i="24"/>
  <c r="M846" i="24"/>
  <c r="R846" i="24" s="1"/>
  <c r="S845" i="24"/>
  <c r="Q845" i="24"/>
  <c r="P845" i="24"/>
  <c r="O845" i="24"/>
  <c r="N845" i="24"/>
  <c r="M845" i="24"/>
  <c r="R845" i="24" s="1"/>
  <c r="S844" i="24"/>
  <c r="Q844" i="24"/>
  <c r="P844" i="24"/>
  <c r="O844" i="24"/>
  <c r="N844" i="24"/>
  <c r="M844" i="24"/>
  <c r="R844" i="24" s="1"/>
  <c r="S843" i="24"/>
  <c r="Q843" i="24"/>
  <c r="P843" i="24"/>
  <c r="O843" i="24"/>
  <c r="N843" i="24"/>
  <c r="M843" i="24"/>
  <c r="R843" i="24" s="1"/>
  <c r="S842" i="24"/>
  <c r="Q842" i="24"/>
  <c r="P842" i="24"/>
  <c r="O842" i="24"/>
  <c r="N842" i="24"/>
  <c r="M842" i="24"/>
  <c r="R842" i="24" s="1"/>
  <c r="S841" i="24"/>
  <c r="Q841" i="24"/>
  <c r="P841" i="24"/>
  <c r="O841" i="24"/>
  <c r="N841" i="24"/>
  <c r="M841" i="24"/>
  <c r="R841" i="24" s="1"/>
  <c r="S840" i="24"/>
  <c r="Q840" i="24"/>
  <c r="P840" i="24"/>
  <c r="O840" i="24"/>
  <c r="N840" i="24"/>
  <c r="M840" i="24"/>
  <c r="R840" i="24" s="1"/>
  <c r="S839" i="24"/>
  <c r="Q839" i="24"/>
  <c r="P839" i="24"/>
  <c r="O839" i="24"/>
  <c r="N839" i="24"/>
  <c r="M839" i="24"/>
  <c r="R839" i="24" s="1"/>
  <c r="S838" i="24"/>
  <c r="Q838" i="24"/>
  <c r="P838" i="24"/>
  <c r="O838" i="24"/>
  <c r="N838" i="24"/>
  <c r="M838" i="24"/>
  <c r="R838" i="24" s="1"/>
  <c r="S837" i="24"/>
  <c r="Q837" i="24"/>
  <c r="P837" i="24"/>
  <c r="O837" i="24"/>
  <c r="N837" i="24"/>
  <c r="M837" i="24"/>
  <c r="R837" i="24" s="1"/>
  <c r="S836" i="24"/>
  <c r="Q836" i="24"/>
  <c r="P836" i="24"/>
  <c r="O836" i="24"/>
  <c r="N836" i="24"/>
  <c r="M836" i="24"/>
  <c r="R836" i="24" s="1"/>
  <c r="S835" i="24"/>
  <c r="Q835" i="24"/>
  <c r="P835" i="24"/>
  <c r="O835" i="24"/>
  <c r="N835" i="24"/>
  <c r="M835" i="24"/>
  <c r="R835" i="24" s="1"/>
  <c r="S834" i="24"/>
  <c r="Q834" i="24"/>
  <c r="P834" i="24"/>
  <c r="O834" i="24"/>
  <c r="N834" i="24"/>
  <c r="M834" i="24"/>
  <c r="R834" i="24" s="1"/>
  <c r="S833" i="24"/>
  <c r="Q833" i="24"/>
  <c r="P833" i="24"/>
  <c r="O833" i="24"/>
  <c r="N833" i="24"/>
  <c r="M833" i="24"/>
  <c r="R833" i="24" s="1"/>
  <c r="S832" i="24"/>
  <c r="Q832" i="24"/>
  <c r="P832" i="24"/>
  <c r="O832" i="24"/>
  <c r="N832" i="24"/>
  <c r="M832" i="24"/>
  <c r="R832" i="24" s="1"/>
  <c r="S831" i="24"/>
  <c r="Q831" i="24"/>
  <c r="P831" i="24"/>
  <c r="O831" i="24"/>
  <c r="N831" i="24"/>
  <c r="M831" i="24"/>
  <c r="R831" i="24" s="1"/>
  <c r="S830" i="24"/>
  <c r="Q830" i="24"/>
  <c r="P830" i="24"/>
  <c r="O830" i="24"/>
  <c r="N830" i="24"/>
  <c r="M830" i="24"/>
  <c r="R830" i="24" s="1"/>
  <c r="S829" i="24"/>
  <c r="Q829" i="24"/>
  <c r="P829" i="24"/>
  <c r="O829" i="24"/>
  <c r="N829" i="24"/>
  <c r="M829" i="24"/>
  <c r="R829" i="24" s="1"/>
  <c r="S828" i="24"/>
  <c r="Q828" i="24"/>
  <c r="P828" i="24"/>
  <c r="O828" i="24"/>
  <c r="N828" i="24"/>
  <c r="M828" i="24"/>
  <c r="R828" i="24" s="1"/>
  <c r="S827" i="24"/>
  <c r="Q827" i="24"/>
  <c r="P827" i="24"/>
  <c r="O827" i="24"/>
  <c r="N827" i="24"/>
  <c r="M827" i="24"/>
  <c r="R827" i="24" s="1"/>
  <c r="S826" i="24"/>
  <c r="Q826" i="24"/>
  <c r="P826" i="24"/>
  <c r="O826" i="24"/>
  <c r="N826" i="24"/>
  <c r="M826" i="24"/>
  <c r="R826" i="24" s="1"/>
  <c r="S825" i="24"/>
  <c r="Q825" i="24"/>
  <c r="P825" i="24"/>
  <c r="O825" i="24"/>
  <c r="N825" i="24"/>
  <c r="M825" i="24"/>
  <c r="R825" i="24" s="1"/>
  <c r="S824" i="24"/>
  <c r="Q824" i="24"/>
  <c r="P824" i="24"/>
  <c r="O824" i="24"/>
  <c r="N824" i="24"/>
  <c r="M824" i="24"/>
  <c r="R824" i="24" s="1"/>
  <c r="S823" i="24"/>
  <c r="Q823" i="24"/>
  <c r="P823" i="24"/>
  <c r="O823" i="24"/>
  <c r="N823" i="24"/>
  <c r="M823" i="24"/>
  <c r="R823" i="24" s="1"/>
  <c r="S822" i="24"/>
  <c r="Q822" i="24"/>
  <c r="P822" i="24"/>
  <c r="O822" i="24"/>
  <c r="N822" i="24"/>
  <c r="M822" i="24"/>
  <c r="R822" i="24" s="1"/>
  <c r="S821" i="24"/>
  <c r="Q821" i="24"/>
  <c r="P821" i="24"/>
  <c r="O821" i="24"/>
  <c r="N821" i="24"/>
  <c r="M821" i="24"/>
  <c r="R821" i="24" s="1"/>
  <c r="S820" i="24"/>
  <c r="Q820" i="24"/>
  <c r="P820" i="24"/>
  <c r="O820" i="24"/>
  <c r="N820" i="24"/>
  <c r="M820" i="24"/>
  <c r="R820" i="24" s="1"/>
  <c r="S819" i="24"/>
  <c r="Q819" i="24"/>
  <c r="P819" i="24"/>
  <c r="O819" i="24"/>
  <c r="N819" i="24"/>
  <c r="M819" i="24"/>
  <c r="R819" i="24" s="1"/>
  <c r="S818" i="24"/>
  <c r="Q818" i="24"/>
  <c r="P818" i="24"/>
  <c r="O818" i="24"/>
  <c r="N818" i="24"/>
  <c r="M818" i="24"/>
  <c r="R818" i="24" s="1"/>
  <c r="S817" i="24"/>
  <c r="Q817" i="24"/>
  <c r="P817" i="24"/>
  <c r="O817" i="24"/>
  <c r="N817" i="24"/>
  <c r="M817" i="24"/>
  <c r="R817" i="24" s="1"/>
  <c r="S816" i="24"/>
  <c r="Q816" i="24"/>
  <c r="P816" i="24"/>
  <c r="O816" i="24"/>
  <c r="N816" i="24"/>
  <c r="M816" i="24"/>
  <c r="R816" i="24" s="1"/>
  <c r="S815" i="24"/>
  <c r="Q815" i="24"/>
  <c r="P815" i="24"/>
  <c r="O815" i="24"/>
  <c r="N815" i="24"/>
  <c r="M815" i="24"/>
  <c r="R815" i="24" s="1"/>
  <c r="S814" i="24"/>
  <c r="Q814" i="24"/>
  <c r="P814" i="24"/>
  <c r="O814" i="24"/>
  <c r="N814" i="24"/>
  <c r="M814" i="24"/>
  <c r="R814" i="24" s="1"/>
  <c r="S813" i="24"/>
  <c r="Q813" i="24"/>
  <c r="P813" i="24"/>
  <c r="O813" i="24"/>
  <c r="N813" i="24"/>
  <c r="M813" i="24"/>
  <c r="R813" i="24" s="1"/>
  <c r="S812" i="24"/>
  <c r="Q812" i="24"/>
  <c r="P812" i="24"/>
  <c r="O812" i="24"/>
  <c r="N812" i="24"/>
  <c r="M812" i="24"/>
  <c r="R812" i="24" s="1"/>
  <c r="S811" i="24"/>
  <c r="Q811" i="24"/>
  <c r="P811" i="24"/>
  <c r="O811" i="24"/>
  <c r="N811" i="24"/>
  <c r="M811" i="24"/>
  <c r="R811" i="24" s="1"/>
  <c r="S810" i="24"/>
  <c r="Q810" i="24"/>
  <c r="P810" i="24"/>
  <c r="O810" i="24"/>
  <c r="N810" i="24"/>
  <c r="M810" i="24"/>
  <c r="R810" i="24" s="1"/>
  <c r="S809" i="24"/>
  <c r="Q809" i="24"/>
  <c r="P809" i="24"/>
  <c r="O809" i="24"/>
  <c r="N809" i="24"/>
  <c r="M809" i="24"/>
  <c r="R809" i="24" s="1"/>
  <c r="S808" i="24"/>
  <c r="Q808" i="24"/>
  <c r="P808" i="24"/>
  <c r="O808" i="24"/>
  <c r="N808" i="24"/>
  <c r="M808" i="24"/>
  <c r="R808" i="24" s="1"/>
  <c r="S807" i="24"/>
  <c r="Q807" i="24"/>
  <c r="P807" i="24"/>
  <c r="O807" i="24"/>
  <c r="N807" i="24"/>
  <c r="M807" i="24"/>
  <c r="R807" i="24" s="1"/>
  <c r="S806" i="24"/>
  <c r="Q806" i="24"/>
  <c r="P806" i="24"/>
  <c r="O806" i="24"/>
  <c r="N806" i="24"/>
  <c r="M806" i="24"/>
  <c r="R806" i="24" s="1"/>
  <c r="S805" i="24"/>
  <c r="Q805" i="24"/>
  <c r="P805" i="24"/>
  <c r="O805" i="24"/>
  <c r="N805" i="24"/>
  <c r="M805" i="24"/>
  <c r="R805" i="24" s="1"/>
  <c r="S804" i="24"/>
  <c r="Q804" i="24"/>
  <c r="P804" i="24"/>
  <c r="O804" i="24"/>
  <c r="N804" i="24"/>
  <c r="M804" i="24"/>
  <c r="R804" i="24" s="1"/>
  <c r="S803" i="24"/>
  <c r="Q803" i="24"/>
  <c r="P803" i="24"/>
  <c r="O803" i="24"/>
  <c r="N803" i="24"/>
  <c r="M803" i="24"/>
  <c r="R803" i="24" s="1"/>
  <c r="S802" i="24"/>
  <c r="Q802" i="24"/>
  <c r="P802" i="24"/>
  <c r="O802" i="24"/>
  <c r="N802" i="24"/>
  <c r="M802" i="24"/>
  <c r="R802" i="24" s="1"/>
  <c r="S801" i="24"/>
  <c r="Q801" i="24"/>
  <c r="P801" i="24"/>
  <c r="O801" i="24"/>
  <c r="N801" i="24"/>
  <c r="M801" i="24"/>
  <c r="R801" i="24" s="1"/>
  <c r="S800" i="24"/>
  <c r="Q800" i="24"/>
  <c r="P800" i="24"/>
  <c r="O800" i="24"/>
  <c r="N800" i="24"/>
  <c r="M800" i="24"/>
  <c r="R800" i="24" s="1"/>
  <c r="S799" i="24"/>
  <c r="Q799" i="24"/>
  <c r="P799" i="24"/>
  <c r="O799" i="24"/>
  <c r="N799" i="24"/>
  <c r="M799" i="24"/>
  <c r="R799" i="24" s="1"/>
  <c r="S798" i="24"/>
  <c r="Q798" i="24"/>
  <c r="P798" i="24"/>
  <c r="O798" i="24"/>
  <c r="N798" i="24"/>
  <c r="M798" i="24"/>
  <c r="R798" i="24" s="1"/>
  <c r="S797" i="24"/>
  <c r="Q797" i="24"/>
  <c r="P797" i="24"/>
  <c r="O797" i="24"/>
  <c r="N797" i="24"/>
  <c r="M797" i="24"/>
  <c r="R797" i="24" s="1"/>
  <c r="S796" i="24"/>
  <c r="Q796" i="24"/>
  <c r="P796" i="24"/>
  <c r="O796" i="24"/>
  <c r="N796" i="24"/>
  <c r="M796" i="24"/>
  <c r="R796" i="24" s="1"/>
  <c r="S795" i="24"/>
  <c r="Q795" i="24"/>
  <c r="P795" i="24"/>
  <c r="O795" i="24"/>
  <c r="N795" i="24"/>
  <c r="M795" i="24"/>
  <c r="R795" i="24" s="1"/>
  <c r="S794" i="24"/>
  <c r="Q794" i="24"/>
  <c r="P794" i="24"/>
  <c r="O794" i="24"/>
  <c r="N794" i="24"/>
  <c r="M794" i="24"/>
  <c r="R794" i="24" s="1"/>
  <c r="S793" i="24"/>
  <c r="Q793" i="24"/>
  <c r="P793" i="24"/>
  <c r="O793" i="24"/>
  <c r="N793" i="24"/>
  <c r="M793" i="24"/>
  <c r="R793" i="24" s="1"/>
  <c r="S792" i="24"/>
  <c r="Q792" i="24"/>
  <c r="P792" i="24"/>
  <c r="O792" i="24"/>
  <c r="N792" i="24"/>
  <c r="M792" i="24"/>
  <c r="R792" i="24" s="1"/>
  <c r="S791" i="24"/>
  <c r="Q791" i="24"/>
  <c r="P791" i="24"/>
  <c r="O791" i="24"/>
  <c r="N791" i="24"/>
  <c r="M791" i="24"/>
  <c r="R791" i="24" s="1"/>
  <c r="S790" i="24"/>
  <c r="Q790" i="24"/>
  <c r="P790" i="24"/>
  <c r="O790" i="24"/>
  <c r="N790" i="24"/>
  <c r="M790" i="24"/>
  <c r="R790" i="24" s="1"/>
  <c r="S789" i="24"/>
  <c r="Q789" i="24"/>
  <c r="P789" i="24"/>
  <c r="O789" i="24"/>
  <c r="N789" i="24"/>
  <c r="M789" i="24"/>
  <c r="R789" i="24" s="1"/>
  <c r="S788" i="24"/>
  <c r="R788" i="24"/>
  <c r="Q788" i="24"/>
  <c r="P788" i="24"/>
  <c r="O788" i="24"/>
  <c r="N788" i="24"/>
  <c r="S787" i="24"/>
  <c r="Q787" i="24"/>
  <c r="P787" i="24"/>
  <c r="O787" i="24"/>
  <c r="N787" i="24"/>
  <c r="M787" i="24"/>
  <c r="R787" i="24" s="1"/>
  <c r="S786" i="24"/>
  <c r="Q786" i="24"/>
  <c r="P786" i="24"/>
  <c r="O786" i="24"/>
  <c r="N786" i="24"/>
  <c r="M786" i="24"/>
  <c r="R786" i="24" s="1"/>
  <c r="S785" i="24"/>
  <c r="Q785" i="24"/>
  <c r="P785" i="24"/>
  <c r="O785" i="24"/>
  <c r="N785" i="24"/>
  <c r="M785" i="24"/>
  <c r="R785" i="24" s="1"/>
  <c r="S784" i="24"/>
  <c r="Q784" i="24"/>
  <c r="P784" i="24"/>
  <c r="O784" i="24"/>
  <c r="N784" i="24"/>
  <c r="M784" i="24"/>
  <c r="R784" i="24" s="1"/>
  <c r="S783" i="24"/>
  <c r="Q783" i="24"/>
  <c r="P783" i="24"/>
  <c r="O783" i="24"/>
  <c r="N783" i="24"/>
  <c r="M783" i="24"/>
  <c r="R783" i="24" s="1"/>
  <c r="S782" i="24"/>
  <c r="Q782" i="24"/>
  <c r="P782" i="24"/>
  <c r="O782" i="24"/>
  <c r="N782" i="24"/>
  <c r="M782" i="24"/>
  <c r="R782" i="24" s="1"/>
  <c r="S781" i="24"/>
  <c r="Q781" i="24"/>
  <c r="P781" i="24"/>
  <c r="O781" i="24"/>
  <c r="N781" i="24"/>
  <c r="M781" i="24"/>
  <c r="R781" i="24" s="1"/>
  <c r="S780" i="24"/>
  <c r="Q780" i="24"/>
  <c r="P780" i="24"/>
  <c r="O780" i="24"/>
  <c r="N780" i="24"/>
  <c r="M780" i="24"/>
  <c r="R780" i="24" s="1"/>
  <c r="S779" i="24"/>
  <c r="Q779" i="24"/>
  <c r="P779" i="24"/>
  <c r="O779" i="24"/>
  <c r="N779" i="24"/>
  <c r="M779" i="24"/>
  <c r="R779" i="24" s="1"/>
  <c r="S778" i="24"/>
  <c r="Q778" i="24"/>
  <c r="P778" i="24"/>
  <c r="O778" i="24"/>
  <c r="N778" i="24"/>
  <c r="M778" i="24"/>
  <c r="R778" i="24" s="1"/>
  <c r="S777" i="24"/>
  <c r="Q777" i="24"/>
  <c r="P777" i="24"/>
  <c r="O777" i="24"/>
  <c r="N777" i="24"/>
  <c r="M777" i="24"/>
  <c r="R777" i="24" s="1"/>
  <c r="S776" i="24"/>
  <c r="Q776" i="24"/>
  <c r="P776" i="24"/>
  <c r="O776" i="24"/>
  <c r="N776" i="24"/>
  <c r="M776" i="24"/>
  <c r="R776" i="24" s="1"/>
  <c r="S775" i="24"/>
  <c r="Q775" i="24"/>
  <c r="P775" i="24"/>
  <c r="O775" i="24"/>
  <c r="N775" i="24"/>
  <c r="M775" i="24"/>
  <c r="R775" i="24" s="1"/>
  <c r="S774" i="24"/>
  <c r="Q774" i="24"/>
  <c r="P774" i="24"/>
  <c r="O774" i="24"/>
  <c r="N774" i="24"/>
  <c r="M774" i="24"/>
  <c r="R774" i="24" s="1"/>
  <c r="S773" i="24"/>
  <c r="Q773" i="24"/>
  <c r="P773" i="24"/>
  <c r="O773" i="24"/>
  <c r="N773" i="24"/>
  <c r="M773" i="24"/>
  <c r="R773" i="24" s="1"/>
  <c r="S772" i="24"/>
  <c r="R772" i="24"/>
  <c r="Q772" i="24"/>
  <c r="P772" i="24"/>
  <c r="O772" i="24"/>
  <c r="N772" i="24"/>
  <c r="S771" i="24"/>
  <c r="R771" i="24"/>
  <c r="Q771" i="24"/>
  <c r="P771" i="24"/>
  <c r="O771" i="24"/>
  <c r="N771" i="24"/>
  <c r="S770" i="24"/>
  <c r="R770" i="24"/>
  <c r="Q770" i="24"/>
  <c r="P770" i="24"/>
  <c r="O770" i="24"/>
  <c r="N770" i="24"/>
  <c r="S769" i="24"/>
  <c r="R769" i="24"/>
  <c r="Q769" i="24"/>
  <c r="P769" i="24"/>
  <c r="O769" i="24"/>
  <c r="N769" i="24"/>
  <c r="S768" i="24"/>
  <c r="R768" i="24"/>
  <c r="Q768" i="24"/>
  <c r="P768" i="24"/>
  <c r="O768" i="24"/>
  <c r="N768" i="24"/>
  <c r="S767" i="24"/>
  <c r="Q767" i="24"/>
  <c r="P767" i="24"/>
  <c r="O767" i="24"/>
  <c r="N767" i="24"/>
  <c r="M767" i="24"/>
  <c r="R767" i="24" s="1"/>
  <c r="S766" i="24"/>
  <c r="Q766" i="24"/>
  <c r="P766" i="24"/>
  <c r="O766" i="24"/>
  <c r="N766" i="24"/>
  <c r="M766" i="24"/>
  <c r="R766" i="24" s="1"/>
  <c r="S765" i="24"/>
  <c r="Q765" i="24"/>
  <c r="P765" i="24"/>
  <c r="O765" i="24"/>
  <c r="N765" i="24"/>
  <c r="M765" i="24"/>
  <c r="R765" i="24" s="1"/>
  <c r="S764" i="24"/>
  <c r="Q764" i="24"/>
  <c r="P764" i="24"/>
  <c r="O764" i="24"/>
  <c r="N764" i="24"/>
  <c r="M764" i="24"/>
  <c r="R764" i="24" s="1"/>
  <c r="S763" i="24"/>
  <c r="Q763" i="24"/>
  <c r="P763" i="24"/>
  <c r="O763" i="24"/>
  <c r="N763" i="24"/>
  <c r="M763" i="24"/>
  <c r="R763" i="24" s="1"/>
  <c r="S762" i="24"/>
  <c r="Q762" i="24"/>
  <c r="P762" i="24"/>
  <c r="O762" i="24"/>
  <c r="N762" i="24"/>
  <c r="M762" i="24"/>
  <c r="R762" i="24" s="1"/>
  <c r="S761" i="24"/>
  <c r="Q761" i="24"/>
  <c r="P761" i="24"/>
  <c r="O761" i="24"/>
  <c r="N761" i="24"/>
  <c r="M761" i="24"/>
  <c r="R761" i="24" s="1"/>
  <c r="S760" i="24"/>
  <c r="Q760" i="24"/>
  <c r="P760" i="24"/>
  <c r="O760" i="24"/>
  <c r="N760" i="24"/>
  <c r="M760" i="24"/>
  <c r="R760" i="24" s="1"/>
  <c r="S759" i="24"/>
  <c r="Q759" i="24"/>
  <c r="P759" i="24"/>
  <c r="O759" i="24"/>
  <c r="N759" i="24"/>
  <c r="M759" i="24"/>
  <c r="R759" i="24" s="1"/>
  <c r="S758" i="24"/>
  <c r="Q758" i="24"/>
  <c r="P758" i="24"/>
  <c r="O758" i="24"/>
  <c r="N758" i="24"/>
  <c r="M758" i="24"/>
  <c r="R758" i="24" s="1"/>
  <c r="S757" i="24"/>
  <c r="Q757" i="24"/>
  <c r="P757" i="24"/>
  <c r="O757" i="24"/>
  <c r="N757" i="24"/>
  <c r="M757" i="24"/>
  <c r="R757" i="24" s="1"/>
  <c r="S756" i="24"/>
  <c r="R756" i="24"/>
  <c r="Q756" i="24"/>
  <c r="P756" i="24"/>
  <c r="O756" i="24"/>
  <c r="N756" i="24"/>
  <c r="S755" i="24"/>
  <c r="R755" i="24"/>
  <c r="Q755" i="24"/>
  <c r="P755" i="24"/>
  <c r="O755" i="24"/>
  <c r="N755" i="24"/>
  <c r="S754" i="24"/>
  <c r="Q754" i="24"/>
  <c r="P754" i="24"/>
  <c r="O754" i="24"/>
  <c r="N754" i="24"/>
  <c r="M754" i="24"/>
  <c r="R754" i="24" s="1"/>
  <c r="S753" i="24"/>
  <c r="Q753" i="24"/>
  <c r="P753" i="24"/>
  <c r="O753" i="24"/>
  <c r="N753" i="24"/>
  <c r="M753" i="24"/>
  <c r="R753" i="24" s="1"/>
  <c r="S752" i="24"/>
  <c r="Q752" i="24"/>
  <c r="P752" i="24"/>
  <c r="O752" i="24"/>
  <c r="N752" i="24"/>
  <c r="M752" i="24"/>
  <c r="R752" i="24" s="1"/>
  <c r="S751" i="24"/>
  <c r="Q751" i="24"/>
  <c r="P751" i="24"/>
  <c r="O751" i="24"/>
  <c r="N751" i="24"/>
  <c r="M751" i="24"/>
  <c r="R751" i="24" s="1"/>
  <c r="S750" i="24"/>
  <c r="Q750" i="24"/>
  <c r="P750" i="24"/>
  <c r="O750" i="24"/>
  <c r="N750" i="24"/>
  <c r="M750" i="24"/>
  <c r="R750" i="24" s="1"/>
  <c r="S749" i="24"/>
  <c r="Q749" i="24"/>
  <c r="P749" i="24"/>
  <c r="O749" i="24"/>
  <c r="N749" i="24"/>
  <c r="M749" i="24"/>
  <c r="R749" i="24" s="1"/>
  <c r="S748" i="24"/>
  <c r="Q748" i="24"/>
  <c r="P748" i="24"/>
  <c r="O748" i="24"/>
  <c r="N748" i="24"/>
  <c r="M748" i="24"/>
  <c r="R748" i="24" s="1"/>
  <c r="S747" i="24"/>
  <c r="R747" i="24"/>
  <c r="Q747" i="24"/>
  <c r="P747" i="24"/>
  <c r="O747" i="24"/>
  <c r="N747" i="24"/>
  <c r="S746" i="24"/>
  <c r="Q746" i="24"/>
  <c r="P746" i="24"/>
  <c r="O746" i="24"/>
  <c r="N746" i="24"/>
  <c r="M746" i="24"/>
  <c r="R746" i="24" s="1"/>
  <c r="S745" i="24"/>
  <c r="Q745" i="24"/>
  <c r="P745" i="24"/>
  <c r="O745" i="24"/>
  <c r="N745" i="24"/>
  <c r="M745" i="24"/>
  <c r="R745" i="24" s="1"/>
  <c r="S744" i="24"/>
  <c r="Q744" i="24"/>
  <c r="P744" i="24"/>
  <c r="O744" i="24"/>
  <c r="N744" i="24"/>
  <c r="M744" i="24"/>
  <c r="R744" i="24" s="1"/>
  <c r="S743" i="24"/>
  <c r="Q743" i="24"/>
  <c r="P743" i="24"/>
  <c r="O743" i="24"/>
  <c r="N743" i="24"/>
  <c r="M743" i="24"/>
  <c r="R743" i="24" s="1"/>
  <c r="S742" i="24"/>
  <c r="Q742" i="24"/>
  <c r="P742" i="24"/>
  <c r="O742" i="24"/>
  <c r="N742" i="24"/>
  <c r="M742" i="24"/>
  <c r="R742" i="24" s="1"/>
  <c r="S741" i="24"/>
  <c r="Q741" i="24"/>
  <c r="P741" i="24"/>
  <c r="O741" i="24"/>
  <c r="N741" i="24"/>
  <c r="M741" i="24"/>
  <c r="R741" i="24" s="1"/>
  <c r="S740" i="24"/>
  <c r="R740" i="24"/>
  <c r="Q740" i="24"/>
  <c r="P740" i="24"/>
  <c r="O740" i="24"/>
  <c r="N740" i="24"/>
  <c r="S739" i="24"/>
  <c r="Q739" i="24"/>
  <c r="P739" i="24"/>
  <c r="O739" i="24"/>
  <c r="N739" i="24"/>
  <c r="M739" i="24"/>
  <c r="R739" i="24" s="1"/>
  <c r="S738" i="24"/>
  <c r="Q738" i="24"/>
  <c r="P738" i="24"/>
  <c r="O738" i="24"/>
  <c r="N738" i="24"/>
  <c r="M738" i="24"/>
  <c r="R738" i="24" s="1"/>
  <c r="S737" i="24"/>
  <c r="Q737" i="24"/>
  <c r="P737" i="24"/>
  <c r="O737" i="24"/>
  <c r="N737" i="24"/>
  <c r="M737" i="24"/>
  <c r="R737" i="24" s="1"/>
  <c r="S736" i="24"/>
  <c r="Q736" i="24"/>
  <c r="P736" i="24"/>
  <c r="O736" i="24"/>
  <c r="N736" i="24"/>
  <c r="M736" i="24"/>
  <c r="R736" i="24" s="1"/>
  <c r="S735" i="24"/>
  <c r="Q735" i="24"/>
  <c r="P735" i="24"/>
  <c r="O735" i="24"/>
  <c r="N735" i="24"/>
  <c r="M735" i="24"/>
  <c r="R735" i="24" s="1"/>
  <c r="S734" i="24"/>
  <c r="Q734" i="24"/>
  <c r="P734" i="24"/>
  <c r="O734" i="24"/>
  <c r="N734" i="24"/>
  <c r="M734" i="24"/>
  <c r="R734" i="24" s="1"/>
  <c r="S733" i="24"/>
  <c r="Q733" i="24"/>
  <c r="P733" i="24"/>
  <c r="O733" i="24"/>
  <c r="N733" i="24"/>
  <c r="M733" i="24"/>
  <c r="R733" i="24" s="1"/>
  <c r="S732" i="24"/>
  <c r="Q732" i="24"/>
  <c r="P732" i="24"/>
  <c r="O732" i="24"/>
  <c r="N732" i="24"/>
  <c r="M732" i="24"/>
  <c r="R732" i="24" s="1"/>
  <c r="S731" i="24"/>
  <c r="Q731" i="24"/>
  <c r="P731" i="24"/>
  <c r="O731" i="24"/>
  <c r="N731" i="24"/>
  <c r="M731" i="24"/>
  <c r="R731" i="24" s="1"/>
  <c r="S730" i="24"/>
  <c r="Q730" i="24"/>
  <c r="P730" i="24"/>
  <c r="O730" i="24"/>
  <c r="N730" i="24"/>
  <c r="M730" i="24"/>
  <c r="R730" i="24" s="1"/>
  <c r="S729" i="24"/>
  <c r="Q729" i="24"/>
  <c r="P729" i="24"/>
  <c r="O729" i="24"/>
  <c r="N729" i="24"/>
  <c r="M729" i="24"/>
  <c r="R729" i="24" s="1"/>
  <c r="S728" i="24"/>
  <c r="R728" i="24"/>
  <c r="Q728" i="24"/>
  <c r="P728" i="24"/>
  <c r="O728" i="24"/>
  <c r="N728" i="24"/>
  <c r="S727" i="24"/>
  <c r="Q727" i="24"/>
  <c r="P727" i="24"/>
  <c r="O727" i="24"/>
  <c r="N727" i="24"/>
  <c r="M727" i="24"/>
  <c r="R727" i="24" s="1"/>
  <c r="S726" i="24"/>
  <c r="Q726" i="24"/>
  <c r="P726" i="24"/>
  <c r="O726" i="24"/>
  <c r="N726" i="24"/>
  <c r="M726" i="24"/>
  <c r="R726" i="24" s="1"/>
  <c r="S725" i="24"/>
  <c r="Q725" i="24"/>
  <c r="P725" i="24"/>
  <c r="O725" i="24"/>
  <c r="N725" i="24"/>
  <c r="M725" i="24"/>
  <c r="R725" i="24" s="1"/>
  <c r="S724" i="24"/>
  <c r="Q724" i="24"/>
  <c r="P724" i="24"/>
  <c r="O724" i="24"/>
  <c r="N724" i="24"/>
  <c r="M724" i="24"/>
  <c r="R724" i="24" s="1"/>
  <c r="S723" i="24"/>
  <c r="Q723" i="24"/>
  <c r="P723" i="24"/>
  <c r="O723" i="24"/>
  <c r="N723" i="24"/>
  <c r="M723" i="24"/>
  <c r="R723" i="24" s="1"/>
  <c r="S722" i="24"/>
  <c r="Q722" i="24"/>
  <c r="P722" i="24"/>
  <c r="O722" i="24"/>
  <c r="N722" i="24"/>
  <c r="M722" i="24"/>
  <c r="R722" i="24" s="1"/>
  <c r="S721" i="24"/>
  <c r="Q721" i="24"/>
  <c r="P721" i="24"/>
  <c r="O721" i="24"/>
  <c r="N721" i="24"/>
  <c r="M721" i="24"/>
  <c r="R721" i="24" s="1"/>
  <c r="S720" i="24"/>
  <c r="Q720" i="24"/>
  <c r="P720" i="24"/>
  <c r="O720" i="24"/>
  <c r="N720" i="24"/>
  <c r="M720" i="24"/>
  <c r="R720" i="24" s="1"/>
  <c r="S719" i="24"/>
  <c r="Q719" i="24"/>
  <c r="P719" i="24"/>
  <c r="O719" i="24"/>
  <c r="N719" i="24"/>
  <c r="M719" i="24"/>
  <c r="R719" i="24" s="1"/>
  <c r="S718" i="24"/>
  <c r="Q718" i="24"/>
  <c r="P718" i="24"/>
  <c r="O718" i="24"/>
  <c r="N718" i="24"/>
  <c r="M718" i="24"/>
  <c r="R718" i="24" s="1"/>
  <c r="S717" i="24"/>
  <c r="Q717" i="24"/>
  <c r="P717" i="24"/>
  <c r="O717" i="24"/>
  <c r="N717" i="24"/>
  <c r="M717" i="24"/>
  <c r="R717" i="24" s="1"/>
  <c r="S716" i="24"/>
  <c r="Q716" i="24"/>
  <c r="P716" i="24"/>
  <c r="O716" i="24"/>
  <c r="N716" i="24"/>
  <c r="M716" i="24"/>
  <c r="R716" i="24" s="1"/>
  <c r="S715" i="24"/>
  <c r="Q715" i="24"/>
  <c r="P715" i="24"/>
  <c r="O715" i="24"/>
  <c r="N715" i="24"/>
  <c r="M715" i="24"/>
  <c r="R715" i="24" s="1"/>
  <c r="S714" i="24"/>
  <c r="Q714" i="24"/>
  <c r="P714" i="24"/>
  <c r="O714" i="24"/>
  <c r="N714" i="24"/>
  <c r="M714" i="24"/>
  <c r="R714" i="24" s="1"/>
  <c r="S713" i="24"/>
  <c r="Q713" i="24"/>
  <c r="P713" i="24"/>
  <c r="O713" i="24"/>
  <c r="N713" i="24"/>
  <c r="M713" i="24"/>
  <c r="R713" i="24" s="1"/>
  <c r="S712" i="24"/>
  <c r="Q712" i="24"/>
  <c r="P712" i="24"/>
  <c r="O712" i="24"/>
  <c r="N712" i="24"/>
  <c r="M712" i="24"/>
  <c r="R712" i="24" s="1"/>
  <c r="S711" i="24"/>
  <c r="Q711" i="24"/>
  <c r="P711" i="24"/>
  <c r="O711" i="24"/>
  <c r="N711" i="24"/>
  <c r="M711" i="24"/>
  <c r="R711" i="24" s="1"/>
  <c r="S710" i="24"/>
  <c r="Q710" i="24"/>
  <c r="P710" i="24"/>
  <c r="O710" i="24"/>
  <c r="N710" i="24"/>
  <c r="M710" i="24"/>
  <c r="R710" i="24" s="1"/>
  <c r="S709" i="24"/>
  <c r="Q709" i="24"/>
  <c r="P709" i="24"/>
  <c r="O709" i="24"/>
  <c r="N709" i="24"/>
  <c r="M709" i="24"/>
  <c r="R709" i="24" s="1"/>
  <c r="S708" i="24"/>
  <c r="Q708" i="24"/>
  <c r="P708" i="24"/>
  <c r="O708" i="24"/>
  <c r="N708" i="24"/>
  <c r="M708" i="24"/>
  <c r="R708" i="24" s="1"/>
  <c r="S707" i="24"/>
  <c r="Q707" i="24"/>
  <c r="P707" i="24"/>
  <c r="O707" i="24"/>
  <c r="N707" i="24"/>
  <c r="M707" i="24"/>
  <c r="R707" i="24" s="1"/>
  <c r="S706" i="24"/>
  <c r="Q706" i="24"/>
  <c r="P706" i="24"/>
  <c r="O706" i="24"/>
  <c r="N706" i="24"/>
  <c r="M706" i="24"/>
  <c r="R706" i="24" s="1"/>
  <c r="S705" i="24"/>
  <c r="Q705" i="24"/>
  <c r="P705" i="24"/>
  <c r="O705" i="24"/>
  <c r="N705" i="24"/>
  <c r="M705" i="24"/>
  <c r="R705" i="24" s="1"/>
  <c r="S704" i="24"/>
  <c r="Q704" i="24"/>
  <c r="P704" i="24"/>
  <c r="O704" i="24"/>
  <c r="N704" i="24"/>
  <c r="M704" i="24"/>
  <c r="R704" i="24" s="1"/>
  <c r="S703" i="24"/>
  <c r="Q703" i="24"/>
  <c r="P703" i="24"/>
  <c r="O703" i="24"/>
  <c r="N703" i="24"/>
  <c r="M703" i="24"/>
  <c r="R703" i="24" s="1"/>
  <c r="S702" i="24"/>
  <c r="Q702" i="24"/>
  <c r="P702" i="24"/>
  <c r="O702" i="24"/>
  <c r="N702" i="24"/>
  <c r="M702" i="24"/>
  <c r="R702" i="24" s="1"/>
  <c r="S701" i="24"/>
  <c r="Q701" i="24"/>
  <c r="P701" i="24"/>
  <c r="O701" i="24"/>
  <c r="N701" i="24"/>
  <c r="M701" i="24"/>
  <c r="R701" i="24" s="1"/>
  <c r="S700" i="24"/>
  <c r="Q700" i="24"/>
  <c r="P700" i="24"/>
  <c r="O700" i="24"/>
  <c r="N700" i="24"/>
  <c r="M700" i="24"/>
  <c r="R700" i="24" s="1"/>
  <c r="S699" i="24"/>
  <c r="Q699" i="24"/>
  <c r="P699" i="24"/>
  <c r="O699" i="24"/>
  <c r="N699" i="24"/>
  <c r="M699" i="24"/>
  <c r="R699" i="24" s="1"/>
  <c r="S698" i="24"/>
  <c r="Q698" i="24"/>
  <c r="P698" i="24"/>
  <c r="O698" i="24"/>
  <c r="N698" i="24"/>
  <c r="M698" i="24"/>
  <c r="R698" i="24" s="1"/>
  <c r="S697" i="24"/>
  <c r="Q697" i="24"/>
  <c r="P697" i="24"/>
  <c r="O697" i="24"/>
  <c r="N697" i="24"/>
  <c r="M697" i="24"/>
  <c r="R697" i="24" s="1"/>
  <c r="S696" i="24"/>
  <c r="Q696" i="24"/>
  <c r="P696" i="24"/>
  <c r="O696" i="24"/>
  <c r="N696" i="24"/>
  <c r="M696" i="24"/>
  <c r="R696" i="24" s="1"/>
  <c r="S695" i="24"/>
  <c r="Q695" i="24"/>
  <c r="P695" i="24"/>
  <c r="O695" i="24"/>
  <c r="N695" i="24"/>
  <c r="M695" i="24"/>
  <c r="R695" i="24" s="1"/>
  <c r="S694" i="24"/>
  <c r="Q694" i="24"/>
  <c r="P694" i="24"/>
  <c r="O694" i="24"/>
  <c r="N694" i="24"/>
  <c r="M694" i="24"/>
  <c r="R694" i="24" s="1"/>
  <c r="S693" i="24"/>
  <c r="Q693" i="24"/>
  <c r="P693" i="24"/>
  <c r="O693" i="24"/>
  <c r="N693" i="24"/>
  <c r="M693" i="24"/>
  <c r="R693" i="24" s="1"/>
  <c r="S692" i="24"/>
  <c r="Q692" i="24"/>
  <c r="P692" i="24"/>
  <c r="O692" i="24"/>
  <c r="N692" i="24"/>
  <c r="M692" i="24"/>
  <c r="R692" i="24" s="1"/>
  <c r="S691" i="24"/>
  <c r="Q691" i="24"/>
  <c r="P691" i="24"/>
  <c r="O691" i="24"/>
  <c r="N691" i="24"/>
  <c r="M691" i="24"/>
  <c r="R691" i="24" s="1"/>
  <c r="S690" i="24"/>
  <c r="Q690" i="24"/>
  <c r="P690" i="24"/>
  <c r="O690" i="24"/>
  <c r="N690" i="24"/>
  <c r="M690" i="24"/>
  <c r="R690" i="24" s="1"/>
  <c r="S689" i="24"/>
  <c r="Q689" i="24"/>
  <c r="P689" i="24"/>
  <c r="O689" i="24"/>
  <c r="N689" i="24"/>
  <c r="M689" i="24"/>
  <c r="R689" i="24" s="1"/>
  <c r="S688" i="24"/>
  <c r="Q688" i="24"/>
  <c r="P688" i="24"/>
  <c r="O688" i="24"/>
  <c r="N688" i="24"/>
  <c r="M688" i="24"/>
  <c r="R688" i="24" s="1"/>
  <c r="S687" i="24"/>
  <c r="Q687" i="24"/>
  <c r="P687" i="24"/>
  <c r="O687" i="24"/>
  <c r="N687" i="24"/>
  <c r="M687" i="24"/>
  <c r="R687" i="24" s="1"/>
  <c r="S686" i="24"/>
  <c r="Q686" i="24"/>
  <c r="P686" i="24"/>
  <c r="O686" i="24"/>
  <c r="N686" i="24"/>
  <c r="M686" i="24"/>
  <c r="R686" i="24" s="1"/>
  <c r="S685" i="24"/>
  <c r="Q685" i="24"/>
  <c r="P685" i="24"/>
  <c r="O685" i="24"/>
  <c r="N685" i="24"/>
  <c r="M685" i="24"/>
  <c r="R685" i="24" s="1"/>
  <c r="S684" i="24"/>
  <c r="R684" i="24"/>
  <c r="Q684" i="24"/>
  <c r="P684" i="24"/>
  <c r="O684" i="24"/>
  <c r="N684" i="24"/>
  <c r="S683" i="24"/>
  <c r="R683" i="24"/>
  <c r="Q683" i="24"/>
  <c r="P683" i="24"/>
  <c r="O683" i="24"/>
  <c r="N683" i="24"/>
  <c r="S682" i="24"/>
  <c r="R682" i="24"/>
  <c r="Q682" i="24"/>
  <c r="P682" i="24"/>
  <c r="O682" i="24"/>
  <c r="N682" i="24"/>
  <c r="S681" i="24"/>
  <c r="R681" i="24"/>
  <c r="Q681" i="24"/>
  <c r="P681" i="24"/>
  <c r="O681" i="24"/>
  <c r="N681" i="24"/>
  <c r="S680" i="24"/>
  <c r="Q680" i="24"/>
  <c r="P680" i="24"/>
  <c r="O680" i="24"/>
  <c r="N680" i="24"/>
  <c r="M680" i="24"/>
  <c r="R680" i="24" s="1"/>
  <c r="S679" i="24"/>
  <c r="Q679" i="24"/>
  <c r="P679" i="24"/>
  <c r="O679" i="24"/>
  <c r="N679" i="24"/>
  <c r="M679" i="24"/>
  <c r="R679" i="24" s="1"/>
  <c r="S678" i="24"/>
  <c r="Q678" i="24"/>
  <c r="P678" i="24"/>
  <c r="O678" i="24"/>
  <c r="N678" i="24"/>
  <c r="M678" i="24"/>
  <c r="R678" i="24" s="1"/>
  <c r="S677" i="24"/>
  <c r="Q677" i="24"/>
  <c r="P677" i="24"/>
  <c r="O677" i="24"/>
  <c r="N677" i="24"/>
  <c r="M677" i="24"/>
  <c r="R677" i="24" s="1"/>
  <c r="S676" i="24"/>
  <c r="Q676" i="24"/>
  <c r="P676" i="24"/>
  <c r="O676" i="24"/>
  <c r="N676" i="24"/>
  <c r="M676" i="24"/>
  <c r="R676" i="24" s="1"/>
  <c r="S675" i="24"/>
  <c r="Q675" i="24"/>
  <c r="P675" i="24"/>
  <c r="O675" i="24"/>
  <c r="N675" i="24"/>
  <c r="M675" i="24"/>
  <c r="R675" i="24" s="1"/>
  <c r="S674" i="24"/>
  <c r="Q674" i="24"/>
  <c r="P674" i="24"/>
  <c r="O674" i="24"/>
  <c r="N674" i="24"/>
  <c r="M674" i="24"/>
  <c r="R674" i="24" s="1"/>
  <c r="S673" i="24"/>
  <c r="Q673" i="24"/>
  <c r="P673" i="24"/>
  <c r="O673" i="24"/>
  <c r="N673" i="24"/>
  <c r="M673" i="24"/>
  <c r="R673" i="24" s="1"/>
  <c r="S672" i="24"/>
  <c r="Q672" i="24"/>
  <c r="P672" i="24"/>
  <c r="O672" i="24"/>
  <c r="N672" i="24"/>
  <c r="M672" i="24"/>
  <c r="R672" i="24" s="1"/>
  <c r="S671" i="24"/>
  <c r="Q671" i="24"/>
  <c r="P671" i="24"/>
  <c r="O671" i="24"/>
  <c r="N671" i="24"/>
  <c r="M671" i="24"/>
  <c r="R671" i="24" s="1"/>
  <c r="S670" i="24"/>
  <c r="Q670" i="24"/>
  <c r="P670" i="24"/>
  <c r="O670" i="24"/>
  <c r="N670" i="24"/>
  <c r="M670" i="24"/>
  <c r="R670" i="24" s="1"/>
  <c r="S669" i="24"/>
  <c r="Q669" i="24"/>
  <c r="P669" i="24"/>
  <c r="O669" i="24"/>
  <c r="N669" i="24"/>
  <c r="M669" i="24"/>
  <c r="R669" i="24" s="1"/>
  <c r="S668" i="24"/>
  <c r="Q668" i="24"/>
  <c r="P668" i="24"/>
  <c r="O668" i="24"/>
  <c r="N668" i="24"/>
  <c r="M668" i="24"/>
  <c r="R668" i="24" s="1"/>
  <c r="S667" i="24"/>
  <c r="Q667" i="24"/>
  <c r="P667" i="24"/>
  <c r="O667" i="24"/>
  <c r="N667" i="24"/>
  <c r="M667" i="24"/>
  <c r="R667" i="24" s="1"/>
  <c r="S666" i="24"/>
  <c r="Q666" i="24"/>
  <c r="P666" i="24"/>
  <c r="O666" i="24"/>
  <c r="N666" i="24"/>
  <c r="M666" i="24"/>
  <c r="R666" i="24" s="1"/>
  <c r="S665" i="24"/>
  <c r="Q665" i="24"/>
  <c r="P665" i="24"/>
  <c r="O665" i="24"/>
  <c r="N665" i="24"/>
  <c r="M665" i="24"/>
  <c r="R665" i="24" s="1"/>
  <c r="S664" i="24"/>
  <c r="Q664" i="24"/>
  <c r="P664" i="24"/>
  <c r="O664" i="24"/>
  <c r="N664" i="24"/>
  <c r="M664" i="24"/>
  <c r="R664" i="24" s="1"/>
  <c r="S663" i="24"/>
  <c r="Q663" i="24"/>
  <c r="P663" i="24"/>
  <c r="O663" i="24"/>
  <c r="N663" i="24"/>
  <c r="M663" i="24"/>
  <c r="R663" i="24" s="1"/>
  <c r="S662" i="24"/>
  <c r="Q662" i="24"/>
  <c r="P662" i="24"/>
  <c r="O662" i="24"/>
  <c r="N662" i="24"/>
  <c r="M662" i="24"/>
  <c r="R662" i="24" s="1"/>
  <c r="S661" i="24"/>
  <c r="Q661" i="24"/>
  <c r="P661" i="24"/>
  <c r="O661" i="24"/>
  <c r="N661" i="24"/>
  <c r="M661" i="24"/>
  <c r="R661" i="24" s="1"/>
  <c r="S660" i="24"/>
  <c r="Q660" i="24"/>
  <c r="P660" i="24"/>
  <c r="O660" i="24"/>
  <c r="N660" i="24"/>
  <c r="M660" i="24"/>
  <c r="R660" i="24" s="1"/>
  <c r="S659" i="24"/>
  <c r="Q659" i="24"/>
  <c r="P659" i="24"/>
  <c r="O659" i="24"/>
  <c r="N659" i="24"/>
  <c r="M659" i="24"/>
  <c r="R659" i="24" s="1"/>
  <c r="S658" i="24"/>
  <c r="Q658" i="24"/>
  <c r="P658" i="24"/>
  <c r="O658" i="24"/>
  <c r="N658" i="24"/>
  <c r="M658" i="24"/>
  <c r="R658" i="24" s="1"/>
  <c r="S657" i="24"/>
  <c r="Q657" i="24"/>
  <c r="P657" i="24"/>
  <c r="O657" i="24"/>
  <c r="N657" i="24"/>
  <c r="M657" i="24"/>
  <c r="R657" i="24" s="1"/>
  <c r="S656" i="24"/>
  <c r="Q656" i="24"/>
  <c r="P656" i="24"/>
  <c r="O656" i="24"/>
  <c r="N656" i="24"/>
  <c r="M656" i="24"/>
  <c r="R656" i="24" s="1"/>
  <c r="S655" i="24"/>
  <c r="Q655" i="24"/>
  <c r="P655" i="24"/>
  <c r="O655" i="24"/>
  <c r="N655" i="24"/>
  <c r="M655" i="24"/>
  <c r="R655" i="24" s="1"/>
  <c r="S654" i="24"/>
  <c r="Q654" i="24"/>
  <c r="P654" i="24"/>
  <c r="O654" i="24"/>
  <c r="N654" i="24"/>
  <c r="M654" i="24"/>
  <c r="R654" i="24" s="1"/>
  <c r="S653" i="24"/>
  <c r="Q653" i="24"/>
  <c r="P653" i="24"/>
  <c r="O653" i="24"/>
  <c r="N653" i="24"/>
  <c r="M653" i="24"/>
  <c r="R653" i="24" s="1"/>
  <c r="S652" i="24"/>
  <c r="Q652" i="24"/>
  <c r="P652" i="24"/>
  <c r="O652" i="24"/>
  <c r="N652" i="24"/>
  <c r="M652" i="24"/>
  <c r="R652" i="24" s="1"/>
  <c r="S651" i="24"/>
  <c r="Q651" i="24"/>
  <c r="P651" i="24"/>
  <c r="O651" i="24"/>
  <c r="N651" i="24"/>
  <c r="M651" i="24"/>
  <c r="R651" i="24" s="1"/>
  <c r="S650" i="24"/>
  <c r="Q650" i="24"/>
  <c r="P650" i="24"/>
  <c r="O650" i="24"/>
  <c r="N650" i="24"/>
  <c r="M650" i="24"/>
  <c r="R650" i="24" s="1"/>
  <c r="S649" i="24"/>
  <c r="Q649" i="24"/>
  <c r="P649" i="24"/>
  <c r="O649" i="24"/>
  <c r="N649" i="24"/>
  <c r="M649" i="24"/>
  <c r="R649" i="24" s="1"/>
  <c r="S648" i="24"/>
  <c r="Q648" i="24"/>
  <c r="P648" i="24"/>
  <c r="O648" i="24"/>
  <c r="N648" i="24"/>
  <c r="M648" i="24"/>
  <c r="R648" i="24" s="1"/>
  <c r="S647" i="24"/>
  <c r="Q647" i="24"/>
  <c r="P647" i="24"/>
  <c r="O647" i="24"/>
  <c r="N647" i="24"/>
  <c r="M647" i="24"/>
  <c r="R647" i="24" s="1"/>
  <c r="S646" i="24"/>
  <c r="Q646" i="24"/>
  <c r="P646" i="24"/>
  <c r="O646" i="24"/>
  <c r="N646" i="24"/>
  <c r="M646" i="24"/>
  <c r="R646" i="24" s="1"/>
  <c r="S645" i="24"/>
  <c r="Q645" i="24"/>
  <c r="P645" i="24"/>
  <c r="O645" i="24"/>
  <c r="N645" i="24"/>
  <c r="M645" i="24"/>
  <c r="R645" i="24" s="1"/>
  <c r="S644" i="24"/>
  <c r="Q644" i="24"/>
  <c r="P644" i="24"/>
  <c r="O644" i="24"/>
  <c r="N644" i="24"/>
  <c r="M644" i="24"/>
  <c r="R644" i="24" s="1"/>
  <c r="S643" i="24"/>
  <c r="Q643" i="24"/>
  <c r="P643" i="24"/>
  <c r="O643" i="24"/>
  <c r="N643" i="24"/>
  <c r="M643" i="24"/>
  <c r="R643" i="24" s="1"/>
  <c r="S642" i="24"/>
  <c r="Q642" i="24"/>
  <c r="P642" i="24"/>
  <c r="O642" i="24"/>
  <c r="N642" i="24"/>
  <c r="M642" i="24"/>
  <c r="R642" i="24" s="1"/>
  <c r="S641" i="24"/>
  <c r="Q641" i="24"/>
  <c r="P641" i="24"/>
  <c r="O641" i="24"/>
  <c r="N641" i="24"/>
  <c r="M641" i="24"/>
  <c r="R641" i="24" s="1"/>
  <c r="S640" i="24"/>
  <c r="Q640" i="24"/>
  <c r="P640" i="24"/>
  <c r="O640" i="24"/>
  <c r="N640" i="24"/>
  <c r="M640" i="24"/>
  <c r="R640" i="24" s="1"/>
  <c r="S639" i="24"/>
  <c r="R639" i="24"/>
  <c r="Q639" i="24"/>
  <c r="P639" i="24"/>
  <c r="O639" i="24"/>
  <c r="N639" i="24"/>
  <c r="S638" i="24"/>
  <c r="Q638" i="24"/>
  <c r="P638" i="24"/>
  <c r="O638" i="24"/>
  <c r="N638" i="24"/>
  <c r="M638" i="24"/>
  <c r="R638" i="24" s="1"/>
  <c r="S637" i="24"/>
  <c r="Q637" i="24"/>
  <c r="P637" i="24"/>
  <c r="O637" i="24"/>
  <c r="N637" i="24"/>
  <c r="M637" i="24"/>
  <c r="R637" i="24" s="1"/>
  <c r="S636" i="24"/>
  <c r="Q636" i="24"/>
  <c r="P636" i="24"/>
  <c r="O636" i="24"/>
  <c r="N636" i="24"/>
  <c r="M636" i="24"/>
  <c r="R636" i="24" s="1"/>
  <c r="S635" i="24"/>
  <c r="Q635" i="24"/>
  <c r="P635" i="24"/>
  <c r="O635" i="24"/>
  <c r="N635" i="24"/>
  <c r="M635" i="24"/>
  <c r="R635" i="24" s="1"/>
  <c r="S634" i="24"/>
  <c r="Q634" i="24"/>
  <c r="P634" i="24"/>
  <c r="O634" i="24"/>
  <c r="N634" i="24"/>
  <c r="M634" i="24"/>
  <c r="R634" i="24" s="1"/>
  <c r="S633" i="24"/>
  <c r="Q633" i="24"/>
  <c r="P633" i="24"/>
  <c r="O633" i="24"/>
  <c r="N633" i="24"/>
  <c r="M633" i="24"/>
  <c r="R633" i="24" s="1"/>
  <c r="S632" i="24"/>
  <c r="Q632" i="24"/>
  <c r="P632" i="24"/>
  <c r="O632" i="24"/>
  <c r="N632" i="24"/>
  <c r="M632" i="24"/>
  <c r="R632" i="24" s="1"/>
  <c r="S631" i="24"/>
  <c r="R631" i="24"/>
  <c r="Q631" i="24"/>
  <c r="P631" i="24"/>
  <c r="O631" i="24"/>
  <c r="N631" i="24"/>
  <c r="S630" i="24"/>
  <c r="Q630" i="24"/>
  <c r="P630" i="24"/>
  <c r="O630" i="24"/>
  <c r="N630" i="24"/>
  <c r="M630" i="24"/>
  <c r="R630" i="24" s="1"/>
  <c r="S629" i="24"/>
  <c r="Q629" i="24"/>
  <c r="P629" i="24"/>
  <c r="O629" i="24"/>
  <c r="N629" i="24"/>
  <c r="M629" i="24"/>
  <c r="R629" i="24" s="1"/>
  <c r="S628" i="24"/>
  <c r="Q628" i="24"/>
  <c r="P628" i="24"/>
  <c r="O628" i="24"/>
  <c r="N628" i="24"/>
  <c r="M628" i="24"/>
  <c r="R628" i="24" s="1"/>
  <c r="S627" i="24"/>
  <c r="R627" i="24"/>
  <c r="Q627" i="24"/>
  <c r="P627" i="24"/>
  <c r="O627" i="24"/>
  <c r="N627" i="24"/>
  <c r="S626" i="24"/>
  <c r="Q626" i="24"/>
  <c r="P626" i="24"/>
  <c r="O626" i="24"/>
  <c r="N626" i="24"/>
  <c r="M626" i="24"/>
  <c r="R626" i="24" s="1"/>
  <c r="S625" i="24"/>
  <c r="Q625" i="24"/>
  <c r="P625" i="24"/>
  <c r="O625" i="24"/>
  <c r="N625" i="24"/>
  <c r="M625" i="24"/>
  <c r="R625" i="24" s="1"/>
  <c r="S624" i="24"/>
  <c r="Q624" i="24"/>
  <c r="P624" i="24"/>
  <c r="O624" i="24"/>
  <c r="N624" i="24"/>
  <c r="M624" i="24"/>
  <c r="R624" i="24" s="1"/>
  <c r="S623" i="24"/>
  <c r="Q623" i="24"/>
  <c r="P623" i="24"/>
  <c r="O623" i="24"/>
  <c r="N623" i="24"/>
  <c r="M623" i="24"/>
  <c r="R623" i="24" s="1"/>
  <c r="S622" i="24"/>
  <c r="R622" i="24"/>
  <c r="Q622" i="24"/>
  <c r="P622" i="24"/>
  <c r="O622" i="24"/>
  <c r="N622" i="24"/>
  <c r="S621" i="24"/>
  <c r="Q621" i="24"/>
  <c r="P621" i="24"/>
  <c r="O621" i="24"/>
  <c r="N621" i="24"/>
  <c r="M621" i="24"/>
  <c r="R621" i="24" s="1"/>
  <c r="S620" i="24"/>
  <c r="Q620" i="24"/>
  <c r="P620" i="24"/>
  <c r="O620" i="24"/>
  <c r="N620" i="24"/>
  <c r="M620" i="24"/>
  <c r="R620" i="24" s="1"/>
  <c r="S619" i="24"/>
  <c r="Q619" i="24"/>
  <c r="P619" i="24"/>
  <c r="O619" i="24"/>
  <c r="N619" i="24"/>
  <c r="M619" i="24"/>
  <c r="R619" i="24" s="1"/>
  <c r="S618" i="24"/>
  <c r="Q618" i="24"/>
  <c r="P618" i="24"/>
  <c r="O618" i="24"/>
  <c r="N618" i="24"/>
  <c r="M618" i="24"/>
  <c r="R618" i="24" s="1"/>
  <c r="S617" i="24"/>
  <c r="Q617" i="24"/>
  <c r="P617" i="24"/>
  <c r="O617" i="24"/>
  <c r="N617" i="24"/>
  <c r="M617" i="24"/>
  <c r="R617" i="24" s="1"/>
  <c r="S616" i="24"/>
  <c r="Q616" i="24"/>
  <c r="P616" i="24"/>
  <c r="O616" i="24"/>
  <c r="N616" i="24"/>
  <c r="M616" i="24"/>
  <c r="R616" i="24" s="1"/>
  <c r="S615" i="24"/>
  <c r="Q615" i="24"/>
  <c r="P615" i="24"/>
  <c r="O615" i="24"/>
  <c r="N615" i="24"/>
  <c r="M615" i="24"/>
  <c r="R615" i="24" s="1"/>
  <c r="S614" i="24"/>
  <c r="R614" i="24"/>
  <c r="Q614" i="24"/>
  <c r="P614" i="24"/>
  <c r="O614" i="24"/>
  <c r="N614" i="24"/>
  <c r="S613" i="24"/>
  <c r="Q613" i="24"/>
  <c r="P613" i="24"/>
  <c r="O613" i="24"/>
  <c r="N613" i="24"/>
  <c r="M613" i="24"/>
  <c r="R613" i="24" s="1"/>
  <c r="S612" i="24"/>
  <c r="Q612" i="24"/>
  <c r="P612" i="24"/>
  <c r="O612" i="24"/>
  <c r="N612" i="24"/>
  <c r="M612" i="24"/>
  <c r="R612" i="24" s="1"/>
  <c r="S611" i="24"/>
  <c r="Q611" i="24"/>
  <c r="P611" i="24"/>
  <c r="O611" i="24"/>
  <c r="N611" i="24"/>
  <c r="M611" i="24"/>
  <c r="R611" i="24" s="1"/>
  <c r="S610" i="24"/>
  <c r="Q610" i="24"/>
  <c r="P610" i="24"/>
  <c r="O610" i="24"/>
  <c r="N610" i="24"/>
  <c r="M610" i="24"/>
  <c r="R610" i="24" s="1"/>
  <c r="S609" i="24"/>
  <c r="Q609" i="24"/>
  <c r="P609" i="24"/>
  <c r="O609" i="24"/>
  <c r="N609" i="24"/>
  <c r="M609" i="24"/>
  <c r="R609" i="24" s="1"/>
  <c r="S608" i="24"/>
  <c r="Q608" i="24"/>
  <c r="P608" i="24"/>
  <c r="O608" i="24"/>
  <c r="N608" i="24"/>
  <c r="M608" i="24"/>
  <c r="R608" i="24" s="1"/>
  <c r="S607" i="24"/>
  <c r="Q607" i="24"/>
  <c r="P607" i="24"/>
  <c r="O607" i="24"/>
  <c r="N607" i="24"/>
  <c r="M607" i="24"/>
  <c r="R607" i="24" s="1"/>
  <c r="S606" i="24"/>
  <c r="Q606" i="24"/>
  <c r="P606" i="24"/>
  <c r="O606" i="24"/>
  <c r="N606" i="24"/>
  <c r="M606" i="24"/>
  <c r="R606" i="24" s="1"/>
  <c r="S605" i="24"/>
  <c r="Q605" i="24"/>
  <c r="P605" i="24"/>
  <c r="O605" i="24"/>
  <c r="N605" i="24"/>
  <c r="M605" i="24"/>
  <c r="R605" i="24" s="1"/>
  <c r="S604" i="24"/>
  <c r="R604" i="24"/>
  <c r="Q604" i="24"/>
  <c r="P604" i="24"/>
  <c r="O604" i="24"/>
  <c r="N604" i="24"/>
  <c r="S603" i="24"/>
  <c r="R603" i="24"/>
  <c r="Q603" i="24"/>
  <c r="P603" i="24"/>
  <c r="O603" i="24"/>
  <c r="N603" i="24"/>
  <c r="S602" i="24"/>
  <c r="Q602" i="24"/>
  <c r="P602" i="24"/>
  <c r="O602" i="24"/>
  <c r="N602" i="24"/>
  <c r="M602" i="24"/>
  <c r="R602" i="24" s="1"/>
  <c r="S601" i="24"/>
  <c r="Q601" i="24"/>
  <c r="P601" i="24"/>
  <c r="O601" i="24"/>
  <c r="N601" i="24"/>
  <c r="M601" i="24"/>
  <c r="R601" i="24" s="1"/>
  <c r="S600" i="24"/>
  <c r="Q600" i="24"/>
  <c r="P600" i="24"/>
  <c r="O600" i="24"/>
  <c r="N600" i="24"/>
  <c r="M600" i="24"/>
  <c r="R600" i="24" s="1"/>
  <c r="S599" i="24"/>
  <c r="Q599" i="24"/>
  <c r="P599" i="24"/>
  <c r="O599" i="24"/>
  <c r="N599" i="24"/>
  <c r="M599" i="24"/>
  <c r="R599" i="24" s="1"/>
  <c r="S598" i="24"/>
  <c r="Q598" i="24"/>
  <c r="P598" i="24"/>
  <c r="O598" i="24"/>
  <c r="N598" i="24"/>
  <c r="M598" i="24"/>
  <c r="R598" i="24" s="1"/>
  <c r="S597" i="24"/>
  <c r="Q597" i="24"/>
  <c r="P597" i="24"/>
  <c r="O597" i="24"/>
  <c r="N597" i="24"/>
  <c r="M597" i="24"/>
  <c r="R597" i="24" s="1"/>
  <c r="S596" i="24"/>
  <c r="Q596" i="24"/>
  <c r="P596" i="24"/>
  <c r="O596" i="24"/>
  <c r="N596" i="24"/>
  <c r="M596" i="24"/>
  <c r="R596" i="24" s="1"/>
  <c r="S595" i="24"/>
  <c r="Q595" i="24"/>
  <c r="P595" i="24"/>
  <c r="O595" i="24"/>
  <c r="N595" i="24"/>
  <c r="M595" i="24"/>
  <c r="R595" i="24" s="1"/>
  <c r="S594" i="24"/>
  <c r="Q594" i="24"/>
  <c r="P594" i="24"/>
  <c r="O594" i="24"/>
  <c r="N594" i="24"/>
  <c r="M594" i="24"/>
  <c r="R594" i="24" s="1"/>
  <c r="S593" i="24"/>
  <c r="Q593" i="24"/>
  <c r="P593" i="24"/>
  <c r="O593" i="24"/>
  <c r="N593" i="24"/>
  <c r="M593" i="24"/>
  <c r="R593" i="24" s="1"/>
  <c r="S592" i="24"/>
  <c r="Q592" i="24"/>
  <c r="P592" i="24"/>
  <c r="O592" i="24"/>
  <c r="N592" i="24"/>
  <c r="M592" i="24"/>
  <c r="R592" i="24" s="1"/>
  <c r="S591" i="24"/>
  <c r="Q591" i="24"/>
  <c r="P591" i="24"/>
  <c r="O591" i="24"/>
  <c r="N591" i="24"/>
  <c r="M591" i="24"/>
  <c r="R591" i="24" s="1"/>
  <c r="S590" i="24"/>
  <c r="Q590" i="24"/>
  <c r="P590" i="24"/>
  <c r="O590" i="24"/>
  <c r="N590" i="24"/>
  <c r="M590" i="24"/>
  <c r="R590" i="24" s="1"/>
  <c r="S589" i="24"/>
  <c r="Q589" i="24"/>
  <c r="P589" i="24"/>
  <c r="O589" i="24"/>
  <c r="N589" i="24"/>
  <c r="M589" i="24"/>
  <c r="R589" i="24" s="1"/>
  <c r="S588" i="24"/>
  <c r="Q588" i="24"/>
  <c r="P588" i="24"/>
  <c r="O588" i="24"/>
  <c r="N588" i="24"/>
  <c r="M588" i="24"/>
  <c r="R588" i="24" s="1"/>
  <c r="S587" i="24"/>
  <c r="R587" i="24"/>
  <c r="Q587" i="24"/>
  <c r="P587" i="24"/>
  <c r="O587" i="24"/>
  <c r="N587" i="24"/>
  <c r="S586" i="24"/>
  <c r="Q586" i="24"/>
  <c r="P586" i="24"/>
  <c r="O586" i="24"/>
  <c r="N586" i="24"/>
  <c r="M586" i="24"/>
  <c r="R586" i="24" s="1"/>
  <c r="S585" i="24"/>
  <c r="Q585" i="24"/>
  <c r="P585" i="24"/>
  <c r="O585" i="24"/>
  <c r="N585" i="24"/>
  <c r="M585" i="24"/>
  <c r="R585" i="24" s="1"/>
  <c r="S584" i="24"/>
  <c r="Q584" i="24"/>
  <c r="P584" i="24"/>
  <c r="O584" i="24"/>
  <c r="N584" i="24"/>
  <c r="M584" i="24"/>
  <c r="R584" i="24" s="1"/>
  <c r="S583" i="24"/>
  <c r="R583" i="24"/>
  <c r="Q583" i="24"/>
  <c r="P583" i="24"/>
  <c r="O583" i="24"/>
  <c r="N583" i="24"/>
  <c r="S582" i="24"/>
  <c r="Q582" i="24"/>
  <c r="P582" i="24"/>
  <c r="O582" i="24"/>
  <c r="N582" i="24"/>
  <c r="M582" i="24"/>
  <c r="R582" i="24" s="1"/>
  <c r="S581" i="24"/>
  <c r="Q581" i="24"/>
  <c r="P581" i="24"/>
  <c r="O581" i="24"/>
  <c r="N581" i="24"/>
  <c r="M581" i="24"/>
  <c r="R581" i="24" s="1"/>
  <c r="S580" i="24"/>
  <c r="Q580" i="24"/>
  <c r="P580" i="24"/>
  <c r="O580" i="24"/>
  <c r="N580" i="24"/>
  <c r="M580" i="24"/>
  <c r="R580" i="24" s="1"/>
  <c r="S579" i="24"/>
  <c r="Q579" i="24"/>
  <c r="P579" i="24"/>
  <c r="O579" i="24"/>
  <c r="N579" i="24"/>
  <c r="M579" i="24"/>
  <c r="R579" i="24" s="1"/>
  <c r="S578" i="24"/>
  <c r="Q578" i="24"/>
  <c r="P578" i="24"/>
  <c r="O578" i="24"/>
  <c r="N578" i="24"/>
  <c r="M578" i="24"/>
  <c r="R578" i="24" s="1"/>
  <c r="S577" i="24"/>
  <c r="Q577" i="24"/>
  <c r="P577" i="24"/>
  <c r="O577" i="24"/>
  <c r="N577" i="24"/>
  <c r="M577" i="24"/>
  <c r="R577" i="24" s="1"/>
  <c r="S576" i="24"/>
  <c r="Q576" i="24"/>
  <c r="P576" i="24"/>
  <c r="O576" i="24"/>
  <c r="N576" i="24"/>
  <c r="M576" i="24"/>
  <c r="R576" i="24" s="1"/>
  <c r="S575" i="24"/>
  <c r="Q575" i="24"/>
  <c r="P575" i="24"/>
  <c r="O575" i="24"/>
  <c r="N575" i="24"/>
  <c r="M575" i="24"/>
  <c r="R575" i="24" s="1"/>
  <c r="S574" i="24"/>
  <c r="Q574" i="24"/>
  <c r="P574" i="24"/>
  <c r="O574" i="24"/>
  <c r="N574" i="24"/>
  <c r="M574" i="24"/>
  <c r="R574" i="24" s="1"/>
  <c r="S573" i="24"/>
  <c r="Q573" i="24"/>
  <c r="P573" i="24"/>
  <c r="O573" i="24"/>
  <c r="N573" i="24"/>
  <c r="M573" i="24"/>
  <c r="R573" i="24" s="1"/>
  <c r="S572" i="24"/>
  <c r="Q572" i="24"/>
  <c r="P572" i="24"/>
  <c r="O572" i="24"/>
  <c r="N572" i="24"/>
  <c r="M572" i="24"/>
  <c r="R572" i="24" s="1"/>
  <c r="S571" i="24"/>
  <c r="Q571" i="24"/>
  <c r="P571" i="24"/>
  <c r="O571" i="24"/>
  <c r="N571" i="24"/>
  <c r="M571" i="24"/>
  <c r="R571" i="24" s="1"/>
  <c r="S570" i="24"/>
  <c r="Q570" i="24"/>
  <c r="P570" i="24"/>
  <c r="O570" i="24"/>
  <c r="N570" i="24"/>
  <c r="M570" i="24"/>
  <c r="R570" i="24" s="1"/>
  <c r="S569" i="24"/>
  <c r="Q569" i="24"/>
  <c r="P569" i="24"/>
  <c r="O569" i="24"/>
  <c r="N569" i="24"/>
  <c r="M569" i="24"/>
  <c r="R569" i="24" s="1"/>
  <c r="S568" i="24"/>
  <c r="Q568" i="24"/>
  <c r="P568" i="24"/>
  <c r="O568" i="24"/>
  <c r="N568" i="24"/>
  <c r="M568" i="24"/>
  <c r="R568" i="24" s="1"/>
  <c r="S567" i="24"/>
  <c r="Q567" i="24"/>
  <c r="P567" i="24"/>
  <c r="O567" i="24"/>
  <c r="N567" i="24"/>
  <c r="M567" i="24"/>
  <c r="R567" i="24" s="1"/>
  <c r="S566" i="24"/>
  <c r="Q566" i="24"/>
  <c r="P566" i="24"/>
  <c r="O566" i="24"/>
  <c r="N566" i="24"/>
  <c r="M566" i="24"/>
  <c r="R566" i="24" s="1"/>
  <c r="S565" i="24"/>
  <c r="Q565" i="24"/>
  <c r="P565" i="24"/>
  <c r="O565" i="24"/>
  <c r="N565" i="24"/>
  <c r="M565" i="24"/>
  <c r="R565" i="24" s="1"/>
  <c r="S564" i="24"/>
  <c r="Q564" i="24"/>
  <c r="P564" i="24"/>
  <c r="O564" i="24"/>
  <c r="N564" i="24"/>
  <c r="M564" i="24"/>
  <c r="R564" i="24" s="1"/>
  <c r="S563" i="24"/>
  <c r="Q563" i="24"/>
  <c r="P563" i="24"/>
  <c r="O563" i="24"/>
  <c r="N563" i="24"/>
  <c r="M563" i="24"/>
  <c r="R563" i="24" s="1"/>
  <c r="S562" i="24"/>
  <c r="R562" i="24"/>
  <c r="Q562" i="24"/>
  <c r="P562" i="24"/>
  <c r="O562" i="24"/>
  <c r="N562" i="24"/>
  <c r="S561" i="24"/>
  <c r="Q561" i="24"/>
  <c r="P561" i="24"/>
  <c r="O561" i="24"/>
  <c r="N561" i="24"/>
  <c r="M561" i="24"/>
  <c r="R561" i="24" s="1"/>
  <c r="S560" i="24"/>
  <c r="Q560" i="24"/>
  <c r="P560" i="24"/>
  <c r="O560" i="24"/>
  <c r="N560" i="24"/>
  <c r="M560" i="24"/>
  <c r="R560" i="24" s="1"/>
  <c r="S559" i="24"/>
  <c r="Q559" i="24"/>
  <c r="P559" i="24"/>
  <c r="O559" i="24"/>
  <c r="N559" i="24"/>
  <c r="M559" i="24"/>
  <c r="R559" i="24" s="1"/>
  <c r="S558" i="24"/>
  <c r="Q558" i="24"/>
  <c r="P558" i="24"/>
  <c r="O558" i="24"/>
  <c r="N558" i="24"/>
  <c r="M558" i="24"/>
  <c r="R558" i="24" s="1"/>
  <c r="S557" i="24"/>
  <c r="Q557" i="24"/>
  <c r="P557" i="24"/>
  <c r="O557" i="24"/>
  <c r="N557" i="24"/>
  <c r="M557" i="24"/>
  <c r="R557" i="24" s="1"/>
  <c r="S556" i="24"/>
  <c r="Q556" i="24"/>
  <c r="P556" i="24"/>
  <c r="O556" i="24"/>
  <c r="N556" i="24"/>
  <c r="M556" i="24"/>
  <c r="R556" i="24" s="1"/>
  <c r="S555" i="24"/>
  <c r="Q555" i="24"/>
  <c r="P555" i="24"/>
  <c r="O555" i="24"/>
  <c r="N555" i="24"/>
  <c r="M555" i="24"/>
  <c r="R555" i="24" s="1"/>
  <c r="S554" i="24"/>
  <c r="Q554" i="24"/>
  <c r="P554" i="24"/>
  <c r="O554" i="24"/>
  <c r="N554" i="24"/>
  <c r="M554" i="24"/>
  <c r="R554" i="24" s="1"/>
  <c r="S553" i="24"/>
  <c r="Q553" i="24"/>
  <c r="P553" i="24"/>
  <c r="O553" i="24"/>
  <c r="N553" i="24"/>
  <c r="M553" i="24"/>
  <c r="R553" i="24" s="1"/>
  <c r="S552" i="24"/>
  <c r="Q552" i="24"/>
  <c r="P552" i="24"/>
  <c r="O552" i="24"/>
  <c r="N552" i="24"/>
  <c r="M552" i="24"/>
  <c r="R552" i="24" s="1"/>
  <c r="S551" i="24"/>
  <c r="Q551" i="24"/>
  <c r="P551" i="24"/>
  <c r="O551" i="24"/>
  <c r="N551" i="24"/>
  <c r="M551" i="24"/>
  <c r="R551" i="24" s="1"/>
  <c r="S550" i="24"/>
  <c r="Q550" i="24"/>
  <c r="P550" i="24"/>
  <c r="O550" i="24"/>
  <c r="N550" i="24"/>
  <c r="M550" i="24"/>
  <c r="R550" i="24" s="1"/>
  <c r="S549" i="24"/>
  <c r="Q549" i="24"/>
  <c r="P549" i="24"/>
  <c r="O549" i="24"/>
  <c r="N549" i="24"/>
  <c r="M549" i="24"/>
  <c r="R549" i="24" s="1"/>
  <c r="S548" i="24"/>
  <c r="Q548" i="24"/>
  <c r="P548" i="24"/>
  <c r="O548" i="24"/>
  <c r="N548" i="24"/>
  <c r="M548" i="24"/>
  <c r="R548" i="24" s="1"/>
  <c r="S547" i="24"/>
  <c r="Q547" i="24"/>
  <c r="P547" i="24"/>
  <c r="O547" i="24"/>
  <c r="N547" i="24"/>
  <c r="M547" i="24"/>
  <c r="R547" i="24" s="1"/>
  <c r="S546" i="24"/>
  <c r="Q546" i="24"/>
  <c r="P546" i="24"/>
  <c r="O546" i="24"/>
  <c r="N546" i="24"/>
  <c r="M546" i="24"/>
  <c r="R546" i="24" s="1"/>
  <c r="S545" i="24"/>
  <c r="Q545" i="24"/>
  <c r="P545" i="24"/>
  <c r="O545" i="24"/>
  <c r="N545" i="24"/>
  <c r="M545" i="24"/>
  <c r="R545" i="24" s="1"/>
  <c r="S544" i="24"/>
  <c r="Q544" i="24"/>
  <c r="P544" i="24"/>
  <c r="O544" i="24"/>
  <c r="N544" i="24"/>
  <c r="M544" i="24"/>
  <c r="R544" i="24" s="1"/>
  <c r="S543" i="24"/>
  <c r="Q543" i="24"/>
  <c r="P543" i="24"/>
  <c r="O543" i="24"/>
  <c r="N543" i="24"/>
  <c r="M543" i="24"/>
  <c r="R543" i="24" s="1"/>
  <c r="S542" i="24"/>
  <c r="Q542" i="24"/>
  <c r="P542" i="24"/>
  <c r="O542" i="24"/>
  <c r="N542" i="24"/>
  <c r="M542" i="24"/>
  <c r="R542" i="24" s="1"/>
  <c r="S541" i="24"/>
  <c r="Q541" i="24"/>
  <c r="P541" i="24"/>
  <c r="O541" i="24"/>
  <c r="N541" i="24"/>
  <c r="M541" i="24"/>
  <c r="R541" i="24" s="1"/>
  <c r="S540" i="24"/>
  <c r="Q540" i="24"/>
  <c r="P540" i="24"/>
  <c r="O540" i="24"/>
  <c r="N540" i="24"/>
  <c r="M540" i="24"/>
  <c r="R540" i="24" s="1"/>
  <c r="S539" i="24"/>
  <c r="Q539" i="24"/>
  <c r="P539" i="24"/>
  <c r="O539" i="24"/>
  <c r="N539" i="24"/>
  <c r="M539" i="24"/>
  <c r="R539" i="24" s="1"/>
  <c r="S538" i="24"/>
  <c r="Q538" i="24"/>
  <c r="P538" i="24"/>
  <c r="O538" i="24"/>
  <c r="N538" i="24"/>
  <c r="M538" i="24"/>
  <c r="R538" i="24" s="1"/>
  <c r="S537" i="24"/>
  <c r="Q537" i="24"/>
  <c r="P537" i="24"/>
  <c r="O537" i="24"/>
  <c r="N537" i="24"/>
  <c r="M537" i="24"/>
  <c r="R537" i="24" s="1"/>
  <c r="S536" i="24"/>
  <c r="Q536" i="24"/>
  <c r="P536" i="24"/>
  <c r="O536" i="24"/>
  <c r="N536" i="24"/>
  <c r="M536" i="24"/>
  <c r="R536" i="24" s="1"/>
  <c r="S535" i="24"/>
  <c r="Q535" i="24"/>
  <c r="P535" i="24"/>
  <c r="O535" i="24"/>
  <c r="N535" i="24"/>
  <c r="M535" i="24"/>
  <c r="R535" i="24" s="1"/>
  <c r="S534" i="24"/>
  <c r="Q534" i="24"/>
  <c r="P534" i="24"/>
  <c r="O534" i="24"/>
  <c r="N534" i="24"/>
  <c r="M534" i="24"/>
  <c r="R534" i="24" s="1"/>
  <c r="S533" i="24"/>
  <c r="Q533" i="24"/>
  <c r="P533" i="24"/>
  <c r="O533" i="24"/>
  <c r="N533" i="24"/>
  <c r="M533" i="24"/>
  <c r="R533" i="24" s="1"/>
  <c r="S532" i="24"/>
  <c r="Q532" i="24"/>
  <c r="P532" i="24"/>
  <c r="O532" i="24"/>
  <c r="N532" i="24"/>
  <c r="M532" i="24"/>
  <c r="R532" i="24" s="1"/>
  <c r="S531" i="24"/>
  <c r="Q531" i="24"/>
  <c r="P531" i="24"/>
  <c r="O531" i="24"/>
  <c r="N531" i="24"/>
  <c r="M531" i="24"/>
  <c r="R531" i="24" s="1"/>
  <c r="S530" i="24"/>
  <c r="Q530" i="24"/>
  <c r="P530" i="24"/>
  <c r="O530" i="24"/>
  <c r="N530" i="24"/>
  <c r="M530" i="24"/>
  <c r="R530" i="24" s="1"/>
  <c r="S529" i="24"/>
  <c r="Q529" i="24"/>
  <c r="P529" i="24"/>
  <c r="O529" i="24"/>
  <c r="N529" i="24"/>
  <c r="M529" i="24"/>
  <c r="R529" i="24" s="1"/>
  <c r="S528" i="24"/>
  <c r="Q528" i="24"/>
  <c r="P528" i="24"/>
  <c r="O528" i="24"/>
  <c r="N528" i="24"/>
  <c r="M528" i="24"/>
  <c r="R528" i="24" s="1"/>
  <c r="S527" i="24"/>
  <c r="Q527" i="24"/>
  <c r="P527" i="24"/>
  <c r="O527" i="24"/>
  <c r="N527" i="24"/>
  <c r="M527" i="24"/>
  <c r="R527" i="24" s="1"/>
  <c r="S526" i="24"/>
  <c r="Q526" i="24"/>
  <c r="P526" i="24"/>
  <c r="O526" i="24"/>
  <c r="N526" i="24"/>
  <c r="M526" i="24"/>
  <c r="R526" i="24" s="1"/>
  <c r="S525" i="24"/>
  <c r="Q525" i="24"/>
  <c r="P525" i="24"/>
  <c r="O525" i="24"/>
  <c r="N525" i="24"/>
  <c r="M525" i="24"/>
  <c r="R525" i="24" s="1"/>
  <c r="S524" i="24"/>
  <c r="Q524" i="24"/>
  <c r="P524" i="24"/>
  <c r="O524" i="24"/>
  <c r="N524" i="24"/>
  <c r="M524" i="24"/>
  <c r="R524" i="24" s="1"/>
  <c r="S523" i="24"/>
  <c r="R523" i="24"/>
  <c r="Q523" i="24"/>
  <c r="P523" i="24"/>
  <c r="O523" i="24"/>
  <c r="N523" i="24"/>
  <c r="S522" i="24"/>
  <c r="Q522" i="24"/>
  <c r="P522" i="24"/>
  <c r="O522" i="24"/>
  <c r="N522" i="24"/>
  <c r="M522" i="24"/>
  <c r="R522" i="24" s="1"/>
  <c r="S521" i="24"/>
  <c r="Q521" i="24"/>
  <c r="P521" i="24"/>
  <c r="O521" i="24"/>
  <c r="N521" i="24"/>
  <c r="M521" i="24"/>
  <c r="R521" i="24" s="1"/>
  <c r="S520" i="24"/>
  <c r="Q520" i="24"/>
  <c r="P520" i="24"/>
  <c r="O520" i="24"/>
  <c r="N520" i="24"/>
  <c r="M520" i="24"/>
  <c r="R520" i="24" s="1"/>
  <c r="S519" i="24"/>
  <c r="Q519" i="24"/>
  <c r="P519" i="24"/>
  <c r="O519" i="24"/>
  <c r="N519" i="24"/>
  <c r="M519" i="24"/>
  <c r="R519" i="24" s="1"/>
  <c r="S518" i="24"/>
  <c r="Q518" i="24"/>
  <c r="P518" i="24"/>
  <c r="O518" i="24"/>
  <c r="N518" i="24"/>
  <c r="M518" i="24"/>
  <c r="R518" i="24" s="1"/>
  <c r="S517" i="24"/>
  <c r="R517" i="24"/>
  <c r="Q517" i="24"/>
  <c r="P517" i="24"/>
  <c r="O517" i="24"/>
  <c r="N517" i="24"/>
  <c r="S516" i="24"/>
  <c r="Q516" i="24"/>
  <c r="P516" i="24"/>
  <c r="O516" i="24"/>
  <c r="N516" i="24"/>
  <c r="M516" i="24"/>
  <c r="R516" i="24" s="1"/>
  <c r="S515" i="24"/>
  <c r="Q515" i="24"/>
  <c r="P515" i="24"/>
  <c r="O515" i="24"/>
  <c r="N515" i="24"/>
  <c r="M515" i="24"/>
  <c r="R515" i="24" s="1"/>
  <c r="S514" i="24"/>
  <c r="Q514" i="24"/>
  <c r="P514" i="24"/>
  <c r="O514" i="24"/>
  <c r="N514" i="24"/>
  <c r="M514" i="24"/>
  <c r="R514" i="24" s="1"/>
  <c r="S513" i="24"/>
  <c r="Q513" i="24"/>
  <c r="P513" i="24"/>
  <c r="O513" i="24"/>
  <c r="N513" i="24"/>
  <c r="M513" i="24"/>
  <c r="R513" i="24" s="1"/>
  <c r="S512" i="24"/>
  <c r="Q512" i="24"/>
  <c r="P512" i="24"/>
  <c r="O512" i="24"/>
  <c r="N512" i="24"/>
  <c r="M512" i="24"/>
  <c r="R512" i="24" s="1"/>
  <c r="S511" i="24"/>
  <c r="Q511" i="24"/>
  <c r="P511" i="24"/>
  <c r="O511" i="24"/>
  <c r="N511" i="24"/>
  <c r="M511" i="24"/>
  <c r="R511" i="24" s="1"/>
  <c r="S510" i="24"/>
  <c r="Q510" i="24"/>
  <c r="P510" i="24"/>
  <c r="O510" i="24"/>
  <c r="N510" i="24"/>
  <c r="M510" i="24"/>
  <c r="R510" i="24" s="1"/>
  <c r="S509" i="24"/>
  <c r="Q509" i="24"/>
  <c r="P509" i="24"/>
  <c r="O509" i="24"/>
  <c r="N509" i="24"/>
  <c r="M509" i="24"/>
  <c r="R509" i="24" s="1"/>
  <c r="S508" i="24"/>
  <c r="Q508" i="24"/>
  <c r="P508" i="24"/>
  <c r="O508" i="24"/>
  <c r="N508" i="24"/>
  <c r="M508" i="24"/>
  <c r="R508" i="24" s="1"/>
  <c r="S507" i="24"/>
  <c r="Q507" i="24"/>
  <c r="P507" i="24"/>
  <c r="O507" i="24"/>
  <c r="N507" i="24"/>
  <c r="M507" i="24"/>
  <c r="R507" i="24" s="1"/>
  <c r="S506" i="24"/>
  <c r="Q506" i="24"/>
  <c r="P506" i="24"/>
  <c r="O506" i="24"/>
  <c r="N506" i="24"/>
  <c r="M506" i="24"/>
  <c r="R506" i="24" s="1"/>
  <c r="S505" i="24"/>
  <c r="Q505" i="24"/>
  <c r="P505" i="24"/>
  <c r="O505" i="24"/>
  <c r="N505" i="24"/>
  <c r="M505" i="24"/>
  <c r="R505" i="24" s="1"/>
  <c r="S504" i="24"/>
  <c r="Q504" i="24"/>
  <c r="P504" i="24"/>
  <c r="O504" i="24"/>
  <c r="N504" i="24"/>
  <c r="M504" i="24"/>
  <c r="R504" i="24" s="1"/>
  <c r="S503" i="24"/>
  <c r="Q503" i="24"/>
  <c r="P503" i="24"/>
  <c r="O503" i="24"/>
  <c r="N503" i="24"/>
  <c r="M503" i="24"/>
  <c r="R503" i="24" s="1"/>
  <c r="S502" i="24"/>
  <c r="Q502" i="24"/>
  <c r="P502" i="24"/>
  <c r="O502" i="24"/>
  <c r="N502" i="24"/>
  <c r="M502" i="24"/>
  <c r="R502" i="24" s="1"/>
  <c r="S501" i="24"/>
  <c r="Q501" i="24"/>
  <c r="P501" i="24"/>
  <c r="O501" i="24"/>
  <c r="N501" i="24"/>
  <c r="M501" i="24"/>
  <c r="R501" i="24" s="1"/>
  <c r="S500" i="24"/>
  <c r="Q500" i="24"/>
  <c r="P500" i="24"/>
  <c r="O500" i="24"/>
  <c r="N500" i="24"/>
  <c r="M500" i="24"/>
  <c r="R500" i="24" s="1"/>
  <c r="S499" i="24"/>
  <c r="Q499" i="24"/>
  <c r="P499" i="24"/>
  <c r="O499" i="24"/>
  <c r="N499" i="24"/>
  <c r="M499" i="24"/>
  <c r="R499" i="24" s="1"/>
  <c r="S498" i="24"/>
  <c r="Q498" i="24"/>
  <c r="P498" i="24"/>
  <c r="O498" i="24"/>
  <c r="N498" i="24"/>
  <c r="M498" i="24"/>
  <c r="R498" i="24" s="1"/>
  <c r="S497" i="24"/>
  <c r="Q497" i="24"/>
  <c r="P497" i="24"/>
  <c r="O497" i="24"/>
  <c r="N497" i="24"/>
  <c r="M497" i="24"/>
  <c r="R497" i="24" s="1"/>
  <c r="S496" i="24"/>
  <c r="Q496" i="24"/>
  <c r="P496" i="24"/>
  <c r="O496" i="24"/>
  <c r="N496" i="24"/>
  <c r="M496" i="24"/>
  <c r="R496" i="24" s="1"/>
  <c r="S495" i="24"/>
  <c r="Q495" i="24"/>
  <c r="P495" i="24"/>
  <c r="O495" i="24"/>
  <c r="N495" i="24"/>
  <c r="M495" i="24"/>
  <c r="R495" i="24" s="1"/>
  <c r="S494" i="24"/>
  <c r="Q494" i="24"/>
  <c r="P494" i="24"/>
  <c r="O494" i="24"/>
  <c r="N494" i="24"/>
  <c r="M494" i="24"/>
  <c r="R494" i="24" s="1"/>
  <c r="S493" i="24"/>
  <c r="Q493" i="24"/>
  <c r="P493" i="24"/>
  <c r="O493" i="24"/>
  <c r="N493" i="24"/>
  <c r="M493" i="24"/>
  <c r="R493" i="24" s="1"/>
  <c r="S492" i="24"/>
  <c r="Q492" i="24"/>
  <c r="P492" i="24"/>
  <c r="O492" i="24"/>
  <c r="N492" i="24"/>
  <c r="M492" i="24"/>
  <c r="R492" i="24" s="1"/>
  <c r="S491" i="24"/>
  <c r="Q491" i="24"/>
  <c r="P491" i="24"/>
  <c r="O491" i="24"/>
  <c r="N491" i="24"/>
  <c r="M491" i="24"/>
  <c r="R491" i="24" s="1"/>
  <c r="S490" i="24"/>
  <c r="Q490" i="24"/>
  <c r="P490" i="24"/>
  <c r="O490" i="24"/>
  <c r="N490" i="24"/>
  <c r="M490" i="24"/>
  <c r="R490" i="24" s="1"/>
  <c r="S489" i="24"/>
  <c r="Q489" i="24"/>
  <c r="P489" i="24"/>
  <c r="O489" i="24"/>
  <c r="N489" i="24"/>
  <c r="M489" i="24"/>
  <c r="R489" i="24" s="1"/>
  <c r="S488" i="24"/>
  <c r="Q488" i="24"/>
  <c r="P488" i="24"/>
  <c r="O488" i="24"/>
  <c r="N488" i="24"/>
  <c r="M488" i="24"/>
  <c r="R488" i="24" s="1"/>
  <c r="S487" i="24"/>
  <c r="Q487" i="24"/>
  <c r="P487" i="24"/>
  <c r="O487" i="24"/>
  <c r="N487" i="24"/>
  <c r="M487" i="24"/>
  <c r="R487" i="24" s="1"/>
  <c r="S486" i="24"/>
  <c r="Q486" i="24"/>
  <c r="P486" i="24"/>
  <c r="O486" i="24"/>
  <c r="N486" i="24"/>
  <c r="M486" i="24"/>
  <c r="R486" i="24" s="1"/>
  <c r="S485" i="24"/>
  <c r="Q485" i="24"/>
  <c r="P485" i="24"/>
  <c r="O485" i="24"/>
  <c r="N485" i="24"/>
  <c r="M485" i="24"/>
  <c r="R485" i="24" s="1"/>
  <c r="S484" i="24"/>
  <c r="Q484" i="24"/>
  <c r="P484" i="24"/>
  <c r="O484" i="24"/>
  <c r="N484" i="24"/>
  <c r="M484" i="24"/>
  <c r="R484" i="24" s="1"/>
  <c r="S483" i="24"/>
  <c r="Q483" i="24"/>
  <c r="P483" i="24"/>
  <c r="O483" i="24"/>
  <c r="N483" i="24"/>
  <c r="M483" i="24"/>
  <c r="R483" i="24" s="1"/>
  <c r="S482" i="24"/>
  <c r="Q482" i="24"/>
  <c r="P482" i="24"/>
  <c r="O482" i="24"/>
  <c r="N482" i="24"/>
  <c r="M482" i="24"/>
  <c r="R482" i="24" s="1"/>
  <c r="S481" i="24"/>
  <c r="Q481" i="24"/>
  <c r="P481" i="24"/>
  <c r="O481" i="24"/>
  <c r="N481" i="24"/>
  <c r="M481" i="24"/>
  <c r="R481" i="24" s="1"/>
  <c r="S480" i="24"/>
  <c r="Q480" i="24"/>
  <c r="P480" i="24"/>
  <c r="O480" i="24"/>
  <c r="N480" i="24"/>
  <c r="M480" i="24"/>
  <c r="R480" i="24" s="1"/>
  <c r="S479" i="24"/>
  <c r="Q479" i="24"/>
  <c r="P479" i="24"/>
  <c r="O479" i="24"/>
  <c r="N479" i="24"/>
  <c r="M479" i="24"/>
  <c r="R479" i="24" s="1"/>
  <c r="S478" i="24"/>
  <c r="Q478" i="24"/>
  <c r="P478" i="24"/>
  <c r="O478" i="24"/>
  <c r="N478" i="24"/>
  <c r="M478" i="24"/>
  <c r="R478" i="24" s="1"/>
  <c r="S477" i="24"/>
  <c r="Q477" i="24"/>
  <c r="P477" i="24"/>
  <c r="O477" i="24"/>
  <c r="N477" i="24"/>
  <c r="M477" i="24"/>
  <c r="R477" i="24" s="1"/>
  <c r="S476" i="24"/>
  <c r="Q476" i="24"/>
  <c r="P476" i="24"/>
  <c r="O476" i="24"/>
  <c r="N476" i="24"/>
  <c r="M476" i="24"/>
  <c r="R476" i="24" s="1"/>
  <c r="S475" i="24"/>
  <c r="Q475" i="24"/>
  <c r="P475" i="24"/>
  <c r="O475" i="24"/>
  <c r="N475" i="24"/>
  <c r="M475" i="24"/>
  <c r="R475" i="24" s="1"/>
  <c r="S474" i="24"/>
  <c r="Q474" i="24"/>
  <c r="P474" i="24"/>
  <c r="O474" i="24"/>
  <c r="N474" i="24"/>
  <c r="M474" i="24"/>
  <c r="R474" i="24" s="1"/>
  <c r="S473" i="24"/>
  <c r="Q473" i="24"/>
  <c r="P473" i="24"/>
  <c r="O473" i="24"/>
  <c r="N473" i="24"/>
  <c r="M473" i="24"/>
  <c r="R473" i="24" s="1"/>
  <c r="S472" i="24"/>
  <c r="Q472" i="24"/>
  <c r="P472" i="24"/>
  <c r="O472" i="24"/>
  <c r="N472" i="24"/>
  <c r="M472" i="24"/>
  <c r="R472" i="24" s="1"/>
  <c r="S471" i="24"/>
  <c r="Q471" i="24"/>
  <c r="P471" i="24"/>
  <c r="O471" i="24"/>
  <c r="N471" i="24"/>
  <c r="M471" i="24"/>
  <c r="R471" i="24" s="1"/>
  <c r="S470" i="24"/>
  <c r="Q470" i="24"/>
  <c r="P470" i="24"/>
  <c r="O470" i="24"/>
  <c r="N470" i="24"/>
  <c r="M470" i="24"/>
  <c r="R470" i="24" s="1"/>
  <c r="S469" i="24"/>
  <c r="Q469" i="24"/>
  <c r="P469" i="24"/>
  <c r="O469" i="24"/>
  <c r="N469" i="24"/>
  <c r="M469" i="24"/>
  <c r="R469" i="24" s="1"/>
  <c r="S468" i="24"/>
  <c r="Q468" i="24"/>
  <c r="P468" i="24"/>
  <c r="O468" i="24"/>
  <c r="N468" i="24"/>
  <c r="M468" i="24"/>
  <c r="R468" i="24" s="1"/>
  <c r="S467" i="24"/>
  <c r="Q467" i="24"/>
  <c r="P467" i="24"/>
  <c r="O467" i="24"/>
  <c r="N467" i="24"/>
  <c r="M467" i="24"/>
  <c r="R467" i="24" s="1"/>
  <c r="S466" i="24"/>
  <c r="Q466" i="24"/>
  <c r="P466" i="24"/>
  <c r="O466" i="24"/>
  <c r="N466" i="24"/>
  <c r="M466" i="24"/>
  <c r="R466" i="24" s="1"/>
  <c r="S465" i="24"/>
  <c r="Q465" i="24"/>
  <c r="P465" i="24"/>
  <c r="O465" i="24"/>
  <c r="N465" i="24"/>
  <c r="M465" i="24"/>
  <c r="R465" i="24" s="1"/>
  <c r="S464" i="24"/>
  <c r="Q464" i="24"/>
  <c r="P464" i="24"/>
  <c r="O464" i="24"/>
  <c r="N464" i="24"/>
  <c r="M464" i="24"/>
  <c r="R464" i="24" s="1"/>
  <c r="S463" i="24"/>
  <c r="Q463" i="24"/>
  <c r="P463" i="24"/>
  <c r="O463" i="24"/>
  <c r="N463" i="24"/>
  <c r="M463" i="24"/>
  <c r="R463" i="24" s="1"/>
  <c r="S462" i="24"/>
  <c r="Q462" i="24"/>
  <c r="P462" i="24"/>
  <c r="O462" i="24"/>
  <c r="N462" i="24"/>
  <c r="M462" i="24"/>
  <c r="R462" i="24" s="1"/>
  <c r="S461" i="24"/>
  <c r="Q461" i="24"/>
  <c r="P461" i="24"/>
  <c r="O461" i="24"/>
  <c r="N461" i="24"/>
  <c r="M461" i="24"/>
  <c r="R461" i="24" s="1"/>
  <c r="S460" i="24"/>
  <c r="Q460" i="24"/>
  <c r="P460" i="24"/>
  <c r="O460" i="24"/>
  <c r="N460" i="24"/>
  <c r="M460" i="24"/>
  <c r="R460" i="24" s="1"/>
  <c r="S459" i="24"/>
  <c r="Q459" i="24"/>
  <c r="P459" i="24"/>
  <c r="O459" i="24"/>
  <c r="N459" i="24"/>
  <c r="M459" i="24"/>
  <c r="R459" i="24" s="1"/>
  <c r="S458" i="24"/>
  <c r="Q458" i="24"/>
  <c r="P458" i="24"/>
  <c r="O458" i="24"/>
  <c r="N458" i="24"/>
  <c r="M458" i="24"/>
  <c r="R458" i="24" s="1"/>
  <c r="S457" i="24"/>
  <c r="Q457" i="24"/>
  <c r="P457" i="24"/>
  <c r="O457" i="24"/>
  <c r="N457" i="24"/>
  <c r="M457" i="24"/>
  <c r="R457" i="24" s="1"/>
  <c r="S456" i="24"/>
  <c r="Q456" i="24"/>
  <c r="P456" i="24"/>
  <c r="O456" i="24"/>
  <c r="N456" i="24"/>
  <c r="M456" i="24"/>
  <c r="R456" i="24" s="1"/>
  <c r="S455" i="24"/>
  <c r="Q455" i="24"/>
  <c r="P455" i="24"/>
  <c r="O455" i="24"/>
  <c r="N455" i="24"/>
  <c r="M455" i="24"/>
  <c r="R455" i="24" s="1"/>
  <c r="S454" i="24"/>
  <c r="Q454" i="24"/>
  <c r="P454" i="24"/>
  <c r="O454" i="24"/>
  <c r="N454" i="24"/>
  <c r="M454" i="24"/>
  <c r="R454" i="24" s="1"/>
  <c r="S453" i="24"/>
  <c r="Q453" i="24"/>
  <c r="P453" i="24"/>
  <c r="O453" i="24"/>
  <c r="N453" i="24"/>
  <c r="M453" i="24"/>
  <c r="R453" i="24" s="1"/>
  <c r="S452" i="24"/>
  <c r="Q452" i="24"/>
  <c r="P452" i="24"/>
  <c r="O452" i="24"/>
  <c r="N452" i="24"/>
  <c r="M452" i="24"/>
  <c r="R452" i="24" s="1"/>
  <c r="S451" i="24"/>
  <c r="Q451" i="24"/>
  <c r="P451" i="24"/>
  <c r="O451" i="24"/>
  <c r="N451" i="24"/>
  <c r="M451" i="24"/>
  <c r="R451" i="24" s="1"/>
  <c r="S450" i="24"/>
  <c r="Q450" i="24"/>
  <c r="P450" i="24"/>
  <c r="O450" i="24"/>
  <c r="N450" i="24"/>
  <c r="M450" i="24"/>
  <c r="R450" i="24" s="1"/>
  <c r="S449" i="24"/>
  <c r="Q449" i="24"/>
  <c r="P449" i="24"/>
  <c r="O449" i="24"/>
  <c r="N449" i="24"/>
  <c r="M449" i="24"/>
  <c r="R449" i="24" s="1"/>
  <c r="S448" i="24"/>
  <c r="Q448" i="24"/>
  <c r="P448" i="24"/>
  <c r="O448" i="24"/>
  <c r="N448" i="24"/>
  <c r="M448" i="24"/>
  <c r="R448" i="24" s="1"/>
  <c r="S447" i="24"/>
  <c r="Q447" i="24"/>
  <c r="P447" i="24"/>
  <c r="O447" i="24"/>
  <c r="N447" i="24"/>
  <c r="M447" i="24"/>
  <c r="R447" i="24" s="1"/>
  <c r="S446" i="24"/>
  <c r="Q446" i="24"/>
  <c r="P446" i="24"/>
  <c r="O446" i="24"/>
  <c r="N446" i="24"/>
  <c r="M446" i="24"/>
  <c r="R446" i="24" s="1"/>
  <c r="S445" i="24"/>
  <c r="Q445" i="24"/>
  <c r="P445" i="24"/>
  <c r="O445" i="24"/>
  <c r="N445" i="24"/>
  <c r="M445" i="24"/>
  <c r="R445" i="24" s="1"/>
  <c r="S444" i="24"/>
  <c r="Q444" i="24"/>
  <c r="P444" i="24"/>
  <c r="O444" i="24"/>
  <c r="N444" i="24"/>
  <c r="M444" i="24"/>
  <c r="R444" i="24" s="1"/>
  <c r="S443" i="24"/>
  <c r="Q443" i="24"/>
  <c r="P443" i="24"/>
  <c r="O443" i="24"/>
  <c r="N443" i="24"/>
  <c r="M443" i="24"/>
  <c r="R443" i="24" s="1"/>
  <c r="S442" i="24"/>
  <c r="Q442" i="24"/>
  <c r="P442" i="24"/>
  <c r="O442" i="24"/>
  <c r="N442" i="24"/>
  <c r="M442" i="24"/>
  <c r="R442" i="24" s="1"/>
  <c r="S441" i="24"/>
  <c r="Q441" i="24"/>
  <c r="P441" i="24"/>
  <c r="O441" i="24"/>
  <c r="N441" i="24"/>
  <c r="M441" i="24"/>
  <c r="R441" i="24" s="1"/>
  <c r="S440" i="24"/>
  <c r="Q440" i="24"/>
  <c r="P440" i="24"/>
  <c r="O440" i="24"/>
  <c r="N440" i="24"/>
  <c r="M440" i="24"/>
  <c r="R440" i="24" s="1"/>
  <c r="S439" i="24"/>
  <c r="Q439" i="24"/>
  <c r="P439" i="24"/>
  <c r="O439" i="24"/>
  <c r="N439" i="24"/>
  <c r="M439" i="24"/>
  <c r="R439" i="24" s="1"/>
  <c r="S438" i="24"/>
  <c r="Q438" i="24"/>
  <c r="P438" i="24"/>
  <c r="O438" i="24"/>
  <c r="N438" i="24"/>
  <c r="M438" i="24"/>
  <c r="R438" i="24" s="1"/>
  <c r="S437" i="24"/>
  <c r="Q437" i="24"/>
  <c r="P437" i="24"/>
  <c r="O437" i="24"/>
  <c r="N437" i="24"/>
  <c r="M437" i="24"/>
  <c r="R437" i="24" s="1"/>
  <c r="S436" i="24"/>
  <c r="Q436" i="24"/>
  <c r="P436" i="24"/>
  <c r="O436" i="24"/>
  <c r="N436" i="24"/>
  <c r="M436" i="24"/>
  <c r="R436" i="24" s="1"/>
  <c r="S435" i="24"/>
  <c r="Q435" i="24"/>
  <c r="P435" i="24"/>
  <c r="O435" i="24"/>
  <c r="N435" i="24"/>
  <c r="M435" i="24"/>
  <c r="R435" i="24" s="1"/>
  <c r="S434" i="24"/>
  <c r="Q434" i="24"/>
  <c r="P434" i="24"/>
  <c r="O434" i="24"/>
  <c r="N434" i="24"/>
  <c r="M434" i="24"/>
  <c r="R434" i="24" s="1"/>
  <c r="S433" i="24"/>
  <c r="Q433" i="24"/>
  <c r="P433" i="24"/>
  <c r="O433" i="24"/>
  <c r="N433" i="24"/>
  <c r="M433" i="24"/>
  <c r="R433" i="24" s="1"/>
  <c r="S432" i="24"/>
  <c r="Q432" i="24"/>
  <c r="P432" i="24"/>
  <c r="O432" i="24"/>
  <c r="N432" i="24"/>
  <c r="M432" i="24"/>
  <c r="R432" i="24" s="1"/>
  <c r="S431" i="24"/>
  <c r="Q431" i="24"/>
  <c r="P431" i="24"/>
  <c r="O431" i="24"/>
  <c r="N431" i="24"/>
  <c r="M431" i="24"/>
  <c r="R431" i="24" s="1"/>
  <c r="S430" i="24"/>
  <c r="Q430" i="24"/>
  <c r="P430" i="24"/>
  <c r="O430" i="24"/>
  <c r="N430" i="24"/>
  <c r="M430" i="24"/>
  <c r="R430" i="24" s="1"/>
  <c r="S429" i="24"/>
  <c r="Q429" i="24"/>
  <c r="P429" i="24"/>
  <c r="O429" i="24"/>
  <c r="N429" i="24"/>
  <c r="M429" i="24"/>
  <c r="R429" i="24" s="1"/>
  <c r="S428" i="24"/>
  <c r="Q428" i="24"/>
  <c r="P428" i="24"/>
  <c r="O428" i="24"/>
  <c r="N428" i="24"/>
  <c r="M428" i="24"/>
  <c r="R428" i="24" s="1"/>
  <c r="S427" i="24"/>
  <c r="Q427" i="24"/>
  <c r="P427" i="24"/>
  <c r="O427" i="24"/>
  <c r="N427" i="24"/>
  <c r="M427" i="24"/>
  <c r="R427" i="24" s="1"/>
  <c r="S426" i="24"/>
  <c r="Q426" i="24"/>
  <c r="P426" i="24"/>
  <c r="O426" i="24"/>
  <c r="N426" i="24"/>
  <c r="M426" i="24"/>
  <c r="R426" i="24" s="1"/>
  <c r="S425" i="24"/>
  <c r="Q425" i="24"/>
  <c r="P425" i="24"/>
  <c r="O425" i="24"/>
  <c r="N425" i="24"/>
  <c r="M425" i="24"/>
  <c r="R425" i="24" s="1"/>
  <c r="S424" i="24"/>
  <c r="Q424" i="24"/>
  <c r="P424" i="24"/>
  <c r="O424" i="24"/>
  <c r="N424" i="24"/>
  <c r="M424" i="24"/>
  <c r="R424" i="24" s="1"/>
  <c r="S423" i="24"/>
  <c r="Q423" i="24"/>
  <c r="P423" i="24"/>
  <c r="O423" i="24"/>
  <c r="N423" i="24"/>
  <c r="M423" i="24"/>
  <c r="R423" i="24" s="1"/>
  <c r="S422" i="24"/>
  <c r="Q422" i="24"/>
  <c r="P422" i="24"/>
  <c r="O422" i="24"/>
  <c r="N422" i="24"/>
  <c r="M422" i="24"/>
  <c r="R422" i="24" s="1"/>
  <c r="S421" i="24"/>
  <c r="Q421" i="24"/>
  <c r="P421" i="24"/>
  <c r="O421" i="24"/>
  <c r="N421" i="24"/>
  <c r="M421" i="24"/>
  <c r="R421" i="24" s="1"/>
  <c r="S420" i="24"/>
  <c r="Q420" i="24"/>
  <c r="P420" i="24"/>
  <c r="O420" i="24"/>
  <c r="N420" i="24"/>
  <c r="M420" i="24"/>
  <c r="R420" i="24" s="1"/>
  <c r="S419" i="24"/>
  <c r="Q419" i="24"/>
  <c r="P419" i="24"/>
  <c r="O419" i="24"/>
  <c r="N419" i="24"/>
  <c r="M419" i="24"/>
  <c r="R419" i="24" s="1"/>
  <c r="S418" i="24"/>
  <c r="Q418" i="24"/>
  <c r="P418" i="24"/>
  <c r="O418" i="24"/>
  <c r="N418" i="24"/>
  <c r="M418" i="24"/>
  <c r="R418" i="24" s="1"/>
  <c r="S417" i="24"/>
  <c r="Q417" i="24"/>
  <c r="P417" i="24"/>
  <c r="O417" i="24"/>
  <c r="N417" i="24"/>
  <c r="M417" i="24"/>
  <c r="R417" i="24" s="1"/>
  <c r="S416" i="24"/>
  <c r="Q416" i="24"/>
  <c r="P416" i="24"/>
  <c r="O416" i="24"/>
  <c r="N416" i="24"/>
  <c r="M416" i="24"/>
  <c r="R416" i="24" s="1"/>
  <c r="S415" i="24"/>
  <c r="Q415" i="24"/>
  <c r="P415" i="24"/>
  <c r="O415" i="24"/>
  <c r="N415" i="24"/>
  <c r="M415" i="24"/>
  <c r="R415" i="24" s="1"/>
  <c r="S414" i="24"/>
  <c r="Q414" i="24"/>
  <c r="P414" i="24"/>
  <c r="O414" i="24"/>
  <c r="N414" i="24"/>
  <c r="M414" i="24"/>
  <c r="R414" i="24" s="1"/>
  <c r="S413" i="24"/>
  <c r="Q413" i="24"/>
  <c r="P413" i="24"/>
  <c r="O413" i="24"/>
  <c r="N413" i="24"/>
  <c r="M413" i="24"/>
  <c r="R413" i="24" s="1"/>
  <c r="S412" i="24"/>
  <c r="Q412" i="24"/>
  <c r="P412" i="24"/>
  <c r="O412" i="24"/>
  <c r="N412" i="24"/>
  <c r="M412" i="24"/>
  <c r="R412" i="24" s="1"/>
  <c r="S411" i="24"/>
  <c r="Q411" i="24"/>
  <c r="P411" i="24"/>
  <c r="O411" i="24"/>
  <c r="N411" i="24"/>
  <c r="M411" i="24"/>
  <c r="R411" i="24" s="1"/>
  <c r="S410" i="24"/>
  <c r="R410" i="24"/>
  <c r="Q410" i="24"/>
  <c r="P410" i="24"/>
  <c r="O410" i="24"/>
  <c r="N410" i="24"/>
  <c r="S409" i="24"/>
  <c r="Q409" i="24"/>
  <c r="P409" i="24"/>
  <c r="O409" i="24"/>
  <c r="N409" i="24"/>
  <c r="M409" i="24"/>
  <c r="R409" i="24" s="1"/>
  <c r="S408" i="24"/>
  <c r="Q408" i="24"/>
  <c r="P408" i="24"/>
  <c r="O408" i="24"/>
  <c r="N408" i="24"/>
  <c r="M408" i="24"/>
  <c r="R408" i="24" s="1"/>
  <c r="S407" i="24"/>
  <c r="Q407" i="24"/>
  <c r="P407" i="24"/>
  <c r="O407" i="24"/>
  <c r="N407" i="24"/>
  <c r="M407" i="24"/>
  <c r="R407" i="24" s="1"/>
  <c r="S406" i="24"/>
  <c r="Q406" i="24"/>
  <c r="P406" i="24"/>
  <c r="O406" i="24"/>
  <c r="N406" i="24"/>
  <c r="M406" i="24"/>
  <c r="R406" i="24" s="1"/>
  <c r="S405" i="24"/>
  <c r="Q405" i="24"/>
  <c r="P405" i="24"/>
  <c r="O405" i="24"/>
  <c r="N405" i="24"/>
  <c r="M405" i="24"/>
  <c r="R405" i="24" s="1"/>
  <c r="S404" i="24"/>
  <c r="Q404" i="24"/>
  <c r="P404" i="24"/>
  <c r="O404" i="24"/>
  <c r="N404" i="24"/>
  <c r="M404" i="24"/>
  <c r="R404" i="24" s="1"/>
  <c r="S403" i="24"/>
  <c r="Q403" i="24"/>
  <c r="P403" i="24"/>
  <c r="O403" i="24"/>
  <c r="N403" i="24"/>
  <c r="M403" i="24"/>
  <c r="R403" i="24" s="1"/>
  <c r="S402" i="24"/>
  <c r="Q402" i="24"/>
  <c r="P402" i="24"/>
  <c r="O402" i="24"/>
  <c r="N402" i="24"/>
  <c r="M402" i="24"/>
  <c r="R402" i="24" s="1"/>
  <c r="S401" i="24"/>
  <c r="Q401" i="24"/>
  <c r="P401" i="24"/>
  <c r="O401" i="24"/>
  <c r="N401" i="24"/>
  <c r="M401" i="24"/>
  <c r="R401" i="24" s="1"/>
  <c r="S400" i="24"/>
  <c r="Q400" i="24"/>
  <c r="P400" i="24"/>
  <c r="O400" i="24"/>
  <c r="N400" i="24"/>
  <c r="M400" i="24"/>
  <c r="R400" i="24" s="1"/>
  <c r="S399" i="24"/>
  <c r="Q399" i="24"/>
  <c r="P399" i="24"/>
  <c r="O399" i="24"/>
  <c r="N399" i="24"/>
  <c r="M399" i="24"/>
  <c r="R399" i="24" s="1"/>
  <c r="S398" i="24"/>
  <c r="Q398" i="24"/>
  <c r="P398" i="24"/>
  <c r="O398" i="24"/>
  <c r="N398" i="24"/>
  <c r="M398" i="24"/>
  <c r="R398" i="24" s="1"/>
  <c r="S397" i="24"/>
  <c r="Q397" i="24"/>
  <c r="P397" i="24"/>
  <c r="O397" i="24"/>
  <c r="N397" i="24"/>
  <c r="M397" i="24"/>
  <c r="R397" i="24" s="1"/>
  <c r="S396" i="24"/>
  <c r="Q396" i="24"/>
  <c r="P396" i="24"/>
  <c r="O396" i="24"/>
  <c r="N396" i="24"/>
  <c r="M396" i="24"/>
  <c r="R396" i="24" s="1"/>
  <c r="S395" i="24"/>
  <c r="Q395" i="24"/>
  <c r="P395" i="24"/>
  <c r="O395" i="24"/>
  <c r="N395" i="24"/>
  <c r="M395" i="24"/>
  <c r="R395" i="24" s="1"/>
  <c r="S394" i="24"/>
  <c r="Q394" i="24"/>
  <c r="P394" i="24"/>
  <c r="O394" i="24"/>
  <c r="N394" i="24"/>
  <c r="M394" i="24"/>
  <c r="R394" i="24" s="1"/>
  <c r="S393" i="24"/>
  <c r="Q393" i="24"/>
  <c r="P393" i="24"/>
  <c r="O393" i="24"/>
  <c r="N393" i="24"/>
  <c r="M393" i="24"/>
  <c r="R393" i="24" s="1"/>
  <c r="S392" i="24"/>
  <c r="Q392" i="24"/>
  <c r="P392" i="24"/>
  <c r="O392" i="24"/>
  <c r="N392" i="24"/>
  <c r="M392" i="24"/>
  <c r="R392" i="24" s="1"/>
  <c r="S391" i="24"/>
  <c r="Q391" i="24"/>
  <c r="P391" i="24"/>
  <c r="O391" i="24"/>
  <c r="N391" i="24"/>
  <c r="M391" i="24"/>
  <c r="R391" i="24" s="1"/>
  <c r="S390" i="24"/>
  <c r="Q390" i="24"/>
  <c r="P390" i="24"/>
  <c r="O390" i="24"/>
  <c r="N390" i="24"/>
  <c r="M390" i="24"/>
  <c r="R390" i="24" s="1"/>
  <c r="S389" i="24"/>
  <c r="Q389" i="24"/>
  <c r="P389" i="24"/>
  <c r="O389" i="24"/>
  <c r="N389" i="24"/>
  <c r="M389" i="24"/>
  <c r="R389" i="24" s="1"/>
  <c r="S388" i="24"/>
  <c r="Q388" i="24"/>
  <c r="P388" i="24"/>
  <c r="O388" i="24"/>
  <c r="N388" i="24"/>
  <c r="M388" i="24"/>
  <c r="R388" i="24" s="1"/>
  <c r="S387" i="24"/>
  <c r="Q387" i="24"/>
  <c r="P387" i="24"/>
  <c r="O387" i="24"/>
  <c r="N387" i="24"/>
  <c r="M387" i="24"/>
  <c r="R387" i="24" s="1"/>
  <c r="S386" i="24"/>
  <c r="Q386" i="24"/>
  <c r="P386" i="24"/>
  <c r="O386" i="24"/>
  <c r="N386" i="24"/>
  <c r="M386" i="24"/>
  <c r="R386" i="24" s="1"/>
  <c r="S385" i="24"/>
  <c r="Q385" i="24"/>
  <c r="P385" i="24"/>
  <c r="O385" i="24"/>
  <c r="N385" i="24"/>
  <c r="M385" i="24"/>
  <c r="R385" i="24" s="1"/>
  <c r="S384" i="24"/>
  <c r="Q384" i="24"/>
  <c r="P384" i="24"/>
  <c r="O384" i="24"/>
  <c r="N384" i="24"/>
  <c r="M384" i="24"/>
  <c r="R384" i="24" s="1"/>
  <c r="S383" i="24"/>
  <c r="Q383" i="24"/>
  <c r="P383" i="24"/>
  <c r="O383" i="24"/>
  <c r="N383" i="24"/>
  <c r="M383" i="24"/>
  <c r="R383" i="24" s="1"/>
  <c r="S382" i="24"/>
  <c r="Q382" i="24"/>
  <c r="P382" i="24"/>
  <c r="O382" i="24"/>
  <c r="N382" i="24"/>
  <c r="M382" i="24"/>
  <c r="R382" i="24" s="1"/>
  <c r="S381" i="24"/>
  <c r="Q381" i="24"/>
  <c r="P381" i="24"/>
  <c r="O381" i="24"/>
  <c r="N381" i="24"/>
  <c r="M381" i="24"/>
  <c r="R381" i="24" s="1"/>
  <c r="S380" i="24"/>
  <c r="Q380" i="24"/>
  <c r="P380" i="24"/>
  <c r="O380" i="24"/>
  <c r="N380" i="24"/>
  <c r="M380" i="24"/>
  <c r="R380" i="24" s="1"/>
  <c r="S379" i="24"/>
  <c r="Q379" i="24"/>
  <c r="P379" i="24"/>
  <c r="O379" i="24"/>
  <c r="N379" i="24"/>
  <c r="M379" i="24"/>
  <c r="R379" i="24" s="1"/>
  <c r="S378" i="24"/>
  <c r="Q378" i="24"/>
  <c r="P378" i="24"/>
  <c r="O378" i="24"/>
  <c r="N378" i="24"/>
  <c r="M378" i="24"/>
  <c r="R378" i="24" s="1"/>
  <c r="S377" i="24"/>
  <c r="R377" i="24"/>
  <c r="Q377" i="24"/>
  <c r="P377" i="24"/>
  <c r="O377" i="24"/>
  <c r="N377" i="24"/>
  <c r="S376" i="24"/>
  <c r="Q376" i="24"/>
  <c r="P376" i="24"/>
  <c r="O376" i="24"/>
  <c r="N376" i="24"/>
  <c r="M376" i="24"/>
  <c r="R376" i="24" s="1"/>
  <c r="S375" i="24"/>
  <c r="Q375" i="24"/>
  <c r="P375" i="24"/>
  <c r="O375" i="24"/>
  <c r="N375" i="24"/>
  <c r="M375" i="24"/>
  <c r="R375" i="24" s="1"/>
  <c r="S374" i="24"/>
  <c r="Q374" i="24"/>
  <c r="P374" i="24"/>
  <c r="O374" i="24"/>
  <c r="N374" i="24"/>
  <c r="M374" i="24"/>
  <c r="R374" i="24" s="1"/>
  <c r="S373" i="24"/>
  <c r="Q373" i="24"/>
  <c r="P373" i="24"/>
  <c r="O373" i="24"/>
  <c r="N373" i="24"/>
  <c r="M373" i="24"/>
  <c r="R373" i="24" s="1"/>
  <c r="S372" i="24"/>
  <c r="Q372" i="24"/>
  <c r="P372" i="24"/>
  <c r="O372" i="24"/>
  <c r="N372" i="24"/>
  <c r="M372" i="24"/>
  <c r="R372" i="24" s="1"/>
  <c r="S371" i="24"/>
  <c r="Q371" i="24"/>
  <c r="P371" i="24"/>
  <c r="O371" i="24"/>
  <c r="N371" i="24"/>
  <c r="M371" i="24"/>
  <c r="R371" i="24" s="1"/>
  <c r="S370" i="24"/>
  <c r="Q370" i="24"/>
  <c r="P370" i="24"/>
  <c r="O370" i="24"/>
  <c r="N370" i="24"/>
  <c r="M370" i="24"/>
  <c r="R370" i="24" s="1"/>
  <c r="S369" i="24"/>
  <c r="R369" i="24"/>
  <c r="Q369" i="24"/>
  <c r="P369" i="24"/>
  <c r="O369" i="24"/>
  <c r="N369" i="24"/>
  <c r="S368" i="24"/>
  <c r="Q368" i="24"/>
  <c r="P368" i="24"/>
  <c r="O368" i="24"/>
  <c r="N368" i="24"/>
  <c r="M368" i="24"/>
  <c r="R368" i="24" s="1"/>
  <c r="S367" i="24"/>
  <c r="Q367" i="24"/>
  <c r="P367" i="24"/>
  <c r="O367" i="24"/>
  <c r="N367" i="24"/>
  <c r="M367" i="24"/>
  <c r="R367" i="24" s="1"/>
  <c r="S366" i="24"/>
  <c r="Q366" i="24"/>
  <c r="P366" i="24"/>
  <c r="O366" i="24"/>
  <c r="N366" i="24"/>
  <c r="M366" i="24"/>
  <c r="R366" i="24" s="1"/>
  <c r="S365" i="24"/>
  <c r="Q365" i="24"/>
  <c r="P365" i="24"/>
  <c r="O365" i="24"/>
  <c r="N365" i="24"/>
  <c r="M365" i="24"/>
  <c r="R365" i="24" s="1"/>
  <c r="S364" i="24"/>
  <c r="Q364" i="24"/>
  <c r="P364" i="24"/>
  <c r="O364" i="24"/>
  <c r="N364" i="24"/>
  <c r="M364" i="24"/>
  <c r="R364" i="24" s="1"/>
  <c r="S363" i="24"/>
  <c r="Q363" i="24"/>
  <c r="P363" i="24"/>
  <c r="O363" i="24"/>
  <c r="N363" i="24"/>
  <c r="M363" i="24"/>
  <c r="R363" i="24" s="1"/>
  <c r="S362" i="24"/>
  <c r="Q362" i="24"/>
  <c r="P362" i="24"/>
  <c r="O362" i="24"/>
  <c r="N362" i="24"/>
  <c r="M362" i="24"/>
  <c r="R362" i="24" s="1"/>
  <c r="S361" i="24"/>
  <c r="Q361" i="24"/>
  <c r="P361" i="24"/>
  <c r="O361" i="24"/>
  <c r="N361" i="24"/>
  <c r="M361" i="24"/>
  <c r="R361" i="24" s="1"/>
  <c r="S360" i="24"/>
  <c r="Q360" i="24"/>
  <c r="P360" i="24"/>
  <c r="O360" i="24"/>
  <c r="N360" i="24"/>
  <c r="M360" i="24"/>
  <c r="R360" i="24" s="1"/>
  <c r="S359" i="24"/>
  <c r="Q359" i="24"/>
  <c r="P359" i="24"/>
  <c r="O359" i="24"/>
  <c r="N359" i="24"/>
  <c r="M359" i="24"/>
  <c r="R359" i="24" s="1"/>
  <c r="S358" i="24"/>
  <c r="Q358" i="24"/>
  <c r="P358" i="24"/>
  <c r="O358" i="24"/>
  <c r="N358" i="24"/>
  <c r="M358" i="24"/>
  <c r="R358" i="24" s="1"/>
  <c r="S357" i="24"/>
  <c r="Q357" i="24"/>
  <c r="P357" i="24"/>
  <c r="O357" i="24"/>
  <c r="N357" i="24"/>
  <c r="M357" i="24"/>
  <c r="R357" i="24" s="1"/>
  <c r="S356" i="24"/>
  <c r="R356" i="24"/>
  <c r="Q356" i="24"/>
  <c r="P356" i="24"/>
  <c r="O356" i="24"/>
  <c r="N356" i="24"/>
  <c r="S355" i="24"/>
  <c r="Q355" i="24"/>
  <c r="P355" i="24"/>
  <c r="O355" i="24"/>
  <c r="N355" i="24"/>
  <c r="M355" i="24"/>
  <c r="R355" i="24" s="1"/>
  <c r="S354" i="24"/>
  <c r="Q354" i="24"/>
  <c r="P354" i="24"/>
  <c r="O354" i="24"/>
  <c r="N354" i="24"/>
  <c r="M354" i="24"/>
  <c r="R354" i="24" s="1"/>
  <c r="S353" i="24"/>
  <c r="Q353" i="24"/>
  <c r="P353" i="24"/>
  <c r="O353" i="24"/>
  <c r="N353" i="24"/>
  <c r="M353" i="24"/>
  <c r="R353" i="24" s="1"/>
  <c r="S352" i="24"/>
  <c r="Q352" i="24"/>
  <c r="P352" i="24"/>
  <c r="O352" i="24"/>
  <c r="N352" i="24"/>
  <c r="M352" i="24"/>
  <c r="R352" i="24" s="1"/>
  <c r="S351" i="24"/>
  <c r="Q351" i="24"/>
  <c r="P351" i="24"/>
  <c r="O351" i="24"/>
  <c r="N351" i="24"/>
  <c r="M351" i="24"/>
  <c r="R351" i="24" s="1"/>
  <c r="S350" i="24"/>
  <c r="Q350" i="24"/>
  <c r="P350" i="24"/>
  <c r="O350" i="24"/>
  <c r="N350" i="24"/>
  <c r="M350" i="24"/>
  <c r="R350" i="24" s="1"/>
  <c r="S349" i="24"/>
  <c r="Q349" i="24"/>
  <c r="P349" i="24"/>
  <c r="O349" i="24"/>
  <c r="N349" i="24"/>
  <c r="M349" i="24"/>
  <c r="R349" i="24" s="1"/>
  <c r="S348" i="24"/>
  <c r="Q348" i="24"/>
  <c r="P348" i="24"/>
  <c r="O348" i="24"/>
  <c r="N348" i="24"/>
  <c r="M348" i="24"/>
  <c r="R348" i="24" s="1"/>
  <c r="S347" i="24"/>
  <c r="Q347" i="24"/>
  <c r="P347" i="24"/>
  <c r="O347" i="24"/>
  <c r="N347" i="24"/>
  <c r="M347" i="24"/>
  <c r="R347" i="24" s="1"/>
  <c r="S346" i="24"/>
  <c r="Q346" i="24"/>
  <c r="P346" i="24"/>
  <c r="O346" i="24"/>
  <c r="N346" i="24"/>
  <c r="M346" i="24"/>
  <c r="R346" i="24" s="1"/>
  <c r="S345" i="24"/>
  <c r="Q345" i="24"/>
  <c r="P345" i="24"/>
  <c r="O345" i="24"/>
  <c r="N345" i="24"/>
  <c r="M345" i="24"/>
  <c r="R345" i="24" s="1"/>
  <c r="S344" i="24"/>
  <c r="Q344" i="24"/>
  <c r="P344" i="24"/>
  <c r="O344" i="24"/>
  <c r="N344" i="24"/>
  <c r="M344" i="24"/>
  <c r="R344" i="24" s="1"/>
  <c r="S343" i="24"/>
  <c r="Q343" i="24"/>
  <c r="P343" i="24"/>
  <c r="O343" i="24"/>
  <c r="N343" i="24"/>
  <c r="M343" i="24"/>
  <c r="R343" i="24" s="1"/>
  <c r="S342" i="24"/>
  <c r="Q342" i="24"/>
  <c r="P342" i="24"/>
  <c r="O342" i="24"/>
  <c r="N342" i="24"/>
  <c r="M342" i="24"/>
  <c r="R342" i="24" s="1"/>
  <c r="S341" i="24"/>
  <c r="Q341" i="24"/>
  <c r="P341" i="24"/>
  <c r="O341" i="24"/>
  <c r="N341" i="24"/>
  <c r="M341" i="24"/>
  <c r="R341" i="24" s="1"/>
  <c r="S340" i="24"/>
  <c r="Q340" i="24"/>
  <c r="P340" i="24"/>
  <c r="O340" i="24"/>
  <c r="N340" i="24"/>
  <c r="M340" i="24"/>
  <c r="R340" i="24" s="1"/>
  <c r="S339" i="24"/>
  <c r="Q339" i="24"/>
  <c r="P339" i="24"/>
  <c r="O339" i="24"/>
  <c r="N339" i="24"/>
  <c r="M339" i="24"/>
  <c r="R339" i="24" s="1"/>
  <c r="S338" i="24"/>
  <c r="Q338" i="24"/>
  <c r="P338" i="24"/>
  <c r="O338" i="24"/>
  <c r="N338" i="24"/>
  <c r="M338" i="24"/>
  <c r="R338" i="24" s="1"/>
  <c r="S337" i="24"/>
  <c r="Q337" i="24"/>
  <c r="P337" i="24"/>
  <c r="O337" i="24"/>
  <c r="N337" i="24"/>
  <c r="M337" i="24"/>
  <c r="R337" i="24" s="1"/>
  <c r="S336" i="24"/>
  <c r="Q336" i="24"/>
  <c r="P336" i="24"/>
  <c r="O336" i="24"/>
  <c r="N336" i="24"/>
  <c r="M336" i="24"/>
  <c r="R336" i="24" s="1"/>
  <c r="S335" i="24"/>
  <c r="Q335" i="24"/>
  <c r="P335" i="24"/>
  <c r="O335" i="24"/>
  <c r="N335" i="24"/>
  <c r="M335" i="24"/>
  <c r="R335" i="24" s="1"/>
  <c r="S334" i="24"/>
  <c r="Q334" i="24"/>
  <c r="P334" i="24"/>
  <c r="O334" i="24"/>
  <c r="N334" i="24"/>
  <c r="M334" i="24"/>
  <c r="R334" i="24" s="1"/>
  <c r="S333" i="24"/>
  <c r="Q333" i="24"/>
  <c r="P333" i="24"/>
  <c r="O333" i="24"/>
  <c r="N333" i="24"/>
  <c r="M333" i="24"/>
  <c r="R333" i="24" s="1"/>
  <c r="S332" i="24"/>
  <c r="Q332" i="24"/>
  <c r="P332" i="24"/>
  <c r="O332" i="24"/>
  <c r="N332" i="24"/>
  <c r="M332" i="24"/>
  <c r="R332" i="24" s="1"/>
  <c r="S331" i="24"/>
  <c r="Q331" i="24"/>
  <c r="P331" i="24"/>
  <c r="O331" i="24"/>
  <c r="N331" i="24"/>
  <c r="M331" i="24"/>
  <c r="R331" i="24" s="1"/>
  <c r="S330" i="24"/>
  <c r="Q330" i="24"/>
  <c r="P330" i="24"/>
  <c r="O330" i="24"/>
  <c r="N330" i="24"/>
  <c r="M330" i="24"/>
  <c r="R330" i="24" s="1"/>
  <c r="S329" i="24"/>
  <c r="Q329" i="24"/>
  <c r="P329" i="24"/>
  <c r="O329" i="24"/>
  <c r="N329" i="24"/>
  <c r="M329" i="24"/>
  <c r="R329" i="24" s="1"/>
  <c r="S328" i="24"/>
  <c r="Q328" i="24"/>
  <c r="P328" i="24"/>
  <c r="O328" i="24"/>
  <c r="N328" i="24"/>
  <c r="M328" i="24"/>
  <c r="R328" i="24" s="1"/>
  <c r="S327" i="24"/>
  <c r="Q327" i="24"/>
  <c r="P327" i="24"/>
  <c r="O327" i="24"/>
  <c r="N327" i="24"/>
  <c r="M327" i="24"/>
  <c r="R327" i="24" s="1"/>
  <c r="S326" i="24"/>
  <c r="Q326" i="24"/>
  <c r="P326" i="24"/>
  <c r="O326" i="24"/>
  <c r="N326" i="24"/>
  <c r="M326" i="24"/>
  <c r="R326" i="24" s="1"/>
  <c r="S325" i="24"/>
  <c r="Q325" i="24"/>
  <c r="P325" i="24"/>
  <c r="O325" i="24"/>
  <c r="N325" i="24"/>
  <c r="M325" i="24"/>
  <c r="R325" i="24" s="1"/>
  <c r="S324" i="24"/>
  <c r="Q324" i="24"/>
  <c r="P324" i="24"/>
  <c r="O324" i="24"/>
  <c r="N324" i="24"/>
  <c r="M324" i="24"/>
  <c r="R324" i="24" s="1"/>
  <c r="S323" i="24"/>
  <c r="Q323" i="24"/>
  <c r="P323" i="24"/>
  <c r="O323" i="24"/>
  <c r="N323" i="24"/>
  <c r="M323" i="24"/>
  <c r="R323" i="24" s="1"/>
  <c r="S322" i="24"/>
  <c r="Q322" i="24"/>
  <c r="P322" i="24"/>
  <c r="O322" i="24"/>
  <c r="N322" i="24"/>
  <c r="M322" i="24"/>
  <c r="R322" i="24" s="1"/>
  <c r="S321" i="24"/>
  <c r="Q321" i="24"/>
  <c r="P321" i="24"/>
  <c r="O321" i="24"/>
  <c r="N321" i="24"/>
  <c r="M321" i="24"/>
  <c r="R321" i="24" s="1"/>
  <c r="S320" i="24"/>
  <c r="Q320" i="24"/>
  <c r="P320" i="24"/>
  <c r="O320" i="24"/>
  <c r="N320" i="24"/>
  <c r="M320" i="24"/>
  <c r="R320" i="24" s="1"/>
  <c r="S319" i="24"/>
  <c r="Q319" i="24"/>
  <c r="P319" i="24"/>
  <c r="O319" i="24"/>
  <c r="N319" i="24"/>
  <c r="M319" i="24"/>
  <c r="R319" i="24" s="1"/>
  <c r="S318" i="24"/>
  <c r="Q318" i="24"/>
  <c r="P318" i="24"/>
  <c r="O318" i="24"/>
  <c r="N318" i="24"/>
  <c r="M318" i="24"/>
  <c r="R318" i="24" s="1"/>
  <c r="S317" i="24"/>
  <c r="Q317" i="24"/>
  <c r="P317" i="24"/>
  <c r="O317" i="24"/>
  <c r="N317" i="24"/>
  <c r="M317" i="24"/>
  <c r="R317" i="24" s="1"/>
  <c r="S316" i="24"/>
  <c r="Q316" i="24"/>
  <c r="P316" i="24"/>
  <c r="O316" i="24"/>
  <c r="N316" i="24"/>
  <c r="M316" i="24"/>
  <c r="R316" i="24" s="1"/>
  <c r="S315" i="24"/>
  <c r="Q315" i="24"/>
  <c r="P315" i="24"/>
  <c r="O315" i="24"/>
  <c r="N315" i="24"/>
  <c r="M315" i="24"/>
  <c r="R315" i="24" s="1"/>
  <c r="S314" i="24"/>
  <c r="Q314" i="24"/>
  <c r="P314" i="24"/>
  <c r="O314" i="24"/>
  <c r="N314" i="24"/>
  <c r="M314" i="24"/>
  <c r="R314" i="24" s="1"/>
  <c r="S313" i="24"/>
  <c r="Q313" i="24"/>
  <c r="P313" i="24"/>
  <c r="O313" i="24"/>
  <c r="N313" i="24"/>
  <c r="M313" i="24"/>
  <c r="R313" i="24" s="1"/>
  <c r="S312" i="24"/>
  <c r="Q312" i="24"/>
  <c r="P312" i="24"/>
  <c r="O312" i="24"/>
  <c r="N312" i="24"/>
  <c r="M312" i="24"/>
  <c r="R312" i="24" s="1"/>
  <c r="S311" i="24"/>
  <c r="Q311" i="24"/>
  <c r="P311" i="24"/>
  <c r="O311" i="24"/>
  <c r="N311" i="24"/>
  <c r="M311" i="24"/>
  <c r="R311" i="24" s="1"/>
  <c r="S310" i="24"/>
  <c r="Q310" i="24"/>
  <c r="P310" i="24"/>
  <c r="O310" i="24"/>
  <c r="N310" i="24"/>
  <c r="M310" i="24"/>
  <c r="R310" i="24" s="1"/>
  <c r="S309" i="24"/>
  <c r="Q309" i="24"/>
  <c r="P309" i="24"/>
  <c r="O309" i="24"/>
  <c r="N309" i="24"/>
  <c r="M309" i="24"/>
  <c r="R309" i="24" s="1"/>
  <c r="S308" i="24"/>
  <c r="Q308" i="24"/>
  <c r="P308" i="24"/>
  <c r="O308" i="24"/>
  <c r="N308" i="24"/>
  <c r="M308" i="24"/>
  <c r="R308" i="24" s="1"/>
  <c r="S307" i="24"/>
  <c r="Q307" i="24"/>
  <c r="P307" i="24"/>
  <c r="O307" i="24"/>
  <c r="N307" i="24"/>
  <c r="M307" i="24"/>
  <c r="R307" i="24" s="1"/>
  <c r="S306" i="24"/>
  <c r="Q306" i="24"/>
  <c r="P306" i="24"/>
  <c r="O306" i="24"/>
  <c r="N306" i="24"/>
  <c r="M306" i="24"/>
  <c r="R306" i="24" s="1"/>
  <c r="S305" i="24"/>
  <c r="Q305" i="24"/>
  <c r="P305" i="24"/>
  <c r="O305" i="24"/>
  <c r="N305" i="24"/>
  <c r="M305" i="24"/>
  <c r="R305" i="24" s="1"/>
  <c r="S304" i="24"/>
  <c r="Q304" i="24"/>
  <c r="P304" i="24"/>
  <c r="O304" i="24"/>
  <c r="N304" i="24"/>
  <c r="M304" i="24"/>
  <c r="R304" i="24" s="1"/>
  <c r="S303" i="24"/>
  <c r="Q303" i="24"/>
  <c r="P303" i="24"/>
  <c r="O303" i="24"/>
  <c r="N303" i="24"/>
  <c r="M303" i="24"/>
  <c r="R303" i="24" s="1"/>
  <c r="S302" i="24"/>
  <c r="Q302" i="24"/>
  <c r="P302" i="24"/>
  <c r="O302" i="24"/>
  <c r="N302" i="24"/>
  <c r="M302" i="24"/>
  <c r="R302" i="24" s="1"/>
  <c r="S301" i="24"/>
  <c r="Q301" i="24"/>
  <c r="P301" i="24"/>
  <c r="O301" i="24"/>
  <c r="N301" i="24"/>
  <c r="M301" i="24"/>
  <c r="R301" i="24" s="1"/>
  <c r="S300" i="24"/>
  <c r="Q300" i="24"/>
  <c r="P300" i="24"/>
  <c r="O300" i="24"/>
  <c r="N300" i="24"/>
  <c r="M300" i="24"/>
  <c r="R300" i="24" s="1"/>
  <c r="S299" i="24"/>
  <c r="Q299" i="24"/>
  <c r="P299" i="24"/>
  <c r="O299" i="24"/>
  <c r="N299" i="24"/>
  <c r="M299" i="24"/>
  <c r="R299" i="24" s="1"/>
  <c r="S298" i="24"/>
  <c r="Q298" i="24"/>
  <c r="P298" i="24"/>
  <c r="O298" i="24"/>
  <c r="N298" i="24"/>
  <c r="M298" i="24"/>
  <c r="R298" i="24" s="1"/>
  <c r="S297" i="24"/>
  <c r="Q297" i="24"/>
  <c r="P297" i="24"/>
  <c r="O297" i="24"/>
  <c r="N297" i="24"/>
  <c r="M297" i="24"/>
  <c r="R297" i="24" s="1"/>
  <c r="S296" i="24"/>
  <c r="Q296" i="24"/>
  <c r="P296" i="24"/>
  <c r="O296" i="24"/>
  <c r="N296" i="24"/>
  <c r="M296" i="24"/>
  <c r="R296" i="24" s="1"/>
  <c r="S295" i="24"/>
  <c r="Q295" i="24"/>
  <c r="P295" i="24"/>
  <c r="O295" i="24"/>
  <c r="N295" i="24"/>
  <c r="M295" i="24"/>
  <c r="R295" i="24" s="1"/>
  <c r="S294" i="24"/>
  <c r="Q294" i="24"/>
  <c r="P294" i="24"/>
  <c r="O294" i="24"/>
  <c r="N294" i="24"/>
  <c r="M294" i="24"/>
  <c r="R294" i="24" s="1"/>
  <c r="S293" i="24"/>
  <c r="Q293" i="24"/>
  <c r="P293" i="24"/>
  <c r="O293" i="24"/>
  <c r="N293" i="24"/>
  <c r="M293" i="24"/>
  <c r="R293" i="24" s="1"/>
  <c r="S292" i="24"/>
  <c r="Q292" i="24"/>
  <c r="P292" i="24"/>
  <c r="O292" i="24"/>
  <c r="N292" i="24"/>
  <c r="M292" i="24"/>
  <c r="R292" i="24" s="1"/>
  <c r="S291" i="24"/>
  <c r="Q291" i="24"/>
  <c r="P291" i="24"/>
  <c r="O291" i="24"/>
  <c r="N291" i="24"/>
  <c r="M291" i="24"/>
  <c r="R291" i="24" s="1"/>
  <c r="S290" i="24"/>
  <c r="Q290" i="24"/>
  <c r="P290" i="24"/>
  <c r="O290" i="24"/>
  <c r="N290" i="24"/>
  <c r="M290" i="24"/>
  <c r="R290" i="24" s="1"/>
  <c r="S289" i="24"/>
  <c r="Q289" i="24"/>
  <c r="P289" i="24"/>
  <c r="O289" i="24"/>
  <c r="N289" i="24"/>
  <c r="M289" i="24"/>
  <c r="R289" i="24" s="1"/>
  <c r="S288" i="24"/>
  <c r="Q288" i="24"/>
  <c r="P288" i="24"/>
  <c r="O288" i="24"/>
  <c r="N288" i="24"/>
  <c r="M288" i="24"/>
  <c r="R288" i="24" s="1"/>
  <c r="S287" i="24"/>
  <c r="Q287" i="24"/>
  <c r="P287" i="24"/>
  <c r="O287" i="24"/>
  <c r="N287" i="24"/>
  <c r="M287" i="24"/>
  <c r="R287" i="24" s="1"/>
  <c r="S286" i="24"/>
  <c r="Q286" i="24"/>
  <c r="P286" i="24"/>
  <c r="O286" i="24"/>
  <c r="N286" i="24"/>
  <c r="M286" i="24"/>
  <c r="R286" i="24" s="1"/>
  <c r="S285" i="24"/>
  <c r="R285" i="24"/>
  <c r="Q285" i="24"/>
  <c r="P285" i="24"/>
  <c r="O285" i="24"/>
  <c r="N285" i="24"/>
  <c r="S284" i="24"/>
  <c r="Q284" i="24"/>
  <c r="P284" i="24"/>
  <c r="O284" i="24"/>
  <c r="N284" i="24"/>
  <c r="M284" i="24"/>
  <c r="R284" i="24" s="1"/>
  <c r="S283" i="24"/>
  <c r="Q283" i="24"/>
  <c r="P283" i="24"/>
  <c r="O283" i="24"/>
  <c r="N283" i="24"/>
  <c r="M283" i="24"/>
  <c r="R283" i="24" s="1"/>
  <c r="S282" i="24"/>
  <c r="Q282" i="24"/>
  <c r="P282" i="24"/>
  <c r="O282" i="24"/>
  <c r="N282" i="24"/>
  <c r="M282" i="24"/>
  <c r="R282" i="24" s="1"/>
  <c r="S281" i="24"/>
  <c r="Q281" i="24"/>
  <c r="P281" i="24"/>
  <c r="O281" i="24"/>
  <c r="N281" i="24"/>
  <c r="M281" i="24"/>
  <c r="R281" i="24" s="1"/>
  <c r="S280" i="24"/>
  <c r="Q280" i="24"/>
  <c r="P280" i="24"/>
  <c r="O280" i="24"/>
  <c r="N280" i="24"/>
  <c r="M280" i="24"/>
  <c r="R280" i="24" s="1"/>
  <c r="S279" i="24"/>
  <c r="Q279" i="24"/>
  <c r="P279" i="24"/>
  <c r="O279" i="24"/>
  <c r="N279" i="24"/>
  <c r="M279" i="24"/>
  <c r="R279" i="24" s="1"/>
  <c r="S278" i="24"/>
  <c r="Q278" i="24"/>
  <c r="P278" i="24"/>
  <c r="O278" i="24"/>
  <c r="N278" i="24"/>
  <c r="M278" i="24"/>
  <c r="R278" i="24" s="1"/>
  <c r="S277" i="24"/>
  <c r="Q277" i="24"/>
  <c r="P277" i="24"/>
  <c r="O277" i="24"/>
  <c r="N277" i="24"/>
  <c r="M277" i="24"/>
  <c r="R277" i="24" s="1"/>
  <c r="S276" i="24"/>
  <c r="Q276" i="24"/>
  <c r="P276" i="24"/>
  <c r="O276" i="24"/>
  <c r="N276" i="24"/>
  <c r="M276" i="24"/>
  <c r="R276" i="24" s="1"/>
  <c r="S275" i="24"/>
  <c r="Q275" i="24"/>
  <c r="P275" i="24"/>
  <c r="O275" i="24"/>
  <c r="N275" i="24"/>
  <c r="M275" i="24"/>
  <c r="R275" i="24" s="1"/>
  <c r="S274" i="24"/>
  <c r="Q274" i="24"/>
  <c r="P274" i="24"/>
  <c r="O274" i="24"/>
  <c r="N274" i="24"/>
  <c r="M274" i="24"/>
  <c r="R274" i="24" s="1"/>
  <c r="S273" i="24"/>
  <c r="Q273" i="24"/>
  <c r="P273" i="24"/>
  <c r="O273" i="24"/>
  <c r="N273" i="24"/>
  <c r="M273" i="24"/>
  <c r="R273" i="24" s="1"/>
  <c r="S272" i="24"/>
  <c r="Q272" i="24"/>
  <c r="P272" i="24"/>
  <c r="O272" i="24"/>
  <c r="N272" i="24"/>
  <c r="M272" i="24"/>
  <c r="R272" i="24" s="1"/>
  <c r="S271" i="24"/>
  <c r="Q271" i="24"/>
  <c r="P271" i="24"/>
  <c r="O271" i="24"/>
  <c r="N271" i="24"/>
  <c r="M271" i="24"/>
  <c r="R271" i="24" s="1"/>
  <c r="S270" i="24"/>
  <c r="Q270" i="24"/>
  <c r="P270" i="24"/>
  <c r="O270" i="24"/>
  <c r="N270" i="24"/>
  <c r="M270" i="24"/>
  <c r="R270" i="24" s="1"/>
  <c r="S269" i="24"/>
  <c r="Q269" i="24"/>
  <c r="P269" i="24"/>
  <c r="O269" i="24"/>
  <c r="N269" i="24"/>
  <c r="M269" i="24"/>
  <c r="R269" i="24" s="1"/>
  <c r="S268" i="24"/>
  <c r="Q268" i="24"/>
  <c r="P268" i="24"/>
  <c r="O268" i="24"/>
  <c r="N268" i="24"/>
  <c r="M268" i="24"/>
  <c r="R268" i="24" s="1"/>
  <c r="S267" i="24"/>
  <c r="Q267" i="24"/>
  <c r="P267" i="24"/>
  <c r="O267" i="24"/>
  <c r="N267" i="24"/>
  <c r="M267" i="24"/>
  <c r="R267" i="24" s="1"/>
  <c r="S266" i="24"/>
  <c r="Q266" i="24"/>
  <c r="P266" i="24"/>
  <c r="O266" i="24"/>
  <c r="N266" i="24"/>
  <c r="M266" i="24"/>
  <c r="R266" i="24" s="1"/>
  <c r="S265" i="24"/>
  <c r="Q265" i="24"/>
  <c r="P265" i="24"/>
  <c r="O265" i="24"/>
  <c r="N265" i="24"/>
  <c r="M265" i="24"/>
  <c r="R265" i="24" s="1"/>
  <c r="S264" i="24"/>
  <c r="Q264" i="24"/>
  <c r="P264" i="24"/>
  <c r="O264" i="24"/>
  <c r="N264" i="24"/>
  <c r="M264" i="24"/>
  <c r="R264" i="24" s="1"/>
  <c r="S263" i="24"/>
  <c r="Q263" i="24"/>
  <c r="P263" i="24"/>
  <c r="O263" i="24"/>
  <c r="N263" i="24"/>
  <c r="M263" i="24"/>
  <c r="R263" i="24" s="1"/>
  <c r="S262" i="24"/>
  <c r="Q262" i="24"/>
  <c r="P262" i="24"/>
  <c r="O262" i="24"/>
  <c r="N262" i="24"/>
  <c r="M262" i="24"/>
  <c r="R262" i="24" s="1"/>
  <c r="S261" i="24"/>
  <c r="Q261" i="24"/>
  <c r="P261" i="24"/>
  <c r="O261" i="24"/>
  <c r="N261" i="24"/>
  <c r="M261" i="24"/>
  <c r="R261" i="24" s="1"/>
  <c r="S260" i="24"/>
  <c r="Q260" i="24"/>
  <c r="P260" i="24"/>
  <c r="O260" i="24"/>
  <c r="N260" i="24"/>
  <c r="M260" i="24"/>
  <c r="R260" i="24" s="1"/>
  <c r="S259" i="24"/>
  <c r="Q259" i="24"/>
  <c r="P259" i="24"/>
  <c r="O259" i="24"/>
  <c r="N259" i="24"/>
  <c r="M259" i="24"/>
  <c r="R259" i="24" s="1"/>
  <c r="S258" i="24"/>
  <c r="Q258" i="24"/>
  <c r="P258" i="24"/>
  <c r="O258" i="24"/>
  <c r="N258" i="24"/>
  <c r="M258" i="24"/>
  <c r="R258" i="24" s="1"/>
  <c r="S257" i="24"/>
  <c r="Q257" i="24"/>
  <c r="P257" i="24"/>
  <c r="O257" i="24"/>
  <c r="N257" i="24"/>
  <c r="M257" i="24"/>
  <c r="R257" i="24" s="1"/>
  <c r="S256" i="24"/>
  <c r="Q256" i="24"/>
  <c r="P256" i="24"/>
  <c r="O256" i="24"/>
  <c r="N256" i="24"/>
  <c r="M256" i="24"/>
  <c r="R256" i="24" s="1"/>
  <c r="S255" i="24"/>
  <c r="Q255" i="24"/>
  <c r="P255" i="24"/>
  <c r="O255" i="24"/>
  <c r="N255" i="24"/>
  <c r="M255" i="24"/>
  <c r="R255" i="24" s="1"/>
  <c r="S254" i="24"/>
  <c r="Q254" i="24"/>
  <c r="P254" i="24"/>
  <c r="O254" i="24"/>
  <c r="N254" i="24"/>
  <c r="M254" i="24"/>
  <c r="R254" i="24" s="1"/>
  <c r="S253" i="24"/>
  <c r="Q253" i="24"/>
  <c r="P253" i="24"/>
  <c r="O253" i="24"/>
  <c r="N253" i="24"/>
  <c r="M253" i="24"/>
  <c r="R253" i="24" s="1"/>
  <c r="S252" i="24"/>
  <c r="Q252" i="24"/>
  <c r="P252" i="24"/>
  <c r="O252" i="24"/>
  <c r="N252" i="24"/>
  <c r="M252" i="24"/>
  <c r="R252" i="24" s="1"/>
  <c r="S251" i="24"/>
  <c r="Q251" i="24"/>
  <c r="P251" i="24"/>
  <c r="O251" i="24"/>
  <c r="N251" i="24"/>
  <c r="M251" i="24"/>
  <c r="R251" i="24" s="1"/>
  <c r="S250" i="24"/>
  <c r="Q250" i="24"/>
  <c r="P250" i="24"/>
  <c r="O250" i="24"/>
  <c r="N250" i="24"/>
  <c r="M250" i="24"/>
  <c r="R250" i="24" s="1"/>
  <c r="S249" i="24"/>
  <c r="Q249" i="24"/>
  <c r="P249" i="24"/>
  <c r="O249" i="24"/>
  <c r="N249" i="24"/>
  <c r="M249" i="24"/>
  <c r="R249" i="24" s="1"/>
  <c r="S248" i="24"/>
  <c r="Q248" i="24"/>
  <c r="P248" i="24"/>
  <c r="O248" i="24"/>
  <c r="N248" i="24"/>
  <c r="M248" i="24"/>
  <c r="R248" i="24" s="1"/>
  <c r="S247" i="24"/>
  <c r="R247" i="24"/>
  <c r="Q247" i="24"/>
  <c r="P247" i="24"/>
  <c r="O247" i="24"/>
  <c r="N247" i="24"/>
  <c r="S246" i="24"/>
  <c r="Q246" i="24"/>
  <c r="P246" i="24"/>
  <c r="O246" i="24"/>
  <c r="N246" i="24"/>
  <c r="M246" i="24"/>
  <c r="R246" i="24" s="1"/>
  <c r="S245" i="24"/>
  <c r="Q245" i="24"/>
  <c r="P245" i="24"/>
  <c r="O245" i="24"/>
  <c r="N245" i="24"/>
  <c r="M245" i="24"/>
  <c r="R245" i="24" s="1"/>
  <c r="S244" i="24"/>
  <c r="Q244" i="24"/>
  <c r="P244" i="24"/>
  <c r="O244" i="24"/>
  <c r="N244" i="24"/>
  <c r="M244" i="24"/>
  <c r="R244" i="24" s="1"/>
  <c r="S243" i="24"/>
  <c r="Q243" i="24"/>
  <c r="P243" i="24"/>
  <c r="O243" i="24"/>
  <c r="N243" i="24"/>
  <c r="M243" i="24"/>
  <c r="R243" i="24" s="1"/>
  <c r="S242" i="24"/>
  <c r="Q242" i="24"/>
  <c r="P242" i="24"/>
  <c r="O242" i="24"/>
  <c r="N242" i="24"/>
  <c r="M242" i="24"/>
  <c r="R242" i="24" s="1"/>
  <c r="S241" i="24"/>
  <c r="Q241" i="24"/>
  <c r="P241" i="24"/>
  <c r="O241" i="24"/>
  <c r="N241" i="24"/>
  <c r="M241" i="24"/>
  <c r="R241" i="24" s="1"/>
  <c r="S240" i="24"/>
  <c r="Q240" i="24"/>
  <c r="P240" i="24"/>
  <c r="O240" i="24"/>
  <c r="N240" i="24"/>
  <c r="M240" i="24"/>
  <c r="R240" i="24" s="1"/>
  <c r="S239" i="24"/>
  <c r="Q239" i="24"/>
  <c r="P239" i="24"/>
  <c r="O239" i="24"/>
  <c r="N239" i="24"/>
  <c r="M239" i="24"/>
  <c r="R239" i="24" s="1"/>
  <c r="S238" i="24"/>
  <c r="Q238" i="24"/>
  <c r="P238" i="24"/>
  <c r="O238" i="24"/>
  <c r="N238" i="24"/>
  <c r="M238" i="24"/>
  <c r="R238" i="24" s="1"/>
  <c r="S237" i="24"/>
  <c r="Q237" i="24"/>
  <c r="P237" i="24"/>
  <c r="O237" i="24"/>
  <c r="N237" i="24"/>
  <c r="M237" i="24"/>
  <c r="R237" i="24" s="1"/>
  <c r="S236" i="24"/>
  <c r="Q236" i="24"/>
  <c r="P236" i="24"/>
  <c r="O236" i="24"/>
  <c r="N236" i="24"/>
  <c r="M236" i="24"/>
  <c r="R236" i="24" s="1"/>
  <c r="S235" i="24"/>
  <c r="Q235" i="24"/>
  <c r="P235" i="24"/>
  <c r="O235" i="24"/>
  <c r="N235" i="24"/>
  <c r="M235" i="24"/>
  <c r="R235" i="24" s="1"/>
  <c r="S234" i="24"/>
  <c r="Q234" i="24"/>
  <c r="P234" i="24"/>
  <c r="O234" i="24"/>
  <c r="N234" i="24"/>
  <c r="M234" i="24"/>
  <c r="R234" i="24" s="1"/>
  <c r="S233" i="24"/>
  <c r="Q233" i="24"/>
  <c r="P233" i="24"/>
  <c r="O233" i="24"/>
  <c r="N233" i="24"/>
  <c r="M233" i="24"/>
  <c r="R233" i="24" s="1"/>
  <c r="S232" i="24"/>
  <c r="Q232" i="24"/>
  <c r="P232" i="24"/>
  <c r="O232" i="24"/>
  <c r="N232" i="24"/>
  <c r="M232" i="24"/>
  <c r="R232" i="24" s="1"/>
  <c r="S231" i="24"/>
  <c r="Q231" i="24"/>
  <c r="P231" i="24"/>
  <c r="O231" i="24"/>
  <c r="N231" i="24"/>
  <c r="M231" i="24"/>
  <c r="R231" i="24" s="1"/>
  <c r="S230" i="24"/>
  <c r="R230" i="24"/>
  <c r="Q230" i="24"/>
  <c r="P230" i="24"/>
  <c r="O230" i="24"/>
  <c r="N230" i="24"/>
  <c r="S229" i="24"/>
  <c r="Q229" i="24"/>
  <c r="P229" i="24"/>
  <c r="O229" i="24"/>
  <c r="N229" i="24"/>
  <c r="M229" i="24"/>
  <c r="R229" i="24" s="1"/>
  <c r="S228" i="24"/>
  <c r="Q228" i="24"/>
  <c r="P228" i="24"/>
  <c r="O228" i="24"/>
  <c r="N228" i="24"/>
  <c r="M228" i="24"/>
  <c r="R228" i="24" s="1"/>
  <c r="S227" i="24"/>
  <c r="Q227" i="24"/>
  <c r="P227" i="24"/>
  <c r="O227" i="24"/>
  <c r="N227" i="24"/>
  <c r="M227" i="24"/>
  <c r="R227" i="24" s="1"/>
  <c r="S226" i="24"/>
  <c r="Q226" i="24"/>
  <c r="P226" i="24"/>
  <c r="O226" i="24"/>
  <c r="N226" i="24"/>
  <c r="M226" i="24"/>
  <c r="R226" i="24" s="1"/>
  <c r="S225" i="24"/>
  <c r="Q225" i="24"/>
  <c r="P225" i="24"/>
  <c r="O225" i="24"/>
  <c r="N225" i="24"/>
  <c r="M225" i="24"/>
  <c r="R225" i="24" s="1"/>
  <c r="S224" i="24"/>
  <c r="Q224" i="24"/>
  <c r="P224" i="24"/>
  <c r="O224" i="24"/>
  <c r="N224" i="24"/>
  <c r="M224" i="24"/>
  <c r="R224" i="24" s="1"/>
  <c r="S223" i="24"/>
  <c r="Q223" i="24"/>
  <c r="P223" i="24"/>
  <c r="O223" i="24"/>
  <c r="N223" i="24"/>
  <c r="M223" i="24"/>
  <c r="R223" i="24" s="1"/>
  <c r="S222" i="24"/>
  <c r="Q222" i="24"/>
  <c r="P222" i="24"/>
  <c r="O222" i="24"/>
  <c r="N222" i="24"/>
  <c r="M222" i="24"/>
  <c r="R222" i="24" s="1"/>
  <c r="S221" i="24"/>
  <c r="Q221" i="24"/>
  <c r="P221" i="24"/>
  <c r="O221" i="24"/>
  <c r="N221" i="24"/>
  <c r="M221" i="24"/>
  <c r="R221" i="24" s="1"/>
  <c r="S220" i="24"/>
  <c r="Q220" i="24"/>
  <c r="P220" i="24"/>
  <c r="O220" i="24"/>
  <c r="N220" i="24"/>
  <c r="M220" i="24"/>
  <c r="R220" i="24" s="1"/>
  <c r="S219" i="24"/>
  <c r="Q219" i="24"/>
  <c r="P219" i="24"/>
  <c r="O219" i="24"/>
  <c r="N219" i="24"/>
  <c r="M219" i="24"/>
  <c r="R219" i="24" s="1"/>
  <c r="S218" i="24"/>
  <c r="Q218" i="24"/>
  <c r="P218" i="24"/>
  <c r="O218" i="24"/>
  <c r="N218" i="24"/>
  <c r="M218" i="24"/>
  <c r="R218" i="24" s="1"/>
  <c r="S217" i="24"/>
  <c r="Q217" i="24"/>
  <c r="P217" i="24"/>
  <c r="O217" i="24"/>
  <c r="N217" i="24"/>
  <c r="M217" i="24"/>
  <c r="R217" i="24" s="1"/>
  <c r="S216" i="24"/>
  <c r="Q216" i="24"/>
  <c r="P216" i="24"/>
  <c r="O216" i="24"/>
  <c r="N216" i="24"/>
  <c r="M216" i="24"/>
  <c r="R216" i="24" s="1"/>
  <c r="S215" i="24"/>
  <c r="Q215" i="24"/>
  <c r="P215" i="24"/>
  <c r="O215" i="24"/>
  <c r="N215" i="24"/>
  <c r="M215" i="24"/>
  <c r="R215" i="24" s="1"/>
  <c r="S214" i="24"/>
  <c r="Q214" i="24"/>
  <c r="P214" i="24"/>
  <c r="O214" i="24"/>
  <c r="N214" i="24"/>
  <c r="M214" i="24"/>
  <c r="R214" i="24" s="1"/>
  <c r="S213" i="24"/>
  <c r="Q213" i="24"/>
  <c r="P213" i="24"/>
  <c r="O213" i="24"/>
  <c r="N213" i="24"/>
  <c r="M213" i="24"/>
  <c r="R213" i="24" s="1"/>
  <c r="S212" i="24"/>
  <c r="Q212" i="24"/>
  <c r="P212" i="24"/>
  <c r="O212" i="24"/>
  <c r="N212" i="24"/>
  <c r="M212" i="24"/>
  <c r="R212" i="24" s="1"/>
  <c r="S211" i="24"/>
  <c r="Q211" i="24"/>
  <c r="P211" i="24"/>
  <c r="O211" i="24"/>
  <c r="N211" i="24"/>
  <c r="M211" i="24"/>
  <c r="R211" i="24" s="1"/>
  <c r="S210" i="24"/>
  <c r="Q210" i="24"/>
  <c r="P210" i="24"/>
  <c r="O210" i="24"/>
  <c r="N210" i="24"/>
  <c r="M210" i="24"/>
  <c r="R210" i="24" s="1"/>
  <c r="S209" i="24"/>
  <c r="Q209" i="24"/>
  <c r="P209" i="24"/>
  <c r="O209" i="24"/>
  <c r="N209" i="24"/>
  <c r="M209" i="24"/>
  <c r="R209" i="24" s="1"/>
  <c r="S208" i="24"/>
  <c r="Q208" i="24"/>
  <c r="P208" i="24"/>
  <c r="O208" i="24"/>
  <c r="N208" i="24"/>
  <c r="M208" i="24"/>
  <c r="R208" i="24" s="1"/>
  <c r="S207" i="24"/>
  <c r="Q207" i="24"/>
  <c r="P207" i="24"/>
  <c r="O207" i="24"/>
  <c r="N207" i="24"/>
  <c r="M207" i="24"/>
  <c r="R207" i="24" s="1"/>
  <c r="S206" i="24"/>
  <c r="R206" i="24"/>
  <c r="Q206" i="24"/>
  <c r="P206" i="24"/>
  <c r="O206" i="24"/>
  <c r="N206" i="24"/>
  <c r="S205" i="24"/>
  <c r="Q205" i="24"/>
  <c r="P205" i="24"/>
  <c r="O205" i="24"/>
  <c r="N205" i="24"/>
  <c r="M205" i="24"/>
  <c r="R205" i="24" s="1"/>
  <c r="S204" i="24"/>
  <c r="Q204" i="24"/>
  <c r="P204" i="24"/>
  <c r="O204" i="24"/>
  <c r="N204" i="24"/>
  <c r="M204" i="24"/>
  <c r="R204" i="24" s="1"/>
  <c r="S203" i="24"/>
  <c r="Q203" i="24"/>
  <c r="P203" i="24"/>
  <c r="O203" i="24"/>
  <c r="N203" i="24"/>
  <c r="M203" i="24"/>
  <c r="R203" i="24" s="1"/>
  <c r="S202" i="24"/>
  <c r="Q202" i="24"/>
  <c r="P202" i="24"/>
  <c r="O202" i="24"/>
  <c r="N202" i="24"/>
  <c r="M202" i="24"/>
  <c r="R202" i="24" s="1"/>
  <c r="S201" i="24"/>
  <c r="Q201" i="24"/>
  <c r="P201" i="24"/>
  <c r="O201" i="24"/>
  <c r="N201" i="24"/>
  <c r="M201" i="24"/>
  <c r="R201" i="24" s="1"/>
  <c r="S200" i="24"/>
  <c r="Q200" i="24"/>
  <c r="P200" i="24"/>
  <c r="O200" i="24"/>
  <c r="N200" i="24"/>
  <c r="M200" i="24"/>
  <c r="R200" i="24" s="1"/>
  <c r="S199" i="24"/>
  <c r="Q199" i="24"/>
  <c r="P199" i="24"/>
  <c r="O199" i="24"/>
  <c r="N199" i="24"/>
  <c r="M199" i="24"/>
  <c r="R199" i="24" s="1"/>
  <c r="S198" i="24"/>
  <c r="Q198" i="24"/>
  <c r="P198" i="24"/>
  <c r="O198" i="24"/>
  <c r="N198" i="24"/>
  <c r="M198" i="24"/>
  <c r="R198" i="24" s="1"/>
  <c r="S197" i="24"/>
  <c r="Q197" i="24"/>
  <c r="P197" i="24"/>
  <c r="O197" i="24"/>
  <c r="N197" i="24"/>
  <c r="M197" i="24"/>
  <c r="R197" i="24" s="1"/>
  <c r="S196" i="24"/>
  <c r="Q196" i="24"/>
  <c r="P196" i="24"/>
  <c r="O196" i="24"/>
  <c r="N196" i="24"/>
  <c r="M196" i="24"/>
  <c r="R196" i="24" s="1"/>
  <c r="S195" i="24"/>
  <c r="Q195" i="24"/>
  <c r="P195" i="24"/>
  <c r="O195" i="24"/>
  <c r="N195" i="24"/>
  <c r="M195" i="24"/>
  <c r="R195" i="24" s="1"/>
  <c r="S194" i="24"/>
  <c r="Q194" i="24"/>
  <c r="P194" i="24"/>
  <c r="O194" i="24"/>
  <c r="N194" i="24"/>
  <c r="M194" i="24"/>
  <c r="R194" i="24" s="1"/>
  <c r="S193" i="24"/>
  <c r="Q193" i="24"/>
  <c r="P193" i="24"/>
  <c r="O193" i="24"/>
  <c r="N193" i="24"/>
  <c r="M193" i="24"/>
  <c r="R193" i="24" s="1"/>
  <c r="S192" i="24"/>
  <c r="Q192" i="24"/>
  <c r="P192" i="24"/>
  <c r="O192" i="24"/>
  <c r="N192" i="24"/>
  <c r="M192" i="24"/>
  <c r="R192" i="24" s="1"/>
  <c r="S191" i="24"/>
  <c r="Q191" i="24"/>
  <c r="P191" i="24"/>
  <c r="O191" i="24"/>
  <c r="N191" i="24"/>
  <c r="M191" i="24"/>
  <c r="R191" i="24" s="1"/>
  <c r="S190" i="24"/>
  <c r="Q190" i="24"/>
  <c r="P190" i="24"/>
  <c r="O190" i="24"/>
  <c r="N190" i="24"/>
  <c r="M190" i="24"/>
  <c r="R190" i="24" s="1"/>
  <c r="S189" i="24"/>
  <c r="Q189" i="24"/>
  <c r="P189" i="24"/>
  <c r="O189" i="24"/>
  <c r="N189" i="24"/>
  <c r="M189" i="24"/>
  <c r="R189" i="24" s="1"/>
  <c r="S188" i="24"/>
  <c r="Q188" i="24"/>
  <c r="P188" i="24"/>
  <c r="O188" i="24"/>
  <c r="N188" i="24"/>
  <c r="M188" i="24"/>
  <c r="R188" i="24" s="1"/>
  <c r="S187" i="24"/>
  <c r="Q187" i="24"/>
  <c r="P187" i="24"/>
  <c r="O187" i="24"/>
  <c r="N187" i="24"/>
  <c r="M187" i="24"/>
  <c r="R187" i="24" s="1"/>
  <c r="S186" i="24"/>
  <c r="Q186" i="24"/>
  <c r="P186" i="24"/>
  <c r="O186" i="24"/>
  <c r="N186" i="24"/>
  <c r="M186" i="24"/>
  <c r="R186" i="24" s="1"/>
  <c r="S185" i="24"/>
  <c r="Q185" i="24"/>
  <c r="P185" i="24"/>
  <c r="O185" i="24"/>
  <c r="N185" i="24"/>
  <c r="M185" i="24"/>
  <c r="R185" i="24" s="1"/>
  <c r="S184" i="24"/>
  <c r="Q184" i="24"/>
  <c r="P184" i="24"/>
  <c r="O184" i="24"/>
  <c r="N184" i="24"/>
  <c r="M184" i="24"/>
  <c r="R184" i="24" s="1"/>
  <c r="S183" i="24"/>
  <c r="Q183" i="24"/>
  <c r="P183" i="24"/>
  <c r="O183" i="24"/>
  <c r="N183" i="24"/>
  <c r="M183" i="24"/>
  <c r="R183" i="24" s="1"/>
  <c r="S182" i="24"/>
  <c r="Q182" i="24"/>
  <c r="P182" i="24"/>
  <c r="O182" i="24"/>
  <c r="N182" i="24"/>
  <c r="M182" i="24"/>
  <c r="R182" i="24" s="1"/>
  <c r="S181" i="24"/>
  <c r="Q181" i="24"/>
  <c r="P181" i="24"/>
  <c r="O181" i="24"/>
  <c r="N181" i="24"/>
  <c r="M181" i="24"/>
  <c r="R181" i="24" s="1"/>
  <c r="S180" i="24"/>
  <c r="Q180" i="24"/>
  <c r="P180" i="24"/>
  <c r="O180" i="24"/>
  <c r="N180" i="24"/>
  <c r="M180" i="24"/>
  <c r="R180" i="24" s="1"/>
  <c r="S179" i="24"/>
  <c r="Q179" i="24"/>
  <c r="P179" i="24"/>
  <c r="O179" i="24"/>
  <c r="N179" i="24"/>
  <c r="M179" i="24"/>
  <c r="R179" i="24" s="1"/>
  <c r="S178" i="24"/>
  <c r="Q178" i="24"/>
  <c r="P178" i="24"/>
  <c r="O178" i="24"/>
  <c r="N178" i="24"/>
  <c r="M178" i="24"/>
  <c r="R178" i="24" s="1"/>
  <c r="S177" i="24"/>
  <c r="Q177" i="24"/>
  <c r="P177" i="24"/>
  <c r="O177" i="24"/>
  <c r="N177" i="24"/>
  <c r="M177" i="24"/>
  <c r="R177" i="24" s="1"/>
  <c r="S176" i="24"/>
  <c r="Q176" i="24"/>
  <c r="P176" i="24"/>
  <c r="O176" i="24"/>
  <c r="N176" i="24"/>
  <c r="M176" i="24"/>
  <c r="R176" i="24" s="1"/>
  <c r="S175" i="24"/>
  <c r="Q175" i="24"/>
  <c r="P175" i="24"/>
  <c r="O175" i="24"/>
  <c r="N175" i="24"/>
  <c r="M175" i="24"/>
  <c r="R175" i="24" s="1"/>
  <c r="S174" i="24"/>
  <c r="Q174" i="24"/>
  <c r="P174" i="24"/>
  <c r="O174" i="24"/>
  <c r="N174" i="24"/>
  <c r="M174" i="24"/>
  <c r="R174" i="24" s="1"/>
  <c r="S173" i="24"/>
  <c r="Q173" i="24"/>
  <c r="P173" i="24"/>
  <c r="O173" i="24"/>
  <c r="N173" i="24"/>
  <c r="M173" i="24"/>
  <c r="R173" i="24" s="1"/>
  <c r="S172" i="24"/>
  <c r="Q172" i="24"/>
  <c r="P172" i="24"/>
  <c r="O172" i="24"/>
  <c r="N172" i="24"/>
  <c r="M172" i="24"/>
  <c r="R172" i="24" s="1"/>
  <c r="S171" i="24"/>
  <c r="Q171" i="24"/>
  <c r="P171" i="24"/>
  <c r="O171" i="24"/>
  <c r="N171" i="24"/>
  <c r="M171" i="24"/>
  <c r="R171" i="24" s="1"/>
  <c r="S170" i="24"/>
  <c r="Q170" i="24"/>
  <c r="P170" i="24"/>
  <c r="O170" i="24"/>
  <c r="N170" i="24"/>
  <c r="M170" i="24"/>
  <c r="R170" i="24" s="1"/>
  <c r="S169" i="24"/>
  <c r="Q169" i="24"/>
  <c r="P169" i="24"/>
  <c r="O169" i="24"/>
  <c r="N169" i="24"/>
  <c r="M169" i="24"/>
  <c r="R169" i="24" s="1"/>
  <c r="S168" i="24"/>
  <c r="Q168" i="24"/>
  <c r="P168" i="24"/>
  <c r="O168" i="24"/>
  <c r="N168" i="24"/>
  <c r="M168" i="24"/>
  <c r="R168" i="24" s="1"/>
  <c r="S167" i="24"/>
  <c r="Q167" i="24"/>
  <c r="P167" i="24"/>
  <c r="O167" i="24"/>
  <c r="N167" i="24"/>
  <c r="M167" i="24"/>
  <c r="R167" i="24" s="1"/>
  <c r="S166" i="24"/>
  <c r="Q166" i="24"/>
  <c r="P166" i="24"/>
  <c r="O166" i="24"/>
  <c r="N166" i="24"/>
  <c r="M166" i="24"/>
  <c r="R166" i="24" s="1"/>
  <c r="S165" i="24"/>
  <c r="Q165" i="24"/>
  <c r="P165" i="24"/>
  <c r="O165" i="24"/>
  <c r="N165" i="24"/>
  <c r="M165" i="24"/>
  <c r="R165" i="24" s="1"/>
  <c r="S164" i="24"/>
  <c r="Q164" i="24"/>
  <c r="P164" i="24"/>
  <c r="O164" i="24"/>
  <c r="N164" i="24"/>
  <c r="M164" i="24"/>
  <c r="R164" i="24" s="1"/>
  <c r="S163" i="24"/>
  <c r="Q163" i="24"/>
  <c r="P163" i="24"/>
  <c r="O163" i="24"/>
  <c r="N163" i="24"/>
  <c r="M163" i="24"/>
  <c r="R163" i="24" s="1"/>
  <c r="S162" i="24"/>
  <c r="Q162" i="24"/>
  <c r="P162" i="24"/>
  <c r="O162" i="24"/>
  <c r="N162" i="24"/>
  <c r="M162" i="24"/>
  <c r="R162" i="24" s="1"/>
  <c r="S161" i="24"/>
  <c r="Q161" i="24"/>
  <c r="P161" i="24"/>
  <c r="O161" i="24"/>
  <c r="N161" i="24"/>
  <c r="M161" i="24"/>
  <c r="R161" i="24" s="1"/>
  <c r="S160" i="24"/>
  <c r="Q160" i="24"/>
  <c r="P160" i="24"/>
  <c r="O160" i="24"/>
  <c r="N160" i="24"/>
  <c r="M160" i="24"/>
  <c r="R160" i="24" s="1"/>
  <c r="S159" i="24"/>
  <c r="Q159" i="24"/>
  <c r="P159" i="24"/>
  <c r="O159" i="24"/>
  <c r="N159" i="24"/>
  <c r="M159" i="24"/>
  <c r="R159" i="24" s="1"/>
  <c r="S158" i="24"/>
  <c r="Q158" i="24"/>
  <c r="P158" i="24"/>
  <c r="O158" i="24"/>
  <c r="N158" i="24"/>
  <c r="M158" i="24"/>
  <c r="R158" i="24" s="1"/>
  <c r="S157" i="24"/>
  <c r="Q157" i="24"/>
  <c r="P157" i="24"/>
  <c r="O157" i="24"/>
  <c r="N157" i="24"/>
  <c r="M157" i="24"/>
  <c r="R157" i="24" s="1"/>
  <c r="S156" i="24"/>
  <c r="Q156" i="24"/>
  <c r="P156" i="24"/>
  <c r="O156" i="24"/>
  <c r="N156" i="24"/>
  <c r="M156" i="24"/>
  <c r="R156" i="24" s="1"/>
  <c r="S155" i="24"/>
  <c r="Q155" i="24"/>
  <c r="P155" i="24"/>
  <c r="O155" i="24"/>
  <c r="N155" i="24"/>
  <c r="M155" i="24"/>
  <c r="R155" i="24" s="1"/>
  <c r="S154" i="24"/>
  <c r="Q154" i="24"/>
  <c r="P154" i="24"/>
  <c r="O154" i="24"/>
  <c r="N154" i="24"/>
  <c r="M154" i="24"/>
  <c r="R154" i="24" s="1"/>
  <c r="S153" i="24"/>
  <c r="Q153" i="24"/>
  <c r="P153" i="24"/>
  <c r="O153" i="24"/>
  <c r="N153" i="24"/>
  <c r="M153" i="24"/>
  <c r="R153" i="24" s="1"/>
  <c r="S152" i="24"/>
  <c r="Q152" i="24"/>
  <c r="P152" i="24"/>
  <c r="O152" i="24"/>
  <c r="N152" i="24"/>
  <c r="M152" i="24"/>
  <c r="R152" i="24" s="1"/>
  <c r="S151" i="24"/>
  <c r="Q151" i="24"/>
  <c r="P151" i="24"/>
  <c r="O151" i="24"/>
  <c r="N151" i="24"/>
  <c r="M151" i="24"/>
  <c r="R151" i="24" s="1"/>
  <c r="S150" i="24"/>
  <c r="Q150" i="24"/>
  <c r="P150" i="24"/>
  <c r="O150" i="24"/>
  <c r="N150" i="24"/>
  <c r="M150" i="24"/>
  <c r="R150" i="24" s="1"/>
  <c r="S149" i="24"/>
  <c r="Q149" i="24"/>
  <c r="P149" i="24"/>
  <c r="O149" i="24"/>
  <c r="N149" i="24"/>
  <c r="M149" i="24"/>
  <c r="R149" i="24" s="1"/>
  <c r="S148" i="24"/>
  <c r="Q148" i="24"/>
  <c r="P148" i="24"/>
  <c r="O148" i="24"/>
  <c r="N148" i="24"/>
  <c r="M148" i="24"/>
  <c r="R148" i="24" s="1"/>
  <c r="S147" i="24"/>
  <c r="Q147" i="24"/>
  <c r="P147" i="24"/>
  <c r="O147" i="24"/>
  <c r="N147" i="24"/>
  <c r="M147" i="24"/>
  <c r="R147" i="24" s="1"/>
  <c r="S146" i="24"/>
  <c r="Q146" i="24"/>
  <c r="P146" i="24"/>
  <c r="O146" i="24"/>
  <c r="N146" i="24"/>
  <c r="M146" i="24"/>
  <c r="R146" i="24" s="1"/>
  <c r="S145" i="24"/>
  <c r="Q145" i="24"/>
  <c r="P145" i="24"/>
  <c r="O145" i="24"/>
  <c r="N145" i="24"/>
  <c r="M145" i="24"/>
  <c r="R145" i="24" s="1"/>
  <c r="S144" i="24"/>
  <c r="Q144" i="24"/>
  <c r="P144" i="24"/>
  <c r="O144" i="24"/>
  <c r="N144" i="24"/>
  <c r="M144" i="24"/>
  <c r="R144" i="24" s="1"/>
  <c r="S143" i="24"/>
  <c r="Q143" i="24"/>
  <c r="P143" i="24"/>
  <c r="O143" i="24"/>
  <c r="N143" i="24"/>
  <c r="M143" i="24"/>
  <c r="R143" i="24" s="1"/>
  <c r="S142" i="24"/>
  <c r="Q142" i="24"/>
  <c r="P142" i="24"/>
  <c r="O142" i="24"/>
  <c r="N142" i="24"/>
  <c r="M142" i="24"/>
  <c r="R142" i="24" s="1"/>
  <c r="S141" i="24"/>
  <c r="Q141" i="24"/>
  <c r="P141" i="24"/>
  <c r="O141" i="24"/>
  <c r="N141" i="24"/>
  <c r="M141" i="24"/>
  <c r="R141" i="24" s="1"/>
  <c r="S140" i="24"/>
  <c r="Q140" i="24"/>
  <c r="P140" i="24"/>
  <c r="O140" i="24"/>
  <c r="N140" i="24"/>
  <c r="M140" i="24"/>
  <c r="R140" i="24" s="1"/>
  <c r="S139" i="24"/>
  <c r="Q139" i="24"/>
  <c r="P139" i="24"/>
  <c r="O139" i="24"/>
  <c r="N139" i="24"/>
  <c r="M139" i="24"/>
  <c r="R139" i="24" s="1"/>
  <c r="S138" i="24"/>
  <c r="Q138" i="24"/>
  <c r="P138" i="24"/>
  <c r="O138" i="24"/>
  <c r="N138" i="24"/>
  <c r="M138" i="24"/>
  <c r="R138" i="24" s="1"/>
  <c r="S137" i="24"/>
  <c r="Q137" i="24"/>
  <c r="P137" i="24"/>
  <c r="O137" i="24"/>
  <c r="N137" i="24"/>
  <c r="M137" i="24"/>
  <c r="R137" i="24" s="1"/>
  <c r="S136" i="24"/>
  <c r="Q136" i="24"/>
  <c r="P136" i="24"/>
  <c r="O136" i="24"/>
  <c r="N136" i="24"/>
  <c r="M136" i="24"/>
  <c r="R136" i="24" s="1"/>
  <c r="S135" i="24"/>
  <c r="Q135" i="24"/>
  <c r="P135" i="24"/>
  <c r="O135" i="24"/>
  <c r="N135" i="24"/>
  <c r="M135" i="24"/>
  <c r="R135" i="24" s="1"/>
  <c r="S134" i="24"/>
  <c r="Q134" i="24"/>
  <c r="P134" i="24"/>
  <c r="O134" i="24"/>
  <c r="N134" i="24"/>
  <c r="M134" i="24"/>
  <c r="R134" i="24" s="1"/>
  <c r="S133" i="24"/>
  <c r="Q133" i="24"/>
  <c r="P133" i="24"/>
  <c r="O133" i="24"/>
  <c r="N133" i="24"/>
  <c r="M133" i="24"/>
  <c r="R133" i="24" s="1"/>
  <c r="S132" i="24"/>
  <c r="Q132" i="24"/>
  <c r="P132" i="24"/>
  <c r="O132" i="24"/>
  <c r="N132" i="24"/>
  <c r="M132" i="24"/>
  <c r="R132" i="24" s="1"/>
  <c r="S131" i="24"/>
  <c r="Q131" i="24"/>
  <c r="P131" i="24"/>
  <c r="O131" i="24"/>
  <c r="N131" i="24"/>
  <c r="M131" i="24"/>
  <c r="R131" i="24" s="1"/>
  <c r="S130" i="24"/>
  <c r="Q130" i="24"/>
  <c r="P130" i="24"/>
  <c r="O130" i="24"/>
  <c r="N130" i="24"/>
  <c r="M130" i="24"/>
  <c r="R130" i="24" s="1"/>
  <c r="S129" i="24"/>
  <c r="Q129" i="24"/>
  <c r="P129" i="24"/>
  <c r="O129" i="24"/>
  <c r="N129" i="24"/>
  <c r="M129" i="24"/>
  <c r="R129" i="24" s="1"/>
  <c r="S128" i="24"/>
  <c r="Q128" i="24"/>
  <c r="P128" i="24"/>
  <c r="O128" i="24"/>
  <c r="N128" i="24"/>
  <c r="M128" i="24"/>
  <c r="R128" i="24" s="1"/>
  <c r="S127" i="24"/>
  <c r="Q127" i="24"/>
  <c r="P127" i="24"/>
  <c r="O127" i="24"/>
  <c r="N127" i="24"/>
  <c r="M127" i="24"/>
  <c r="R127" i="24" s="1"/>
  <c r="S126" i="24"/>
  <c r="Q126" i="24"/>
  <c r="P126" i="24"/>
  <c r="O126" i="24"/>
  <c r="N126" i="24"/>
  <c r="M126" i="24"/>
  <c r="R126" i="24" s="1"/>
  <c r="S125" i="24"/>
  <c r="Q125" i="24"/>
  <c r="P125" i="24"/>
  <c r="O125" i="24"/>
  <c r="N125" i="24"/>
  <c r="M125" i="24"/>
  <c r="R125" i="24" s="1"/>
  <c r="S124" i="24"/>
  <c r="R124" i="24"/>
  <c r="Q124" i="24"/>
  <c r="P124" i="24"/>
  <c r="O124" i="24"/>
  <c r="N124" i="24"/>
  <c r="S123" i="24"/>
  <c r="Q123" i="24"/>
  <c r="P123" i="24"/>
  <c r="O123" i="24"/>
  <c r="N123" i="24"/>
  <c r="M123" i="24"/>
  <c r="R123" i="24" s="1"/>
  <c r="S122" i="24"/>
  <c r="Q122" i="24"/>
  <c r="P122" i="24"/>
  <c r="O122" i="24"/>
  <c r="N122" i="24"/>
  <c r="M122" i="24"/>
  <c r="R122" i="24" s="1"/>
  <c r="S121" i="24"/>
  <c r="Q121" i="24"/>
  <c r="P121" i="24"/>
  <c r="O121" i="24"/>
  <c r="N121" i="24"/>
  <c r="M121" i="24"/>
  <c r="R121" i="24" s="1"/>
  <c r="S120" i="24"/>
  <c r="Q120" i="24"/>
  <c r="P120" i="24"/>
  <c r="O120" i="24"/>
  <c r="N120" i="24"/>
  <c r="M120" i="24"/>
  <c r="R120" i="24" s="1"/>
  <c r="S119" i="24"/>
  <c r="Q119" i="24"/>
  <c r="P119" i="24"/>
  <c r="O119" i="24"/>
  <c r="N119" i="24"/>
  <c r="M119" i="24"/>
  <c r="R119" i="24" s="1"/>
  <c r="S118" i="24"/>
  <c r="Q118" i="24"/>
  <c r="P118" i="24"/>
  <c r="O118" i="24"/>
  <c r="N118" i="24"/>
  <c r="M118" i="24"/>
  <c r="R118" i="24" s="1"/>
  <c r="S117" i="24"/>
  <c r="Q117" i="24"/>
  <c r="P117" i="24"/>
  <c r="O117" i="24"/>
  <c r="N117" i="24"/>
  <c r="M117" i="24"/>
  <c r="R117" i="24" s="1"/>
  <c r="S116" i="24"/>
  <c r="Q116" i="24"/>
  <c r="P116" i="24"/>
  <c r="O116" i="24"/>
  <c r="N116" i="24"/>
  <c r="M116" i="24"/>
  <c r="R116" i="24" s="1"/>
  <c r="S115" i="24"/>
  <c r="Q115" i="24"/>
  <c r="P115" i="24"/>
  <c r="O115" i="24"/>
  <c r="N115" i="24"/>
  <c r="M115" i="24"/>
  <c r="R115" i="24" s="1"/>
  <c r="S114" i="24"/>
  <c r="R114" i="24"/>
  <c r="Q114" i="24"/>
  <c r="P114" i="24"/>
  <c r="O114" i="24"/>
  <c r="N114" i="24"/>
  <c r="S113" i="24"/>
  <c r="Q113" i="24"/>
  <c r="P113" i="24"/>
  <c r="O113" i="24"/>
  <c r="N113" i="24"/>
  <c r="M113" i="24"/>
  <c r="R113" i="24" s="1"/>
  <c r="S112" i="24"/>
  <c r="Q112" i="24"/>
  <c r="P112" i="24"/>
  <c r="O112" i="24"/>
  <c r="N112" i="24"/>
  <c r="M112" i="24"/>
  <c r="R112" i="24" s="1"/>
  <c r="S111" i="24"/>
  <c r="Q111" i="24"/>
  <c r="P111" i="24"/>
  <c r="O111" i="24"/>
  <c r="N111" i="24"/>
  <c r="M111" i="24"/>
  <c r="R111" i="24" s="1"/>
  <c r="S110" i="24"/>
  <c r="Q110" i="24"/>
  <c r="P110" i="24"/>
  <c r="O110" i="24"/>
  <c r="N110" i="24"/>
  <c r="M110" i="24"/>
  <c r="R110" i="24" s="1"/>
  <c r="S109" i="24"/>
  <c r="Q109" i="24"/>
  <c r="P109" i="24"/>
  <c r="O109" i="24"/>
  <c r="N109" i="24"/>
  <c r="M109" i="24"/>
  <c r="R109" i="24" s="1"/>
  <c r="S108" i="24"/>
  <c r="Q108" i="24"/>
  <c r="P108" i="24"/>
  <c r="O108" i="24"/>
  <c r="N108" i="24"/>
  <c r="M108" i="24"/>
  <c r="R108" i="24" s="1"/>
  <c r="S107" i="24"/>
  <c r="Q107" i="24"/>
  <c r="P107" i="24"/>
  <c r="O107" i="24"/>
  <c r="N107" i="24"/>
  <c r="M107" i="24"/>
  <c r="R107" i="24" s="1"/>
  <c r="S106" i="24"/>
  <c r="Q106" i="24"/>
  <c r="P106" i="24"/>
  <c r="O106" i="24"/>
  <c r="N106" i="24"/>
  <c r="M106" i="24"/>
  <c r="R106" i="24" s="1"/>
  <c r="S105" i="24"/>
  <c r="Q105" i="24"/>
  <c r="P105" i="24"/>
  <c r="O105" i="24"/>
  <c r="N105" i="24"/>
  <c r="M105" i="24"/>
  <c r="R105" i="24" s="1"/>
  <c r="S104" i="24"/>
  <c r="Q104" i="24"/>
  <c r="P104" i="24"/>
  <c r="O104" i="24"/>
  <c r="N104" i="24"/>
  <c r="M104" i="24"/>
  <c r="R104" i="24" s="1"/>
  <c r="S103" i="24"/>
  <c r="Q103" i="24"/>
  <c r="P103" i="24"/>
  <c r="O103" i="24"/>
  <c r="N103" i="24"/>
  <c r="M103" i="24"/>
  <c r="R103" i="24" s="1"/>
  <c r="S102" i="24"/>
  <c r="Q102" i="24"/>
  <c r="P102" i="24"/>
  <c r="O102" i="24"/>
  <c r="N102" i="24"/>
  <c r="M102" i="24"/>
  <c r="R102" i="24" s="1"/>
  <c r="S101" i="24"/>
  <c r="Q101" i="24"/>
  <c r="P101" i="24"/>
  <c r="O101" i="24"/>
  <c r="N101" i="24"/>
  <c r="M101" i="24"/>
  <c r="R101" i="24" s="1"/>
  <c r="S100" i="24"/>
  <c r="Q100" i="24"/>
  <c r="P100" i="24"/>
  <c r="O100" i="24"/>
  <c r="N100" i="24"/>
  <c r="M100" i="24"/>
  <c r="R100" i="24" s="1"/>
  <c r="S99" i="24"/>
  <c r="Q99" i="24"/>
  <c r="P99" i="24"/>
  <c r="O99" i="24"/>
  <c r="N99" i="24"/>
  <c r="M99" i="24"/>
  <c r="R99" i="24" s="1"/>
  <c r="S98" i="24"/>
  <c r="Q98" i="24"/>
  <c r="P98" i="24"/>
  <c r="O98" i="24"/>
  <c r="N98" i="24"/>
  <c r="M98" i="24"/>
  <c r="R98" i="24" s="1"/>
  <c r="S97" i="24"/>
  <c r="Q97" i="24"/>
  <c r="P97" i="24"/>
  <c r="O97" i="24"/>
  <c r="N97" i="24"/>
  <c r="M97" i="24"/>
  <c r="R97" i="24" s="1"/>
  <c r="S96" i="24"/>
  <c r="Q96" i="24"/>
  <c r="P96" i="24"/>
  <c r="O96" i="24"/>
  <c r="N96" i="24"/>
  <c r="M96" i="24"/>
  <c r="R96" i="24" s="1"/>
  <c r="S95" i="24"/>
  <c r="Q95" i="24"/>
  <c r="P95" i="24"/>
  <c r="O95" i="24"/>
  <c r="N95" i="24"/>
  <c r="M95" i="24"/>
  <c r="R95" i="24" s="1"/>
  <c r="S94" i="24"/>
  <c r="Q94" i="24"/>
  <c r="P94" i="24"/>
  <c r="O94" i="24"/>
  <c r="N94" i="24"/>
  <c r="M94" i="24"/>
  <c r="R94" i="24" s="1"/>
  <c r="S93" i="24"/>
  <c r="Q93" i="24"/>
  <c r="P93" i="24"/>
  <c r="O93" i="24"/>
  <c r="N93" i="24"/>
  <c r="M93" i="24"/>
  <c r="R93" i="24" s="1"/>
  <c r="S92" i="24"/>
  <c r="Q92" i="24"/>
  <c r="P92" i="24"/>
  <c r="O92" i="24"/>
  <c r="N92" i="24"/>
  <c r="M92" i="24"/>
  <c r="R92" i="24" s="1"/>
  <c r="S91" i="24"/>
  <c r="Q91" i="24"/>
  <c r="P91" i="24"/>
  <c r="O91" i="24"/>
  <c r="N91" i="24"/>
  <c r="M91" i="24"/>
  <c r="R91" i="24" s="1"/>
  <c r="S90" i="24"/>
  <c r="Q90" i="24"/>
  <c r="P90" i="24"/>
  <c r="O90" i="24"/>
  <c r="N90" i="24"/>
  <c r="M90" i="24"/>
  <c r="R90" i="24" s="1"/>
  <c r="S89" i="24"/>
  <c r="Q89" i="24"/>
  <c r="P89" i="24"/>
  <c r="O89" i="24"/>
  <c r="N89" i="24"/>
  <c r="M89" i="24"/>
  <c r="R89" i="24" s="1"/>
  <c r="S88" i="24"/>
  <c r="Q88" i="24"/>
  <c r="P88" i="24"/>
  <c r="O88" i="24"/>
  <c r="N88" i="24"/>
  <c r="M88" i="24"/>
  <c r="R88" i="24" s="1"/>
  <c r="S87" i="24"/>
  <c r="Q87" i="24"/>
  <c r="P87" i="24"/>
  <c r="O87" i="24"/>
  <c r="N87" i="24"/>
  <c r="M87" i="24"/>
  <c r="R87" i="24" s="1"/>
  <c r="S86" i="24"/>
  <c r="Q86" i="24"/>
  <c r="P86" i="24"/>
  <c r="O86" i="24"/>
  <c r="N86" i="24"/>
  <c r="M86" i="24"/>
  <c r="R86" i="24" s="1"/>
  <c r="S85" i="24"/>
  <c r="Q85" i="24"/>
  <c r="P85" i="24"/>
  <c r="O85" i="24"/>
  <c r="N85" i="24"/>
  <c r="M85" i="24"/>
  <c r="R85" i="24" s="1"/>
  <c r="S84" i="24"/>
  <c r="Q84" i="24"/>
  <c r="P84" i="24"/>
  <c r="O84" i="24"/>
  <c r="N84" i="24"/>
  <c r="M84" i="24"/>
  <c r="R84" i="24" s="1"/>
  <c r="S83" i="24"/>
  <c r="Q83" i="24"/>
  <c r="P83" i="24"/>
  <c r="O83" i="24"/>
  <c r="N83" i="24"/>
  <c r="M83" i="24"/>
  <c r="R83" i="24" s="1"/>
  <c r="S82" i="24"/>
  <c r="Q82" i="24"/>
  <c r="P82" i="24"/>
  <c r="O82" i="24"/>
  <c r="N82" i="24"/>
  <c r="M82" i="24"/>
  <c r="R82" i="24" s="1"/>
  <c r="S81" i="24"/>
  <c r="Q81" i="24"/>
  <c r="P81" i="24"/>
  <c r="O81" i="24"/>
  <c r="N81" i="24"/>
  <c r="M81" i="24"/>
  <c r="R81" i="24" s="1"/>
  <c r="S80" i="24"/>
  <c r="Q80" i="24"/>
  <c r="P80" i="24"/>
  <c r="O80" i="24"/>
  <c r="N80" i="24"/>
  <c r="M80" i="24"/>
  <c r="R80" i="24" s="1"/>
  <c r="S79" i="24"/>
  <c r="Q79" i="24"/>
  <c r="P79" i="24"/>
  <c r="O79" i="24"/>
  <c r="N79" i="24"/>
  <c r="M79" i="24"/>
  <c r="R79" i="24" s="1"/>
  <c r="S78" i="24"/>
  <c r="Q78" i="24"/>
  <c r="P78" i="24"/>
  <c r="O78" i="24"/>
  <c r="N78" i="24"/>
  <c r="M78" i="24"/>
  <c r="R78" i="24" s="1"/>
  <c r="S77" i="24"/>
  <c r="Q77" i="24"/>
  <c r="P77" i="24"/>
  <c r="O77" i="24"/>
  <c r="N77" i="24"/>
  <c r="M77" i="24"/>
  <c r="R77" i="24" s="1"/>
  <c r="S76" i="24"/>
  <c r="Q76" i="24"/>
  <c r="P76" i="24"/>
  <c r="O76" i="24"/>
  <c r="N76" i="24"/>
  <c r="M76" i="24"/>
  <c r="R76" i="24" s="1"/>
  <c r="S75" i="24"/>
  <c r="Q75" i="24"/>
  <c r="P75" i="24"/>
  <c r="O75" i="24"/>
  <c r="N75" i="24"/>
  <c r="M75" i="24"/>
  <c r="R75" i="24" s="1"/>
  <c r="S74" i="24"/>
  <c r="Q74" i="24"/>
  <c r="P74" i="24"/>
  <c r="O74" i="24"/>
  <c r="N74" i="24"/>
  <c r="M74" i="24"/>
  <c r="R74" i="24" s="1"/>
  <c r="S73" i="24"/>
  <c r="Q73" i="24"/>
  <c r="P73" i="24"/>
  <c r="O73" i="24"/>
  <c r="N73" i="24"/>
  <c r="M73" i="24"/>
  <c r="R73" i="24" s="1"/>
  <c r="S72" i="24"/>
  <c r="Q72" i="24"/>
  <c r="P72" i="24"/>
  <c r="O72" i="24"/>
  <c r="N72" i="24"/>
  <c r="M72" i="24"/>
  <c r="R72" i="24" s="1"/>
  <c r="S71" i="24"/>
  <c r="Q71" i="24"/>
  <c r="P71" i="24"/>
  <c r="O71" i="24"/>
  <c r="N71" i="24"/>
  <c r="M71" i="24"/>
  <c r="R71" i="24" s="1"/>
  <c r="S70" i="24"/>
  <c r="Q70" i="24"/>
  <c r="P70" i="24"/>
  <c r="O70" i="24"/>
  <c r="N70" i="24"/>
  <c r="M70" i="24"/>
  <c r="R70" i="24" s="1"/>
  <c r="S69" i="24"/>
  <c r="Q69" i="24"/>
  <c r="P69" i="24"/>
  <c r="O69" i="24"/>
  <c r="N69" i="24"/>
  <c r="M69" i="24"/>
  <c r="R69" i="24" s="1"/>
  <c r="S68" i="24"/>
  <c r="Q68" i="24"/>
  <c r="P68" i="24"/>
  <c r="O68" i="24"/>
  <c r="N68" i="24"/>
  <c r="M68" i="24"/>
  <c r="R68" i="24" s="1"/>
  <c r="S67" i="24"/>
  <c r="Q67" i="24"/>
  <c r="P67" i="24"/>
  <c r="O67" i="24"/>
  <c r="N67" i="24"/>
  <c r="M67" i="24"/>
  <c r="R67" i="24" s="1"/>
  <c r="S66" i="24"/>
  <c r="Q66" i="24"/>
  <c r="P66" i="24"/>
  <c r="O66" i="24"/>
  <c r="N66" i="24"/>
  <c r="M66" i="24"/>
  <c r="R66" i="24" s="1"/>
  <c r="S65" i="24"/>
  <c r="Q65" i="24"/>
  <c r="P65" i="24"/>
  <c r="O65" i="24"/>
  <c r="N65" i="24"/>
  <c r="M65" i="24"/>
  <c r="R65" i="24" s="1"/>
  <c r="S64" i="24"/>
  <c r="Q64" i="24"/>
  <c r="P64" i="24"/>
  <c r="O64" i="24"/>
  <c r="N64" i="24"/>
  <c r="M64" i="24"/>
  <c r="R64" i="24" s="1"/>
  <c r="S63" i="24"/>
  <c r="Q63" i="24"/>
  <c r="P63" i="24"/>
  <c r="O63" i="24"/>
  <c r="N63" i="24"/>
  <c r="M63" i="24"/>
  <c r="R63" i="24" s="1"/>
  <c r="S62" i="24"/>
  <c r="Q62" i="24"/>
  <c r="P62" i="24"/>
  <c r="O62" i="24"/>
  <c r="N62" i="24"/>
  <c r="M62" i="24"/>
  <c r="R62" i="24" s="1"/>
  <c r="S61" i="24"/>
  <c r="Q61" i="24"/>
  <c r="P61" i="24"/>
  <c r="O61" i="24"/>
  <c r="N61" i="24"/>
  <c r="M61" i="24"/>
  <c r="R61" i="24" s="1"/>
  <c r="S60" i="24"/>
  <c r="Q60" i="24"/>
  <c r="P60" i="24"/>
  <c r="O60" i="24"/>
  <c r="N60" i="24"/>
  <c r="M60" i="24"/>
  <c r="R60" i="24" s="1"/>
  <c r="S59" i="24"/>
  <c r="Q59" i="24"/>
  <c r="P59" i="24"/>
  <c r="O59" i="24"/>
  <c r="N59" i="24"/>
  <c r="M59" i="24"/>
  <c r="R59" i="24" s="1"/>
  <c r="S58" i="24"/>
  <c r="Q58" i="24"/>
  <c r="P58" i="24"/>
  <c r="O58" i="24"/>
  <c r="N58" i="24"/>
  <c r="M58" i="24"/>
  <c r="R58" i="24" s="1"/>
  <c r="S57" i="24"/>
  <c r="Q57" i="24"/>
  <c r="P57" i="24"/>
  <c r="O57" i="24"/>
  <c r="N57" i="24"/>
  <c r="M57" i="24"/>
  <c r="R57" i="24" s="1"/>
  <c r="S56" i="24"/>
  <c r="Q56" i="24"/>
  <c r="P56" i="24"/>
  <c r="O56" i="24"/>
  <c r="N56" i="24"/>
  <c r="M56" i="24"/>
  <c r="R56" i="24" s="1"/>
  <c r="S55" i="24"/>
  <c r="Q55" i="24"/>
  <c r="P55" i="24"/>
  <c r="O55" i="24"/>
  <c r="N55" i="24"/>
  <c r="M55" i="24"/>
  <c r="R55" i="24" s="1"/>
  <c r="S54" i="24"/>
  <c r="R54" i="24"/>
  <c r="Q54" i="24"/>
  <c r="P54" i="24"/>
  <c r="O54" i="24"/>
  <c r="N54" i="24"/>
  <c r="S53" i="24"/>
  <c r="Q53" i="24"/>
  <c r="P53" i="24"/>
  <c r="O53" i="24"/>
  <c r="N53" i="24"/>
  <c r="M53" i="24"/>
  <c r="R53" i="24" s="1"/>
  <c r="S52" i="24"/>
  <c r="Q52" i="24"/>
  <c r="P52" i="24"/>
  <c r="O52" i="24"/>
  <c r="N52" i="24"/>
  <c r="M52" i="24"/>
  <c r="R52" i="24" s="1"/>
  <c r="S51" i="24"/>
  <c r="Q51" i="24"/>
  <c r="P51" i="24"/>
  <c r="O51" i="24"/>
  <c r="N51" i="24"/>
  <c r="M51" i="24"/>
  <c r="R51" i="24" s="1"/>
  <c r="S50" i="24"/>
  <c r="Q50" i="24"/>
  <c r="P50" i="24"/>
  <c r="O50" i="24"/>
  <c r="N50" i="24"/>
  <c r="M50" i="24"/>
  <c r="R50" i="24" s="1"/>
  <c r="S49" i="24"/>
  <c r="Q49" i="24"/>
  <c r="P49" i="24"/>
  <c r="O49" i="24"/>
  <c r="N49" i="24"/>
  <c r="M49" i="24"/>
  <c r="R49" i="24" s="1"/>
  <c r="S48" i="24"/>
  <c r="Q48" i="24"/>
  <c r="P48" i="24"/>
  <c r="O48" i="24"/>
  <c r="N48" i="24"/>
  <c r="M48" i="24"/>
  <c r="R48" i="24" s="1"/>
  <c r="S47" i="24"/>
  <c r="Q47" i="24"/>
  <c r="P47" i="24"/>
  <c r="O47" i="24"/>
  <c r="N47" i="24"/>
  <c r="M47" i="24"/>
  <c r="R47" i="24" s="1"/>
  <c r="S46" i="24"/>
  <c r="Q46" i="24"/>
  <c r="P46" i="24"/>
  <c r="O46" i="24"/>
  <c r="N46" i="24"/>
  <c r="M46" i="24"/>
  <c r="R46" i="24" s="1"/>
  <c r="S45" i="24"/>
  <c r="Q45" i="24"/>
  <c r="P45" i="24"/>
  <c r="O45" i="24"/>
  <c r="N45" i="24"/>
  <c r="M45" i="24"/>
  <c r="R45" i="24" s="1"/>
  <c r="S44" i="24"/>
  <c r="Q44" i="24"/>
  <c r="P44" i="24"/>
  <c r="O44" i="24"/>
  <c r="N44" i="24"/>
  <c r="M44" i="24"/>
  <c r="R44" i="24" s="1"/>
  <c r="S43" i="24"/>
  <c r="Q43" i="24"/>
  <c r="P43" i="24"/>
  <c r="O43" i="24"/>
  <c r="N43" i="24"/>
  <c r="M43" i="24"/>
  <c r="R43" i="24" s="1"/>
  <c r="S42" i="24"/>
  <c r="Q42" i="24"/>
  <c r="P42" i="24"/>
  <c r="O42" i="24"/>
  <c r="N42" i="24"/>
  <c r="M42" i="24"/>
  <c r="R42" i="24" s="1"/>
  <c r="S41" i="24"/>
  <c r="Q41" i="24"/>
  <c r="P41" i="24"/>
  <c r="O41" i="24"/>
  <c r="N41" i="24"/>
  <c r="M41" i="24"/>
  <c r="R41" i="24" s="1"/>
  <c r="S40" i="24"/>
  <c r="Q40" i="24"/>
  <c r="P40" i="24"/>
  <c r="O40" i="24"/>
  <c r="N40" i="24"/>
  <c r="M40" i="24"/>
  <c r="R40" i="24" s="1"/>
  <c r="S39" i="24"/>
  <c r="Q39" i="24"/>
  <c r="P39" i="24"/>
  <c r="O39" i="24"/>
  <c r="N39" i="24"/>
  <c r="M39" i="24"/>
  <c r="R39" i="24" s="1"/>
  <c r="S38" i="24"/>
  <c r="Q38" i="24"/>
  <c r="P38" i="24"/>
  <c r="O38" i="24"/>
  <c r="N38" i="24"/>
  <c r="M38" i="24"/>
  <c r="R38" i="24" s="1"/>
  <c r="S37" i="24"/>
  <c r="Q37" i="24"/>
  <c r="P37" i="24"/>
  <c r="O37" i="24"/>
  <c r="N37" i="24"/>
  <c r="M37" i="24"/>
  <c r="R37" i="24" s="1"/>
  <c r="S36" i="24"/>
  <c r="Q36" i="24"/>
  <c r="P36" i="24"/>
  <c r="O36" i="24"/>
  <c r="N36" i="24"/>
  <c r="M36" i="24"/>
  <c r="R36" i="24" s="1"/>
  <c r="S35" i="24"/>
  <c r="Q35" i="24"/>
  <c r="P35" i="24"/>
  <c r="O35" i="24"/>
  <c r="N35" i="24"/>
  <c r="M35" i="24"/>
  <c r="R35" i="24" s="1"/>
  <c r="S34" i="24"/>
  <c r="Q34" i="24"/>
  <c r="P34" i="24"/>
  <c r="O34" i="24"/>
  <c r="N34" i="24"/>
  <c r="M34" i="24"/>
  <c r="R34" i="24" s="1"/>
  <c r="S33" i="24"/>
  <c r="Q33" i="24"/>
  <c r="P33" i="24"/>
  <c r="O33" i="24"/>
  <c r="N33" i="24"/>
  <c r="M33" i="24"/>
  <c r="R33" i="24" s="1"/>
  <c r="S32" i="24"/>
  <c r="Q32" i="24"/>
  <c r="P32" i="24"/>
  <c r="O32" i="24"/>
  <c r="N32" i="24"/>
  <c r="M32" i="24"/>
  <c r="R32" i="24" s="1"/>
  <c r="S31" i="24"/>
  <c r="Q31" i="24"/>
  <c r="P31" i="24"/>
  <c r="O31" i="24"/>
  <c r="N31" i="24"/>
  <c r="M31" i="24"/>
  <c r="R31" i="24" s="1"/>
  <c r="S30" i="24"/>
  <c r="Q30" i="24"/>
  <c r="P30" i="24"/>
  <c r="O30" i="24"/>
  <c r="N30" i="24"/>
  <c r="M30" i="24"/>
  <c r="R30" i="24" s="1"/>
  <c r="S29" i="24"/>
  <c r="Q29" i="24"/>
  <c r="P29" i="24"/>
  <c r="O29" i="24"/>
  <c r="N29" i="24"/>
  <c r="M29" i="24"/>
  <c r="R29" i="24" s="1"/>
  <c r="S28" i="24"/>
  <c r="Q28" i="24"/>
  <c r="P28" i="24"/>
  <c r="O28" i="24"/>
  <c r="N28" i="24"/>
  <c r="M28" i="24"/>
  <c r="R28" i="24" s="1"/>
  <c r="S27" i="24"/>
  <c r="Q27" i="24"/>
  <c r="P27" i="24"/>
  <c r="O27" i="24"/>
  <c r="N27" i="24"/>
  <c r="M27" i="24"/>
  <c r="R27" i="24" s="1"/>
  <c r="S26" i="24"/>
  <c r="Q26" i="24"/>
  <c r="P26" i="24"/>
  <c r="O26" i="24"/>
  <c r="N26" i="24"/>
  <c r="M26" i="24"/>
  <c r="R26" i="24" s="1"/>
  <c r="S25" i="24"/>
  <c r="Q25" i="24"/>
  <c r="P25" i="24"/>
  <c r="O25" i="24"/>
  <c r="N25" i="24"/>
  <c r="M25" i="24"/>
  <c r="R25" i="24" s="1"/>
  <c r="S24" i="24"/>
  <c r="Q24" i="24"/>
  <c r="P24" i="24"/>
  <c r="O24" i="24"/>
  <c r="N24" i="24"/>
  <c r="M24" i="24"/>
  <c r="R24" i="24" s="1"/>
  <c r="S23" i="24"/>
  <c r="Q23" i="24"/>
  <c r="P23" i="24"/>
  <c r="O23" i="24"/>
  <c r="N23" i="24"/>
  <c r="M23" i="24"/>
  <c r="R23" i="24" s="1"/>
  <c r="S22" i="24"/>
  <c r="Q22" i="24"/>
  <c r="P22" i="24"/>
  <c r="O22" i="24"/>
  <c r="N22" i="24"/>
  <c r="M22" i="24"/>
  <c r="R22" i="24" s="1"/>
  <c r="S21" i="24"/>
  <c r="Q21" i="24"/>
  <c r="P21" i="24"/>
  <c r="O21" i="24"/>
  <c r="N21" i="24"/>
  <c r="M21" i="24"/>
  <c r="R21" i="24" s="1"/>
  <c r="S20" i="24"/>
  <c r="Q20" i="24"/>
  <c r="P20" i="24"/>
  <c r="O20" i="24"/>
  <c r="N20" i="24"/>
  <c r="M20" i="24"/>
  <c r="R20" i="24" s="1"/>
  <c r="S19" i="24"/>
  <c r="Q19" i="24"/>
  <c r="P19" i="24"/>
  <c r="O19" i="24"/>
  <c r="N19" i="24"/>
  <c r="M19" i="24"/>
  <c r="R19" i="24" s="1"/>
  <c r="S18" i="24"/>
  <c r="Q18" i="24"/>
  <c r="P18" i="24"/>
  <c r="O18" i="24"/>
  <c r="N18" i="24"/>
  <c r="M18" i="24"/>
  <c r="R18" i="24" s="1"/>
  <c r="S17" i="24"/>
  <c r="Q17" i="24"/>
  <c r="P17" i="24"/>
  <c r="O17" i="24"/>
  <c r="N17" i="24"/>
  <c r="M17" i="24"/>
  <c r="R17" i="24" s="1"/>
  <c r="S16" i="24"/>
  <c r="Q16" i="24"/>
  <c r="P16" i="24"/>
  <c r="O16" i="24"/>
  <c r="N16" i="24"/>
  <c r="M16" i="24"/>
  <c r="R16" i="24" s="1"/>
  <c r="S15" i="24"/>
  <c r="Q15" i="24"/>
  <c r="P15" i="24"/>
  <c r="O15" i="24"/>
  <c r="N15" i="24"/>
  <c r="M15" i="24"/>
  <c r="R15" i="24" s="1"/>
  <c r="S14" i="24"/>
  <c r="Q14" i="24"/>
  <c r="P14" i="24"/>
  <c r="O14" i="24"/>
  <c r="N14" i="24"/>
  <c r="M14" i="24"/>
  <c r="R14" i="24" s="1"/>
  <c r="S13" i="24"/>
  <c r="Q13" i="24"/>
  <c r="P13" i="24"/>
  <c r="O13" i="24"/>
  <c r="N13" i="24"/>
  <c r="M13" i="24"/>
  <c r="R13" i="24" s="1"/>
  <c r="S12" i="24"/>
  <c r="Q12" i="24"/>
  <c r="P12" i="24"/>
  <c r="O12" i="24"/>
  <c r="N12" i="24"/>
  <c r="M12" i="24"/>
  <c r="R12" i="24" s="1"/>
  <c r="S11" i="24"/>
  <c r="Q11" i="24"/>
  <c r="P11" i="24"/>
  <c r="O11" i="24"/>
  <c r="N11" i="24"/>
  <c r="M11" i="24"/>
  <c r="R11" i="24" s="1"/>
  <c r="S10" i="24"/>
  <c r="Q10" i="24"/>
  <c r="P10" i="24"/>
  <c r="O10" i="24"/>
  <c r="N10" i="24"/>
  <c r="M10" i="24"/>
  <c r="R10" i="24" s="1"/>
  <c r="S9" i="24"/>
  <c r="Q9" i="24"/>
  <c r="P9" i="24"/>
  <c r="O9" i="24"/>
  <c r="N9" i="24"/>
  <c r="M9" i="24"/>
  <c r="R9" i="24" s="1"/>
  <c r="S8" i="24"/>
  <c r="Q8" i="24"/>
  <c r="P8" i="24"/>
  <c r="O8" i="24"/>
  <c r="N8" i="24"/>
  <c r="M8" i="24"/>
  <c r="R8" i="24" s="1"/>
  <c r="S3" i="1"/>
  <c r="T3" i="1"/>
  <c r="U3" i="1"/>
  <c r="V3" i="1"/>
  <c r="G5" i="23"/>
  <c r="G6" i="23"/>
  <c r="G3" i="23" s="1" a="1"/>
  <c r="G3" i="23" s="1"/>
  <c r="G7" i="23"/>
  <c r="H7" i="23" s="1"/>
  <c r="G8" i="23"/>
  <c r="H8" i="23" s="1"/>
  <c r="H5" i="23"/>
  <c r="B5" i="23"/>
  <c r="B6" i="23"/>
  <c r="B7" i="23"/>
  <c r="B8" i="23"/>
  <c r="E3" i="23" a="1"/>
  <c r="E3" i="23" s="1"/>
  <c r="F3" i="23" a="1"/>
  <c r="F3" i="23" s="1"/>
  <c r="D3" i="23" a="1"/>
  <c r="D3" i="23" s="1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5" i="15"/>
  <c r="AP5" i="15" a="1"/>
  <c r="AP5" i="15" s="1"/>
  <c r="AP6" i="15" a="1"/>
  <c r="AP6" i="15" s="1"/>
  <c r="AP7" i="15" a="1"/>
  <c r="AP7" i="15" s="1"/>
  <c r="AP8" i="15" a="1"/>
  <c r="AP8" i="15"/>
  <c r="AP9" i="15" a="1"/>
  <c r="AP9" i="15" s="1"/>
  <c r="AP10" i="15" a="1"/>
  <c r="AP10" i="15"/>
  <c r="AP11" i="15" a="1"/>
  <c r="AP11" i="15" s="1"/>
  <c r="AP12" i="15" a="1"/>
  <c r="AP12" i="15" s="1"/>
  <c r="AP13" i="15" a="1"/>
  <c r="AP13" i="15" s="1"/>
  <c r="AP14" i="15" a="1"/>
  <c r="AP14" i="15" s="1"/>
  <c r="AP15" i="15" a="1"/>
  <c r="AP15" i="15" s="1"/>
  <c r="AP16" i="15" a="1"/>
  <c r="AP16" i="15" s="1"/>
  <c r="AP17" i="15" a="1"/>
  <c r="AP17" i="15" s="1"/>
  <c r="AP18" i="15" a="1"/>
  <c r="AP18" i="15" s="1"/>
  <c r="AP19" i="15" a="1"/>
  <c r="AP19" i="15" s="1"/>
  <c r="AM19" i="15"/>
  <c r="AM5" i="15"/>
  <c r="AM6" i="15"/>
  <c r="AM7" i="15"/>
  <c r="AM8" i="15"/>
  <c r="AM9" i="15"/>
  <c r="AM10" i="15"/>
  <c r="AM11" i="15"/>
  <c r="AM12" i="15"/>
  <c r="AM13" i="15"/>
  <c r="AM14" i="15"/>
  <c r="AM15" i="15"/>
  <c r="AM16" i="15"/>
  <c r="AM17" i="15"/>
  <c r="AM18" i="15"/>
  <c r="AX19" i="15"/>
  <c r="F19" i="15"/>
  <c r="W19" i="15"/>
  <c r="F18" i="15"/>
  <c r="W18" i="15" s="1"/>
  <c r="AX18" i="15"/>
  <c r="I17" i="12"/>
  <c r="K17" i="12"/>
  <c r="M17" i="12"/>
  <c r="R17" i="12"/>
  <c r="AX5" i="15"/>
  <c r="AX6" i="15"/>
  <c r="AX7" i="15"/>
  <c r="AX8" i="15"/>
  <c r="AX9" i="15"/>
  <c r="AX10" i="15"/>
  <c r="AX11" i="15"/>
  <c r="AX12" i="15"/>
  <c r="AX13" i="15"/>
  <c r="AX14" i="15"/>
  <c r="AX15" i="15"/>
  <c r="AX16" i="15"/>
  <c r="AX17" i="15"/>
  <c r="F17" i="15"/>
  <c r="W17" i="15" s="1"/>
  <c r="W34" i="1" l="1"/>
  <c r="W29" i="1"/>
  <c r="W32" i="1"/>
  <c r="F36" i="1"/>
  <c r="W31" i="1"/>
  <c r="W33" i="1"/>
  <c r="F37" i="1"/>
  <c r="W37" i="1" s="1"/>
  <c r="F35" i="1"/>
  <c r="W35" i="1" s="1"/>
  <c r="W30" i="1"/>
  <c r="W36" i="1"/>
  <c r="H6" i="23"/>
  <c r="B3" i="23" a="1"/>
  <c r="B3" i="23" s="1"/>
  <c r="BA19" i="15"/>
  <c r="BB19" i="15"/>
  <c r="BC19" i="15"/>
  <c r="BC18" i="15"/>
  <c r="BB18" i="15"/>
  <c r="BA18" i="15"/>
  <c r="S17" i="12"/>
  <c r="T17" i="12"/>
  <c r="BB17" i="15"/>
  <c r="BC17" i="15"/>
  <c r="BA17" i="15"/>
  <c r="E5" i="20" l="1"/>
  <c r="E6" i="20"/>
  <c r="F6" i="20" s="1"/>
  <c r="E7" i="20"/>
  <c r="E8" i="20"/>
  <c r="E9" i="20"/>
  <c r="E10" i="20"/>
  <c r="E11" i="20"/>
  <c r="E12" i="20"/>
  <c r="E13" i="20"/>
  <c r="E14" i="20"/>
  <c r="E15" i="20"/>
  <c r="F15" i="20" s="1"/>
  <c r="E16" i="20"/>
  <c r="F16" i="20" s="1"/>
  <c r="E17" i="20"/>
  <c r="E18" i="20"/>
  <c r="E19" i="20"/>
  <c r="E20" i="20"/>
  <c r="E21" i="20"/>
  <c r="E22" i="20"/>
  <c r="E23" i="20"/>
  <c r="E24" i="20"/>
  <c r="E25" i="20"/>
  <c r="E26" i="20"/>
  <c r="E27" i="20"/>
  <c r="F27" i="20" s="1"/>
  <c r="E28" i="20"/>
  <c r="F28" i="20" s="1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F51" i="20" s="1"/>
  <c r="E52" i="20"/>
  <c r="F52" i="20" s="1"/>
  <c r="E53" i="20"/>
  <c r="E54" i="20"/>
  <c r="F5" i="20"/>
  <c r="F7" i="20"/>
  <c r="F8" i="20"/>
  <c r="F9" i="20"/>
  <c r="F10" i="20"/>
  <c r="F11" i="20"/>
  <c r="F12" i="20"/>
  <c r="F13" i="20"/>
  <c r="F14" i="20"/>
  <c r="F17" i="20"/>
  <c r="F18" i="20"/>
  <c r="F19" i="20"/>
  <c r="F20" i="20"/>
  <c r="F21" i="20"/>
  <c r="F22" i="20"/>
  <c r="F23" i="20"/>
  <c r="F24" i="20"/>
  <c r="F25" i="20"/>
  <c r="F26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3" i="20"/>
  <c r="F54" i="20"/>
  <c r="C3" i="22" a="1"/>
  <c r="C3" i="22" s="1"/>
  <c r="D3" i="22" a="1"/>
  <c r="D3" i="22" s="1"/>
  <c r="E3" i="22" a="1"/>
  <c r="E3" i="22" s="1"/>
  <c r="F3" i="22" a="1"/>
  <c r="F3" i="22" s="1"/>
  <c r="B3" i="22" a="1"/>
  <c r="B3" i="22" s="1"/>
  <c r="F5" i="21"/>
  <c r="F6" i="21"/>
  <c r="F7" i="21"/>
  <c r="F8" i="21"/>
  <c r="D5" i="22"/>
  <c r="D6" i="22"/>
  <c r="D7" i="22"/>
  <c r="D8" i="22"/>
  <c r="F5" i="22"/>
  <c r="F6" i="22"/>
  <c r="F7" i="22"/>
  <c r="F8" i="22"/>
  <c r="B5" i="22"/>
  <c r="G5" i="22" s="1"/>
  <c r="B6" i="22"/>
  <c r="G6" i="22" s="1"/>
  <c r="B7" i="22"/>
  <c r="G7" i="22" s="1"/>
  <c r="B8" i="22"/>
  <c r="G8" i="22" s="1"/>
  <c r="C2" i="15" a="1"/>
  <c r="C2" i="15" s="1"/>
  <c r="D2" i="15" a="1"/>
  <c r="D2" i="15" s="1"/>
  <c r="E2" i="15" a="1"/>
  <c r="E2" i="15" s="1"/>
  <c r="G2" i="15" a="1"/>
  <c r="G2" i="15" s="1"/>
  <c r="H2" i="15" a="1"/>
  <c r="H2" i="15" s="1"/>
  <c r="I2" i="15" a="1"/>
  <c r="I2" i="15" s="1"/>
  <c r="J2" i="15" a="1"/>
  <c r="J2" i="15" s="1"/>
  <c r="K2" i="15" a="1"/>
  <c r="K2" i="15" s="1"/>
  <c r="L2" i="15" a="1"/>
  <c r="L2" i="15" s="1"/>
  <c r="M2" i="15" a="1"/>
  <c r="M2" i="15" s="1"/>
  <c r="N2" i="15" a="1"/>
  <c r="N2" i="15" s="1"/>
  <c r="O2" i="15" a="1"/>
  <c r="O2" i="15" s="1"/>
  <c r="P2" i="15" a="1"/>
  <c r="P2" i="15" s="1"/>
  <c r="Q2" i="15" a="1"/>
  <c r="Q2" i="15" s="1"/>
  <c r="R2" i="15" a="1"/>
  <c r="R2" i="15" s="1"/>
  <c r="S2" i="15" a="1"/>
  <c r="S2" i="15" s="1"/>
  <c r="T2" i="15" a="1"/>
  <c r="T2" i="15" s="1"/>
  <c r="U2" i="15" a="1"/>
  <c r="U2" i="15" s="1"/>
  <c r="V2" i="15" a="1"/>
  <c r="V2" i="15" s="1"/>
  <c r="X2" i="15" a="1"/>
  <c r="X2" i="15" s="1"/>
  <c r="Y2" i="15" a="1"/>
  <c r="Y2" i="15" s="1"/>
  <c r="Z2" i="15" a="1"/>
  <c r="Z2" i="15" s="1"/>
  <c r="AA2" i="15" a="1"/>
  <c r="AA2" i="15" s="1"/>
  <c r="AB2" i="15" a="1"/>
  <c r="AB2" i="15" s="1"/>
  <c r="AC2" i="15" a="1"/>
  <c r="AC2" i="15" s="1"/>
  <c r="AD2" i="15" a="1"/>
  <c r="AD2" i="15" s="1"/>
  <c r="AE2" i="15" a="1"/>
  <c r="AE2" i="15" s="1"/>
  <c r="AF2" i="15" a="1"/>
  <c r="AF2" i="15" s="1"/>
  <c r="AG2" i="15" a="1"/>
  <c r="AG2" i="15" s="1"/>
  <c r="AH2" i="15" a="1"/>
  <c r="AH2" i="15" s="1"/>
  <c r="AI2" i="15" a="1"/>
  <c r="AI2" i="15" s="1"/>
  <c r="AJ2" i="15" a="1"/>
  <c r="AJ2" i="15" s="1"/>
  <c r="AK2" i="15" a="1"/>
  <c r="AK2" i="15" s="1"/>
  <c r="AL2" i="15" a="1"/>
  <c r="AL2" i="15" s="1"/>
  <c r="AM2" i="15" a="1"/>
  <c r="AM2" i="15" s="1"/>
  <c r="AN2" i="15" a="1"/>
  <c r="AN2" i="15" s="1"/>
  <c r="AO2" i="15" a="1"/>
  <c r="AO2" i="15" s="1"/>
  <c r="AP2" i="15" a="1"/>
  <c r="AP2" i="15" s="1"/>
  <c r="AQ2" i="15" a="1"/>
  <c r="AQ2" i="15" s="1"/>
  <c r="AR2" i="15" a="1"/>
  <c r="AR2" i="15" s="1"/>
  <c r="AS2" i="15" a="1"/>
  <c r="AS2" i="15" s="1"/>
  <c r="AT2" i="15" a="1"/>
  <c r="AT2" i="15" s="1"/>
  <c r="AU2" i="15" a="1"/>
  <c r="AU2" i="15" s="1"/>
  <c r="AV2" i="15" a="1"/>
  <c r="AV2" i="15" s="1"/>
  <c r="AW2" i="15" a="1"/>
  <c r="AW2" i="15" s="1"/>
  <c r="AY2" i="15" a="1"/>
  <c r="AY2" i="15" s="1"/>
  <c r="AZ2" i="15" a="1"/>
  <c r="AZ2" i="15" s="1"/>
  <c r="B2" i="15" a="1"/>
  <c r="B2" i="15" s="1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K10" i="12"/>
  <c r="I10" i="12"/>
  <c r="R8" i="12"/>
  <c r="R9" i="12"/>
  <c r="R10" i="12"/>
  <c r="R7" i="12"/>
  <c r="R5" i="12"/>
  <c r="R6" i="12"/>
  <c r="R11" i="12"/>
  <c r="R12" i="12"/>
  <c r="R13" i="12"/>
  <c r="R14" i="12"/>
  <c r="R15" i="12"/>
  <c r="R16" i="12"/>
  <c r="E3" i="12" l="1" a="1"/>
  <c r="E3" i="12" s="1"/>
  <c r="F3" i="12" a="1"/>
  <c r="F3" i="12" s="1"/>
  <c r="G3" i="12" a="1"/>
  <c r="G3" i="12" s="1"/>
  <c r="H3" i="12" a="1"/>
  <c r="H3" i="12" s="1"/>
  <c r="J3" i="12" a="1"/>
  <c r="J3" i="12" s="1"/>
  <c r="L3" i="12" a="1"/>
  <c r="L3" i="12" s="1"/>
  <c r="O3" i="12" a="1"/>
  <c r="O3" i="12" s="1"/>
  <c r="P3" i="12" a="1"/>
  <c r="P3" i="12" s="1"/>
  <c r="Q3" i="12" a="1"/>
  <c r="Q3" i="12" s="1"/>
  <c r="R3" i="12" a="1"/>
  <c r="R3" i="12" s="1"/>
  <c r="B3" i="12" a="1"/>
  <c r="B3" i="12" s="1"/>
  <c r="F5" i="15"/>
  <c r="F6" i="15"/>
  <c r="F7" i="15"/>
  <c r="F8" i="15"/>
  <c r="F9" i="15"/>
  <c r="F10" i="15"/>
  <c r="F11" i="15"/>
  <c r="F12" i="15"/>
  <c r="F13" i="15"/>
  <c r="F14" i="15"/>
  <c r="F15" i="15"/>
  <c r="F16" i="15"/>
  <c r="M5" i="12"/>
  <c r="M6" i="12"/>
  <c r="M7" i="12"/>
  <c r="M8" i="12"/>
  <c r="M9" i="12"/>
  <c r="M10" i="12"/>
  <c r="T10" i="12" s="1"/>
  <c r="M11" i="12"/>
  <c r="M12" i="12"/>
  <c r="M13" i="12"/>
  <c r="M14" i="12"/>
  <c r="M15" i="12"/>
  <c r="M16" i="12"/>
  <c r="K5" i="12"/>
  <c r="K6" i="12"/>
  <c r="K7" i="12"/>
  <c r="K8" i="12"/>
  <c r="K9" i="12"/>
  <c r="K11" i="12"/>
  <c r="K12" i="12"/>
  <c r="K13" i="12"/>
  <c r="K14" i="12"/>
  <c r="K15" i="12"/>
  <c r="K16" i="12"/>
  <c r="I5" i="12"/>
  <c r="I6" i="12"/>
  <c r="I7" i="12"/>
  <c r="T7" i="12" s="1"/>
  <c r="I8" i="12"/>
  <c r="I9" i="12"/>
  <c r="I11" i="12"/>
  <c r="I12" i="12"/>
  <c r="I13" i="12"/>
  <c r="I14" i="12"/>
  <c r="I15" i="12"/>
  <c r="I16" i="12"/>
  <c r="T8" i="12" l="1"/>
  <c r="T13" i="12"/>
  <c r="T11" i="12"/>
  <c r="T6" i="12"/>
  <c r="T5" i="12"/>
  <c r="T16" i="12"/>
  <c r="T15" i="12"/>
  <c r="T14" i="12"/>
  <c r="T9" i="12"/>
  <c r="T12" i="12"/>
  <c r="W16" i="15"/>
  <c r="BB16" i="15" s="1"/>
  <c r="BC16" i="15"/>
  <c r="W14" i="15"/>
  <c r="BA14" i="15" s="1"/>
  <c r="BC14" i="15"/>
  <c r="W15" i="15"/>
  <c r="BB15" i="15" s="1"/>
  <c r="BC15" i="15"/>
  <c r="W13" i="15"/>
  <c r="BC13" i="15" s="1"/>
  <c r="W12" i="15"/>
  <c r="BB12" i="15" s="1"/>
  <c r="W11" i="15"/>
  <c r="BC11" i="15" s="1"/>
  <c r="W10" i="15"/>
  <c r="BC10" i="15" s="1"/>
  <c r="BB10" i="15"/>
  <c r="W9" i="15"/>
  <c r="BB9" i="15" s="1"/>
  <c r="W8" i="15"/>
  <c r="BC8" i="15" s="1"/>
  <c r="W7" i="15"/>
  <c r="BC7" i="15" s="1"/>
  <c r="W6" i="15"/>
  <c r="BB6" i="15" s="1"/>
  <c r="W5" i="15"/>
  <c r="F2" i="15" a="1"/>
  <c r="F2" i="15" s="1"/>
  <c r="S8" i="12"/>
  <c r="S12" i="12"/>
  <c r="S11" i="12"/>
  <c r="K3" i="12" a="1"/>
  <c r="K3" i="12" s="1"/>
  <c r="S7" i="12"/>
  <c r="I3" i="12" a="1"/>
  <c r="I3" i="12" s="1"/>
  <c r="S6" i="12"/>
  <c r="S16" i="12"/>
  <c r="S5" i="12"/>
  <c r="S15" i="12"/>
  <c r="S14" i="12"/>
  <c r="S13" i="12"/>
  <c r="S10" i="12"/>
  <c r="S9" i="12"/>
  <c r="M3" i="12" a="1"/>
  <c r="M3" i="12" s="1"/>
  <c r="BA15" i="15"/>
  <c r="BA10" i="15"/>
  <c r="BA16" i="15"/>
  <c r="BC6" i="15" l="1"/>
  <c r="BC12" i="15"/>
  <c r="BA6" i="15"/>
  <c r="BA11" i="15"/>
  <c r="BB11" i="15"/>
  <c r="BB14" i="15"/>
  <c r="BA8" i="15"/>
  <c r="BA7" i="15"/>
  <c r="W2" i="15" a="1"/>
  <c r="W2" i="15" s="1"/>
  <c r="BB7" i="15"/>
  <c r="BB8" i="15"/>
  <c r="BA12" i="15"/>
  <c r="BA13" i="15"/>
  <c r="BA5" i="15"/>
  <c r="BA9" i="15"/>
  <c r="BC9" i="15"/>
  <c r="BB13" i="15"/>
  <c r="BB5" i="15"/>
  <c r="BC5" i="15"/>
  <c r="S3" i="12" a="1"/>
  <c r="S3" i="12" s="1"/>
  <c r="K7" i="14" l="1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H5" i="6" l="1"/>
  <c r="J5" i="6" s="1"/>
  <c r="H6" i="6"/>
  <c r="J6" i="6" s="1"/>
  <c r="H7" i="6"/>
  <c r="J7" i="6" s="1"/>
  <c r="H8" i="6"/>
  <c r="J8" i="6" s="1"/>
  <c r="H9" i="6"/>
  <c r="J9" i="6" s="1"/>
  <c r="H10" i="6"/>
  <c r="J10" i="6" s="1"/>
  <c r="H11" i="6"/>
  <c r="J11" i="6" s="1"/>
  <c r="H12" i="6"/>
  <c r="J12" i="6" s="1"/>
  <c r="H13" i="6"/>
  <c r="J13" i="6" s="1"/>
  <c r="F27" i="1"/>
  <c r="W27" i="1" s="1"/>
  <c r="F28" i="1"/>
  <c r="O27" i="1"/>
  <c r="Q27" i="1"/>
  <c r="Q28" i="1"/>
  <c r="R27" i="1"/>
  <c r="R28" i="1"/>
  <c r="J22" i="10"/>
  <c r="I22" i="10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R5" i="1"/>
  <c r="R3" i="1" s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D5" i="10"/>
  <c r="J5" i="10" s="1"/>
  <c r="D6" i="10"/>
  <c r="J6" i="10" s="1"/>
  <c r="D7" i="10"/>
  <c r="J7" i="10" s="1"/>
  <c r="D8" i="10"/>
  <c r="J8" i="10" s="1"/>
  <c r="D9" i="10"/>
  <c r="J9" i="10" s="1"/>
  <c r="D10" i="10"/>
  <c r="J10" i="10" s="1"/>
  <c r="D11" i="10"/>
  <c r="J11" i="10" s="1"/>
  <c r="D12" i="10"/>
  <c r="J12" i="10" s="1"/>
  <c r="D13" i="10"/>
  <c r="J13" i="10" s="1"/>
  <c r="D14" i="10"/>
  <c r="J14" i="10" s="1"/>
  <c r="D15" i="10"/>
  <c r="J15" i="10" s="1"/>
  <c r="D16" i="10"/>
  <c r="J16" i="10" s="1"/>
  <c r="D17" i="10"/>
  <c r="J17" i="10" s="1"/>
  <c r="D18" i="10"/>
  <c r="J18" i="10" s="1"/>
  <c r="D19" i="10"/>
  <c r="J19" i="10" s="1"/>
  <c r="D20" i="10"/>
  <c r="J20" i="10" s="1"/>
  <c r="D21" i="10"/>
  <c r="J21" i="10" s="1"/>
  <c r="W28" i="1" l="1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Q5" i="1"/>
  <c r="Q3" i="1" s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E38" i="1"/>
  <c r="C3" i="1"/>
  <c r="D3" i="1"/>
  <c r="G3" i="1"/>
  <c r="H3" i="1"/>
  <c r="I3" i="1"/>
  <c r="J3" i="1"/>
  <c r="K3" i="1"/>
  <c r="L3" i="1"/>
  <c r="M3" i="1"/>
  <c r="N3" i="1"/>
  <c r="P3" i="1"/>
  <c r="B3" i="1"/>
  <c r="F5" i="1"/>
  <c r="W5" i="1" s="1"/>
  <c r="F6" i="1"/>
  <c r="F7" i="1"/>
  <c r="F8" i="1"/>
  <c r="W8" i="1" s="1"/>
  <c r="F9" i="1"/>
  <c r="F10" i="1"/>
  <c r="F11" i="1"/>
  <c r="F12" i="1"/>
  <c r="F13" i="1"/>
  <c r="F14" i="1"/>
  <c r="F15" i="1"/>
  <c r="F16" i="1"/>
  <c r="F17" i="1"/>
  <c r="W17" i="1" s="1"/>
  <c r="F18" i="1"/>
  <c r="F19" i="1"/>
  <c r="F20" i="1"/>
  <c r="W20" i="1" s="1"/>
  <c r="F21" i="1"/>
  <c r="F22" i="1"/>
  <c r="F23" i="1"/>
  <c r="F24" i="1"/>
  <c r="F25" i="1"/>
  <c r="F26" i="1"/>
  <c r="W10" i="1" l="1"/>
  <c r="W19" i="1"/>
  <c r="W7" i="1"/>
  <c r="W18" i="1"/>
  <c r="W6" i="1"/>
  <c r="W16" i="1"/>
  <c r="W23" i="1"/>
  <c r="W26" i="1"/>
  <c r="W24" i="1"/>
  <c r="W11" i="1"/>
  <c r="W22" i="1"/>
  <c r="W21" i="1"/>
  <c r="W9" i="1"/>
  <c r="W15" i="1"/>
  <c r="W14" i="1"/>
  <c r="W13" i="1"/>
  <c r="W12" i="1"/>
  <c r="W25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Degia Parlopa Pasaribu</author>
  </authors>
  <commentList>
    <comment ref="D4" authorId="0" shapeId="0" xr:uid="{560AB2E9-4209-44CC-836F-48D989B38EF9}">
      <text>
        <r>
          <rPr>
            <b/>
            <sz val="9"/>
            <color indexed="81"/>
            <rFont val="Tahoma"/>
            <family val="2"/>
          </rPr>
          <t>Degia Parlopa Pasaribu:</t>
        </r>
        <r>
          <rPr>
            <sz val="9"/>
            <color indexed="81"/>
            <rFont val="Tahoma"/>
            <family val="2"/>
          </rPr>
          <t xml:space="preserve">
CARA CHECK VIA Windows Powershell
CopyPaste :
(Get-WmiObject Win32_BIOS).SerialNumber
OR
Get-WmiObject -Class Win32_BIOS | Select-Object SerialNumber</t>
        </r>
      </text>
    </comment>
    <comment ref="V4" authorId="0" shapeId="0" xr:uid="{C4F87730-B083-4A66-B6E2-A908B19F5A33}">
      <text>
        <r>
          <rPr>
            <b/>
            <sz val="9"/>
            <color indexed="81"/>
            <rFont val="Tahoma"/>
            <family val="2"/>
          </rPr>
          <t>Degia Parlopa Pasaribu:</t>
        </r>
        <r>
          <rPr>
            <sz val="9"/>
            <color indexed="81"/>
            <rFont val="Tahoma"/>
            <family val="2"/>
          </rPr>
          <t xml:space="preserve">
CARA CHECK VIA </t>
        </r>
        <r>
          <rPr>
            <i/>
            <sz val="9"/>
            <color indexed="81"/>
            <rFont val="Tahoma"/>
            <family val="2"/>
          </rPr>
          <t>Windows Powershell.</t>
        </r>
        <r>
          <rPr>
            <sz val="9"/>
            <color indexed="81"/>
            <rFont val="Tahoma"/>
            <family val="2"/>
          </rPr>
          <t xml:space="preserve">
CopyPaste :
$service = Get-WmiObject -Query 'SELECT * FROM SoftwareLicensingService'
$service | Select-Object -ExpandProperty OA3xOriginalProductKey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Degia Parlopa Pasaribu</author>
  </authors>
  <commentList>
    <comment ref="B7" authorId="0" shapeId="0" xr:uid="{252A4586-4FF1-4D35-9378-83BD2041877C}">
      <text>
        <r>
          <rPr>
            <b/>
            <sz val="9"/>
            <color indexed="81"/>
            <rFont val="Tahoma"/>
            <family val="2"/>
          </rPr>
          <t>Degia Parlopa Pasaribu:</t>
        </r>
        <r>
          <rPr>
            <sz val="9"/>
            <color indexed="81"/>
            <rFont val="Tahoma"/>
            <family val="2"/>
          </rPr>
          <t xml:space="preserve">
CARA CHECK VIA Windows Powershell
CopyPaste :
(Get-WmiObject Win32_BIOS).SerialNumber
OR
Get-WmiObject -Class Win32_BIOS | Select-Object SerialNumber</t>
        </r>
      </text>
    </comment>
    <comment ref="B25" authorId="0" shapeId="0" xr:uid="{130F4A50-9809-405A-90E6-7A893889AA8A}">
      <text>
        <r>
          <rPr>
            <b/>
            <sz val="9"/>
            <color indexed="81"/>
            <rFont val="Tahoma"/>
            <family val="2"/>
          </rPr>
          <t>Degia Parlopa Pasaribu:</t>
        </r>
        <r>
          <rPr>
            <sz val="9"/>
            <color indexed="81"/>
            <rFont val="Tahoma"/>
            <family val="2"/>
          </rPr>
          <t xml:space="preserve">
CARA CHECK VIA </t>
        </r>
        <r>
          <rPr>
            <i/>
            <sz val="9"/>
            <color indexed="81"/>
            <rFont val="Tahoma"/>
            <family val="2"/>
          </rPr>
          <t>Windows Powershell.</t>
        </r>
        <r>
          <rPr>
            <sz val="9"/>
            <color indexed="81"/>
            <rFont val="Tahoma"/>
            <family val="2"/>
          </rPr>
          <t xml:space="preserve">
CopyPaste :
$service = Get-WmiObject -Query 'SELECT * FROM SoftwareLicensingService'
$service | Select-Object -ExpandProperty OA3xOriginalProductKey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<sst xmlns="http://schemas.openxmlformats.org/spreadsheetml/2006/main" count="10609" uniqueCount="2451">
  <si>
    <t>NIP</t>
  </si>
  <si>
    <t>NAME</t>
  </si>
  <si>
    <t>LEVEL</t>
  </si>
  <si>
    <t>DIVISION</t>
  </si>
  <si>
    <t>DEPARTEMENT</t>
  </si>
  <si>
    <t>ID_SITE</t>
  </si>
  <si>
    <t>BUSINESS_UNIT</t>
  </si>
  <si>
    <t>CORPORATE_NAME</t>
  </si>
  <si>
    <t>NO</t>
  </si>
  <si>
    <t>Assistant Manager</t>
  </si>
  <si>
    <t>Deputy General Manager</t>
  </si>
  <si>
    <t>Director</t>
  </si>
  <si>
    <t>General Manager</t>
  </si>
  <si>
    <t>Manager</t>
  </si>
  <si>
    <t>Senior Manager</t>
  </si>
  <si>
    <t>Senior Staff</t>
  </si>
  <si>
    <t>Senior Supervisor</t>
  </si>
  <si>
    <t>Staff</t>
  </si>
  <si>
    <t>Supervisor</t>
  </si>
  <si>
    <t>VACANT</t>
  </si>
  <si>
    <t>Chief Executive Officer</t>
  </si>
  <si>
    <t>Chief Financial Officer</t>
  </si>
  <si>
    <t>Chief Operating Officer</t>
  </si>
  <si>
    <t>Chief Technology Officer</t>
  </si>
  <si>
    <t>Chief Information Officer</t>
  </si>
  <si>
    <t>Chief Marketing Officer</t>
  </si>
  <si>
    <t>Chief Human Resources Officer</t>
  </si>
  <si>
    <t>Chief Compliance Officer</t>
  </si>
  <si>
    <t>Chief Data Officer</t>
  </si>
  <si>
    <t>Chief Analytics Officer</t>
  </si>
  <si>
    <t>Chief Product Officer</t>
  </si>
  <si>
    <t>Level C-Suite</t>
  </si>
  <si>
    <t>Board of Directors</t>
  </si>
  <si>
    <t>Chairman</t>
  </si>
  <si>
    <t>Komisaris Utama</t>
  </si>
  <si>
    <t>Komisaris Independen</t>
  </si>
  <si>
    <t>Direktur</t>
  </si>
  <si>
    <t>Senior Vice President</t>
  </si>
  <si>
    <t>Executive Vice President</t>
  </si>
  <si>
    <t>Vice President</t>
  </si>
  <si>
    <t>Associate Vice President</t>
  </si>
  <si>
    <t>Head of Department</t>
  </si>
  <si>
    <t>Deputy Manager</t>
  </si>
  <si>
    <t>Team Leader</t>
  </si>
  <si>
    <t>Coordinator</t>
  </si>
  <si>
    <t>Foreman</t>
  </si>
  <si>
    <t>Officer</t>
  </si>
  <si>
    <t>Associate</t>
  </si>
  <si>
    <t>Analyst</t>
  </si>
  <si>
    <t>Junior Staff</t>
  </si>
  <si>
    <t>Intern</t>
  </si>
  <si>
    <t>Management Trainee</t>
  </si>
  <si>
    <t>Fresh Graduate</t>
  </si>
  <si>
    <t>NOTE</t>
  </si>
  <si>
    <t>ID.LEVEL</t>
  </si>
  <si>
    <t>L0.01</t>
  </si>
  <si>
    <t>L0.02</t>
  </si>
  <si>
    <t>L0.03</t>
  </si>
  <si>
    <t>L0.04</t>
  </si>
  <si>
    <t>L0.05</t>
  </si>
  <si>
    <t>L0.06</t>
  </si>
  <si>
    <t>L0.07</t>
  </si>
  <si>
    <t>L0.08</t>
  </si>
  <si>
    <t>L0.09</t>
  </si>
  <si>
    <t>L0.10</t>
  </si>
  <si>
    <t>L0.11</t>
  </si>
  <si>
    <t>L0.12</t>
  </si>
  <si>
    <t>L1.13</t>
  </si>
  <si>
    <t>L1.14</t>
  </si>
  <si>
    <t>L1.15</t>
  </si>
  <si>
    <t>L1.16</t>
  </si>
  <si>
    <t>L2.17</t>
  </si>
  <si>
    <t>L2.18</t>
  </si>
  <si>
    <t>L2.19</t>
  </si>
  <si>
    <t>L2.20</t>
  </si>
  <si>
    <t>L3.21</t>
  </si>
  <si>
    <t>L3.22</t>
  </si>
  <si>
    <t>L3.23</t>
  </si>
  <si>
    <t>L3.24</t>
  </si>
  <si>
    <t>L4.25</t>
  </si>
  <si>
    <t>L4.26</t>
  </si>
  <si>
    <t>L4.27</t>
  </si>
  <si>
    <t>L4.28</t>
  </si>
  <si>
    <t>L5.29</t>
  </si>
  <si>
    <t>L5.30</t>
  </si>
  <si>
    <t>L5.31</t>
  </si>
  <si>
    <t>L5.32</t>
  </si>
  <si>
    <t>L5.33</t>
  </si>
  <si>
    <t>L6.34</t>
  </si>
  <si>
    <t>L6.35</t>
  </si>
  <si>
    <t>L6.36</t>
  </si>
  <si>
    <t>L6.37</t>
  </si>
  <si>
    <t>L6.38</t>
  </si>
  <si>
    <t>L6.39</t>
  </si>
  <si>
    <t>L7.40</t>
  </si>
  <si>
    <t>L7.41</t>
  </si>
  <si>
    <t>L7.42</t>
  </si>
  <si>
    <t>Team Control</t>
  </si>
  <si>
    <t>Team Lead</t>
  </si>
  <si>
    <t>Implementer</t>
  </si>
  <si>
    <t>Beginner</t>
  </si>
  <si>
    <t>L0.00</t>
  </si>
  <si>
    <t>Unknown</t>
  </si>
  <si>
    <t>DIRECTORATE</t>
  </si>
  <si>
    <t>Direktur Finance Accounting</t>
  </si>
  <si>
    <t>Direktur Human Capital</t>
  </si>
  <si>
    <t>Direktur Engineering</t>
  </si>
  <si>
    <t>DIR0.00</t>
  </si>
  <si>
    <t>DIR0.01</t>
  </si>
  <si>
    <t>DIR0.02</t>
  </si>
  <si>
    <t>DIR0.03</t>
  </si>
  <si>
    <t>DIR0.04</t>
  </si>
  <si>
    <t>DIR0.05</t>
  </si>
  <si>
    <t>DIR0.06</t>
  </si>
  <si>
    <t>DIR0.07</t>
  </si>
  <si>
    <t>DIR0.08</t>
  </si>
  <si>
    <t>DIR0.09</t>
  </si>
  <si>
    <t>DIR0.10</t>
  </si>
  <si>
    <t>DIR0.11</t>
  </si>
  <si>
    <t>DIR0.12</t>
  </si>
  <si>
    <t>DIR1.13</t>
  </si>
  <si>
    <t>DIR1.14</t>
  </si>
  <si>
    <t>DIR1.15</t>
  </si>
  <si>
    <t>DIR1.16</t>
  </si>
  <si>
    <t>DIR1.17</t>
  </si>
  <si>
    <t>DIR1.18</t>
  </si>
  <si>
    <t>Chief Leasing Officer</t>
  </si>
  <si>
    <t>Information Technology</t>
  </si>
  <si>
    <t>Innovation</t>
  </si>
  <si>
    <t>Finance &amp; Accounting</t>
  </si>
  <si>
    <t>HRD</t>
  </si>
  <si>
    <t>ISO</t>
  </si>
  <si>
    <t>Operation</t>
  </si>
  <si>
    <t>Engineering</t>
  </si>
  <si>
    <t>Marketing &amp; Commercial</t>
  </si>
  <si>
    <t>Legal &amp; Government Relation</t>
  </si>
  <si>
    <t>Leasing</t>
  </si>
  <si>
    <t>Property Office Management</t>
  </si>
  <si>
    <t>DIV0.00</t>
  </si>
  <si>
    <t>DIV0.01</t>
  </si>
  <si>
    <t>DIV0.02</t>
  </si>
  <si>
    <t>DIV0.03</t>
  </si>
  <si>
    <t>DIV0.04</t>
  </si>
  <si>
    <t>DIV0.05</t>
  </si>
  <si>
    <t>DIV0.06</t>
  </si>
  <si>
    <t>DIV0.07</t>
  </si>
  <si>
    <t>DIV0.08</t>
  </si>
  <si>
    <t>DIV0.09</t>
  </si>
  <si>
    <t>DIV0.10</t>
  </si>
  <si>
    <t>DIV0.11</t>
  </si>
  <si>
    <t>IT Network</t>
  </si>
  <si>
    <t>IT Server</t>
  </si>
  <si>
    <t>IT Project</t>
  </si>
  <si>
    <t>IT Operation</t>
  </si>
  <si>
    <t>IT Application</t>
  </si>
  <si>
    <t>IT Infrastructure</t>
  </si>
  <si>
    <t>IT Operation &amp; Project</t>
  </si>
  <si>
    <t>DIRECTORATE ACTUALS</t>
  </si>
  <si>
    <t>IT Complience</t>
  </si>
  <si>
    <t>IT Security &amp; Complience</t>
  </si>
  <si>
    <t>IT Cyber Security</t>
  </si>
  <si>
    <t>Corporate consolidation, Reporting &amp; Analisis</t>
  </si>
  <si>
    <t>Procurement</t>
  </si>
  <si>
    <t>Research &amp; Development</t>
  </si>
  <si>
    <t>Chief Finance Officer</t>
  </si>
  <si>
    <t>Purchasing</t>
  </si>
  <si>
    <t>Corporate Finance</t>
  </si>
  <si>
    <t>Reporting</t>
  </si>
  <si>
    <t>Collection</t>
  </si>
  <si>
    <t>Tax</t>
  </si>
  <si>
    <t>Accounting</t>
  </si>
  <si>
    <t>Asset Management &amp; Controller</t>
  </si>
  <si>
    <t>Cashier</t>
  </si>
  <si>
    <t>Accounting &amp; Account Raceivable</t>
  </si>
  <si>
    <t>Account Raceivable</t>
  </si>
  <si>
    <t>Account Payable</t>
  </si>
  <si>
    <t>Account Payable &amp; Cashier</t>
  </si>
  <si>
    <t>Procurement &amp; Purchasing</t>
  </si>
  <si>
    <t>Human Resource &amp; Development</t>
  </si>
  <si>
    <t>Talent Acquisition</t>
  </si>
  <si>
    <t>Compensation &amp; Benefit</t>
  </si>
  <si>
    <t>Internal Audit &amp; Business Process</t>
  </si>
  <si>
    <t>People Development &amp; Career Management</t>
  </si>
  <si>
    <t>Employer Branding</t>
  </si>
  <si>
    <t>Warehouse</t>
  </si>
  <si>
    <t>Office Boy</t>
  </si>
  <si>
    <t>Messenger</t>
  </si>
  <si>
    <t>GA Operation</t>
  </si>
  <si>
    <t>Contract &amp; Payment Control</t>
  </si>
  <si>
    <t>Business Partner</t>
  </si>
  <si>
    <t>Storekeeper</t>
  </si>
  <si>
    <t>Housekeeping &amp;Parking</t>
  </si>
  <si>
    <t>Housekeeping</t>
  </si>
  <si>
    <t>Parking</t>
  </si>
  <si>
    <t>Safety</t>
  </si>
  <si>
    <t>HSE</t>
  </si>
  <si>
    <t>HSE &amp; Safety</t>
  </si>
  <si>
    <t>GEA &amp; TR</t>
  </si>
  <si>
    <t>GEA</t>
  </si>
  <si>
    <t>TR</t>
  </si>
  <si>
    <t>Landscape</t>
  </si>
  <si>
    <t>Security</t>
  </si>
  <si>
    <t>F &amp; B</t>
  </si>
  <si>
    <t>Sustainability</t>
  </si>
  <si>
    <t>Handling Compliant</t>
  </si>
  <si>
    <t>Operational Genset &amp; Control Room</t>
  </si>
  <si>
    <t>Operational CCTV</t>
  </si>
  <si>
    <t>SDP0.00</t>
  </si>
  <si>
    <t>SDP1.01</t>
  </si>
  <si>
    <t>SDP1.02</t>
  </si>
  <si>
    <t>SDP1.03</t>
  </si>
  <si>
    <t>SDP1.04</t>
  </si>
  <si>
    <t>SDP1.05</t>
  </si>
  <si>
    <t>SDP1.06</t>
  </si>
  <si>
    <t>SDP1.07</t>
  </si>
  <si>
    <t>SDP1.08</t>
  </si>
  <si>
    <t>SDP1.09</t>
  </si>
  <si>
    <t>SDP1.10</t>
  </si>
  <si>
    <t>SDP1.11</t>
  </si>
  <si>
    <t>SDP1.12</t>
  </si>
  <si>
    <t>SDP1.13</t>
  </si>
  <si>
    <t>SDP1.14</t>
  </si>
  <si>
    <t>SDP1.15</t>
  </si>
  <si>
    <t>SDP1.16</t>
  </si>
  <si>
    <t>SDP1.17</t>
  </si>
  <si>
    <t>SDP1.18</t>
  </si>
  <si>
    <t>SDP1.19</t>
  </si>
  <si>
    <t>SDP1.20</t>
  </si>
  <si>
    <t>SDP1.21</t>
  </si>
  <si>
    <t>SDP1.22</t>
  </si>
  <si>
    <t>SDP1.23</t>
  </si>
  <si>
    <t>SDP1.24</t>
  </si>
  <si>
    <t>SDP1.25</t>
  </si>
  <si>
    <t>SDP1.26</t>
  </si>
  <si>
    <t>SDP1.27</t>
  </si>
  <si>
    <t>SDP1.28</t>
  </si>
  <si>
    <t>SDP1.29</t>
  </si>
  <si>
    <t>SDP1.30</t>
  </si>
  <si>
    <t>SDP1.31</t>
  </si>
  <si>
    <t>SDP1.32</t>
  </si>
  <si>
    <t>SDP1.33</t>
  </si>
  <si>
    <t>SDP1.34</t>
  </si>
  <si>
    <t>SDP1.35</t>
  </si>
  <si>
    <t>SDP1.36</t>
  </si>
  <si>
    <t>SDP1.37</t>
  </si>
  <si>
    <t>SDP1.38</t>
  </si>
  <si>
    <t>SDP1.39</t>
  </si>
  <si>
    <t>SDP1.40</t>
  </si>
  <si>
    <t>SDP1.41</t>
  </si>
  <si>
    <t>SDP1.42</t>
  </si>
  <si>
    <t>SDP1.43</t>
  </si>
  <si>
    <t>SDP1.44</t>
  </si>
  <si>
    <t>SDP1.45</t>
  </si>
  <si>
    <t>SDP1.46</t>
  </si>
  <si>
    <t>SDP1.47</t>
  </si>
  <si>
    <t>SDP1.48</t>
  </si>
  <si>
    <t>SDP1.49</t>
  </si>
  <si>
    <t>SDP1.50</t>
  </si>
  <si>
    <t>SDP1.51</t>
  </si>
  <si>
    <t>SDP1.52</t>
  </si>
  <si>
    <t>Johnson Lopulisa</t>
  </si>
  <si>
    <t>Teddy Wijaya</t>
  </si>
  <si>
    <t>Ariya Jaya Urip Ramsi</t>
  </si>
  <si>
    <t>Wuwanjie Septian</t>
  </si>
  <si>
    <t>Romi Fusianto</t>
  </si>
  <si>
    <t>Wilson</t>
  </si>
  <si>
    <t>Candra Segren</t>
  </si>
  <si>
    <t>Teguh Putra Sofyanto</t>
  </si>
  <si>
    <t>Achmad Fika Muntafa</t>
  </si>
  <si>
    <t>Albin Patu Putra Wangsa</t>
  </si>
  <si>
    <t>Aditya Gustiyana</t>
  </si>
  <si>
    <t>Hardi Wasisto</t>
  </si>
  <si>
    <t>Aldo Jeffry F Wowor</t>
  </si>
  <si>
    <t>Johari.</t>
  </si>
  <si>
    <t>Degia Parlopa</t>
  </si>
  <si>
    <t>Fransiskus Simson</t>
  </si>
  <si>
    <t>Hendry Prasetyo</t>
  </si>
  <si>
    <t>Irfan Suparman</t>
  </si>
  <si>
    <t>Patrick Lay</t>
  </si>
  <si>
    <t>Toyyib Abdillah</t>
  </si>
  <si>
    <t>Moh. Gagas Sanda Ramadhan</t>
  </si>
  <si>
    <t>Sarah Sajaratun Durry</t>
  </si>
  <si>
    <t>DPT0.00</t>
  </si>
  <si>
    <t>DPT0.01</t>
  </si>
  <si>
    <t>DPT0.02</t>
  </si>
  <si>
    <t>DPT0.03</t>
  </si>
  <si>
    <t>DPT0.04</t>
  </si>
  <si>
    <t>DPT0.05</t>
  </si>
  <si>
    <t>DPT0.06</t>
  </si>
  <si>
    <t>DPT0.07</t>
  </si>
  <si>
    <t>DPT0.08</t>
  </si>
  <si>
    <t>DPT0.09</t>
  </si>
  <si>
    <t>DPT0.10</t>
  </si>
  <si>
    <t>DPT0.11</t>
  </si>
  <si>
    <t>EMPTY</t>
  </si>
  <si>
    <t>HQ ALL</t>
  </si>
  <si>
    <t>BIS.00</t>
  </si>
  <si>
    <t>BIS.02</t>
  </si>
  <si>
    <t>BIS.03</t>
  </si>
  <si>
    <t>BIS.04</t>
  </si>
  <si>
    <t>BIS.05</t>
  </si>
  <si>
    <t>BIS.06</t>
  </si>
  <si>
    <t>BIS.07</t>
  </si>
  <si>
    <t>BIS.08</t>
  </si>
  <si>
    <t>BIS.09</t>
  </si>
  <si>
    <t>BIS.10</t>
  </si>
  <si>
    <t>BIS.11</t>
  </si>
  <si>
    <t>PT. Mandiri Andal Sejahtera</t>
  </si>
  <si>
    <t>MAS</t>
  </si>
  <si>
    <t>HQAL</t>
  </si>
  <si>
    <t>STATUS</t>
  </si>
  <si>
    <t>MNCA</t>
  </si>
  <si>
    <t>Column1</t>
  </si>
  <si>
    <t>SITE_UNIT</t>
  </si>
  <si>
    <t>M02</t>
  </si>
  <si>
    <t>O99</t>
  </si>
  <si>
    <t>M03</t>
  </si>
  <si>
    <t>Date_Hiring</t>
  </si>
  <si>
    <t>Date_Resign</t>
  </si>
  <si>
    <t>MJS</t>
  </si>
  <si>
    <t>Null</t>
  </si>
  <si>
    <t>SDP1.99</t>
  </si>
  <si>
    <t>Admin</t>
  </si>
  <si>
    <t>SDP0.01</t>
  </si>
  <si>
    <t>SALARY</t>
  </si>
  <si>
    <t>QUERY</t>
  </si>
  <si>
    <t>CONVERTDH</t>
  </si>
  <si>
    <t>CONVERTDR</t>
  </si>
  <si>
    <t>ID_LEVEL</t>
  </si>
  <si>
    <t>ID_SO</t>
  </si>
  <si>
    <t>ID_DIRECTORATE</t>
  </si>
  <si>
    <t>ID_DIVISION</t>
  </si>
  <si>
    <t>ID_DEPARTEMENT</t>
  </si>
  <si>
    <t>ID_SUB_DEPARTEMENT</t>
  </si>
  <si>
    <t>ID_DIV</t>
  </si>
  <si>
    <t>ID_DIR</t>
  </si>
  <si>
    <t>ID_DPT1</t>
  </si>
  <si>
    <t>MAIL</t>
  </si>
  <si>
    <t>degia.parlopa@asri.co.id</t>
  </si>
  <si>
    <t>ariya.ramsi@asri.co.id</t>
  </si>
  <si>
    <t>albin.wangsa@asri.co.id</t>
  </si>
  <si>
    <t>aldo.wowor@asri.co.id</t>
  </si>
  <si>
    <t>fransiskus.simson@asri.co.id</t>
  </si>
  <si>
    <t>hardi.wasisto@asri.co.id</t>
  </si>
  <si>
    <t>irfan.suparman@asri.co.id</t>
  </si>
  <si>
    <t>moh.ramadhan@asri.co.id</t>
  </si>
  <si>
    <t>johari.johari@asri.co.id</t>
  </si>
  <si>
    <t>candra.segren@asri.co.id</t>
  </si>
  <si>
    <t>patrick.lay@asri.co.id</t>
  </si>
  <si>
    <t>sarah.durry@asri.co.id</t>
  </si>
  <si>
    <t>thoyyib.abdillah@asri.co.id</t>
  </si>
  <si>
    <t>johnson.lopulisa@asri.co.id</t>
  </si>
  <si>
    <t>wilson.wilson@asri.co.id</t>
  </si>
  <si>
    <t>wuwanjie.septian@asri.co.id</t>
  </si>
  <si>
    <t>DOMAIN</t>
  </si>
  <si>
    <t>PIC</t>
  </si>
  <si>
    <t>PIC_NIP</t>
  </si>
  <si>
    <t>-</t>
  </si>
  <si>
    <t>USER</t>
  </si>
  <si>
    <t>NULL</t>
  </si>
  <si>
    <t>LICENSE_TYPE</t>
  </si>
  <si>
    <t>TYPE</t>
  </si>
  <si>
    <t>STANDARD</t>
  </si>
  <si>
    <t>NO_TLP</t>
  </si>
  <si>
    <t>EMAIL</t>
  </si>
  <si>
    <t>AD</t>
  </si>
  <si>
    <t>johnson.lopulisa</t>
  </si>
  <si>
    <t>ariya.ramsi</t>
  </si>
  <si>
    <t>wuwanjie.septian</t>
  </si>
  <si>
    <t>wilson.wilson</t>
  </si>
  <si>
    <t>candra.segren</t>
  </si>
  <si>
    <t>albin.wangsa</t>
  </si>
  <si>
    <t>hardi.wasisto</t>
  </si>
  <si>
    <t>aldo.wowor</t>
  </si>
  <si>
    <t>johari.johari</t>
  </si>
  <si>
    <t>degia.parlopa</t>
  </si>
  <si>
    <t>fransiskus.simson</t>
  </si>
  <si>
    <t>irfan.suparman</t>
  </si>
  <si>
    <t>patrick.lay</t>
  </si>
  <si>
    <t>thoyyib.abdillah</t>
  </si>
  <si>
    <t>moh.ramadhan</t>
  </si>
  <si>
    <t>sarah.durry</t>
  </si>
  <si>
    <t>MFA</t>
  </si>
  <si>
    <t>ACTIVED</t>
  </si>
  <si>
    <t>DEACTIVED</t>
  </si>
  <si>
    <t>COL</t>
  </si>
  <si>
    <t>PASSWORD</t>
  </si>
  <si>
    <t>CREATE_DATE</t>
  </si>
  <si>
    <t>MODIFIED_DATE</t>
  </si>
  <si>
    <t>NET_ACCESS</t>
  </si>
  <si>
    <t>SVR_ACCESS</t>
  </si>
  <si>
    <t>WST_ACCESS</t>
  </si>
  <si>
    <t>YES</t>
  </si>
  <si>
    <t>ADMINISTRATOR</t>
  </si>
  <si>
    <t>administrator</t>
  </si>
  <si>
    <t>MJSITMOI</t>
  </si>
  <si>
    <t>PSWD</t>
  </si>
  <si>
    <t>6d6a7369746d6f69</t>
  </si>
  <si>
    <t>Microsoft Office 365</t>
  </si>
  <si>
    <t>admin@asri.co.id</t>
  </si>
  <si>
    <t>SU-ADMIN</t>
  </si>
  <si>
    <t>CD</t>
  </si>
  <si>
    <t>MD</t>
  </si>
  <si>
    <t>EMIAIL</t>
  </si>
  <si>
    <t>FUNC</t>
  </si>
  <si>
    <t>TEST</t>
  </si>
  <si>
    <t>+628111800634</t>
  </si>
  <si>
    <t>+62</t>
  </si>
  <si>
    <t>+6281328682033</t>
  </si>
  <si>
    <t>+6285759988933</t>
  </si>
  <si>
    <t>+6281212267237</t>
  </si>
  <si>
    <t>+6281319051488</t>
  </si>
  <si>
    <t>+6281952520528</t>
  </si>
  <si>
    <t>+6285718769329</t>
  </si>
  <si>
    <t>+6281221728811</t>
  </si>
  <si>
    <t>+628187330021</t>
  </si>
  <si>
    <t>+6281282310886</t>
  </si>
  <si>
    <t>+6281391232461</t>
  </si>
  <si>
    <t>+628956064717</t>
  </si>
  <si>
    <t>+62895414734288</t>
  </si>
  <si>
    <t>+62895703307900</t>
  </si>
  <si>
    <t>+6285700669244</t>
  </si>
  <si>
    <t>+6281214808053</t>
  </si>
  <si>
    <t>nomail</t>
  </si>
  <si>
    <t>Vacant</t>
  </si>
  <si>
    <t>VACT</t>
  </si>
  <si>
    <t>XXX</t>
  </si>
  <si>
    <t>VAC</t>
  </si>
  <si>
    <t>Country</t>
  </si>
  <si>
    <t>Provincy</t>
  </si>
  <si>
    <t>City</t>
  </si>
  <si>
    <t>Address</t>
  </si>
  <si>
    <t>Url_maps</t>
  </si>
  <si>
    <t>A01</t>
  </si>
  <si>
    <t>Taman Anggrek Residence</t>
  </si>
  <si>
    <t>Apartement</t>
  </si>
  <si>
    <t>Indonesia</t>
  </si>
  <si>
    <t>Jakarta</t>
  </si>
  <si>
    <t>Jakarta Barat</t>
  </si>
  <si>
    <t>Jl. Tj. Duren Timur 2 No.12, RT.12/RW.1, Tj. Duren Sel., Kec. Grogol petamburan, Kota Jakarta Barat, Daerah Khusus Ibukota Jakarta 11470</t>
  </si>
  <si>
    <t>https://maps.app.goo.gl/RczWGcAEpFTuXA6G7</t>
  </si>
  <si>
    <t>A02</t>
  </si>
  <si>
    <t>Fatmawati City Center</t>
  </si>
  <si>
    <t>Jakarta Selatan</t>
  </si>
  <si>
    <t>Jl. Fatmawati Raya, RT.3/RW.9, Cilandak Bar., Kec. Cilandak, Kota Jakarta Selatan, Daerah Khusus Ibukota Jakarta 12430</t>
  </si>
  <si>
    <t>https://maps.app.goo.gl/cZ7XNNiT6Kxgmu7f7</t>
  </si>
  <si>
    <t>A03</t>
  </si>
  <si>
    <t>Menara Jakarta</t>
  </si>
  <si>
    <t>Jakarta Utara</t>
  </si>
  <si>
    <t>Arena Pekan Raya Jkt - Kemayoran, Jl. H. Benyamin Sueb No.10, RW.10, Gn. Sahari Sel., Kec. Kemayoran, Jkt Utara, Daerah Khusus Ibukota Jakarta 14410</t>
  </si>
  <si>
    <t>https://maps.app.goo.gl/nmdtJgPT3FR2HnWU6</t>
  </si>
  <si>
    <t>A04</t>
  </si>
  <si>
    <t>French Walk</t>
  </si>
  <si>
    <t>Kelapa Gading Barat, Kelapa Gading, RT.18/RW.8, RT.18/RW.8, Klp. Gading Bar., Jakarta Utara, Jkt Utara, Daerah Khusus Ibukota Jakarta 14240</t>
  </si>
  <si>
    <t>https://maps.app.goo.gl/pbEgWFSERS9ka2n28</t>
  </si>
  <si>
    <t>F01</t>
  </si>
  <si>
    <t>FLIX PIK</t>
  </si>
  <si>
    <t>Cinema</t>
  </si>
  <si>
    <t>Pantai Indah Kapuk St Boulevard, RT.6/RW.2, Kamal Muara, Penjaringan, North Jakarta City, Jakarta 14470</t>
  </si>
  <si>
    <t>https://maps.app.goo.gl/y1gkFm9bwuNjVQe2A</t>
  </si>
  <si>
    <t>F02</t>
  </si>
  <si>
    <t>FLIX MOI</t>
  </si>
  <si>
    <t>Jl. Boulevard Bar. Raya No.12, RT.18/RW.19, Klp. Gading Bar., Kec. Klp. Gading, Jkt Utara, Daerah Khusus Ibukota Jakarta 14240</t>
  </si>
  <si>
    <t>https://maps.app.goo.gl/CDafTWd9qFpdTmW67</t>
  </si>
  <si>
    <t>F03</t>
  </si>
  <si>
    <t>FLIX GGP</t>
  </si>
  <si>
    <t>Bekasi Selatan</t>
  </si>
  <si>
    <t>Jl. Boulevard Raya No.1, RT.003/RW.017, Jaka Setia, Kec. Bekasi Sel., Kota Bks, Jawa Barat 17147</t>
  </si>
  <si>
    <t>https://maps.app.goo.gl/8VVfF28Grsr9G2mU8</t>
  </si>
  <si>
    <t>F04</t>
  </si>
  <si>
    <t>FLIX ASHTA</t>
  </si>
  <si>
    <t>Jl. Senopati No.83, Senayan, Kec. Kby. Baru, Kota Jakarta Selatan, Daerah Khusus Ibukota Jakarta 12190</t>
  </si>
  <si>
    <t>https://maps.app.goo.gl/JJhw2MQg4rf476B59</t>
  </si>
  <si>
    <t>F99</t>
  </si>
  <si>
    <t>FLIX SHQ</t>
  </si>
  <si>
    <t>H01</t>
  </si>
  <si>
    <t>Swiss Hotel</t>
  </si>
  <si>
    <t>Hotel</t>
  </si>
  <si>
    <t>H02</t>
  </si>
  <si>
    <t>Mercure</t>
  </si>
  <si>
    <t>H03</t>
  </si>
  <si>
    <t>Lengham</t>
  </si>
  <si>
    <t>Jalan Senopati Raya No.8B, RT.5/RW.3, Senayan, Kec. Kby. Baru, Kota Jakarta Selatan, Daerah Khusus Ibukota Jakarta 12190</t>
  </si>
  <si>
    <t>https://maps.app.goo.gl/RNChXHeZVaHL4C5HA</t>
  </si>
  <si>
    <t>M01</t>
  </si>
  <si>
    <t>PIK Avenue</t>
  </si>
  <si>
    <t>Mall</t>
  </si>
  <si>
    <t>MOI</t>
  </si>
  <si>
    <t>GGP</t>
  </si>
  <si>
    <t>Jawa Barat</t>
  </si>
  <si>
    <t>M04</t>
  </si>
  <si>
    <t>ASHTA</t>
  </si>
  <si>
    <t>M05</t>
  </si>
  <si>
    <t>Hublife</t>
  </si>
  <si>
    <t>Jl. Tanjung Duren Timur No.2, RW.5, Tj. Duren Sel., Kec. Grogol petamburan, Kota Jakarta Barat, Daerah Khusus Ibukota Jakarta 11470</t>
  </si>
  <si>
    <t>https://maps.app.goo.gl/xFdujp585bfoE3qn6</t>
  </si>
  <si>
    <t>M06</t>
  </si>
  <si>
    <t>ASG Tower</t>
  </si>
  <si>
    <t>Ofiice</t>
  </si>
  <si>
    <t>ASG Tower, Jl. Pantai Indah Kapuk No.2, RT.6/RW.2, Kamal Muara, Kec. Penjaringan, Jkt Utara, Daerah Khusus Ibukota Jakarta 14470</t>
  </si>
  <si>
    <t>https://maps.app.goo.gl/rTbagH72jdi6VfLk9</t>
  </si>
  <si>
    <t>OD8</t>
  </si>
  <si>
    <t>District 8</t>
  </si>
  <si>
    <t>No SITE</t>
  </si>
  <si>
    <t>No Placement</t>
  </si>
  <si>
    <t>No Country</t>
  </si>
  <si>
    <t>No Provincy</t>
  </si>
  <si>
    <t>No City</t>
  </si>
  <si>
    <t>No Address</t>
  </si>
  <si>
    <t>SITE</t>
  </si>
  <si>
    <t>COMPANY</t>
  </si>
  <si>
    <t>No Company</t>
  </si>
  <si>
    <t>K-Mall</t>
  </si>
  <si>
    <t>PT. MAP</t>
  </si>
  <si>
    <t>PT. AMA</t>
  </si>
  <si>
    <t>PT. PPP</t>
  </si>
  <si>
    <t>PT. MJS</t>
  </si>
  <si>
    <t>PT. BJK</t>
  </si>
  <si>
    <t>PT. AKMA</t>
  </si>
  <si>
    <t>PT. KAM</t>
  </si>
  <si>
    <t>PT. MAS</t>
  </si>
  <si>
    <t>ID_ASSET</t>
  </si>
  <si>
    <t>HOSTNAME</t>
  </si>
  <si>
    <t>SN</t>
  </si>
  <si>
    <t>BARCODE</t>
  </si>
  <si>
    <t>BRAND</t>
  </si>
  <si>
    <t>PROCESSORS</t>
  </si>
  <si>
    <t>GEN</t>
  </si>
  <si>
    <t>OS_TYPE</t>
  </si>
  <si>
    <t>DISK2_TYPE</t>
  </si>
  <si>
    <t>DISK2_CAP</t>
  </si>
  <si>
    <t>DISK1_TYPE</t>
  </si>
  <si>
    <t>DISK1_CAP</t>
  </si>
  <si>
    <t>RAM_TYPE</t>
  </si>
  <si>
    <t>RAM_SLOT</t>
  </si>
  <si>
    <t>RAM_CAP</t>
  </si>
  <si>
    <t>CATEGORY</t>
  </si>
  <si>
    <t>NB.0412</t>
  </si>
  <si>
    <t>O99-ITD-NB017</t>
  </si>
  <si>
    <t>GC8JX14</t>
  </si>
  <si>
    <t>MASHQEQP2400014</t>
  </si>
  <si>
    <t>LAPTOP</t>
  </si>
  <si>
    <t>DELL</t>
  </si>
  <si>
    <t>Latitude 5440</t>
  </si>
  <si>
    <t>i7-1365U</t>
  </si>
  <si>
    <t>1 of 2</t>
  </si>
  <si>
    <t>DDR4, SO-DIMM, 3200Mhz</t>
  </si>
  <si>
    <t>PRODUCT_ID</t>
  </si>
  <si>
    <t>PRODUCT_KEY</t>
  </si>
  <si>
    <t>OS</t>
  </si>
  <si>
    <t>in GB</t>
  </si>
  <si>
    <t>NA</t>
  </si>
  <si>
    <t>Windows</t>
  </si>
  <si>
    <t>Windows 11 Pro</t>
  </si>
  <si>
    <t>00356-24531-33852-AAOEM</t>
  </si>
  <si>
    <t>OS_VER</t>
  </si>
  <si>
    <t>24H2</t>
  </si>
  <si>
    <t>DC</t>
  </si>
  <si>
    <t>FCC</t>
  </si>
  <si>
    <t>mWh</t>
  </si>
  <si>
    <t>BH</t>
  </si>
  <si>
    <t>CASING</t>
  </si>
  <si>
    <t>DISPLAY</t>
  </si>
  <si>
    <t>KEYBOARD</t>
  </si>
  <si>
    <t>TOUCHPAD</t>
  </si>
  <si>
    <t>PORT_USB</t>
  </si>
  <si>
    <t>PORT_JECK</t>
  </si>
  <si>
    <t>PORT_PSU</t>
  </si>
  <si>
    <t>FAN</t>
  </si>
  <si>
    <t>WEBCAM</t>
  </si>
  <si>
    <t>MICROFON</t>
  </si>
  <si>
    <t>SPEAKER</t>
  </si>
  <si>
    <t>CONNECTION</t>
  </si>
  <si>
    <t>WiFI, Ethernet</t>
  </si>
  <si>
    <t>Good</t>
  </si>
  <si>
    <t>PORT_DISPLAY</t>
  </si>
  <si>
    <t>HDMI [Good]</t>
  </si>
  <si>
    <t>CONDITION</t>
  </si>
  <si>
    <t>SUB_CON</t>
  </si>
  <si>
    <t>NOTE_CON</t>
  </si>
  <si>
    <t>SOLUTION</t>
  </si>
  <si>
    <t>NOTE_SOL</t>
  </si>
  <si>
    <t>NOTE_FUNC</t>
  </si>
  <si>
    <t>HISTORY_PIC</t>
  </si>
  <si>
    <t>LOCATION</t>
  </si>
  <si>
    <t>NOTE_LOC</t>
  </si>
  <si>
    <t>STATUS_FUNC</t>
  </si>
  <si>
    <t>ID_MAINTENANCE</t>
  </si>
  <si>
    <t>NO_PR</t>
  </si>
  <si>
    <t>NO_PO</t>
  </si>
  <si>
    <t>DATE_PO</t>
  </si>
  <si>
    <t>DATE_PR</t>
  </si>
  <si>
    <t>QTY</t>
  </si>
  <si>
    <t>MASHQEQP2400063</t>
  </si>
  <si>
    <t>POP/ASR/1124/009</t>
  </si>
  <si>
    <t>PR/ASR/0424/003</t>
  </si>
  <si>
    <t>PR/ASR/0124/003</t>
  </si>
  <si>
    <t>MASHQEQP2400003</t>
  </si>
  <si>
    <t>POP/ASR/0124/013</t>
  </si>
  <si>
    <t>POP/ASR/0524/005</t>
  </si>
  <si>
    <t>CONVDPR</t>
  </si>
  <si>
    <t>CONVPO</t>
  </si>
  <si>
    <t>MASHQEQP2400037</t>
  </si>
  <si>
    <t>MASHQEQP2400036</t>
  </si>
  <si>
    <t>MASHQEQP2400053</t>
  </si>
  <si>
    <t>MASHQEQP2400061</t>
  </si>
  <si>
    <t>MASHQEQP2400062</t>
  </si>
  <si>
    <t>MASHQEQP2400066</t>
  </si>
  <si>
    <t>JSBKWS2</t>
  </si>
  <si>
    <t>J8Q5HX3</t>
  </si>
  <si>
    <t>2CQ7FX3</t>
  </si>
  <si>
    <t>94BJM44</t>
  </si>
  <si>
    <t>74BJM44</t>
  </si>
  <si>
    <t>BB1JM44</t>
  </si>
  <si>
    <t>B76JM44</t>
  </si>
  <si>
    <t>CS9JM44</t>
  </si>
  <si>
    <t>15BJM44</t>
  </si>
  <si>
    <t>FC1JM44</t>
  </si>
  <si>
    <t>K7MSAC0001113SF</t>
  </si>
  <si>
    <t>POP/ASR/1123/006</t>
  </si>
  <si>
    <t>08/12/2023</t>
  </si>
  <si>
    <t>DATE_SHIPPING</t>
  </si>
  <si>
    <t>CONVSHP</t>
  </si>
  <si>
    <t>POP/ASR/1024/005</t>
  </si>
  <si>
    <t>POP/ASR/1124/001</t>
  </si>
  <si>
    <t>POP/ASR/1024/003</t>
  </si>
  <si>
    <t>22/02/2024</t>
  </si>
  <si>
    <t>03/06/2024</t>
  </si>
  <si>
    <t>28/10/2024</t>
  </si>
  <si>
    <t>21/11/2024</t>
  </si>
  <si>
    <t>02/12/2024</t>
  </si>
  <si>
    <t>09/12/2024</t>
  </si>
  <si>
    <t>NB.0326</t>
  </si>
  <si>
    <t>NB.0384</t>
  </si>
  <si>
    <t>NB.0399</t>
  </si>
  <si>
    <t>NB.0447</t>
  </si>
  <si>
    <t>NB.0448</t>
  </si>
  <si>
    <t>NB.0452</t>
  </si>
  <si>
    <t>NB.0470</t>
  </si>
  <si>
    <t>NB.0471</t>
  </si>
  <si>
    <t>NB.0472</t>
  </si>
  <si>
    <t>NB.0475</t>
  </si>
  <si>
    <t>DT.0374</t>
  </si>
  <si>
    <t>O99-ITD-NB012</t>
  </si>
  <si>
    <t>O99-ITD-NB015</t>
  </si>
  <si>
    <t>O99-ITD-NB016</t>
  </si>
  <si>
    <t>O99-ITD-NB018</t>
  </si>
  <si>
    <t>O99-ITD-NB019</t>
  </si>
  <si>
    <t>O99-ITD-NB020</t>
  </si>
  <si>
    <t>O99-ITD-NB021</t>
  </si>
  <si>
    <t>O99-ITD-NB022</t>
  </si>
  <si>
    <t>O99-ITD-NB024</t>
  </si>
  <si>
    <t>O99-ITD-DT001</t>
  </si>
  <si>
    <t>Latitude 3490</t>
  </si>
  <si>
    <t>Latitude 3430</t>
  </si>
  <si>
    <t>Latitude 5540</t>
  </si>
  <si>
    <t>Latitude 3450</t>
  </si>
  <si>
    <t>Mini PC PN60-R</t>
  </si>
  <si>
    <t>i5-8250U</t>
  </si>
  <si>
    <t>i3-1215U</t>
  </si>
  <si>
    <t>i7-1370P</t>
  </si>
  <si>
    <t>i5-1345U</t>
  </si>
  <si>
    <t>HDD SATA 2.5"</t>
  </si>
  <si>
    <t>NORMAL</t>
  </si>
  <si>
    <t>GREAT</t>
  </si>
  <si>
    <t>POOR</t>
  </si>
  <si>
    <t>Hardware : Need to be Upgrade Performance</t>
  </si>
  <si>
    <t>Normal</t>
  </si>
  <si>
    <t>GOOD PERFORMANCE</t>
  </si>
  <si>
    <t>Upgrade RAM</t>
  </si>
  <si>
    <t>Tidak ada</t>
  </si>
  <si>
    <t>Ex Degia Parlopa</t>
  </si>
  <si>
    <t>Ex Aditya Gustiyana</t>
  </si>
  <si>
    <t>Meja IT LT.21 ASGT</t>
  </si>
  <si>
    <t>SYSTEM</t>
  </si>
  <si>
    <t>PC as Backups Email Users</t>
  </si>
  <si>
    <t>PR/ASR/1123/005</t>
  </si>
  <si>
    <t>DATE_ACQUISITION</t>
  </si>
  <si>
    <t>COLL-SUPPORT1</t>
  </si>
  <si>
    <t>CONVACQ</t>
  </si>
  <si>
    <t>VAL-1</t>
  </si>
  <si>
    <t>00355-60997-88773-AAOEM</t>
  </si>
  <si>
    <t>2 of 2</t>
  </si>
  <si>
    <t>DDR5, SO-DIMM, 4800 / 5600 Mhz</t>
  </si>
  <si>
    <t>SSD M.2 Nvme/SK Hynix BC901</t>
  </si>
  <si>
    <t>Disk Type/BrandType</t>
  </si>
  <si>
    <t>SSD M.2 Nvme/WD PC SN740</t>
  </si>
  <si>
    <t>TBD</t>
  </si>
  <si>
    <t>PERSONAL</t>
  </si>
  <si>
    <t>MOBILE</t>
  </si>
  <si>
    <t>USER MOBILE</t>
  </si>
  <si>
    <t>00355-61745-26884-AAOEM</t>
  </si>
  <si>
    <t>DDR5, SO-DIMM, 5600 Mhz</t>
  </si>
  <si>
    <t>SSD M.2 Nvme/Micorn 2400A</t>
  </si>
  <si>
    <t>O99-ITD-NB099</t>
  </si>
  <si>
    <t>Y83MP-N97VD-98VFC-7YHQ4-844TG</t>
  </si>
  <si>
    <t>A[3/3]-C[1/1]</t>
  </si>
  <si>
    <t>MASHQEQP2300012</t>
  </si>
  <si>
    <t>OWNER_CODE</t>
  </si>
  <si>
    <t>RECIPIENT</t>
  </si>
  <si>
    <t>CODE_ITEM</t>
  </si>
  <si>
    <t>EQP-001</t>
  </si>
  <si>
    <t>PRICE</t>
  </si>
  <si>
    <t>EQP-002</t>
  </si>
  <si>
    <t>EQP-003</t>
  </si>
  <si>
    <t>EQP-004</t>
  </si>
  <si>
    <t>EQP-005</t>
  </si>
  <si>
    <t>EQP-006</t>
  </si>
  <si>
    <t>EQP-007</t>
  </si>
  <si>
    <t>EQP-008</t>
  </si>
  <si>
    <t>EQP-009</t>
  </si>
  <si>
    <t>EQP-010</t>
  </si>
  <si>
    <t>EQP-011</t>
  </si>
  <si>
    <t>EQP-012</t>
  </si>
  <si>
    <t>EQP-013</t>
  </si>
  <si>
    <t>EQP-014</t>
  </si>
  <si>
    <t>EQP-015</t>
  </si>
  <si>
    <t>EQP-016</t>
  </si>
  <si>
    <t>EQP-017</t>
  </si>
  <si>
    <t>PC DESKTOP</t>
  </si>
  <si>
    <t>DESKTOP</t>
  </si>
  <si>
    <t>SERVER</t>
  </si>
  <si>
    <t>EQUIPMENT</t>
  </si>
  <si>
    <t>Kandar Meidianto</t>
  </si>
  <si>
    <t>✓</t>
  </si>
  <si>
    <t>DPT0.12</t>
  </si>
  <si>
    <t>DPT0.13</t>
  </si>
  <si>
    <t>DPT0.14</t>
  </si>
  <si>
    <t>DPT0.15</t>
  </si>
  <si>
    <t>DPT0.16</t>
  </si>
  <si>
    <t>DPT0.17</t>
  </si>
  <si>
    <t>DPT0.18</t>
  </si>
  <si>
    <t>DPT0.19</t>
  </si>
  <si>
    <t>MALL</t>
  </si>
  <si>
    <t>MAP</t>
  </si>
  <si>
    <t>VARCHAR</t>
  </si>
  <si>
    <t>ME01</t>
  </si>
  <si>
    <t>ME00</t>
  </si>
  <si>
    <t>ME02</t>
  </si>
  <si>
    <t>ME03</t>
  </si>
  <si>
    <t>MAINTENANCE</t>
  </si>
  <si>
    <t>PREVENTIVE</t>
  </si>
  <si>
    <t>TIME_DESC</t>
  </si>
  <si>
    <t>CORRECTIVE</t>
  </si>
  <si>
    <t>PREDICTIVE</t>
  </si>
  <si>
    <t>PERIODICALLY</t>
  </si>
  <si>
    <t>AFTER BEING DAMAGED</t>
  </si>
  <si>
    <t>BASED ON PREDICTIONS</t>
  </si>
  <si>
    <t>PROACTIVE</t>
  </si>
  <si>
    <t>REACTIVE</t>
  </si>
  <si>
    <t>SMART PROACTIVE</t>
  </si>
  <si>
    <t>CHARACTERISTIC</t>
  </si>
  <si>
    <t>ID_MAINTENANCE2</t>
  </si>
  <si>
    <t>ID_TASK</t>
  </si>
  <si>
    <t>SCHEDULE_TASK</t>
  </si>
  <si>
    <t>SCH_CONV</t>
  </si>
  <si>
    <t>ENUM</t>
  </si>
  <si>
    <t>INT</t>
  </si>
  <si>
    <t>DECIMAL</t>
  </si>
  <si>
    <t>5, 2</t>
  </si>
  <si>
    <t>ME01-251012</t>
  </si>
  <si>
    <t>OB</t>
  </si>
  <si>
    <t>LENGTH</t>
  </si>
  <si>
    <t>LENGHT2</t>
  </si>
  <si>
    <t>LAPTOP','PC DESKTOP'</t>
  </si>
  <si>
    <t>GOOD','BAD'</t>
  </si>
  <si>
    <t>GREAT','NORMAL','CAUTION','POOR'</t>
  </si>
  <si>
    <t>KEEP','UPGRADE','SERVICE','DISPOSE'</t>
  </si>
  <si>
    <t>PERSONAL','OPERATIONAL','SYSTEM','TESTING'</t>
  </si>
  <si>
    <t>PIC','LOAN'</t>
  </si>
  <si>
    <t>CONNECTIONS</t>
  </si>
  <si>
    <t>FUNCTIONS</t>
  </si>
  <si>
    <t>CONDITIONS</t>
  </si>
  <si>
    <t>PR/ASR/1024/014</t>
  </si>
  <si>
    <t>PR/ASR/1024/002</t>
  </si>
  <si>
    <t>DDR4, SO-DIMM, 2400 / 2667 Mhz</t>
  </si>
  <si>
    <t>SSD M.2/KYO Kaizen</t>
  </si>
  <si>
    <t>HDD SATA 2.5"/Toshiba MQ01ABD100</t>
  </si>
  <si>
    <t>00330-71290-00002-AAOEM</t>
  </si>
  <si>
    <t>NB.0180</t>
  </si>
  <si>
    <t>O99-ITD-NB002</t>
  </si>
  <si>
    <t>C63RQT2</t>
  </si>
  <si>
    <t>MOEQPLPT1020006</t>
  </si>
  <si>
    <t>Latitude 3400</t>
  </si>
  <si>
    <t>i5-8265U</t>
  </si>
  <si>
    <t>CAUTION</t>
  </si>
  <si>
    <t>BH &lt; 20%</t>
  </si>
  <si>
    <t>DISPOSE</t>
  </si>
  <si>
    <t>Repair [Battery]. Optional [Upgrade ; SSD 512 GB, RAM 16 GB]</t>
  </si>
  <si>
    <t>WAREHOUSE</t>
  </si>
  <si>
    <t>IN STORE</t>
  </si>
  <si>
    <t>PR/XXX/0000/000</t>
  </si>
  <si>
    <t>POP/XXX/0000/000</t>
  </si>
  <si>
    <t>2000-01-01</t>
  </si>
  <si>
    <t>MASHQEQP2000001</t>
  </si>
  <si>
    <t>MASHQEQP2000002</t>
  </si>
  <si>
    <t>NB.0178</t>
  </si>
  <si>
    <t>O99-ITD-NB003</t>
  </si>
  <si>
    <t>1C22QN3</t>
  </si>
  <si>
    <t>DI8MASEQP2200010</t>
  </si>
  <si>
    <t>Latitude 5420</t>
  </si>
  <si>
    <t>i7-1185G7</t>
  </si>
  <si>
    <t>00330-50000-00000-AAOEM</t>
  </si>
  <si>
    <t>SSD M.2 Nvme/SK Hynix BC711</t>
  </si>
  <si>
    <t>SSD M.2 SATA/TEAM TM8PS7256G</t>
  </si>
  <si>
    <t>DDR4, SO-DIMM, 2667 Mhz</t>
  </si>
  <si>
    <t>00330-52338-50146-AAOEM</t>
  </si>
  <si>
    <t>A[3/3]</t>
  </si>
  <si>
    <t>RTL</t>
  </si>
  <si>
    <t>NB.0335</t>
  </si>
  <si>
    <t>M02-ITD-NB004</t>
  </si>
  <si>
    <t>1B2RQT2</t>
  </si>
  <si>
    <t>MOEQPLPT1020005</t>
  </si>
  <si>
    <t>MB ERROR = ShutDown Often</t>
  </si>
  <si>
    <t>Ex Hardi Wasisto</t>
  </si>
  <si>
    <t>00330-52338-74258-AAOEM</t>
  </si>
  <si>
    <t>23H2</t>
  </si>
  <si>
    <t>SSD M.2 SATA/SK Hynix SC311</t>
  </si>
  <si>
    <t>ID_WH</t>
  </si>
  <si>
    <t>WH_SITE</t>
  </si>
  <si>
    <t>STATUS_AVAILABLE</t>
  </si>
  <si>
    <t>001</t>
  </si>
  <si>
    <t>002</t>
  </si>
  <si>
    <t>003</t>
  </si>
  <si>
    <t>004</t>
  </si>
  <si>
    <t>NB.001</t>
  </si>
  <si>
    <t>EXPIRED</t>
  </si>
  <si>
    <t>NB.002</t>
  </si>
  <si>
    <t>NB.003</t>
  </si>
  <si>
    <t>NB.004</t>
  </si>
  <si>
    <t>NO.</t>
  </si>
  <si>
    <t>NIP (UPDATE)</t>
  </si>
  <si>
    <t>EMPLOYEE NAME</t>
  </si>
  <si>
    <t>JOB TITLE</t>
  </si>
  <si>
    <t>Code_lvl</t>
  </si>
  <si>
    <t>CORPORATE NAME</t>
  </si>
  <si>
    <t>Code_site</t>
  </si>
  <si>
    <t>Status</t>
  </si>
  <si>
    <t>Departement</t>
  </si>
  <si>
    <t>Divisi</t>
  </si>
  <si>
    <t>Level</t>
  </si>
  <si>
    <t>Site</t>
  </si>
  <si>
    <t>FORMULA</t>
  </si>
  <si>
    <t>COPY</t>
  </si>
  <si>
    <t>Selamet Riyadi</t>
  </si>
  <si>
    <t>FIN</t>
  </si>
  <si>
    <t>APAYB</t>
  </si>
  <si>
    <t>Account Payable Assistant Manager</t>
  </si>
  <si>
    <t>LV07</t>
  </si>
  <si>
    <t>Mall &amp; Cinema</t>
  </si>
  <si>
    <t>Employee</t>
  </si>
  <si>
    <t>Rebecca Simbolon</t>
  </si>
  <si>
    <t>Account Payable Staff</t>
  </si>
  <si>
    <t>LV12</t>
  </si>
  <si>
    <t>Hasanudin.</t>
  </si>
  <si>
    <t>Fifi Kuryani</t>
  </si>
  <si>
    <t>HQ - All</t>
  </si>
  <si>
    <t>Tedy Henra Silo</t>
  </si>
  <si>
    <t>Bagus Rinaldi</t>
  </si>
  <si>
    <t>Tania Risandi</t>
  </si>
  <si>
    <t>HQ - M&amp;C</t>
  </si>
  <si>
    <t>Rifka Oktaviana</t>
  </si>
  <si>
    <t>Not Employee</t>
  </si>
  <si>
    <t>Merin Adelin Ena</t>
  </si>
  <si>
    <t>Corp. Supporting Property (POM)</t>
  </si>
  <si>
    <t>Gita Adhelia Ramadhanty</t>
  </si>
  <si>
    <t>Jeplyansyah</t>
  </si>
  <si>
    <t>Desi Lamria Indriani</t>
  </si>
  <si>
    <t>Een Ayu Widarti</t>
  </si>
  <si>
    <t>Account Payable Supervisor</t>
  </si>
  <si>
    <t>LV09</t>
  </si>
  <si>
    <t>Hanwi Sofjan</t>
  </si>
  <si>
    <t>Helwin Firmansyah</t>
  </si>
  <si>
    <t>ARCIV</t>
  </si>
  <si>
    <t>Account Receivable Assistant Manager</t>
  </si>
  <si>
    <t>Ratna Widiyasari</t>
  </si>
  <si>
    <t>Account Receivable Staff</t>
  </si>
  <si>
    <t>Santa Monika</t>
  </si>
  <si>
    <t>Christin Aprina Simanjuntak</t>
  </si>
  <si>
    <t>Rilo Pambudiyanto</t>
  </si>
  <si>
    <t>Aulia Dina Savitri</t>
  </si>
  <si>
    <t>Nadia Khatun Zahra</t>
  </si>
  <si>
    <t>Maharani Putri Salsabila</t>
  </si>
  <si>
    <t>Ade Ayunda Talitha</t>
  </si>
  <si>
    <t>Tiya Mariadi Tarihoran</t>
  </si>
  <si>
    <t>LV11</t>
  </si>
  <si>
    <t>Damayanti Bekti Astuti</t>
  </si>
  <si>
    <t>Nurlely Rositasari</t>
  </si>
  <si>
    <t>Haikal Rifky Ramadhan</t>
  </si>
  <si>
    <t>Nur Hidayah</t>
  </si>
  <si>
    <t>Account Receivable Supervisor</t>
  </si>
  <si>
    <t>Irma Yulyanti</t>
  </si>
  <si>
    <t>Account Receiveble Staff</t>
  </si>
  <si>
    <t>Sulaiman</t>
  </si>
  <si>
    <t>Finarsih Septria</t>
  </si>
  <si>
    <t>ACCTG</t>
  </si>
  <si>
    <t>Accounting Assistant Manager</t>
  </si>
  <si>
    <t>Vanny Paramitha Riyadie</t>
  </si>
  <si>
    <t>Accounting Staff</t>
  </si>
  <si>
    <t>Elisa Kusumanita Sari</t>
  </si>
  <si>
    <t>Ayu Endah Lestari</t>
  </si>
  <si>
    <t>Andreas Angga Wijaya</t>
  </si>
  <si>
    <t>Khusnul Khotimah</t>
  </si>
  <si>
    <t>Resign</t>
  </si>
  <si>
    <t>Salwa Kamilia Balqis</t>
  </si>
  <si>
    <t>Evelyn Sabella Salahi</t>
  </si>
  <si>
    <t>Afifah Ismah Kheolda</t>
  </si>
  <si>
    <t>Muchammad Yusuf Ichsan</t>
  </si>
  <si>
    <t>Accounting Supervisor</t>
  </si>
  <si>
    <t>Nico William</t>
  </si>
  <si>
    <t>Ika Ayuni Putri</t>
  </si>
  <si>
    <t>ENG</t>
  </si>
  <si>
    <t>ADMIN</t>
  </si>
  <si>
    <t>Admin Engineering</t>
  </si>
  <si>
    <t>Febriana Eka Hermayati</t>
  </si>
  <si>
    <t>Ericha Salsabila Rudiantono</t>
  </si>
  <si>
    <t>POM</t>
  </si>
  <si>
    <t>HSEFT</t>
  </si>
  <si>
    <t>Admin HSE Officer</t>
  </si>
  <si>
    <t>Arbhy Yuansar Timor</t>
  </si>
  <si>
    <t>LEA</t>
  </si>
  <si>
    <t>Administration Staff</t>
  </si>
  <si>
    <t>Clara Veronica</t>
  </si>
  <si>
    <t>Kinanthi Sekar Pinakesti</t>
  </si>
  <si>
    <t>Priscilla Modena</t>
  </si>
  <si>
    <t>Administration Team 1 Staff</t>
  </si>
  <si>
    <t>Adelia Marcha Yunus</t>
  </si>
  <si>
    <t>CEX</t>
  </si>
  <si>
    <t>ADSPO</t>
  </si>
  <si>
    <t>Advertising &amp; Shopping Promotion Staff</t>
  </si>
  <si>
    <t>Yuriza Vidya Bramantio</t>
  </si>
  <si>
    <t xml:space="preserve">Maria Rosa Angelica Djawa Meka </t>
  </si>
  <si>
    <t>Ulfa Yani</t>
  </si>
  <si>
    <t xml:space="preserve">Advertising &amp; Shopping Promotion Staff  </t>
  </si>
  <si>
    <t>Cessha Fatimah Adinda Putri</t>
  </si>
  <si>
    <t>Inez Sutjiadi</t>
  </si>
  <si>
    <t>Advertising &amp; Shopping Promotion Supervisor</t>
  </si>
  <si>
    <t>Vera Lidia Simanjuntak</t>
  </si>
  <si>
    <t>Dhany Andreas</t>
  </si>
  <si>
    <t>Edward Zico</t>
  </si>
  <si>
    <t>DMC</t>
  </si>
  <si>
    <t>ASLIV</t>
  </si>
  <si>
    <t>ASRI Living Assistant Manager</t>
  </si>
  <si>
    <t>Nurfika Nabilla Oktaviani</t>
  </si>
  <si>
    <t>ASRI Living Staff</t>
  </si>
  <si>
    <t>Nia Utami Rachmawati</t>
  </si>
  <si>
    <t>Rachmat Teguh Widiantoro</t>
  </si>
  <si>
    <t>Yos Dora Cristy Girsang</t>
  </si>
  <si>
    <t>Galih Rizky Kurniawan</t>
  </si>
  <si>
    <t>AMCTR</t>
  </si>
  <si>
    <t>Asset Management &amp; Controller Assistant Manager</t>
  </si>
  <si>
    <t>Eduarda Cynthia Dewi Mulyadi</t>
  </si>
  <si>
    <t>Asset Management &amp; Controller Manager</t>
  </si>
  <si>
    <t>LV05</t>
  </si>
  <si>
    <t>Vini Sabila Rahma</t>
  </si>
  <si>
    <t>Asset Management &amp; Controller Staff</t>
  </si>
  <si>
    <t>Berliana Adi Safitri</t>
  </si>
  <si>
    <t>Daniel Widyasana</t>
  </si>
  <si>
    <t>Rahmad Hidayat</t>
  </si>
  <si>
    <t>BND</t>
  </si>
  <si>
    <t>BDSGN</t>
  </si>
  <si>
    <t>Brand &amp; Design Assistant Manager</t>
  </si>
  <si>
    <t>Mall &amp; Hotel</t>
  </si>
  <si>
    <t>Samanda Ratna Janna S</t>
  </si>
  <si>
    <t>MAR</t>
  </si>
  <si>
    <t>Brand Design &amp; Web Development Staff</t>
  </si>
  <si>
    <t>Indra Jumarindra</t>
  </si>
  <si>
    <t>Brand Design Senior Manager</t>
  </si>
  <si>
    <t>LV04</t>
  </si>
  <si>
    <t>Dirk Fischbach</t>
  </si>
  <si>
    <t>MNG</t>
  </si>
  <si>
    <t>GNRAL</t>
  </si>
  <si>
    <t>Building Management General Manager</t>
  </si>
  <si>
    <t>LV02</t>
  </si>
  <si>
    <t>Survey Tatar Robinhot</t>
  </si>
  <si>
    <t>Building Service Manager</t>
  </si>
  <si>
    <t>Melissa S Wongkar</t>
  </si>
  <si>
    <t>BDO</t>
  </si>
  <si>
    <t>Business Development Assistant Manager</t>
  </si>
  <si>
    <t>Fanny</t>
  </si>
  <si>
    <t>Business Development Manager</t>
  </si>
  <si>
    <t>Leni Christine Juniartha</t>
  </si>
  <si>
    <t>Albert Santoso</t>
  </si>
  <si>
    <t>Business Development Senior Manager</t>
  </si>
  <si>
    <t>Sulastri</t>
  </si>
  <si>
    <t>Business Development Staff</t>
  </si>
  <si>
    <t>Ezra Laurencia Anwar</t>
  </si>
  <si>
    <t>Business Development Supervisor</t>
  </si>
  <si>
    <t>Anita Septiany</t>
  </si>
  <si>
    <t>CASHR</t>
  </si>
  <si>
    <t>Cashier Staff</t>
  </si>
  <si>
    <t>Diyah Tri Wulandari</t>
  </si>
  <si>
    <t>Dian Daniasih Puspita</t>
  </si>
  <si>
    <t>Putri Rahmadani</t>
  </si>
  <si>
    <t>Farida Astoria</t>
  </si>
  <si>
    <t>Venesia Sormin</t>
  </si>
  <si>
    <t>Vera Setiawati</t>
  </si>
  <si>
    <t>Cashier Supervisor</t>
  </si>
  <si>
    <t>Ryan Julianus</t>
  </si>
  <si>
    <t>CTREX</t>
  </si>
  <si>
    <t>Casual Leasing Assistant Manager</t>
  </si>
  <si>
    <t>Yudiantoro Hermawan</t>
  </si>
  <si>
    <t>Stella Ongko Wijaya</t>
  </si>
  <si>
    <t>Ahmad Zaelani Firdaus</t>
  </si>
  <si>
    <t>CSLNG</t>
  </si>
  <si>
    <t>Casual Leasing Manager</t>
  </si>
  <si>
    <t>Aryo Pramono</t>
  </si>
  <si>
    <t>Casual Leasing Senior Manager</t>
  </si>
  <si>
    <t>Karlina Veradia S</t>
  </si>
  <si>
    <t>Casual Leasing Staff</t>
  </si>
  <si>
    <t>Hery Hermawan</t>
  </si>
  <si>
    <t>Siti Maisyaroh Toyib</t>
  </si>
  <si>
    <t>Stefanny Yanto</t>
  </si>
  <si>
    <t>Casual Leasing Supervisor</t>
  </si>
  <si>
    <t>Wilfred Purnama</t>
  </si>
  <si>
    <t>Rahma Nindia Kalyana</t>
  </si>
  <si>
    <t>LV10</t>
  </si>
  <si>
    <t>M. Rijal</t>
  </si>
  <si>
    <t>OPR</t>
  </si>
  <si>
    <t>OCCTV</t>
  </si>
  <si>
    <t>CCTV Staff</t>
  </si>
  <si>
    <t>Muhammad Yadi</t>
  </si>
  <si>
    <t>Fietri Samika</t>
  </si>
  <si>
    <t>Manoa Awo Kolly</t>
  </si>
  <si>
    <t>Aldiansyah.</t>
  </si>
  <si>
    <t>Rustam Maulana</t>
  </si>
  <si>
    <t>Dendi Yuda Anggara</t>
  </si>
  <si>
    <t>Imran Tanjung</t>
  </si>
  <si>
    <t>Riski Gunawan Alfaret</t>
  </si>
  <si>
    <t>Benny.</t>
  </si>
  <si>
    <t>Center Experience Manager</t>
  </si>
  <si>
    <t>Wahyu Setiadi Nugroho</t>
  </si>
  <si>
    <t>Center Experience Senior Manager</t>
  </si>
  <si>
    <t>Tessa Marlenaska</t>
  </si>
  <si>
    <t>Leonardo</t>
  </si>
  <si>
    <t>Agit Sholeh Manansal</t>
  </si>
  <si>
    <t>TRL</t>
  </si>
  <si>
    <t>CONSI</t>
  </si>
  <si>
    <t>Chief Concierge</t>
  </si>
  <si>
    <t>Yusabiran</t>
  </si>
  <si>
    <t>Chief HSE</t>
  </si>
  <si>
    <t>Rizky Kurniawan Rizwar</t>
  </si>
  <si>
    <t>CIN</t>
  </si>
  <si>
    <t>Cinema Administration Staff</t>
  </si>
  <si>
    <t>Valentina Rima Christiyanti</t>
  </si>
  <si>
    <t>Cinema Operation Administration Staff</t>
  </si>
  <si>
    <t>Siti Chotimah</t>
  </si>
  <si>
    <t>Faisal Permana Alam</t>
  </si>
  <si>
    <t>CIOPR</t>
  </si>
  <si>
    <t>Cinema Operation Assistant Manager</t>
  </si>
  <si>
    <t>Riyan Rizki</t>
  </si>
  <si>
    <t>Iman Hartawan</t>
  </si>
  <si>
    <t>Cinema Operation Senior Manager</t>
  </si>
  <si>
    <t>Rizki Ilham</t>
  </si>
  <si>
    <t>Cinema Operation Supervisor</t>
  </si>
  <si>
    <t>Ahmad Eko Muhardani</t>
  </si>
  <si>
    <t>Rahadian Hilnus</t>
  </si>
  <si>
    <t>Jaka Dwi Mustari</t>
  </si>
  <si>
    <t>Fahrian Chairul Umam</t>
  </si>
  <si>
    <t>Ridwan Maulana</t>
  </si>
  <si>
    <t>Silvia Rizki</t>
  </si>
  <si>
    <t>Yudho Rahutomo</t>
  </si>
  <si>
    <t>TECHN</t>
  </si>
  <si>
    <t>Cinema Technology Manager</t>
  </si>
  <si>
    <t>Yomi Andrizal</t>
  </si>
  <si>
    <t>Cinema Technology Supervisor</t>
  </si>
  <si>
    <t>Mohamad Asep Sudrajat</t>
  </si>
  <si>
    <t>Aji Setiawan</t>
  </si>
  <si>
    <t>Lois Ridarsono</t>
  </si>
  <si>
    <t>Ahmad Sopyan</t>
  </si>
  <si>
    <t>Muhammad Firhansah</t>
  </si>
  <si>
    <t>CIVIL</t>
  </si>
  <si>
    <t>Civil Staff</t>
  </si>
  <si>
    <t>Tolani Raharjo</t>
  </si>
  <si>
    <t>Sobirin Nur Hidayat</t>
  </si>
  <si>
    <t>Joko Santoso</t>
  </si>
  <si>
    <t>Wahyu Bahrudin</t>
  </si>
  <si>
    <t>Luhut Hermanto</t>
  </si>
  <si>
    <t>Rafif Sabastian</t>
  </si>
  <si>
    <t>Peri Suhardani</t>
  </si>
  <si>
    <t>Ariwibowo</t>
  </si>
  <si>
    <t xml:space="preserve">Herman  </t>
  </si>
  <si>
    <t>Sabarudin.</t>
  </si>
  <si>
    <t>Civil Supervisor</t>
  </si>
  <si>
    <t>Iskandar</t>
  </si>
  <si>
    <t>Supari.</t>
  </si>
  <si>
    <t>Nur Firmansyah ST</t>
  </si>
  <si>
    <t>Viki Irawan</t>
  </si>
  <si>
    <t>GSE</t>
  </si>
  <si>
    <t>CLAND</t>
  </si>
  <si>
    <t>Cleaning &amp; Landscape Supervisor</t>
  </si>
  <si>
    <t>Aceng Maptuh</t>
  </si>
  <si>
    <t>Adriana Nabila Setyawan</t>
  </si>
  <si>
    <t>Client Services Administration Staff</t>
  </si>
  <si>
    <t>Crista Sarionalolita</t>
  </si>
  <si>
    <t>Molyvia.</t>
  </si>
  <si>
    <t>CLNSV</t>
  </si>
  <si>
    <t>Client Services Manager</t>
  </si>
  <si>
    <t>Sheila Andriana</t>
  </si>
  <si>
    <t>Fanda</t>
  </si>
  <si>
    <t>Client Services Officer Staff</t>
  </si>
  <si>
    <t>Puryantiningsih.</t>
  </si>
  <si>
    <t>COLCT</t>
  </si>
  <si>
    <t>Collection Assistant Manager</t>
  </si>
  <si>
    <t>Herman.</t>
  </si>
  <si>
    <t>Collection Staff</t>
  </si>
  <si>
    <t>Darmawan Setianggono</t>
  </si>
  <si>
    <t>Ary Dwi Kurniawan</t>
  </si>
  <si>
    <t>Handy Yunanto</t>
  </si>
  <si>
    <t>Arie Priawan</t>
  </si>
  <si>
    <t>Wahyu Prananto</t>
  </si>
  <si>
    <t>Agus Harianto</t>
  </si>
  <si>
    <t>Fikri Ardiansyah</t>
  </si>
  <si>
    <t>Lisda Febriyanti</t>
  </si>
  <si>
    <t>Nabilla Rininta Puspita Tn</t>
  </si>
  <si>
    <t>Dhenovhan.</t>
  </si>
  <si>
    <t>Dina Fitriana</t>
  </si>
  <si>
    <t>Dian Ekawati</t>
  </si>
  <si>
    <t>Dustin Kumara</t>
  </si>
  <si>
    <t>Collection Supervisor</t>
  </si>
  <si>
    <t>Ike Laorena Prilistia</t>
  </si>
  <si>
    <t>Communication Coordinator Staff</t>
  </si>
  <si>
    <t>Nia Veronika Gunawan</t>
  </si>
  <si>
    <t>HRG</t>
  </si>
  <si>
    <t>COMBN</t>
  </si>
  <si>
    <t>Compensation &amp; Benefit Manager</t>
  </si>
  <si>
    <t>Rista Elva Juanda</t>
  </si>
  <si>
    <t>Compensation &amp; Benefit Supervisor</t>
  </si>
  <si>
    <t>Alfridus Tnesi</t>
  </si>
  <si>
    <t>Concierge Staff</t>
  </si>
  <si>
    <t>Dani Prigandani</t>
  </si>
  <si>
    <t>Concierge Supervisor</t>
  </si>
  <si>
    <t>Noval Reza Noer</t>
  </si>
  <si>
    <t>COCRE</t>
  </si>
  <si>
    <t>Content Creator Assistant Manager</t>
  </si>
  <si>
    <t>Fansuri Ali Yafi</t>
  </si>
  <si>
    <t>Content Creator Supervisor</t>
  </si>
  <si>
    <t>Herlangga Friyono</t>
  </si>
  <si>
    <t>Anggi Anggara</t>
  </si>
  <si>
    <t>Leny Koesnandar</t>
  </si>
  <si>
    <t>COPAY</t>
  </si>
  <si>
    <t>Contract &amp; Payment Control Manager</t>
  </si>
  <si>
    <t>Achmad Fadli</t>
  </si>
  <si>
    <t>CPANL</t>
  </si>
  <si>
    <t>Control Panel Staff</t>
  </si>
  <si>
    <t>Sudrajat Bayu Setiawan</t>
  </si>
  <si>
    <t>Yusfirmansyah.</t>
  </si>
  <si>
    <t>Diki Sobari</t>
  </si>
  <si>
    <t>Kurniawan Abdul Latif</t>
  </si>
  <si>
    <t>Wiwih Winata</t>
  </si>
  <si>
    <t>Reymond Manuputty</t>
  </si>
  <si>
    <t>Efendi Saputro</t>
  </si>
  <si>
    <t>Asparih.</t>
  </si>
  <si>
    <t>M. Zainu Rohman</t>
  </si>
  <si>
    <t>Amien Ramadhan Ruswal</t>
  </si>
  <si>
    <t>Achmad Nur Amin</t>
  </si>
  <si>
    <t>Waryani.</t>
  </si>
  <si>
    <t>Control Panel Supervisor</t>
  </si>
  <si>
    <t>Troy Fridatama</t>
  </si>
  <si>
    <t>CCA</t>
  </si>
  <si>
    <t>Corporate Communication &amp; Affair Deputy General Manager</t>
  </si>
  <si>
    <t>Jamarlen Ricky Nelwan</t>
  </si>
  <si>
    <t>CORAS</t>
  </si>
  <si>
    <t>Corporate Consolidation, Reporting &amp; Analysis General Manager</t>
  </si>
  <si>
    <t>Rizka Fajri Irson</t>
  </si>
  <si>
    <t>Corporate Finance Senior Manager</t>
  </si>
  <si>
    <t>Evalia Arisyanti Daw</t>
  </si>
  <si>
    <t>Data Depository Manager</t>
  </si>
  <si>
    <t>Wahyudin</t>
  </si>
  <si>
    <t>Deputy Operation Mall Manager</t>
  </si>
  <si>
    <t>Teddy Fajar Agung</t>
  </si>
  <si>
    <t>Mira Agustini</t>
  </si>
  <si>
    <t>Pedri Septian Halim</t>
  </si>
  <si>
    <t>LV06</t>
  </si>
  <si>
    <t>Djoko Harjono</t>
  </si>
  <si>
    <t>CLVEL</t>
  </si>
  <si>
    <t>Developer Director</t>
  </si>
  <si>
    <t>LV01</t>
  </si>
  <si>
    <t>Sidha Primanda</t>
  </si>
  <si>
    <t>DRFTR</t>
  </si>
  <si>
    <t>Drafter Staff</t>
  </si>
  <si>
    <t>Puja Restu Panggesang</t>
  </si>
  <si>
    <t>Yanuarsah Priyanto</t>
  </si>
  <si>
    <t>ELECT</t>
  </si>
  <si>
    <t>Electrical Staff</t>
  </si>
  <si>
    <t>Joni Supriyanto</t>
  </si>
  <si>
    <t>Devo Prihantino</t>
  </si>
  <si>
    <t>Dasmo.</t>
  </si>
  <si>
    <t>Agus Topan</t>
  </si>
  <si>
    <t>Vino Rianto</t>
  </si>
  <si>
    <t>Martin Abdulah</t>
  </si>
  <si>
    <t>Muhammad Fikri Fadilah</t>
  </si>
  <si>
    <t>Aditya Rafi Muhamad</t>
  </si>
  <si>
    <t>Jajuli</t>
  </si>
  <si>
    <t>Rangga Palastawa</t>
  </si>
  <si>
    <t>Regil Yanwar Fadilah</t>
  </si>
  <si>
    <t>Taryanto.</t>
  </si>
  <si>
    <t>Heru Mustofa</t>
  </si>
  <si>
    <t>Dhea Kurniawan</t>
  </si>
  <si>
    <t>M. Ade Syaputra</t>
  </si>
  <si>
    <t>Ponco Hastoro</t>
  </si>
  <si>
    <t>Susanto Ardhi Sari</t>
  </si>
  <si>
    <t>Electrical Supervisor</t>
  </si>
  <si>
    <t>Kristiyanto</t>
  </si>
  <si>
    <t>Nurudin</t>
  </si>
  <si>
    <t>Husein.</t>
  </si>
  <si>
    <t>ELC</t>
  </si>
  <si>
    <t>ELPMT</t>
  </si>
  <si>
    <t>Electronic Preventive Maintenance Technician</t>
  </si>
  <si>
    <t>Arfansyah Abdi</t>
  </si>
  <si>
    <t>Wardoyo.</t>
  </si>
  <si>
    <t>Claudia Renatta</t>
  </si>
  <si>
    <t>EMPBR</t>
  </si>
  <si>
    <t>Employer Branding Staff</t>
  </si>
  <si>
    <t>Safira Firdy</t>
  </si>
  <si>
    <t>Engineering Administration</t>
  </si>
  <si>
    <t>Susantias Pambayun</t>
  </si>
  <si>
    <t>Engineering Administration Staff</t>
  </si>
  <si>
    <t>Dwi Indah Wulandari</t>
  </si>
  <si>
    <t>Clara Keisya Haningtyas</t>
  </si>
  <si>
    <t>Andrew Aryansyah</t>
  </si>
  <si>
    <t>Sheila Sisilia Warninda</t>
  </si>
  <si>
    <t>Elsa Salsa Fadhillah</t>
  </si>
  <si>
    <t>Sri Mulyani</t>
  </si>
  <si>
    <t>Tuti Fitrianasari</t>
  </si>
  <si>
    <t>R. Roro Iska Arina Sari</t>
  </si>
  <si>
    <t xml:space="preserve">Engineering Administration Staff </t>
  </si>
  <si>
    <t>Surono.</t>
  </si>
  <si>
    <t>Engineering Assistant Manager</t>
  </si>
  <si>
    <t xml:space="preserve">Rudi Jatnika </t>
  </si>
  <si>
    <t>I Nyoman Nurita</t>
  </si>
  <si>
    <t>Zaki Aulia</t>
  </si>
  <si>
    <t>Alexander Leonidas O</t>
  </si>
  <si>
    <t>Yusrizal</t>
  </si>
  <si>
    <t>Suyatno.</t>
  </si>
  <si>
    <t>Gunawan Bahri</t>
  </si>
  <si>
    <t>Engineering Director</t>
  </si>
  <si>
    <t>Djefri Lengkoan</t>
  </si>
  <si>
    <t>Engineering Manager</t>
  </si>
  <si>
    <t>Nurcahyo Setyo Utomo</t>
  </si>
  <si>
    <t>Ruslan.</t>
  </si>
  <si>
    <t>Sopan Sugiri</t>
  </si>
  <si>
    <t>HVACE</t>
  </si>
  <si>
    <t>Engineering Preventive Hvac Staff</t>
  </si>
  <si>
    <t>Rahmat.</t>
  </si>
  <si>
    <t>Rudi Butar Butar</t>
  </si>
  <si>
    <t>PLUMB</t>
  </si>
  <si>
    <t>Engineering Preventive Plumbing Staff</t>
  </si>
  <si>
    <t>Ade Dian Saputra</t>
  </si>
  <si>
    <t>Sriyanto.</t>
  </si>
  <si>
    <t>Engineering Preventive Supervisor</t>
  </si>
  <si>
    <t>Ridho Khoirudin</t>
  </si>
  <si>
    <t>Engineering Shift Leader Staff</t>
  </si>
  <si>
    <t>Moch Yudi Gozali</t>
  </si>
  <si>
    <t>Engineering Staff</t>
  </si>
  <si>
    <t>Imam Fauzi</t>
  </si>
  <si>
    <t>Yusniar Syawalludin</t>
  </si>
  <si>
    <t>Muhamad Adrian</t>
  </si>
  <si>
    <t>Sugeng Riyadi</t>
  </si>
  <si>
    <t>Reza Azdian</t>
  </si>
  <si>
    <t>Angga Bagusrizky Abdillah</t>
  </si>
  <si>
    <t>Nanang Bimasuka</t>
  </si>
  <si>
    <t>Andhika Ilham Rizaldi</t>
  </si>
  <si>
    <t>Tommy Valentino</t>
  </si>
  <si>
    <t>Ade Junaedi Wahab</t>
  </si>
  <si>
    <t>Beni Herwanto</t>
  </si>
  <si>
    <t>Jaenal Arifin</t>
  </si>
  <si>
    <t>Budiarto</t>
  </si>
  <si>
    <t>Arif Rahman Hakim</t>
  </si>
  <si>
    <t>Haby Dilla Hady</t>
  </si>
  <si>
    <t>Mochamad Eko Junianto</t>
  </si>
  <si>
    <t>Iqbal Rivaldi</t>
  </si>
  <si>
    <t>Rizky Yutio Pratama</t>
  </si>
  <si>
    <t>Sony Novianto</t>
  </si>
  <si>
    <t>Eka Aristianto</t>
  </si>
  <si>
    <t>Adi Suryanto</t>
  </si>
  <si>
    <t>Muhamad Helmi</t>
  </si>
  <si>
    <t>Zulfikar Ahmad</t>
  </si>
  <si>
    <t>Mahfut Zen</t>
  </si>
  <si>
    <t>Yudi Andriyani</t>
  </si>
  <si>
    <t>Malik Fajar Siauta</t>
  </si>
  <si>
    <t>Yusep Kurniawan</t>
  </si>
  <si>
    <t>Adi Agus Riyanto</t>
  </si>
  <si>
    <t>Koko Komarudin</t>
  </si>
  <si>
    <t>Ichsan Agus Setiawan</t>
  </si>
  <si>
    <t>Eko Puji Hartono</t>
  </si>
  <si>
    <t>Baban Subandi</t>
  </si>
  <si>
    <t>Muhammad Tri Sumantri</t>
  </si>
  <si>
    <t>Mohammad Reza Pratama</t>
  </si>
  <si>
    <t>Ariz Kharisma</t>
  </si>
  <si>
    <t>Jefri Iya Hatta</t>
  </si>
  <si>
    <t>Iqbal Heriyanto</t>
  </si>
  <si>
    <t>Wahyu Saputra</t>
  </si>
  <si>
    <t>Tubagus Erwan Nurrahman</t>
  </si>
  <si>
    <t>Hidayat Apdila</t>
  </si>
  <si>
    <t>Solehudin.</t>
  </si>
  <si>
    <t>Nasrul Rovi</t>
  </si>
  <si>
    <t>Yusup.</t>
  </si>
  <si>
    <t>Warsa Wijaya</t>
  </si>
  <si>
    <t>Bambang Sunariyadi</t>
  </si>
  <si>
    <t>Demas Yosef Maulana</t>
  </si>
  <si>
    <t>Diwan.</t>
  </si>
  <si>
    <t>Deri Kurniawan</t>
  </si>
  <si>
    <t>Bayu Tri Hernowo</t>
  </si>
  <si>
    <t>Adit Allyas</t>
  </si>
  <si>
    <t>Muhamad Nur</t>
  </si>
  <si>
    <t>Sarjito</t>
  </si>
  <si>
    <t>Dede Iwan Nurwandi</t>
  </si>
  <si>
    <t>Mujidin.</t>
  </si>
  <si>
    <t>Ridwan Fauji</t>
  </si>
  <si>
    <t>Riza Andika</t>
  </si>
  <si>
    <t>Asep Sri Lugita</t>
  </si>
  <si>
    <t>Ayudi Usni Amri</t>
  </si>
  <si>
    <t>Muhamad Kasroniyanto</t>
  </si>
  <si>
    <t>Agus.</t>
  </si>
  <si>
    <t>M. Nurhuda</t>
  </si>
  <si>
    <t>Leo Aji Yanto</t>
  </si>
  <si>
    <t>Engineering Supervisor</t>
  </si>
  <si>
    <t>Hadi Wijaya</t>
  </si>
  <si>
    <t>Adid Radityo</t>
  </si>
  <si>
    <t>Firman Aprilyansah</t>
  </si>
  <si>
    <t>Edi Purwanto</t>
  </si>
  <si>
    <t>Supriyanta.</t>
  </si>
  <si>
    <t>Darmawan Sutiyadi</t>
  </si>
  <si>
    <t>Undang Sirojudin</t>
  </si>
  <si>
    <t>Riyandi Nugroho</t>
  </si>
  <si>
    <t>Anggun Hartono</t>
  </si>
  <si>
    <t>Rikardo.</t>
  </si>
  <si>
    <t>Pieter Alberthus</t>
  </si>
  <si>
    <t>Ikrar Dinata</t>
  </si>
  <si>
    <t>EVENT</t>
  </si>
  <si>
    <t>Event Staff</t>
  </si>
  <si>
    <t>Yera Ameilia</t>
  </si>
  <si>
    <t>Events Assistant Manager</t>
  </si>
  <si>
    <t>Chaerul Zulmi Dwiki Darmawan</t>
  </si>
  <si>
    <t>Bobby Irwanto</t>
  </si>
  <si>
    <t>Events Asst. Assistant Manager</t>
  </si>
  <si>
    <t>Tazqia Niken Nabila</t>
  </si>
  <si>
    <t>Events dan Merchandiser Staff</t>
  </si>
  <si>
    <t>Afif Akbar Kadarusman</t>
  </si>
  <si>
    <t>Events Staff</t>
  </si>
  <si>
    <t>Daniel Stefanus</t>
  </si>
  <si>
    <t>Events Supervisor</t>
  </si>
  <si>
    <t>Silvia Fransisca</t>
  </si>
  <si>
    <t>Aries Prayogo</t>
  </si>
  <si>
    <t>Abdul Hamid Suherlan</t>
  </si>
  <si>
    <t>Irene Garcia</t>
  </si>
  <si>
    <t>LV08</t>
  </si>
  <si>
    <t>Cinantya Mekar Cinta Sutanto</t>
  </si>
  <si>
    <t>Syarif Hidayah</t>
  </si>
  <si>
    <t>FNBOP</t>
  </si>
  <si>
    <t>F &amp; B Staff</t>
  </si>
  <si>
    <t>Siti Jamilah</t>
  </si>
  <si>
    <t>Rishal Indra Nugraha</t>
  </si>
  <si>
    <t>Isnul Firmansyah</t>
  </si>
  <si>
    <t>Valentino William Yapergo</t>
  </si>
  <si>
    <t>Tristan Tamir Watanata</t>
  </si>
  <si>
    <t>F &amp; B Supervisor</t>
  </si>
  <si>
    <t>Annisa Azhar Maulina</t>
  </si>
  <si>
    <t>FACIL</t>
  </si>
  <si>
    <t>Facility Administration Staff</t>
  </si>
  <si>
    <t>Hendra Jumantara</t>
  </si>
  <si>
    <t>FAC</t>
  </si>
  <si>
    <t>Facility Assistant Manager</t>
  </si>
  <si>
    <t>Haris.</t>
  </si>
  <si>
    <t>Facility Staff</t>
  </si>
  <si>
    <t>David Rusly</t>
  </si>
  <si>
    <t>Gunawan.</t>
  </si>
  <si>
    <t>Handrio Pratama Putra</t>
  </si>
  <si>
    <t>Anwar Kurniawan</t>
  </si>
  <si>
    <t>Debi Apriyanto</t>
  </si>
  <si>
    <t>Aprilia Buana Dewi</t>
  </si>
  <si>
    <t>Reza Lantoni Pradana</t>
  </si>
  <si>
    <t>Ivan Eduardo Pontoh</t>
  </si>
  <si>
    <t>Film &amp; Marketing Communication Assistant Manager</t>
  </si>
  <si>
    <t>Petrus Kristianto Prayitno Santoso</t>
  </si>
  <si>
    <t>Film &amp; Marketing Communication Supervisor</t>
  </si>
  <si>
    <t>Siti Hasanah</t>
  </si>
  <si>
    <t>Finance &amp; Accounting Administration Staff</t>
  </si>
  <si>
    <t>Novani Ledy Diana</t>
  </si>
  <si>
    <t>Finance &amp; Accounting Assistant Manager</t>
  </si>
  <si>
    <t>Woro Kinasih</t>
  </si>
  <si>
    <t>Herman Cahyadi</t>
  </si>
  <si>
    <t>Finance &amp; Accounting Director</t>
  </si>
  <si>
    <t>Ricky Darius</t>
  </si>
  <si>
    <t>PRODV</t>
  </si>
  <si>
    <t>Finance &amp; Accounting Property Development Manager</t>
  </si>
  <si>
    <t>Dominggo M.P Aritonang</t>
  </si>
  <si>
    <t>Finance &amp; Accounting Senior Manager</t>
  </si>
  <si>
    <t>Oscar Delon</t>
  </si>
  <si>
    <t>Finance &amp; Accounting Supervisor</t>
  </si>
  <si>
    <t>Win Ardyani</t>
  </si>
  <si>
    <t>Nita Rama Yunita</t>
  </si>
  <si>
    <t>Finance &amp; Accouting Manager</t>
  </si>
  <si>
    <t>Riski Adrizal</t>
  </si>
  <si>
    <t>Fire &amp; Safety Supervisor</t>
  </si>
  <si>
    <t>Luthfan Az Zihni Suharto</t>
  </si>
  <si>
    <t>Sandra Sari Halauwet</t>
  </si>
  <si>
    <t>FIO</t>
  </si>
  <si>
    <t>Fit Out Administration Staff</t>
  </si>
  <si>
    <t>Sri Adiyani</t>
  </si>
  <si>
    <t>Rony Husain Muhammad I.</t>
  </si>
  <si>
    <t>Fit Out Assistant Manager</t>
  </si>
  <si>
    <t>Ari Syafari</t>
  </si>
  <si>
    <t>Ahmad Putra Wijaya</t>
  </si>
  <si>
    <t>Lidya</t>
  </si>
  <si>
    <t>Ramadhani Budiman, ST</t>
  </si>
  <si>
    <t>Fit Out General Manager</t>
  </si>
  <si>
    <t>Mosa Abidharma</t>
  </si>
  <si>
    <t>Fit Out Manager</t>
  </si>
  <si>
    <t>Margaretha Rani Astuti</t>
  </si>
  <si>
    <t>Margaretha Yulien</t>
  </si>
  <si>
    <t>Fit Out Senior Manager</t>
  </si>
  <si>
    <t>Farida Ismail</t>
  </si>
  <si>
    <t>Fit Out Staff</t>
  </si>
  <si>
    <t>Aprilani Dwi Astuti</t>
  </si>
  <si>
    <t>Fit Out Supervisor</t>
  </si>
  <si>
    <t>Vensensya</t>
  </si>
  <si>
    <t>Febriandita Ramadhan Nugraha Putra</t>
  </si>
  <si>
    <t>Harris Setiawan</t>
  </si>
  <si>
    <t>Reza Fauzi</t>
  </si>
  <si>
    <t>Sehat Rezeki Sianipar</t>
  </si>
  <si>
    <t>Ceria Thalia Sumanti</t>
  </si>
  <si>
    <t>Valencia Vanessa</t>
  </si>
  <si>
    <t>FTOUT</t>
  </si>
  <si>
    <t>Florentinus Frengky Boleng</t>
  </si>
  <si>
    <t>Winny Eliza Rose</t>
  </si>
  <si>
    <t>Fanny Fajrianti Kartini</t>
  </si>
  <si>
    <t>Yemima Gracita</t>
  </si>
  <si>
    <t>GEATR</t>
  </si>
  <si>
    <t>GEA &amp; Tenant Relation Staff</t>
  </si>
  <si>
    <t>Bryan Dhika Bomantara</t>
  </si>
  <si>
    <t>Andrian Risadi</t>
  </si>
  <si>
    <t>Nur Aprianna</t>
  </si>
  <si>
    <t>Maria Viniati Borromeu Pewut</t>
  </si>
  <si>
    <t>GEA &amp; Tenant Relation Supervisor</t>
  </si>
  <si>
    <t>Febriansyah Rahmat</t>
  </si>
  <si>
    <t>GEA &amp; TR Supervisor</t>
  </si>
  <si>
    <t>Ramadhandy Mandra Nugraha</t>
  </si>
  <si>
    <t>Kiki Amelia</t>
  </si>
  <si>
    <t>Anzzal Ibrahim</t>
  </si>
  <si>
    <t>GSRVC</t>
  </si>
  <si>
    <t>GEA Staff</t>
  </si>
  <si>
    <t xml:space="preserve">Tari Permata Lestari </t>
  </si>
  <si>
    <t>Yogha Tri Arisandy</t>
  </si>
  <si>
    <t>Akmal Dwi Saputra</t>
  </si>
  <si>
    <t>Alridho Yudha Permana</t>
  </si>
  <si>
    <t>GEA Supervisor</t>
  </si>
  <si>
    <t>Yulia Nurhayati</t>
  </si>
  <si>
    <t>PRM</t>
  </si>
  <si>
    <t>General Administration Staff</t>
  </si>
  <si>
    <t>Hana Mega Sari</t>
  </si>
  <si>
    <t>St. David Wasono</t>
  </si>
  <si>
    <t>General Affair Supervisor</t>
  </si>
  <si>
    <t>Ade Yulyadi</t>
  </si>
  <si>
    <t>General Service Administration Staff</t>
  </si>
  <si>
    <t>Hesty Puspitasari, SE.Msi</t>
  </si>
  <si>
    <t>General Services Assistant Manager</t>
  </si>
  <si>
    <t>Dillie Febrian</t>
  </si>
  <si>
    <t>General Services Manager</t>
  </si>
  <si>
    <t>Langlang Maulana Nasution</t>
  </si>
  <si>
    <t>LEG</t>
  </si>
  <si>
    <t>GOVRL</t>
  </si>
  <si>
    <t>Government Relation Senior Manager</t>
  </si>
  <si>
    <t>HQ - ALL</t>
  </si>
  <si>
    <t>Dwi Ari Setiadi</t>
  </si>
  <si>
    <t>Government Relations Assistant Manager</t>
  </si>
  <si>
    <t>Ikhsanul Oktrio Mirza</t>
  </si>
  <si>
    <t>Government Relations Staff</t>
  </si>
  <si>
    <t>Saskia Angela</t>
  </si>
  <si>
    <t>Dharmawan Teguh Prakoso</t>
  </si>
  <si>
    <t>Government Relations Supervisor</t>
  </si>
  <si>
    <t>Dienda Zahra Imania M</t>
  </si>
  <si>
    <t>GDSGN</t>
  </si>
  <si>
    <t>Graphic Design Staff</t>
  </si>
  <si>
    <t>Felicia Ruth Agriani</t>
  </si>
  <si>
    <t>Graphic Designer Staff</t>
  </si>
  <si>
    <t>Bagus Anggara</t>
  </si>
  <si>
    <t>Vanesa Marcella</t>
  </si>
  <si>
    <t>Jeremy Groversam D</t>
  </si>
  <si>
    <t>Graphic Designer Supervisor</t>
  </si>
  <si>
    <t>Toar Mahenly Tanos</t>
  </si>
  <si>
    <t>Hannah Prisca</t>
  </si>
  <si>
    <t>R R Devie Andini Puspita</t>
  </si>
  <si>
    <t>Guest Services Officer Staff</t>
  </si>
  <si>
    <t>Sazi Ajeng Ayu Virginia</t>
  </si>
  <si>
    <t>Guest Services Officer Supervisor</t>
  </si>
  <si>
    <t>Fendy Vincent</t>
  </si>
  <si>
    <t>Gym Attendant Staff</t>
  </si>
  <si>
    <t>Ari Rifai</t>
  </si>
  <si>
    <t>Yuli Yanah</t>
  </si>
  <si>
    <t>PRC</t>
  </si>
  <si>
    <t>PCUMT</t>
  </si>
  <si>
    <t>Hospitality Purchasing Manager</t>
  </si>
  <si>
    <t>Fiqi Nasrullah</t>
  </si>
  <si>
    <t>HSKPK</t>
  </si>
  <si>
    <t>Housekeeping &amp; Parking Staff</t>
  </si>
  <si>
    <t>Pandu Sajiwa</t>
  </si>
  <si>
    <t>Rustamaji</t>
  </si>
  <si>
    <t>Warner Rutz Panjaitan</t>
  </si>
  <si>
    <t>Housekeeping &amp; Parking Supervisor</t>
  </si>
  <si>
    <t>Hendi Hidayat</t>
  </si>
  <si>
    <t>HSKPG</t>
  </si>
  <si>
    <t>Housekeeping Supervisor</t>
  </si>
  <si>
    <t>Tri Lestari</t>
  </si>
  <si>
    <t>Muhamad Soleh</t>
  </si>
  <si>
    <t>Ikhfa Nurtamimi</t>
  </si>
  <si>
    <t>Sugito .</t>
  </si>
  <si>
    <t>Mohamad Fauzi</t>
  </si>
  <si>
    <t>Sigit Pratomo</t>
  </si>
  <si>
    <t>Dias Eka Kusuma</t>
  </si>
  <si>
    <t>Ayub Fadillah</t>
  </si>
  <si>
    <t>Regina Fitagora</t>
  </si>
  <si>
    <t>OPRHR</t>
  </si>
  <si>
    <t>HR &amp; GA Manager</t>
  </si>
  <si>
    <t>Selviana Chandra Wijaya</t>
  </si>
  <si>
    <t>HR &amp; GA Operation Staff</t>
  </si>
  <si>
    <t>Devina Trianti</t>
  </si>
  <si>
    <t>Kevin Edria</t>
  </si>
  <si>
    <t>Winda Wijaya</t>
  </si>
  <si>
    <t>Brigitta Nathasya Geraldine</t>
  </si>
  <si>
    <t>Muhamad Yusuf. SH</t>
  </si>
  <si>
    <t>HR &amp; GA Operation Supervisor</t>
  </si>
  <si>
    <t>Feony Salsabila Dadi</t>
  </si>
  <si>
    <t>Senthia Windy Lestari</t>
  </si>
  <si>
    <t>Gracia Maria Loemongga</t>
  </si>
  <si>
    <t>Linda Herlinawati</t>
  </si>
  <si>
    <t>Mia Johanna</t>
  </si>
  <si>
    <t>HR &amp; GA Supervisor</t>
  </si>
  <si>
    <t>Muhammad Radityo Reksagama</t>
  </si>
  <si>
    <t>Daniel Freddy Hasudungan Sirait</t>
  </si>
  <si>
    <t>HR Assistant Manager</t>
  </si>
  <si>
    <t>Stefanus Vincentius Siauwtika</t>
  </si>
  <si>
    <t>BUSSP</t>
  </si>
  <si>
    <t>HR Business Partner Senior Manager</t>
  </si>
  <si>
    <t>Anggi Yonarita</t>
  </si>
  <si>
    <t>HSE Manager</t>
  </si>
  <si>
    <t>Rizqi Fitriani</t>
  </si>
  <si>
    <t>HSE Officer</t>
  </si>
  <si>
    <t>Rizky Heranawan Pribadi</t>
  </si>
  <si>
    <t>HSE Staff</t>
  </si>
  <si>
    <t>Shinta Devi Ayuningrum</t>
  </si>
  <si>
    <t>Ninda Puspita Damayanti</t>
  </si>
  <si>
    <t>Rengga Aditya Noor</t>
  </si>
  <si>
    <t>Didik Rianto</t>
  </si>
  <si>
    <t>HSE Supervisor</t>
  </si>
  <si>
    <t xml:space="preserve">Harri Prasetian </t>
  </si>
  <si>
    <t>Casey Puspa Avriliantoro</t>
  </si>
  <si>
    <t>Hse Supervisor</t>
  </si>
  <si>
    <t>Ahmad Susilo</t>
  </si>
  <si>
    <t>Diah Rahayu</t>
  </si>
  <si>
    <t>Human Resources Operation General Manager</t>
  </si>
  <si>
    <t>Muhammad Rizal Rifa I</t>
  </si>
  <si>
    <t>INO</t>
  </si>
  <si>
    <t>Innovation Admin</t>
  </si>
  <si>
    <t>Tiana Dewi Andini</t>
  </si>
  <si>
    <t>IABPS</t>
  </si>
  <si>
    <t>Internal Audit &amp; Business Process Assistant Manager</t>
  </si>
  <si>
    <t>Sodri Karzinar</t>
  </si>
  <si>
    <t>Internal Audit &amp; Business Process Manager</t>
  </si>
  <si>
    <t>Rachmat Hidayat</t>
  </si>
  <si>
    <t>Internal Audit &amp; Business Process Staff</t>
  </si>
  <si>
    <t>Herawati</t>
  </si>
  <si>
    <t>Internal Audit &amp; Business Process Supervisor</t>
  </si>
  <si>
    <t>Alviral Muhamad</t>
  </si>
  <si>
    <t>Eliezer Theodoric M Panjaitan</t>
  </si>
  <si>
    <t>ITD</t>
  </si>
  <si>
    <t>IT Admin</t>
  </si>
  <si>
    <t>APPLS</t>
  </si>
  <si>
    <t>IT Application Senior Manager</t>
  </si>
  <si>
    <t>IT Application Staff</t>
  </si>
  <si>
    <t>IT Application Supervisor</t>
  </si>
  <si>
    <t>IT Server Supervisor</t>
  </si>
  <si>
    <t>INFRA</t>
  </si>
  <si>
    <t>IT Infrastructure Manager</t>
  </si>
  <si>
    <t>IT Network Staff</t>
  </si>
  <si>
    <t>IT Network Supervisor</t>
  </si>
  <si>
    <t>OPRPJ</t>
  </si>
  <si>
    <t>IT Operation &amp; Project Manager</t>
  </si>
  <si>
    <t>IT Operation General Manager</t>
  </si>
  <si>
    <t>IT Operation Staff</t>
  </si>
  <si>
    <t>IT Operation Supervisor</t>
  </si>
  <si>
    <t>IT Project Staff</t>
  </si>
  <si>
    <t>IT Server Staff</t>
  </si>
  <si>
    <t>Iklima Nurhanifah</t>
  </si>
  <si>
    <t>LANDS</t>
  </si>
  <si>
    <t>Landscape Supervisor</t>
  </si>
  <si>
    <t>Monica Theresia</t>
  </si>
  <si>
    <t>Inesia Melati</t>
  </si>
  <si>
    <t>Erilia Oktriana</t>
  </si>
  <si>
    <t>Dian Puspitasari</t>
  </si>
  <si>
    <t>Lianawati</t>
  </si>
  <si>
    <t>Leasing Administration Staff</t>
  </si>
  <si>
    <t>David Louis Hilman</t>
  </si>
  <si>
    <t>Leasing Director</t>
  </si>
  <si>
    <t>Ida Yusli</t>
  </si>
  <si>
    <t>Leasing F &amp; B Manager</t>
  </si>
  <si>
    <t>Dewi Kartika.</t>
  </si>
  <si>
    <t>Leasing General Manager</t>
  </si>
  <si>
    <t>Anastasia Prisilla</t>
  </si>
  <si>
    <t>Leasing Manager</t>
  </si>
  <si>
    <t>Fera Yohanes</t>
  </si>
  <si>
    <t>Elgaree Jane Hanna Zohnya</t>
  </si>
  <si>
    <t>Valerian Ivan Raharja</t>
  </si>
  <si>
    <t>Leasing Senior Manager</t>
  </si>
  <si>
    <t>Rachel Rouli Naibaho</t>
  </si>
  <si>
    <t>Leasing Staff</t>
  </si>
  <si>
    <t>Michelle Victoria Rahadi</t>
  </si>
  <si>
    <t>Intan Natalia</t>
  </si>
  <si>
    <t>Calvin Sutandi</t>
  </si>
  <si>
    <t>Ricky Ongko Susanto</t>
  </si>
  <si>
    <t>Katarina Christine Wardani</t>
  </si>
  <si>
    <t>Elizabeth Nataline Riama Tobing</t>
  </si>
  <si>
    <t>Leasing Supervisor</t>
  </si>
  <si>
    <t>Hendry Vincent Wijaya</t>
  </si>
  <si>
    <t>Celline Febianca</t>
  </si>
  <si>
    <t>Vanessa Maria L</t>
  </si>
  <si>
    <t>Michiko Lidya</t>
  </si>
  <si>
    <t>LEGAL</t>
  </si>
  <si>
    <t>Legal Assistant Manager</t>
  </si>
  <si>
    <t>Diar Aulia Adang</t>
  </si>
  <si>
    <t>Deden Mulyana</t>
  </si>
  <si>
    <t>Antonius Wibowo</t>
  </si>
  <si>
    <t>Legal Manager</t>
  </si>
  <si>
    <t>Komang Utami Dewi Artha</t>
  </si>
  <si>
    <t>Legal Staff</t>
  </si>
  <si>
    <t>Tania Imanuella Pasaka</t>
  </si>
  <si>
    <t>Citra Marina Napitupulu</t>
  </si>
  <si>
    <t>Legal Supervisor</t>
  </si>
  <si>
    <t>Puspa Ratih Trioktavira</t>
  </si>
  <si>
    <t>Zico Rossano Hansakarya</t>
  </si>
  <si>
    <t>Marketing Communication General Manager</t>
  </si>
  <si>
    <t>Ronal Riski Panjaitan</t>
  </si>
  <si>
    <t>Marketing Communication Supervisor</t>
  </si>
  <si>
    <t>Grace Rachel Oliva Hutabarat</t>
  </si>
  <si>
    <t>MEREL</t>
  </si>
  <si>
    <t>Media Relation Staff</t>
  </si>
  <si>
    <t>Syahrulloh.</t>
  </si>
  <si>
    <t>MSSGR</t>
  </si>
  <si>
    <t>Messenger Non Staff</t>
  </si>
  <si>
    <t>LV13</t>
  </si>
  <si>
    <t>Azistia Kurniadi</t>
  </si>
  <si>
    <t>Achmad Ardita</t>
  </si>
  <si>
    <t>Unang Satyanggara</t>
  </si>
  <si>
    <t>Sugeng.</t>
  </si>
  <si>
    <t>Deri Ardiansyah</t>
  </si>
  <si>
    <t>Muhamad Haris</t>
  </si>
  <si>
    <t>Djamal Syaiful Nur Hakim</t>
  </si>
  <si>
    <t>Abdul Chalim</t>
  </si>
  <si>
    <t>MVACD</t>
  </si>
  <si>
    <t>MVAC Staff</t>
  </si>
  <si>
    <t>Harun Rizal</t>
  </si>
  <si>
    <t>Sugeng Iswanto</t>
  </si>
  <si>
    <t>Noer Achmad Fachreza</t>
  </si>
  <si>
    <t>Nahdi Eko Wisnu Brata</t>
  </si>
  <si>
    <t>Iqbal Sahputra</t>
  </si>
  <si>
    <t>Verry Pratama</t>
  </si>
  <si>
    <t>Anif Furqon</t>
  </si>
  <si>
    <t>Aris Setiyo</t>
  </si>
  <si>
    <t>Tris Setiawan</t>
  </si>
  <si>
    <t>Tordi Agus Prasaska</t>
  </si>
  <si>
    <t>Hasan Toat</t>
  </si>
  <si>
    <t>Dodi.</t>
  </si>
  <si>
    <t>Taufiqurrohman.</t>
  </si>
  <si>
    <t>Danu Wardoyo</t>
  </si>
  <si>
    <t>Muhammad Reski</t>
  </si>
  <si>
    <t>Arlis</t>
  </si>
  <si>
    <t>Herman Sudrajat</t>
  </si>
  <si>
    <t>Muhamad Dicki Ade Saputra</t>
  </si>
  <si>
    <t>MVAC Supervisor</t>
  </si>
  <si>
    <t>Barus N</t>
  </si>
  <si>
    <t>Redian Sutanto</t>
  </si>
  <si>
    <t>Operation General Deputy Manager</t>
  </si>
  <si>
    <t>LV03</t>
  </si>
  <si>
    <t>Sukmawati Suaji</t>
  </si>
  <si>
    <t>Operation Mall Administration Staff</t>
  </si>
  <si>
    <t>Ida Minda</t>
  </si>
  <si>
    <t>Cita Budi Riandini</t>
  </si>
  <si>
    <t>Rosmainia Alfandari</t>
  </si>
  <si>
    <t>Danny Stephanus Christian</t>
  </si>
  <si>
    <t>Operation Mall Manager</t>
  </si>
  <si>
    <t>Willy Andreas</t>
  </si>
  <si>
    <t>Anton Cahyono</t>
  </si>
  <si>
    <t>Eko Purwanto</t>
  </si>
  <si>
    <t>OPRPP</t>
  </si>
  <si>
    <t>Operation Power Plant Staff</t>
  </si>
  <si>
    <t>Otong.</t>
  </si>
  <si>
    <t>Antonius Anang Prasetyo</t>
  </si>
  <si>
    <t>Agung Tri Suseno</t>
  </si>
  <si>
    <t>Sutisna.</t>
  </si>
  <si>
    <t>Triyono.</t>
  </si>
  <si>
    <t>Adi Brama</t>
  </si>
  <si>
    <t>Operation Supervisor</t>
  </si>
  <si>
    <t>Reza Palevy Aman Suwandono</t>
  </si>
  <si>
    <t>David Petrus</t>
  </si>
  <si>
    <t>Operational Civil Staff</t>
  </si>
  <si>
    <t>Wahidin.</t>
  </si>
  <si>
    <t>Agus Triyanto</t>
  </si>
  <si>
    <t>Erwin Raharja</t>
  </si>
  <si>
    <t>OPGCR</t>
  </si>
  <si>
    <t>Operational Genset &amp; Control Room Staff</t>
  </si>
  <si>
    <t>Rezha Waasthia Arvian</t>
  </si>
  <si>
    <t>OPHCO</t>
  </si>
  <si>
    <t>Operational Handling Complaint Staff</t>
  </si>
  <si>
    <t>Waluyo.</t>
  </si>
  <si>
    <t>Operational Handling Complaint Supervisor</t>
  </si>
  <si>
    <t>Esti Dwipiani</t>
  </si>
  <si>
    <t>Operational Mall Administration</t>
  </si>
  <si>
    <t>Annisa Ratika Syahni</t>
  </si>
  <si>
    <t>Parking &amp; Housekeeping Staff</t>
  </si>
  <si>
    <t>Ika Retna Wati</t>
  </si>
  <si>
    <t>Muhammad Ma'ruf Kurniawan</t>
  </si>
  <si>
    <t>Parking &amp; Housekeeping Supervisor</t>
  </si>
  <si>
    <t>Lenny Adriany D</t>
  </si>
  <si>
    <t>Parking Administration Supervisor</t>
  </si>
  <si>
    <t>Ade Kurniawan</t>
  </si>
  <si>
    <t>PARKG</t>
  </si>
  <si>
    <t>Parking Staff</t>
  </si>
  <si>
    <t>Chairul Anwar</t>
  </si>
  <si>
    <t>Helmi Rinaldi</t>
  </si>
  <si>
    <t>PDCMT</t>
  </si>
  <si>
    <t>People Development &amp; Career Management Manager</t>
  </si>
  <si>
    <t>Bernike Jacinta Effendi</t>
  </si>
  <si>
    <t>People Development Supervisor</t>
  </si>
  <si>
    <t>Angga Fabriharda</t>
  </si>
  <si>
    <t>Plumbing &amp; Civil Supervisor</t>
  </si>
  <si>
    <t>Ade Hendria</t>
  </si>
  <si>
    <t>Plumbing Staff</t>
  </si>
  <si>
    <t>Mukti Ahmad</t>
  </si>
  <si>
    <t>Jeffrey Lee Kuan Yew Langoday</t>
  </si>
  <si>
    <t>Ayi Muflihuddin</t>
  </si>
  <si>
    <t>Dwi Joko Supriyono</t>
  </si>
  <si>
    <t>Muhammad Andiyani</t>
  </si>
  <si>
    <t>Deriansyah</t>
  </si>
  <si>
    <t>Siswardaya</t>
  </si>
  <si>
    <t>Muhammad Iqbal Ibrahihm</t>
  </si>
  <si>
    <t>Setyawan.</t>
  </si>
  <si>
    <t>Rifai.</t>
  </si>
  <si>
    <t>Plumbing Supervisor</t>
  </si>
  <si>
    <t>Moh Nur hadi Kusuma</t>
  </si>
  <si>
    <t>Agus Pranowo</t>
  </si>
  <si>
    <t>Mustofa</t>
  </si>
  <si>
    <t>Bella Jade Khadidjaah</t>
  </si>
  <si>
    <t>Procurement Administration Staff</t>
  </si>
  <si>
    <t>Andina Nabila Hasnah</t>
  </si>
  <si>
    <t>Yosua Bonny Rosalina</t>
  </si>
  <si>
    <t>Procurement Assistant Manager</t>
  </si>
  <si>
    <t>Eka Meifiliyanti</t>
  </si>
  <si>
    <t>Elizabeth Putri</t>
  </si>
  <si>
    <t>Liang Ronny</t>
  </si>
  <si>
    <t>Procurement General Manager</t>
  </si>
  <si>
    <t>Togu Rizki Nasution</t>
  </si>
  <si>
    <t>Procurement Manager</t>
  </si>
  <si>
    <t>Vinka Novelia</t>
  </si>
  <si>
    <t>Fahmi Sam Zariulhaq</t>
  </si>
  <si>
    <t>Procurement Staff</t>
  </si>
  <si>
    <t>Cicilya Graciela Mautofani</t>
  </si>
  <si>
    <t>Tiur Lamria Br Sitinjak</t>
  </si>
  <si>
    <t>Nikodemus Budi Prajitno</t>
  </si>
  <si>
    <t>Wisnu Setiawan</t>
  </si>
  <si>
    <t>Procurement Supervisor</t>
  </si>
  <si>
    <t>Muhammad Noer Seto</t>
  </si>
  <si>
    <t>Hadinata</t>
  </si>
  <si>
    <t>Chichilia Clarasati</t>
  </si>
  <si>
    <t>Muhammad Adi Septyan</t>
  </si>
  <si>
    <t>Ilona Tessa Vanya Mamesah</t>
  </si>
  <si>
    <t>Melania Agustiana</t>
  </si>
  <si>
    <t>Adam Firdaus</t>
  </si>
  <si>
    <t>Hendy Darmawan</t>
  </si>
  <si>
    <t>Kintan Asmarandani</t>
  </si>
  <si>
    <t>Ikrima Catrik Pratiwi</t>
  </si>
  <si>
    <t>Kartika Hilda</t>
  </si>
  <si>
    <t>Nurhadi .</t>
  </si>
  <si>
    <t>Hany Pratama</t>
  </si>
  <si>
    <t>Product Development Senior Manager</t>
  </si>
  <si>
    <t>Euaggelion David</t>
  </si>
  <si>
    <t>PRJ</t>
  </si>
  <si>
    <t>PRMNG</t>
  </si>
  <si>
    <t>Project Coordinator</t>
  </si>
  <si>
    <t>Rischa Widianti</t>
  </si>
  <si>
    <t>COR</t>
  </si>
  <si>
    <t>Project Coordinator &amp; Administrator Supervisor</t>
  </si>
  <si>
    <t>Andrie Satya Setiono</t>
  </si>
  <si>
    <t>PROJT</t>
  </si>
  <si>
    <t>Project Manager</t>
  </si>
  <si>
    <t>Andrean Prasetio</t>
  </si>
  <si>
    <t>PROAR</t>
  </si>
  <si>
    <t>Property Area Officer Staff</t>
  </si>
  <si>
    <t>Nur Komarruddin</t>
  </si>
  <si>
    <t>Leo Andika</t>
  </si>
  <si>
    <t>Bayu Heriyanto</t>
  </si>
  <si>
    <t>Yessica Noviani</t>
  </si>
  <si>
    <t>Property Management Administration Staff</t>
  </si>
  <si>
    <t>Rosalinda Riana Damayanti</t>
  </si>
  <si>
    <t>PCHNG</t>
  </si>
  <si>
    <t>Purchasing Staff</t>
  </si>
  <si>
    <t>Deslina Hasibuan</t>
  </si>
  <si>
    <t>Denis</t>
  </si>
  <si>
    <t>Research &amp; Analysis Admin</t>
  </si>
  <si>
    <t>Ratna Airindah Hadiaty</t>
  </si>
  <si>
    <t>RND</t>
  </si>
  <si>
    <t>RNDEV</t>
  </si>
  <si>
    <t>Research &amp; Development Manager</t>
  </si>
  <si>
    <t>Cahyo Satrio Pinilih Bagus Prabowo</t>
  </si>
  <si>
    <t>Research &amp; Development Staff</t>
  </si>
  <si>
    <t>Kezia Claudya Labonda</t>
  </si>
  <si>
    <t>Research &amp; Development Supervisor</t>
  </si>
  <si>
    <t>Agung Setya Pribadi</t>
  </si>
  <si>
    <t>Safety Supervisor</t>
  </si>
  <si>
    <t>Sherlie.</t>
  </si>
  <si>
    <t>SECTR</t>
  </si>
  <si>
    <t>Secretary Assistant Manager</t>
  </si>
  <si>
    <t>Yukky Gunawan</t>
  </si>
  <si>
    <t>Linggar Ofarrah</t>
  </si>
  <si>
    <t>SEC</t>
  </si>
  <si>
    <t>Secretary Supervisor</t>
  </si>
  <si>
    <t>R. Lesnussa</t>
  </si>
  <si>
    <t>SECUR</t>
  </si>
  <si>
    <t>Security &amp; CCTV Assistant Manager</t>
  </si>
  <si>
    <t>Muh Yusuf Suhartono</t>
  </si>
  <si>
    <t>Security &amp; CCTV Staff</t>
  </si>
  <si>
    <t>Billy Latuputty</t>
  </si>
  <si>
    <t>Jaka Wahyu Pratama</t>
  </si>
  <si>
    <t>Ricky Pratama</t>
  </si>
  <si>
    <t>Adi Yudha Putra Syam</t>
  </si>
  <si>
    <t>Siswo Triyadi Kismanto</t>
  </si>
  <si>
    <t>Security &amp; CCTV Supervisor</t>
  </si>
  <si>
    <t>Wiharto Abie</t>
  </si>
  <si>
    <t>Security &amp; Parking Staff</t>
  </si>
  <si>
    <t>Ido Rudy Clay</t>
  </si>
  <si>
    <t>Security &amp; Parking Supervisor</t>
  </si>
  <si>
    <t>Alieffianie Putri Lautantie</t>
  </si>
  <si>
    <t>Security Administration Staff</t>
  </si>
  <si>
    <t>Adam Hafiz</t>
  </si>
  <si>
    <t>Security Operational Supervisor</t>
  </si>
  <si>
    <t>Tariq Al Nahawi</t>
  </si>
  <si>
    <t>STY</t>
  </si>
  <si>
    <t>Security Senior Manager</t>
  </si>
  <si>
    <t>Julius Dominggus Siahaya</t>
  </si>
  <si>
    <t>Security Staff</t>
  </si>
  <si>
    <t>Setiadi Purwantoro</t>
  </si>
  <si>
    <t>Haerul Okta Fahmi</t>
  </si>
  <si>
    <t>Security Supervisor</t>
  </si>
  <si>
    <t>Tesya Nadia Dewanti</t>
  </si>
  <si>
    <t>Muhammad Arif Al Furqon</t>
  </si>
  <si>
    <t>Wahyu Dimawan</t>
  </si>
  <si>
    <t>Yudi Abdillah</t>
  </si>
  <si>
    <t>Aruna Jati Rumbono</t>
  </si>
  <si>
    <t>SEOUI</t>
  </si>
  <si>
    <t>Seo UI/UX Designer Assistant Manager</t>
  </si>
  <si>
    <t>Olivia Valentina Satria Putri</t>
  </si>
  <si>
    <t>SOMED</t>
  </si>
  <si>
    <t>Social Media &amp; Content Creator Supervisor</t>
  </si>
  <si>
    <t>Alexandra J Stefanie Modok</t>
  </si>
  <si>
    <t>Social Media &amp; Digital Administration Assistant Manager</t>
  </si>
  <si>
    <t>Dinar Puspita Yuwono</t>
  </si>
  <si>
    <t>Social Media &amp; Digital Administration Staff</t>
  </si>
  <si>
    <t>Bellinda Corinna</t>
  </si>
  <si>
    <t>Komang Soma Aryayuda</t>
  </si>
  <si>
    <t>Catherine Susanto</t>
  </si>
  <si>
    <t>Social Media &amp; Digital Administration Supervisor</t>
  </si>
  <si>
    <t>Arief Kurniawan</t>
  </si>
  <si>
    <t>Fitria Salsabila</t>
  </si>
  <si>
    <t>Social Media Staff</t>
  </si>
  <si>
    <t>Willy Anjaya</t>
  </si>
  <si>
    <t>SFENG</t>
  </si>
  <si>
    <t>Software Engineering Assistant Manager</t>
  </si>
  <si>
    <t>Aiman Fakhri Rimbawan</t>
  </si>
  <si>
    <t>Bayu Suwarning Hadi</t>
  </si>
  <si>
    <t>Syamsul Arifin</t>
  </si>
  <si>
    <t>Software Engineering Manager</t>
  </si>
  <si>
    <t>Muqsithu Nafi’U Dzikri Rofi’ R</t>
  </si>
  <si>
    <t>Software Engineering Supervisor</t>
  </si>
  <si>
    <t>Cecep Kurnia</t>
  </si>
  <si>
    <t>WRHOS</t>
  </si>
  <si>
    <t>Store Keeper Staff</t>
  </si>
  <si>
    <t>Faisal Jamalludin</t>
  </si>
  <si>
    <t>Faisal Rifai</t>
  </si>
  <si>
    <t>M. Rizky Pradana</t>
  </si>
  <si>
    <t>Storekeeper Staff</t>
  </si>
  <si>
    <t>Febriyan.</t>
  </si>
  <si>
    <t>Bintari Rarastiwi</t>
  </si>
  <si>
    <t>SUSTN</t>
  </si>
  <si>
    <t>Sustainability Manager</t>
  </si>
  <si>
    <t>Vera Ciputra</t>
  </si>
  <si>
    <t>TEACQ</t>
  </si>
  <si>
    <t>Talent Acquisition Manager</t>
  </si>
  <si>
    <t>Vidya Clareta Lembono</t>
  </si>
  <si>
    <t>Talent Acquisition Staff</t>
  </si>
  <si>
    <t>Nora Ferbi Astriya</t>
  </si>
  <si>
    <t>Silvia Mutiara Putri Wijaya</t>
  </si>
  <si>
    <t>Talent Acquisition Supervisor</t>
  </si>
  <si>
    <t>Zipora Dela Ayustini</t>
  </si>
  <si>
    <t>TAXFA</t>
  </si>
  <si>
    <t>Tax Staff</t>
  </si>
  <si>
    <t>Aldhie Pratama Sugiri</t>
  </si>
  <si>
    <t>Try Novri Purba</t>
  </si>
  <si>
    <t>Nan Afan</t>
  </si>
  <si>
    <t>Vivi Nurhaliza</t>
  </si>
  <si>
    <t>Eva Tri Handayani</t>
  </si>
  <si>
    <t>Tax Supervisor</t>
  </si>
  <si>
    <t>Agustinus Edi Gunarso</t>
  </si>
  <si>
    <t>Aswin Faris Tarigan</t>
  </si>
  <si>
    <t>TCH</t>
  </si>
  <si>
    <t>TCHNS</t>
  </si>
  <si>
    <t>Technician Staff</t>
  </si>
  <si>
    <t>Hasan Basri</t>
  </si>
  <si>
    <t>Ricky Marchiano</t>
  </si>
  <si>
    <t>Supriyanto.</t>
  </si>
  <si>
    <t>Suparmin.</t>
  </si>
  <si>
    <t>Sutarman.</t>
  </si>
  <si>
    <t>Deny.</t>
  </si>
  <si>
    <t>Abdul Khanif</t>
  </si>
  <si>
    <t>Adiyana Yusuf</t>
  </si>
  <si>
    <t>Wahyu Khairuddin</t>
  </si>
  <si>
    <t>Anwar Hoja</t>
  </si>
  <si>
    <t>Muhammad Dedy Irwanto</t>
  </si>
  <si>
    <t>Mardiansyah.</t>
  </si>
  <si>
    <t>Tenant Facilities Staff</t>
  </si>
  <si>
    <t>Yanuar Trisullo</t>
  </si>
  <si>
    <t>Anatasya Delica Siregar</t>
  </si>
  <si>
    <t>Devi Cahyandari</t>
  </si>
  <si>
    <t>Bella Ismu Safira</t>
  </si>
  <si>
    <t>M. Sekarmaji Abdilah Chaidar</t>
  </si>
  <si>
    <t>Nabila Sued Azzukhruf</t>
  </si>
  <si>
    <t>TEREL</t>
  </si>
  <si>
    <t>Tenant Relation Administration Staff</t>
  </si>
  <si>
    <t>Yuli Astuti</t>
  </si>
  <si>
    <t>Bagus Cahyadi Hendstyo Putra</t>
  </si>
  <si>
    <t>Tenant Relation Assistant Manager</t>
  </si>
  <si>
    <t>Ria Savarina Nasution</t>
  </si>
  <si>
    <t>Tiara Bayu Syabani</t>
  </si>
  <si>
    <t>Tanti Suryani</t>
  </si>
  <si>
    <t>Tenant Relation Staff</t>
  </si>
  <si>
    <t>Rani Rahmawati</t>
  </si>
  <si>
    <t>Saepul Anwar</t>
  </si>
  <si>
    <t>Fauziah Amelia</t>
  </si>
  <si>
    <t>Tika Aprianti</t>
  </si>
  <si>
    <t>Hamid Susilo</t>
  </si>
  <si>
    <t>Siti Fauziah</t>
  </si>
  <si>
    <t>Ahmad Deni</t>
  </si>
  <si>
    <t>Rido Rinaldi Kodri</t>
  </si>
  <si>
    <t>Sisilia Subakti</t>
  </si>
  <si>
    <t>Heni</t>
  </si>
  <si>
    <t>Risma Ariany</t>
  </si>
  <si>
    <t>Heriyanto</t>
  </si>
  <si>
    <t>Nur Arifin Nugraha,,SM.</t>
  </si>
  <si>
    <t>Ricky Ramadhan</t>
  </si>
  <si>
    <t>Faisal Saiful Hayat</t>
  </si>
  <si>
    <t>Afra Ayesha Rillyantiza</t>
  </si>
  <si>
    <t>Zaherman Rochmatullah</t>
  </si>
  <si>
    <t>Oki Setia Ramazan</t>
  </si>
  <si>
    <t>Wahyu Pinasty Enchas Sutaning</t>
  </si>
  <si>
    <t>Resty Yuristiani Iswari</t>
  </si>
  <si>
    <t>Masheru Pamuji</t>
  </si>
  <si>
    <t>Niawati.</t>
  </si>
  <si>
    <t>Abdu Rahman Yasir</t>
  </si>
  <si>
    <t>Salwa Nayla Maulidya</t>
  </si>
  <si>
    <t>Grace Ruth Agustina</t>
  </si>
  <si>
    <t>Dede Rohim</t>
  </si>
  <si>
    <t>Firda Canida</t>
  </si>
  <si>
    <t>Daylon Collin Bensons</t>
  </si>
  <si>
    <t>Tenant Relation Supervisor</t>
  </si>
  <si>
    <t>Anton Framana Aditya</t>
  </si>
  <si>
    <t>Aprie Paranggi</t>
  </si>
  <si>
    <t>Damairia Frishella</t>
  </si>
  <si>
    <t>Karlina Tamaya</t>
  </si>
  <si>
    <t>Amalia Dewi Harahap</t>
  </si>
  <si>
    <t>Yolanda Fadilla</t>
  </si>
  <si>
    <t>Raissa Aoulia Agustian</t>
  </si>
  <si>
    <t>Neti Wulandari</t>
  </si>
  <si>
    <t>Muhammad Rifai</t>
  </si>
  <si>
    <t>Nur Rohmah Wati</t>
  </si>
  <si>
    <t>UTLTY</t>
  </si>
  <si>
    <t>Utility Staff</t>
  </si>
  <si>
    <t>Nurul Amalina</t>
  </si>
  <si>
    <t>Utility Supervisor</t>
  </si>
  <si>
    <t>VACNT</t>
  </si>
  <si>
    <t>LV14</t>
  </si>
  <si>
    <t>Wildan Pasha</t>
  </si>
  <si>
    <t>VMC</t>
  </si>
  <si>
    <t>VISME</t>
  </si>
  <si>
    <t>Visual Merchandise &amp; Onsite Manager</t>
  </si>
  <si>
    <t>Wiras Dwi Aditama</t>
  </si>
  <si>
    <t>Visual Merchandise &amp; Onsite Staff</t>
  </si>
  <si>
    <t>Hendri Apriansyah</t>
  </si>
  <si>
    <t>Nonnita Nurhalisa</t>
  </si>
  <si>
    <t>Fahri Amin</t>
  </si>
  <si>
    <t>Visual Merchandise &amp; Onsite Supervisor</t>
  </si>
  <si>
    <t>Raden Christian Haryanto</t>
  </si>
  <si>
    <t>Tias Mintaraga</t>
  </si>
  <si>
    <t>Agust Adam Rifanto</t>
  </si>
  <si>
    <t>Warehouse Mall Assistant Manager</t>
  </si>
  <si>
    <t>Agung Widiyantoko</t>
  </si>
  <si>
    <t>Warehouse Mall Staff</t>
  </si>
  <si>
    <t>Warehouse Staff</t>
  </si>
  <si>
    <t>Rezky Suhendra</t>
  </si>
  <si>
    <t>Hamdan</t>
  </si>
  <si>
    <t>Subroto.</t>
  </si>
  <si>
    <t>Warehouse Supervisor</t>
  </si>
  <si>
    <t>Lidia Amelia</t>
  </si>
  <si>
    <t>WRKFL</t>
  </si>
  <si>
    <t>Workflow Coordinator</t>
  </si>
  <si>
    <t>Septiani</t>
  </si>
  <si>
    <t>Retta Octavia Dwi Rachma</t>
  </si>
  <si>
    <t>TALENT ACQUISITION ASSISTANT MANAGER</t>
  </si>
  <si>
    <t>Gabriela Siagian</t>
  </si>
  <si>
    <t>Christina</t>
  </si>
  <si>
    <t>Operational Deputy General Manager</t>
  </si>
  <si>
    <t>Aris Rustanta</t>
  </si>
  <si>
    <t>HRD Director</t>
  </si>
  <si>
    <t>Axell Matthew Rotinsulu</t>
  </si>
  <si>
    <t>Leasing Senior Supervisor</t>
  </si>
  <si>
    <t>Muhammad Ihsan Pribadi</t>
  </si>
  <si>
    <t>Sindi Silitonga</t>
  </si>
  <si>
    <t>IT Security Complience Manager</t>
  </si>
  <si>
    <t>Yonsen Tanzil</t>
  </si>
  <si>
    <t>CMNGM</t>
  </si>
  <si>
    <t>CENTER MANAGEMENT</t>
  </si>
  <si>
    <t>Valencia Nesa</t>
  </si>
  <si>
    <t>Yanto Suryana</t>
  </si>
  <si>
    <t>Operational Manager</t>
  </si>
  <si>
    <t>Theresia Yoana</t>
  </si>
  <si>
    <t>Danny Gibran Ariyant</t>
  </si>
  <si>
    <t>Atet Rochidin</t>
  </si>
  <si>
    <t>Devita Anindyah Nuary</t>
  </si>
  <si>
    <t>Innovation Partnership Assistant Manager</t>
  </si>
  <si>
    <t>Fatihul Mubarok</t>
  </si>
  <si>
    <t>Suryo Wibowo</t>
  </si>
  <si>
    <t>SPM</t>
  </si>
  <si>
    <t>Site Project Management Assistant Manager</t>
  </si>
  <si>
    <t>Muhammad Iqbal</t>
  </si>
  <si>
    <t>Tools &amp; Sparepart Keeper Supervisor</t>
  </si>
  <si>
    <t>Ashar Pauji</t>
  </si>
  <si>
    <t>Agus Haerudin</t>
  </si>
  <si>
    <t>Operation &amp; Maintenance Supervisor</t>
  </si>
  <si>
    <t>Didin Wahyudin</t>
  </si>
  <si>
    <t>IPP</t>
  </si>
  <si>
    <t>Shift Leader Staff</t>
  </si>
  <si>
    <t>Sugito.</t>
  </si>
  <si>
    <t>Site Project Management Manager</t>
  </si>
  <si>
    <t>Johan Firmansyah</t>
  </si>
  <si>
    <t>Engineering Chief</t>
  </si>
  <si>
    <t>Siam Wibowo</t>
  </si>
  <si>
    <t>Plumbing Technician Supervisor</t>
  </si>
  <si>
    <t>Leniwati Bernauli Aritonang</t>
  </si>
  <si>
    <t>Yus Rusman</t>
  </si>
  <si>
    <t>Adnan Fauzi</t>
  </si>
  <si>
    <t>Jati Waluyo</t>
  </si>
  <si>
    <t>Civil Technician Staff</t>
  </si>
  <si>
    <t>Fitri Rachmawati</t>
  </si>
  <si>
    <t>Operational Admin</t>
  </si>
  <si>
    <t>Dwinanto Utomo</t>
  </si>
  <si>
    <t>TES</t>
  </si>
  <si>
    <t>Sr. Structure Engineer</t>
  </si>
  <si>
    <t>Hariyanto.</t>
  </si>
  <si>
    <t>Electrical &amp; Elecom Staff</t>
  </si>
  <si>
    <t>Elister Mikka Siagian</t>
  </si>
  <si>
    <t>Ipp Support Assistant Manager</t>
  </si>
  <si>
    <t>Sandi Ramdani</t>
  </si>
  <si>
    <t>Trigianto.</t>
  </si>
  <si>
    <t>Technician Civil</t>
  </si>
  <si>
    <t>Ali Bambang Saefudin</t>
  </si>
  <si>
    <t>Mulky Mubarak</t>
  </si>
  <si>
    <t>Siswanto.</t>
  </si>
  <si>
    <t>Head HR ASRI</t>
  </si>
  <si>
    <t>Darmo.</t>
  </si>
  <si>
    <t>Sukisna.</t>
  </si>
  <si>
    <t>MEP Assistant Manager</t>
  </si>
  <si>
    <t>Satriya Hono Agung Putra</t>
  </si>
  <si>
    <t>Pratama Setyagama</t>
  </si>
  <si>
    <t>Checker &amp; Maintenance</t>
  </si>
  <si>
    <t>Mujahidin.</t>
  </si>
  <si>
    <t>CRM</t>
  </si>
  <si>
    <t>Customer Relationship Management Staff</t>
  </si>
  <si>
    <t>Romlih.</t>
  </si>
  <si>
    <t>Muhamad Yusuf</t>
  </si>
  <si>
    <t>GNT</t>
  </si>
  <si>
    <t>TR Senior Staff</t>
  </si>
  <si>
    <t>Frans Kurnia Arsianto</t>
  </si>
  <si>
    <t>LV00</t>
  </si>
  <si>
    <t>Mohamad Rofi'I</t>
  </si>
  <si>
    <t>Kawasan Supervisor</t>
  </si>
  <si>
    <t>Sandi Yudha</t>
  </si>
  <si>
    <t>Sr. Manager Architect</t>
  </si>
  <si>
    <t>Diniati Meita Sanusi</t>
  </si>
  <si>
    <t>Riyanto Darmawan</t>
  </si>
  <si>
    <t>F &amp; B Manager</t>
  </si>
  <si>
    <t>Taufik Hidayat</t>
  </si>
  <si>
    <t>MVAC Technician Staff</t>
  </si>
  <si>
    <t>Adhikara Utomo</t>
  </si>
  <si>
    <t>Quantity Surveyor Assistant Manager</t>
  </si>
  <si>
    <t>Mechanical &amp; Electrical Staff</t>
  </si>
  <si>
    <t>Fiqih Darmawan</t>
  </si>
  <si>
    <t>F&amp;B Operational Supervisor</t>
  </si>
  <si>
    <t>Muhammad Elbareza</t>
  </si>
  <si>
    <t>Food &amp; Beverages Supervisor</t>
  </si>
  <si>
    <t>Tri Putri Septi Rizki</t>
  </si>
  <si>
    <t>Admin Tenant Relation Staff</t>
  </si>
  <si>
    <t>Al Ridho Yudha Permana</t>
  </si>
  <si>
    <t>GE &amp; TR Supervisor</t>
  </si>
  <si>
    <t>Citra Maharani</t>
  </si>
  <si>
    <t>Administrasi Staff</t>
  </si>
  <si>
    <t>Simangaradja Daud</t>
  </si>
  <si>
    <t>Plant Operator Staff</t>
  </si>
  <si>
    <t>Bambang Setiawan</t>
  </si>
  <si>
    <t>Driver &amp; Messenger Staff</t>
  </si>
  <si>
    <t>Mailina Cempakawati</t>
  </si>
  <si>
    <t>PRO</t>
  </si>
  <si>
    <t>Nala Rita Dewi</t>
  </si>
  <si>
    <t>Golda Handalia Oktavi</t>
  </si>
  <si>
    <t>CSL</t>
  </si>
  <si>
    <t>Kawasan Staff</t>
  </si>
  <si>
    <t>Aditya Prasetyajati</t>
  </si>
  <si>
    <t>Muhammad Dimsiyi Habibi</t>
  </si>
  <si>
    <t>Ade Lesmana</t>
  </si>
  <si>
    <t>Interior Design Manager</t>
  </si>
  <si>
    <t>Zulmartin.</t>
  </si>
  <si>
    <t>F&amp;B Staff</t>
  </si>
  <si>
    <t>Sugih Priyono</t>
  </si>
  <si>
    <t>Linda Delvia</t>
  </si>
  <si>
    <t>Eric Daryl Kurniawan</t>
  </si>
  <si>
    <t>Director Operational Mall</t>
  </si>
  <si>
    <t>Hari Suwandito</t>
  </si>
  <si>
    <t>Santi Silviana</t>
  </si>
  <si>
    <t>Operational Eng Staff</t>
  </si>
  <si>
    <t>Adang Kurnia</t>
  </si>
  <si>
    <t>Operation Mall Assistant Manager</t>
  </si>
  <si>
    <t>Triyanto</t>
  </si>
  <si>
    <t>Parkir &amp; Housekeeping Supervisor</t>
  </si>
  <si>
    <t>Juri Eko Wiyono</t>
  </si>
  <si>
    <t>Site Engineer Supervisor</t>
  </si>
  <si>
    <t>Frans Putra Perdana Mulatua</t>
  </si>
  <si>
    <t>Erwin Wasidi</t>
  </si>
  <si>
    <t>Yohanes Puguh Pangestu</t>
  </si>
  <si>
    <t>Operational Assistant Manager</t>
  </si>
  <si>
    <t>Bambang Untoro</t>
  </si>
  <si>
    <t>Albert Marvindo</t>
  </si>
  <si>
    <t>CCM</t>
  </si>
  <si>
    <t>Visual Merchandise Asst. Manager</t>
  </si>
  <si>
    <t>Grace Agustina Prasisca</t>
  </si>
  <si>
    <t>Leasing Admin</t>
  </si>
  <si>
    <t>Ericka Zulfalina</t>
  </si>
  <si>
    <t>Komalasari.</t>
  </si>
  <si>
    <t>Siti Yuli Yanna</t>
  </si>
  <si>
    <t>Suhaibah.</t>
  </si>
  <si>
    <t>Citra Puspa Soraya</t>
  </si>
  <si>
    <t>Agung Hidayat</t>
  </si>
  <si>
    <t>System Analyst Supervisor</t>
  </si>
  <si>
    <t>Drafter Leasing</t>
  </si>
  <si>
    <t>Danang Prasetyo</t>
  </si>
  <si>
    <t>Leader CCTV</t>
  </si>
  <si>
    <t>Ivan Casadevall Parra</t>
  </si>
  <si>
    <t>HOS</t>
  </si>
  <si>
    <t>COO Hotel</t>
  </si>
  <si>
    <t>Stephanie Chrestella</t>
  </si>
  <si>
    <t>Cendonahara Rizanda</t>
  </si>
  <si>
    <t>Iwan Setiawan</t>
  </si>
  <si>
    <t>Security Leader</t>
  </si>
  <si>
    <t>Dahlia Salim</t>
  </si>
  <si>
    <t>Deputy GM Leasing</t>
  </si>
  <si>
    <t>Siti Koryanah</t>
  </si>
  <si>
    <t>Yulia</t>
  </si>
  <si>
    <t>Cris Juniardi</t>
  </si>
  <si>
    <t>Henny Syahfitri</t>
  </si>
  <si>
    <t>Suci Ardina Fitriani H</t>
  </si>
  <si>
    <t>Monica Karina Dewi</t>
  </si>
  <si>
    <t>GNS</t>
  </si>
  <si>
    <t>AR Staff</t>
  </si>
  <si>
    <t>Reggi Alfianto</t>
  </si>
  <si>
    <t>General Service Spv</t>
  </si>
  <si>
    <t>Muhamad Idris</t>
  </si>
  <si>
    <t>Shirleen Ganda Handria</t>
  </si>
  <si>
    <t>Raiyan Ramadhan</t>
  </si>
  <si>
    <t>GEA Leader</t>
  </si>
  <si>
    <t>Anna Maria Genoviva</t>
  </si>
  <si>
    <t>Dara Puspita Kirana</t>
  </si>
  <si>
    <t>Legi Sali Devi Purba</t>
  </si>
  <si>
    <t>Sulardi</t>
  </si>
  <si>
    <t>Dulyani</t>
  </si>
  <si>
    <t>Irwan Setiyawan</t>
  </si>
  <si>
    <t xml:space="preserve">M/E &amp; Fit Out Supervisor </t>
  </si>
  <si>
    <t>Mellani Kurniawati S</t>
  </si>
  <si>
    <t>GM HRD</t>
  </si>
  <si>
    <t>Ihsan Sambudi</t>
  </si>
  <si>
    <t>PCH</t>
  </si>
  <si>
    <t>Purchasing Supervisor</t>
  </si>
  <si>
    <t>Pool Attendant</t>
  </si>
  <si>
    <t xml:space="preserve">Putri Rafika </t>
  </si>
  <si>
    <t>Rustamaji.</t>
  </si>
  <si>
    <t>Florencia Nelci Pulu</t>
  </si>
  <si>
    <t>HR &amp; GA Staff</t>
  </si>
  <si>
    <t>Pool Attendant Staff</t>
  </si>
  <si>
    <t>Dicka Kembara</t>
  </si>
  <si>
    <t>Mohamad Yusuf</t>
  </si>
  <si>
    <t>Hendra Setiawan</t>
  </si>
  <si>
    <t xml:space="preserve">Security &amp; CCTV Supervisor </t>
  </si>
  <si>
    <t>Yansen Marvin Hutauruk</t>
  </si>
  <si>
    <t>Estimator &amp; Tender Staff</t>
  </si>
  <si>
    <t>Nanik Ayu Astuti</t>
  </si>
  <si>
    <t>Admin Operation</t>
  </si>
  <si>
    <t>Sultan Agung</t>
  </si>
  <si>
    <t>Juli Erliyanto</t>
  </si>
  <si>
    <t>Marketing Communication Manager</t>
  </si>
  <si>
    <t>Marketing Communication Staff</t>
  </si>
  <si>
    <t>Samsudin.</t>
  </si>
  <si>
    <t>Electric Technician Staff</t>
  </si>
  <si>
    <t>Linggar Abdul Majid</t>
  </si>
  <si>
    <t>Driver COO</t>
  </si>
  <si>
    <t>Yaomi Ifadha</t>
  </si>
  <si>
    <t>Muhamad Adi Sopian</t>
  </si>
  <si>
    <t>Soni Gunawan</t>
  </si>
  <si>
    <t>HR &amp; Transport Administration</t>
  </si>
  <si>
    <t>Asmari.</t>
  </si>
  <si>
    <t xml:space="preserve">HVAC Supervisor </t>
  </si>
  <si>
    <t>Sahrul Basri</t>
  </si>
  <si>
    <t>Office Boy Non Staff</t>
  </si>
  <si>
    <t>Ester Lidya Lewi</t>
  </si>
  <si>
    <t>Sekretaris GM</t>
  </si>
  <si>
    <t>Yolanda Sutrisna</t>
  </si>
  <si>
    <t>Leasing Assistant Manager</t>
  </si>
  <si>
    <t>Dicky Prasetyo</t>
  </si>
  <si>
    <t>Irwan Firmansyah</t>
  </si>
  <si>
    <t>Ega Dwihandika</t>
  </si>
  <si>
    <t>Crew Cinema Staff</t>
  </si>
  <si>
    <t>Adella Majesty Bella Puspita</t>
  </si>
  <si>
    <t>Novan Firmando</t>
  </si>
  <si>
    <t>Agnes Natassia</t>
  </si>
  <si>
    <t>Sagi Mambang</t>
  </si>
  <si>
    <t>IT Support Staff</t>
  </si>
  <si>
    <t>Ninu.</t>
  </si>
  <si>
    <t>Wahyudianto</t>
  </si>
  <si>
    <t>Muhammad Kadafi</t>
  </si>
  <si>
    <t>Operational Technician Staff</t>
  </si>
  <si>
    <t>Melianus Manuhutu</t>
  </si>
  <si>
    <t>Electrical Inspector Supervisor</t>
  </si>
  <si>
    <t>Achmad Hidayat</t>
  </si>
  <si>
    <t>Vitria Handayani</t>
  </si>
  <si>
    <t>RDV</t>
  </si>
  <si>
    <t>Research &amp; Developement Manager</t>
  </si>
  <si>
    <t>Mathius</t>
  </si>
  <si>
    <t>Film Programming Supervisor</t>
  </si>
  <si>
    <t>Prasandi Bagus Santoso</t>
  </si>
  <si>
    <t>Visual Merchandise Supervisor</t>
  </si>
  <si>
    <t>Egit Fandikson</t>
  </si>
  <si>
    <t>Visual Merchandise Staff</t>
  </si>
  <si>
    <t>Nita Nazira C. Noer</t>
  </si>
  <si>
    <t>MBD</t>
  </si>
  <si>
    <t>Marketing Business Development Junior General Manager</t>
  </si>
  <si>
    <t>Irwan Selamet</t>
  </si>
  <si>
    <t>Shanaz Janice</t>
  </si>
  <si>
    <t>Mohamad Rizki Panca Syahri</t>
  </si>
  <si>
    <t>Usman Juarna</t>
  </si>
  <si>
    <t>General Service Chief</t>
  </si>
  <si>
    <t>Delfina</t>
  </si>
  <si>
    <t xml:space="preserve">Nicole Dinda Putri </t>
  </si>
  <si>
    <t>Procurement Administrasion Staff</t>
  </si>
  <si>
    <t>Stanley Prasetyo Harsono</t>
  </si>
  <si>
    <t>Asset Management Staff</t>
  </si>
  <si>
    <t>Audryn Tamara Ristania</t>
  </si>
  <si>
    <t>Dinda Chusnul Khotimah</t>
  </si>
  <si>
    <t>Defi Ardy</t>
  </si>
  <si>
    <t>Phelia Davita Rusli</t>
  </si>
  <si>
    <t>Excecutive Assistant</t>
  </si>
  <si>
    <t>Debby Goesliana Elviria</t>
  </si>
  <si>
    <t>Vanny Novella</t>
  </si>
  <si>
    <t>Leasing Executive</t>
  </si>
  <si>
    <t>Nabila Febriani</t>
  </si>
  <si>
    <t>Ir. Yudi Sepriyanto</t>
  </si>
  <si>
    <t>Tony Bati</t>
  </si>
  <si>
    <t>INN</t>
  </si>
  <si>
    <t>Innovation General Manager</t>
  </si>
  <si>
    <t>Adi Yudha Pratama Syam</t>
  </si>
  <si>
    <t>Andika Prima Angga</t>
  </si>
  <si>
    <t>Melita Pricillia Wahab</t>
  </si>
  <si>
    <t>Corporate Finance Manager</t>
  </si>
  <si>
    <t>Niken Larasati</t>
  </si>
  <si>
    <t>Shindy Fabriana</t>
  </si>
  <si>
    <t>Fitri Amelia</t>
  </si>
  <si>
    <t>Erda Noor Setiawan</t>
  </si>
  <si>
    <t>Gea &amp; Tr Supervisor</t>
  </si>
  <si>
    <t>Yansen Prasetijo</t>
  </si>
  <si>
    <t>July Indayani</t>
  </si>
  <si>
    <t>Erwin Christian</t>
  </si>
  <si>
    <t>IT GM</t>
  </si>
  <si>
    <t>Ni Putu Bunga Padmapurani</t>
  </si>
  <si>
    <t>Muhammad Aditya Pratama</t>
  </si>
  <si>
    <t>Andreas Lumampauw</t>
  </si>
  <si>
    <t>Miss Logita</t>
  </si>
  <si>
    <t>Taufik Jumeidi</t>
  </si>
  <si>
    <t>Anggie Kusworo</t>
  </si>
  <si>
    <t>Andhiyah Tsabitah</t>
  </si>
  <si>
    <t>Adam Hermi Riandanu</t>
  </si>
  <si>
    <t>Jervis</t>
  </si>
  <si>
    <t>I Gusti Ngurah Angga Wikranta</t>
  </si>
  <si>
    <t>Antonius Seno Ardi</t>
  </si>
  <si>
    <t>Veronica Angelina Kwa</t>
  </si>
  <si>
    <t>Iman Hendrayana</t>
  </si>
  <si>
    <t>F &amp; B Cinema Assistant Manager</t>
  </si>
  <si>
    <t>Adi Purnomo</t>
  </si>
  <si>
    <t>Vivian Pratiwi</t>
  </si>
  <si>
    <t>Marketing Communication Admin</t>
  </si>
  <si>
    <t>Faisal Ramadan</t>
  </si>
  <si>
    <t>Ismail</t>
  </si>
  <si>
    <t>Agus Noble Amd</t>
  </si>
  <si>
    <t>Hairul Fuadi B. Rastim</t>
  </si>
  <si>
    <t>Iwan Wijaya</t>
  </si>
  <si>
    <t>GM Mall</t>
  </si>
  <si>
    <t>Dedi Rahmad</t>
  </si>
  <si>
    <t>IT Infrastructure Supervisor</t>
  </si>
  <si>
    <t>Yogo Susanto</t>
  </si>
  <si>
    <t>Abdul Khalim</t>
  </si>
  <si>
    <t>Raras Annisa Ningtyas</t>
  </si>
  <si>
    <t>Arthur Tirtarahardja</t>
  </si>
  <si>
    <t>Innovation Parthership Manager</t>
  </si>
  <si>
    <t>Darul Ulum</t>
  </si>
  <si>
    <t>M. Shidqi Wihendra</t>
  </si>
  <si>
    <t>Andri Prastya</t>
  </si>
  <si>
    <t>Mas Aji Adi Pramono</t>
  </si>
  <si>
    <t>Aris Gunawan</t>
  </si>
  <si>
    <t>Tunjung Tri Wibowo</t>
  </si>
  <si>
    <t>Wildy Sukma Sutrisna</t>
  </si>
  <si>
    <t>Anggi Sutrisno</t>
  </si>
  <si>
    <t>Abbel Abdulah</t>
  </si>
  <si>
    <t>Merry Glaedis Ingrid Waladow</t>
  </si>
  <si>
    <t>Compensation &amp; Benefit  Supervisor</t>
  </si>
  <si>
    <t>Fita Utami Oktafia Harjanti</t>
  </si>
  <si>
    <t>Gea &amp; Tenant Relation Staff</t>
  </si>
  <si>
    <t>Rangga Juni Firmansyah</t>
  </si>
  <si>
    <t>Muhamad Chaerul Anwar</t>
  </si>
  <si>
    <t>Awang Prasetyo</t>
  </si>
  <si>
    <t>Sumpena Yuliandi</t>
  </si>
  <si>
    <t>Tenant Relation Chief</t>
  </si>
  <si>
    <t>Lasma Asrina Manik</t>
  </si>
  <si>
    <t>Antonius Mario Carlos Kodoatie</t>
  </si>
  <si>
    <t>Davis Soni Dewantara</t>
  </si>
  <si>
    <t>Anjar Yulianto</t>
  </si>
  <si>
    <t>Ahmad Fathony</t>
  </si>
  <si>
    <t>Cinema Operation Asst. Manager</t>
  </si>
  <si>
    <t>Devi Manisha</t>
  </si>
  <si>
    <t>Ir. Gibson Parasian Sinambela</t>
  </si>
  <si>
    <t>Dian Maysaro</t>
  </si>
  <si>
    <t>Gloria Irene</t>
  </si>
  <si>
    <t>Achmad Fauzi</t>
  </si>
  <si>
    <t>Christian.</t>
  </si>
  <si>
    <t>Anwar Sodik</t>
  </si>
  <si>
    <t>Agus Purnomo</t>
  </si>
  <si>
    <t>HVAC Staff</t>
  </si>
  <si>
    <t>Ardhonal Drajad Susanto</t>
  </si>
  <si>
    <t>Andi Yusup</t>
  </si>
  <si>
    <t>Presia Listan Nova</t>
  </si>
  <si>
    <t>Innovation Staff</t>
  </si>
  <si>
    <t>Wilfrits Simanjuntak</t>
  </si>
  <si>
    <t>Deputy Operation Mall Asst. Manager</t>
  </si>
  <si>
    <t>Ari Hermawan</t>
  </si>
  <si>
    <t>Muhammad Salim</t>
  </si>
  <si>
    <t>Ahmad Irvani</t>
  </si>
  <si>
    <t>Nur Rachmad Ramadhan</t>
  </si>
  <si>
    <t>Putu Roy</t>
  </si>
  <si>
    <t>Wito</t>
  </si>
  <si>
    <t>Bagas Dewantoro</t>
  </si>
  <si>
    <t>Customer Relationship Management Manager</t>
  </si>
  <si>
    <t>Hairul Rizal</t>
  </si>
  <si>
    <t>Rio Yahya Pratama</t>
  </si>
  <si>
    <t>Agus Hastana</t>
  </si>
  <si>
    <t>Convention &amp; Banq Hall Supervisor</t>
  </si>
  <si>
    <t>M Amin</t>
  </si>
  <si>
    <t>I Putu Yasa Eka Prastya</t>
  </si>
  <si>
    <t>Sirnata</t>
  </si>
  <si>
    <t>Site Project Management Senior Supervisor</t>
  </si>
  <si>
    <t>Annisa</t>
  </si>
  <si>
    <t>M. Rafli Rafles Tanjung</t>
  </si>
  <si>
    <t>Dita Aryani</t>
  </si>
  <si>
    <t>Puja Natalia Gultom</t>
  </si>
  <si>
    <t>Arief Rosandi</t>
  </si>
  <si>
    <t>Dolly Hutabarat</t>
  </si>
  <si>
    <t>Rigid Asanjaya Akbar</t>
  </si>
  <si>
    <t>Roy Sudibya Wahana</t>
  </si>
  <si>
    <t>Innovation Senior Manager</t>
  </si>
  <si>
    <t>Ursula Ayuni Soda</t>
  </si>
  <si>
    <t>Elvin Eko Putra</t>
  </si>
  <si>
    <t>Beny Sastra Wijaya</t>
  </si>
  <si>
    <t>Bayu Firman Bahrudin</t>
  </si>
  <si>
    <t>Diki Maulana Malik Ibrahim</t>
  </si>
  <si>
    <t>Suhono Fajar Nugraha</t>
  </si>
  <si>
    <t>Suparjo</t>
  </si>
  <si>
    <t>Aryo Seto Eko Putra</t>
  </si>
  <si>
    <t>Zidny Nurfadhli</t>
  </si>
  <si>
    <t>Alben</t>
  </si>
  <si>
    <t>Farid Ridho Abdullah</t>
  </si>
  <si>
    <t>Rahman Dwi Setyawan</t>
  </si>
  <si>
    <t>Suktar</t>
  </si>
  <si>
    <t>Nandini Aisyah Isnan</t>
  </si>
  <si>
    <t>Yully Supriyadi</t>
  </si>
  <si>
    <t>Fandy Maulana Fasya</t>
  </si>
  <si>
    <t>Eriek Hendra Setiawan</t>
  </si>
  <si>
    <t>Bong Michelle Pola</t>
  </si>
  <si>
    <t>Clausius Eko Prasetyo</t>
  </si>
  <si>
    <t>Pascha Nehemia Winanda</t>
  </si>
  <si>
    <t>CMN</t>
  </si>
  <si>
    <t>Deputy Property Management Manager</t>
  </si>
  <si>
    <t>Evia Sardodjo</t>
  </si>
  <si>
    <t>Leasing Deputy General Manager</t>
  </si>
  <si>
    <t>Dena Asep Permana</t>
  </si>
  <si>
    <t>Regina Devita Christi</t>
  </si>
  <si>
    <t>Eliana Mutiara Manalu</t>
  </si>
  <si>
    <t>Muhamad Rohmat Kurnia</t>
  </si>
  <si>
    <t>Cecilia Isabell</t>
  </si>
  <si>
    <t>Pritha Aulia Prameswary</t>
  </si>
  <si>
    <t>Lucyana Marcelina</t>
  </si>
  <si>
    <t>Secertary</t>
  </si>
  <si>
    <t>Ditya Irene Situmorang</t>
  </si>
  <si>
    <t>Admin Leasing Staff</t>
  </si>
  <si>
    <t>OK</t>
  </si>
  <si>
    <t>ID_SDP</t>
  </si>
  <si>
    <t>DONE</t>
  </si>
  <si>
    <t>DPT0.20</t>
  </si>
  <si>
    <t>STATUS_INPUT</t>
  </si>
  <si>
    <t>Product Development</t>
  </si>
  <si>
    <t>Project</t>
  </si>
  <si>
    <t>Software Engineer</t>
  </si>
  <si>
    <t>Partnership</t>
  </si>
  <si>
    <t>SUB_DEPARTEMENT</t>
  </si>
  <si>
    <t>ID_DPT</t>
  </si>
  <si>
    <t>aiman.rimbawan@asri.co.id</t>
  </si>
  <si>
    <t>asriliving@asri.co.id</t>
  </si>
  <si>
    <t>bayu.hadi@asri.co.id</t>
  </si>
  <si>
    <t>hany.pratama@asri.co.id</t>
  </si>
  <si>
    <t>muhammad.rifa@asri.co.id</t>
  </si>
  <si>
    <t>muqsithu.rofi@asri.co.id</t>
  </si>
  <si>
    <t>syamsul.arifin@asri.co.id</t>
  </si>
  <si>
    <t>willy.anjaya@asri.co.id</t>
  </si>
  <si>
    <t>SOCIAL</t>
  </si>
  <si>
    <t>+6289670328812</t>
  </si>
  <si>
    <t>+628119110755</t>
  </si>
  <si>
    <t>+6289635651120</t>
  </si>
  <si>
    <t>+6281245895694</t>
  </si>
  <si>
    <t>+6285156719103</t>
  </si>
  <si>
    <t>+6285220020325</t>
  </si>
  <si>
    <t>+6282227181613</t>
  </si>
  <si>
    <t>Microsoft Office 366</t>
  </si>
  <si>
    <t>Microsoft Office 367</t>
  </si>
  <si>
    <t>Microsoft Office 368</t>
  </si>
  <si>
    <t>Microsoft Office 369</t>
  </si>
  <si>
    <t>Microsoft Office 370</t>
  </si>
  <si>
    <t>Microsoft Office 371</t>
  </si>
  <si>
    <t>Microsoft Office 372</t>
  </si>
  <si>
    <t>Microsoft Office 373</t>
  </si>
  <si>
    <t>Microsoft Office 374</t>
  </si>
  <si>
    <t>BASIC</t>
  </si>
  <si>
    <t>UNLICENSED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</si>
</sst>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Sitka Display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65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3" xfId="0" applyFont="1" applyBorder="1" applyAlignment="1">
      <alignment vertical="center"/>
    </xf>
    <xf numFmtId="164" fontId="4" fillId="2" borderId="0" xfId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165" fontId="4" fillId="4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4" fillId="4" borderId="0" xfId="0" applyNumberFormat="1" applyFont="1" applyFill="1" applyAlignment="1">
      <alignment horizontal="left" vertical="center"/>
    </xf>
    <xf numFmtId="164" fontId="4" fillId="4" borderId="0" xfId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10" fontId="11" fillId="0" borderId="1" xfId="2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0" fontId="11" fillId="0" borderId="8" xfId="2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2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165" fontId="4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165" fontId="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2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ont>
        <color rgb="FFC00000"/>
      </font>
      <fill>
        <patternFill patternType="gray0625">
          <fgColor rgb="FFC00000"/>
        </patternFill>
      </fill>
    </dxf>
    <dxf>
      <fill>
        <patternFill>
          <bgColor rgb="FF66FF99"/>
        </patternFill>
      </fill>
    </dxf>
    <dxf>
      <fill>
        <patternFill>
          <bgColor rgb="FF66FF99"/>
        </patternFill>
      </fill>
    </dxf>
    <dxf>
      <fill>
        <patternFill>
          <bgColor rgb="FF66FF99"/>
        </patternFill>
      </fill>
    </dxf>
    <dxf>
      <fill>
        <patternFill>
          <bgColor rgb="FF66FF99"/>
        </patternFill>
      </fill>
    </dxf>
    <dxf>
      <font>
        <color rgb="FFC00000"/>
      </font>
      <fill>
        <patternFill>
          <bgColor theme="7" tint="0.79998168889431442"/>
        </patternFill>
      </fill>
    </dxf>
    <dxf>
      <font>
        <color rgb="FFC00000"/>
      </font>
      <fill>
        <patternFill patternType="gray0625">
          <fgColor rgb="FFC00000"/>
          <bgColor theme="6" tint="0.59996337778862885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2" tint="-0.249977111117893"/>
        </top>
      </border>
    </dxf>
    <dxf>
      <border>
        <bottom style="thin">
          <color theme="2" tint="-0.249977111117893"/>
        </bottom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Sitka Display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Sitka Display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Sitka Display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63925" cy="568025"/>
    <xdr:pic>
      <xdr:nvPicPr>
        <xdr:cNvPr id="2" name="Picture 1">
          <a:extLst>
            <a:ext uri="{FF2B5EF4-FFF2-40B4-BE49-F238E27FC236}">
              <a16:creationId xmlns:a16="http://schemas.microsoft.com/office/drawing/2014/main" id="{19D0FF02-92E5-4BBE-A1C4-6E83D73E1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0"/>
          <a:ext cx="563925" cy="5680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563925</xdr:colOff>
      <xdr:row>3</xdr:row>
      <xdr:rowOff>187025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6953B7-3B16-4666-9CCA-94E5B4A0C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0"/>
          <a:ext cx="563925" cy="5680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gia\OneDrive%20-%20Makmur%20Jaya%20Serasi,PT\IT%20Operation%20&amp;%20Project%20-%20IT%20Operation%20and%20Project\db_asri\Big_data\employees.xlsx" TargetMode="External"/><Relationship Id="rId1" Type="http://schemas.openxmlformats.org/officeDocument/2006/relationships/externalLinkPath" Target="file:///C:\Users\degia\OneDrive%20-%20Makmur%20Jaya%20Serasi,PT\IT%20Operation%20&amp;%20Project%20-%20IT%20Operation%20and%20Project\db_asri\Big_data\employe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oOSRCynpU0y1jGup_2_lAfOIXK2Fl51MmDtdn6wQ2i6ach88DWMaQ5pZLmCil-oT" itemId="01AFGOZQQ3MSGZUXOLWBDZVYMPWK5KZKZD">
      <xxl21:absoluteUrl r:id="rId2"/>
    </xxl21:alternateUrls>
    <sheetNames>
      <sheetName val="Sheet5"/>
      <sheetName val="Employee"/>
      <sheetName val="Departement"/>
      <sheetName val="Divisi"/>
      <sheetName val="Level"/>
      <sheetName val="DEPTDIV"/>
      <sheetName val="Site"/>
      <sheetName val="Email"/>
      <sheetName val="Sheet4"/>
      <sheetName val="Sheet1"/>
      <sheetName val="EMP"/>
      <sheetName val="DIR"/>
      <sheetName val="DIV"/>
      <sheetName val="DPT"/>
      <sheetName val="SUB-D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4350F8B-682B-4CF6-85EA-7006499144C0}" name="db_emp" displayName="db_emp" ref="B7:S1109" totalsRowShown="0" headerRowDxfId="100" dataDxfId="80" headerRowBorderDxfId="98" tableBorderDxfId="99" totalsRowBorderDxfId="97">
  <autoFilter ref="B7:S1109" xr:uid="{C4C48009-5C71-4984-994E-2AA8B11B6485}">
    <filterColumn colId="3">
      <filters>
        <filter val="INO"/>
      </filters>
    </filterColumn>
  </autoFilter>
  <tableColumns count="18">
    <tableColumn id="1" xr3:uid="{977709D2-6646-4614-B79B-ED69D54A03FB}" name="NO." dataDxfId="78"/>
    <tableColumn id="2" xr3:uid="{C4033401-58F0-48DB-A243-0695A988134E}" name="NIP (UPDATE)" dataDxfId="79"/>
    <tableColumn id="3" xr3:uid="{94885CBE-C6B5-4C47-A5BF-E6331810C588}" name="EMPLOYEE NAME" dataDxfId="96"/>
    <tableColumn id="16" xr3:uid="{E28FC74C-19F4-48F6-BCBB-A92F3AC0C70B}" name="ID_DIV" dataDxfId="95"/>
    <tableColumn id="4" xr3:uid="{68121170-DF53-4DAD-92F5-21B3CC54D98A}" name="ID_SDP" dataDxfId="94"/>
    <tableColumn id="5" xr3:uid="{B9BCA189-6C9F-49BA-BC62-3D2D62841E4A}" name="JOB TITLE" dataDxfId="93"/>
    <tableColumn id="15" xr3:uid="{96D977ED-46B6-463A-9404-AD148E58A4A6}" name="Code_lvl" dataDxfId="92"/>
    <tableColumn id="6" xr3:uid="{80DD2E0D-3CDC-4C27-B023-60111B55955E}" name="CORPORATE NAME" dataDxfId="91"/>
    <tableColumn id="7" xr3:uid="{7862C5C2-6C9B-40E1-AD4F-F7B2E079F8EC}" name="Code_site" dataDxfId="90"/>
    <tableColumn id="8" xr3:uid="{72852881-0814-4318-989B-12F74C0A23A6}" name="Status" dataDxfId="89"/>
    <tableColumn id="13" xr3:uid="{FCD03910-333F-4154-9FDF-E82943F8C1B3}" name="Date_Hiring" dataDxfId="88"/>
    <tableColumn id="14" xr3:uid="{F6F56EE1-15E2-466F-9AB6-F27141FD710D}" name="Date_Resign" dataDxfId="87">
      <calculatedColumnFormula>TODAY()+1</calculatedColumnFormula>
    </tableColumn>
    <tableColumn id="17" xr3:uid="{5686A9C3-25F3-423F-A0B6-9CABA14E3C95}" name="Departement" dataDxfId="86">
      <calculatedColumnFormula>_xlfn.IFNA(VLOOKUP(db_emp[[#This Row],[ID_DIV]],[1]!db_dpt[[Code_dpt]:[Departement]],2,0),"-")</calculatedColumnFormula>
    </tableColumn>
    <tableColumn id="18" xr3:uid="{81DC29CF-3B95-4BC2-B032-394BDD387637}" name="Divisi" dataDxfId="85">
      <calculatedColumnFormula>_xlfn.IFNA(VLOOKUP(db_emp[[#This Row],[ID_SDP]],[1]!db_div[[Code_div]:[Division]],2,0),"-")</calculatedColumnFormula>
    </tableColumn>
    <tableColumn id="19" xr3:uid="{59B21930-F63E-42DD-8125-24CD1E0AA8A6}" name="Level" dataDxfId="84">
      <calculatedColumnFormula>_xlfn.IFNA(VLOOKUP(db_emp[[#This Row],[Code_lvl]],[1]!db_lvl[[#All],[ID_level]:[Leveling Name]],2,0),"-")</calculatedColumnFormula>
    </tableColumn>
    <tableColumn id="20" xr3:uid="{5B2ABA5D-E002-4EC8-92C3-EDE340EB6FA2}" name="Site" dataDxfId="83">
      <calculatedColumnFormula>_xlfn.IFNA(VLOOKUP(db_emp[[#This Row],[Code_site]],[1]!db_site[[ID_Site]:[Url_maps]],3,0),"-")</calculatedColumnFormula>
    </tableColumn>
    <tableColumn id="21" xr3:uid="{C0D7282E-5875-476C-B6C8-5A491905D546}" name="FORMULA" dataDxfId="82">
      <calculatedColumnFormula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calculatedColumnFormula>
    </tableColumn>
    <tableColumn id="22" xr3:uid="{54739D0A-8E11-4856-94A6-6827C9D3FC4A}" name="COPY" dataDxfId="81">
      <calculatedColumnFormula>db_emp[[#This Row],[NIP (UPDATE)]]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BC161B-FB83-4B4D-B978-660B8F9994CF}" name="EMPLOYEE" displayName="EMPLOYEE" ref="B4:W38" totalsRowCount="1" headerRowDxfId="290" dataDxfId="289">
  <autoFilter ref="B4:W37" xr:uid="{09BC161B-FB83-4B4D-B978-660B8F9994CF}"/>
  <tableColumns count="22">
    <tableColumn id="1" xr3:uid="{0F195936-8F10-48FD-8EBB-0FF642FFFC9C}" name="NIP" dataDxfId="50" totalsRowDxfId="21"/>
    <tableColumn id="2" xr3:uid="{D7284AA0-91E4-464C-B125-D6C43549299F}" name="NAME" dataDxfId="49" totalsRowDxfId="20"/>
    <tableColumn id="3" xr3:uid="{9A77D9CA-1C3F-4594-80C6-CFC9DCE63150}" name="ID_LEVEL" dataDxfId="48" totalsRowDxfId="19"/>
    <tableColumn id="15" xr3:uid="{573118D6-F452-41C1-AEFD-11FA12E15719}" name="SALARY" totalsRowFunction="sum" dataDxfId="47" totalsRowDxfId="18" dataCellStyle="Comma"/>
    <tableColumn id="14" xr3:uid="{D3B91F6A-5FA7-4E6C-95F0-43E3999FB2F8}" name="ID_SO" dataDxfId="46" totalsRowDxfId="17">
      <calculatedColumnFormula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calculatedColumnFormula>
    </tableColumn>
    <tableColumn id="4" xr3:uid="{2093F2BA-186B-4341-93C4-5EFD00B057D1}" name="ID_DIRECTORATE" dataDxfId="45" totalsRowDxfId="16"/>
    <tableColumn id="5" xr3:uid="{DFFEEF59-A5EB-4BB6-BAD7-80947EB97AF4}" name="ID_DIVISION" dataDxfId="44" totalsRowDxfId="15"/>
    <tableColumn id="6" xr3:uid="{ECBCA337-B4E5-4A7A-AB8F-500ADD6122CB}" name="ID_DEPARTEMENT" dataDxfId="43" totalsRowDxfId="14"/>
    <tableColumn id="7" xr3:uid="{FA99E971-27E5-475F-A9D2-83312702F397}" name="ID_SUB_DEPARTEMENT" dataDxfId="42" totalsRowDxfId="13"/>
    <tableColumn id="8" xr3:uid="{FD61E79D-6834-4F0F-B0BD-A8DC4BA47663}" name="BUSINESS_UNIT" dataDxfId="41" totalsRowDxfId="12"/>
    <tableColumn id="12" xr3:uid="{6AE85E7B-0C66-43D4-A529-974133D18D79}" name="SITE_UNIT" dataDxfId="40" totalsRowDxfId="11"/>
    <tableColumn id="9" xr3:uid="{230C97FF-460D-495A-AB7A-16A3FEB8CC02}" name="CORPORATE_NAME" dataDxfId="39" totalsRowDxfId="10"/>
    <tableColumn id="11" xr3:uid="{DFE60580-6E09-4D0E-8167-976D5B1721C1}" name="Date_Hiring" dataDxfId="38" totalsRowDxfId="9"/>
    <tableColumn id="17" xr3:uid="{023E49F0-EEB8-4870-9F2D-82BAE303DB22}" name="CONVERTDH" dataDxfId="37" totalsRowDxfId="8">
      <calculatedColumnFormula>TEXT(EMPLOYEE[[#This Row],[Date_Hiring]],"YYYY-MM-DD")</calculatedColumnFormula>
    </tableColumn>
    <tableColumn id="13" xr3:uid="{F7AE9650-E001-4E8C-A4BB-415A0201712F}" name="Date_Resign" dataDxfId="36" totalsRowDxfId="7"/>
    <tableColumn id="18" xr3:uid="{972A1B18-9CB9-4F3B-95D0-442B699DD15D}" name="CONVERTDR" dataDxfId="35" totalsRowDxfId="6">
      <calculatedColumnFormula>TEXT(EMPLOYEE[[#This Row],[Date_Resign]],"YYYY-MM-DD")</calculatedColumnFormula>
    </tableColumn>
    <tableColumn id="10" xr3:uid="{9C517177-0F28-462E-9C85-9627CBC90F85}" name="STATUS" dataDxfId="34" totalsRowDxfId="5">
      <calculatedColumnFormula>IF(EMPLOYEE[[#This Row],[Date_Resign]]="NULL",1,0)</calculatedColumnFormula>
    </tableColumn>
    <tableColumn id="20" xr3:uid="{2C23AEDA-25D2-4ED2-9933-814F82282412}" name="NO_TLP" dataDxfId="33" totalsRowDxfId="4"/>
    <tableColumn id="19" xr3:uid="{F2FF21BE-B03F-41B4-9D04-C8710E275BDF}" name="EMAIL" dataDxfId="32" totalsRowDxfId="3"/>
    <tableColumn id="21" xr3:uid="{D6E4722A-2254-4667-BFC4-20EE937533AE}" name="AD" dataDxfId="31" totalsRowDxfId="2">
      <calculatedColumnFormula>_xlfn.IFNA(_xlfn.TEXTBEFORE(EMPLOYEE[[#This Row],[EMAIL]],"@"),"no_ad")</calculatedColumnFormula>
    </tableColumn>
    <tableColumn id="23" xr3:uid="{B946ABE9-E556-4544-923A-26D46143D442}" name="TEST" dataDxfId="30" totalsRowDxfId="1"/>
    <tableColumn id="16" xr3:uid="{07E184EA-4CC8-4034-94E5-349534B6B331}" name="QUERY" dataDxfId="29" totalsRowDxfId="0">
      <calculatedColumnFormula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96FB5-B361-4346-921E-8D1F24D188BC}" name="LEVEL" displayName="LEVEL" ref="B4:E47" totalsRowShown="0" headerRowDxfId="288" dataDxfId="287">
  <autoFilter ref="B4:E47" xr:uid="{D3D96FB5-B361-4346-921E-8D1F24D188BC}"/>
  <tableColumns count="4">
    <tableColumn id="1" xr3:uid="{12C34D01-3EFE-4F9A-A58F-F17B5EE1731F}" name="ID.LEVEL" dataDxfId="286"/>
    <tableColumn id="2" xr3:uid="{0BA60ABC-C528-4AEC-A6A4-618E1449BF73}" name="LEVEL" dataDxfId="285"/>
    <tableColumn id="3" xr3:uid="{54E21F98-CF90-4EEC-8E8D-34E9083B083D}" name="NOTE" dataDxfId="284"/>
    <tableColumn id="4" xr3:uid="{69E6AFEE-640D-407C-AE8E-BA9A81DCFDA9}" name="QUERY" dataDxfId="283">
      <calculatedColumnFormula>"('"&amp;LEVEL[[#This Row],[ID.LEVEL]]&amp;"','"&amp;LEVEL[[#This Row],[LEVEL]]&amp;"','"&amp;LEVEL[[#This Row],[NOTE]]&amp;"'),"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2C00B-364C-4E5C-8B53-1EABE8C0419D}" name="DIRECTORATE" displayName="DIRECTORATE" ref="B4:E23" totalsRowShown="0" headerRowDxfId="282" dataDxfId="281">
  <autoFilter ref="B4:E23" xr:uid="{D3D96FB5-B361-4346-921E-8D1F24D188BC}"/>
  <tableColumns count="4">
    <tableColumn id="1" xr3:uid="{B328E269-85B2-466B-A238-B9F81160D15C}" name="ID_DIR" dataDxfId="280"/>
    <tableColumn id="2" xr3:uid="{BEB5B35C-C5D5-448F-83A5-5CC48006C045}" name="DIRECTORATE" dataDxfId="279"/>
    <tableColumn id="3" xr3:uid="{84F868C0-C4DB-4388-942F-7B449037C50C}" name="NOTE" dataDxfId="278"/>
    <tableColumn id="4" xr3:uid="{7A1F15FE-550A-47B0-911F-11980A2C73C4}" name="QUERY" dataDxfId="277">
      <calculatedColumnFormula>"('"&amp;DIRECTORATE[[#This Row],[ID_DIR]]&amp;"','"&amp;
DIRECTORATE[[#This Row],[DIRECTORATE]]&amp;"','"&amp;
DIRECTORATE[[#This Row],[NOTE]]&amp;"'),"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F799F9-A6E0-4916-977B-9199B3D5A072}" name="DIVISION" displayName="DIVISION" ref="B4:F16" totalsRowShown="0" headerRowDxfId="276" dataDxfId="275">
  <autoFilter ref="B4:F16" xr:uid="{D3D96FB5-B361-4346-921E-8D1F24D188BC}"/>
  <tableColumns count="5">
    <tableColumn id="1" xr3:uid="{34AB4340-ED36-438E-A749-249F6C1FF670}" name="ID_DIV" dataDxfId="274"/>
    <tableColumn id="2" xr3:uid="{257265AA-66F3-40D8-9C75-630E6AD81605}" name="DIVISION" dataDxfId="74"/>
    <tableColumn id="5" xr3:uid="{F3F79850-9339-4581-9599-8320F257550B}" name="ID_DIR" dataDxfId="72"/>
    <tableColumn id="3" xr3:uid="{F2ED4A8F-FC1E-4F0C-B91A-A520F287502B}" name="NOTE" dataDxfId="73"/>
    <tableColumn id="4" xr3:uid="{9C12AC42-AD78-4752-9557-38A26B1D8EB8}" name="QUERY" dataDxfId="273">
      <calculatedColumnFormula>"('"&amp;DIVISION[[#This Row],[ID_DIV]]&amp;"','"&amp;DIVISION[[#This Row],[DIVISION]]&amp;"','"&amp;DIVISION[[#This Row],[ID_DIR]]&amp;"','"&amp;DIVISION[[#This Row],[NOTE]]&amp;"'),"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C0D700-E368-4A54-BAC9-35647DBB3DF1}" name="DIVISION5" displayName="DIVISION5" ref="B4:F25" totalsRowShown="0" headerRowDxfId="272" dataDxfId="271">
  <autoFilter ref="B4:F25" xr:uid="{D3D96FB5-B361-4346-921E-8D1F24D188BC}"/>
  <tableColumns count="5">
    <tableColumn id="1" xr3:uid="{CB8A7843-8C97-4C1C-A099-6724ACBE78BA}" name="ID_DPT1" dataDxfId="270"/>
    <tableColumn id="2" xr3:uid="{C321CC6B-7826-4E1E-AB85-98EA6290CB10}" name="DEPARTEMENT" dataDxfId="77"/>
    <tableColumn id="5" xr3:uid="{D14A8232-A97B-4208-8C4D-8AB26B23C53C}" name="ID_DIV" dataDxfId="75"/>
    <tableColumn id="3" xr3:uid="{4BA2E7FB-202C-45FB-AB4C-ED0EC8727F2F}" name="NOTE" dataDxfId="76"/>
    <tableColumn id="4" xr3:uid="{5B0548B5-CE22-4753-889D-B8DFBEAFC49F}" name="QUERY" dataDxfId="269">
      <calculatedColumnFormula>"('"&amp;DIVISION5[[#This Row],[ID_DPT1]]&amp;"','"&amp;DIVISION5[[#This Row],[DEPARTEMENT]]&amp;"','"&amp;DIVISION5[[#This Row],[ID_DIV]]&amp;"','"&amp;DIVISION5[[#This Row],[NOTE]]&amp;"'),"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F73047-D10A-45CA-82D5-DDE281994F98}" name="SUB_DEPARTEMENT" displayName="SUB_DEPARTEMENT" ref="B4:J59" totalsRowShown="0" headerRowDxfId="268" dataDxfId="65">
  <autoFilter ref="B4:J59" xr:uid="{D3D96FB5-B361-4346-921E-8D1F24D188BC}"/>
  <tableColumns count="9">
    <tableColumn id="1" xr3:uid="{7E95CC08-C4D9-47F7-9C50-691DED43F082}" name="ID_SDP" dataDxfId="71"/>
    <tableColumn id="2" xr3:uid="{9AA2FA8F-EE4B-4594-A712-43CBC9363C92}" name="SUB_DEPARTEMENT" dataDxfId="70"/>
    <tableColumn id="3" xr3:uid="{CD722BFC-780A-4E8D-928C-6238A8A1E369}" name="ID_DPT" dataDxfId="69"/>
    <tableColumn id="4" xr3:uid="{B7980620-2184-41FB-B48C-8D99DBAA821E}" name="ID_DIV" dataDxfId="68"/>
    <tableColumn id="5" xr3:uid="{1C54DBA0-C092-4963-BBEF-F0A8B55967CD}" name="ID_DIR" dataDxfId="67"/>
    <tableColumn id="6" xr3:uid="{84AE73BA-3B1B-4233-B94E-814819FD851D}" name="DIRECTORATE ACTUALS" dataDxfId="66"/>
    <tableColumn id="8" xr3:uid="{A54B205E-B27D-4F1B-9C5D-CFD0D7C33ABE}" name="NOTE" dataDxfId="64">
      <calculatedColumnFormula>"SUB Low Level of Structure :"&amp;"/"&amp;SUB_DEPARTEMENT[[#This Row],[DIRECTORATE ACTUALS]]&amp;"/"&amp;SUB_DEPARTEMENT[[#This Row],[ID_DIV]]&amp;"/"&amp;SUB_DEPARTEMENT[[#This Row],[ID_DPT]]&amp;"/"&amp;SUB_DEPARTEMENT[[#This Row],[SUB_DEPARTEMENT]]</calculatedColumnFormula>
    </tableColumn>
    <tableColumn id="9" xr3:uid="{3A0AA69A-C99F-4DC2-8184-6A5A2A662FB5}" name="STATUS_INPUT" dataDxfId="62"/>
    <tableColumn id="7" xr3:uid="{98016869-0FAC-43EE-8D96-0F417677ED44}" name="QUERY" dataDxfId="63">
      <calculatedColumnFormula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A8941E-E5A1-4096-993F-D8715A2C3A67}" name="DIVISION7" displayName="DIVISION7" ref="B4:D16" totalsRowShown="0" headerRowDxfId="267" dataDxfId="266">
  <autoFilter ref="B4:D16" xr:uid="{D3D96FB5-B361-4346-921E-8D1F24D188BC}"/>
  <tableColumns count="3">
    <tableColumn id="1" xr3:uid="{AA1884D4-78EE-4866-877B-30305F82989E}" name="ID.LEVEL" dataDxfId="265"/>
    <tableColumn id="2" xr3:uid="{9E227A5F-988C-4D5F-86E2-3C5713E35986}" name="DIVISION" dataDxfId="264"/>
    <tableColumn id="3" xr3:uid="{A03E1D23-E40E-42AA-A510-CA71F9C5AA57}" name="NOTE" dataDxfId="263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E5B4D-5AC4-4D88-82A9-24F0426A816E}" name="DIVISION78" displayName="DIVISION78" ref="B4:D16" totalsRowShown="0" headerRowDxfId="262" dataDxfId="261">
  <autoFilter ref="B4:D16" xr:uid="{D3D96FB5-B361-4346-921E-8D1F24D188BC}"/>
  <tableColumns count="3">
    <tableColumn id="1" xr3:uid="{ACB8A772-2B86-458C-A42E-AE1D3935EA89}" name="ID.LEVEL" dataDxfId="260"/>
    <tableColumn id="2" xr3:uid="{94E63E15-3EBC-4BD4-BE65-A6599CCDBDF3}" name="DIVISION" dataDxfId="259"/>
    <tableColumn id="3" xr3:uid="{A3581B8E-D5ED-4E93-9E87-FB6BDD6279E1}" name="NOTE" dataDxfId="258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52DAF6-78CF-4875-B3AC-E22C2A7633BA}" name="EMAIL" displayName="EMAIL" ref="B4:J30" totalsRowShown="0" headerRowDxfId="257" dataDxfId="256">
  <autoFilter ref="B4:J30" xr:uid="{D3D96FB5-B361-4346-921E-8D1F24D188BC}"/>
  <tableColumns count="9">
    <tableColumn id="1" xr3:uid="{C13C9774-4074-486A-9F5E-078B81D4A027}" name="EMIAIL" dataDxfId="255"/>
    <tableColumn id="3" xr3:uid="{7BA90D09-793F-40BF-A5AE-93F47B9DDB91}" name="PIC_NIP" dataDxfId="254"/>
    <tableColumn id="2" xr3:uid="{85D94A5F-506D-4C33-9D92-0D0CF4C94438}" name="DOMAIN" dataDxfId="253">
      <calculatedColumnFormula>_xlfn.IFNA(_xlfn.TEXTAFTER(EMAIL[[#This Row],[EMIAIL]],"@"),"NULL")</calculatedColumnFormula>
    </tableColumn>
    <tableColumn id="5" xr3:uid="{E84ED1C5-D5DB-47A6-B78B-BC7716F70D9E}" name="FUNC" dataDxfId="252"/>
    <tableColumn id="6" xr3:uid="{94FF84EE-26F8-4B49-9966-9417C900AC1D}" name="TYPE" dataDxfId="251"/>
    <tableColumn id="7" xr3:uid="{48346016-48CF-4505-83F9-CE489092F3AF}" name="LICENSE_TYPE" dataDxfId="250"/>
    <tableColumn id="9" xr3:uid="{190C4297-2500-49A9-9154-F598305DEE2E}" name="MFA" dataDxfId="249"/>
    <tableColumn id="8" xr3:uid="{97F8A64B-8E22-414A-BF76-BD93D91FF419}" name="COL" dataDxfId="248">
      <calculatedColumnFormula>EMAIL[[#This Row],[EMIAIL]]</calculatedColumnFormula>
    </tableColumn>
    <tableColumn id="4" xr3:uid="{5D21A4F7-A3E2-4278-A98D-C6870BF8B484}" name="QUERY" dataDxfId="247">
      <calculatedColumnFormula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A7D3EC-1C52-49DF-86F5-F176A8F38476}" name="LEVEL1011" displayName="LEVEL1011" ref="B4:N21" totalsRowShown="0" headerRowDxfId="246" dataDxfId="245">
  <autoFilter ref="B4:N21" xr:uid="{D3D96FB5-B361-4346-921E-8D1F24D188BC}"/>
  <tableColumns count="13">
    <tableColumn id="1" xr3:uid="{E7BFE048-7C43-4025-969F-68DDD435421D}" name="MAIL" dataDxfId="244"/>
    <tableColumn id="17" xr3:uid="{024B9AB1-4A49-4CA9-8A09-65C782D37C88}" name="PSWD" dataDxfId="243"/>
    <tableColumn id="2" xr3:uid="{1EF0F211-022F-47E0-A4FD-F7AB7FDF7E47}" name="PASSWORD" dataDxfId="242"/>
    <tableColumn id="3" xr3:uid="{92F610F6-57DB-45B9-BB31-582B25FA26C5}" name="PIC_NIP" dataDxfId="241"/>
    <tableColumn id="10" xr3:uid="{257F5D51-8CF5-49A7-8486-3293BBCB442F}" name="WST_ACCESS" dataDxfId="240"/>
    <tableColumn id="11" xr3:uid="{0F4BDD7C-1420-4671-A508-F7A3349E0F8E}" name="NET_ACCESS" dataDxfId="239"/>
    <tableColumn id="12" xr3:uid="{EA4DC683-BAB0-4A29-9ED2-5736DFA8D073}" name="SVR_ACCESS" dataDxfId="238"/>
    <tableColumn id="5" xr3:uid="{625D481E-4142-411E-AD56-959F8D72923D}" name="CREATE_DATE" dataDxfId="237"/>
    <tableColumn id="18" xr3:uid="{F25929B3-0D5D-4546-BAAD-768431FF6E2A}" name="CD" dataDxfId="236"/>
    <tableColumn id="6" xr3:uid="{403B0525-1E1E-4B66-AAD1-F217E3DDC712}" name="MODIFIED_DATE" dataDxfId="235"/>
    <tableColumn id="19" xr3:uid="{D8B4D201-1FFC-4763-AD4C-BA695B4E10E0}" name="MD" dataDxfId="234"/>
    <tableColumn id="8" xr3:uid="{E72AB380-C737-4B05-980E-14C0CF362252}" name="COL" dataDxfId="233"/>
    <tableColumn id="4" xr3:uid="{5A878EA2-581F-48E7-9D2D-8715FBDE55C1}" name="QUERY" dataDxfId="232">
      <calculatedColumnFormula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calculatedColumnFormula>
    </tableColumn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B04657-E09D-470F-8B86-5F3BCFDF83C5}" name="Table12" displayName="Table12" ref="B4:BC19" totalsRowShown="0" headerRowDxfId="231" dataDxfId="229" headerRowBorderDxfId="230" tableBorderDxfId="228" totalsRowBorderDxfId="227">
  <autoFilter ref="B4:BC19" xr:uid="{36B04657-E09D-470F-8B86-5F3BCFDF83C5}"/>
  <tableColumns count="54">
    <tableColumn id="1" xr3:uid="{6686DDCA-B94E-43B2-A50B-DEE33ADDD2F3}" name="ID_ASSET" dataDxfId="226"/>
    <tableColumn id="2" xr3:uid="{BFA0D8E8-60A1-466D-8DE5-73C2D164621E}" name="HOSTNAME" dataDxfId="225"/>
    <tableColumn id="3" xr3:uid="{585AE69C-6106-4617-AA08-C0BDA09C3472}" name="SN" dataDxfId="224"/>
    <tableColumn id="4" xr3:uid="{B2DE0D78-230E-4267-804D-66836DF0731B}" name="BARCODE" dataDxfId="223"/>
    <tableColumn id="5" xr3:uid="{BC342BD9-DF49-4AF7-8D1B-C7FDD668BE68}" name="CATEGORY" dataDxfId="222">
      <calculatedColumnFormula>_xlfn.IFS(LEFT(Table12[[#This Row],[ID_ASSET]],2)="DT","PC DESKTOP",LEFT(Table12[[#This Row],[ID_ASSET]],2)="NB","LAPTOP")</calculatedColumnFormula>
    </tableColumn>
    <tableColumn id="6" xr3:uid="{2ECFBC9B-EDD5-47EE-A257-7B672E52B4A2}" name="BRAND" dataDxfId="221"/>
    <tableColumn id="7" xr3:uid="{C6E862CB-C81D-4EB1-8BEE-BFC3DD2F2DA0}" name="TYPE" dataDxfId="220"/>
    <tableColumn id="8" xr3:uid="{786E1A42-4276-499B-A674-155950C65A60}" name="PROCESSORS" dataDxfId="219"/>
    <tableColumn id="9" xr3:uid="{762BD65B-F927-4F05-A910-946AFD586FA3}" name="GEN" dataDxfId="218"/>
    <tableColumn id="10" xr3:uid="{B2240D18-21A8-48CE-B0E5-5B2C8B075F64}" name="RAM_CAP" dataDxfId="217"/>
    <tableColumn id="11" xr3:uid="{849E9B83-B08B-4C98-977F-CB2D339ED914}" name="RAM_SLOT" dataDxfId="216"/>
    <tableColumn id="12" xr3:uid="{DB2DD869-39CE-4350-BAD2-FCDDC7F2696A}" name="RAM_TYPE" dataDxfId="215"/>
    <tableColumn id="13" xr3:uid="{A8D4BEEF-4146-4468-A4C4-5733C23D973C}" name="DISK1_CAP" dataDxfId="214"/>
    <tableColumn id="14" xr3:uid="{8345EC2D-01B1-435F-A4DF-25E7B94F9D1E}" name="DISK1_TYPE" dataDxfId="213"/>
    <tableColumn id="15" xr3:uid="{50BA7DDF-AA50-4621-B017-6FD64007F158}" name="DISK2_CAP" dataDxfId="212"/>
    <tableColumn id="16" xr3:uid="{811A30E5-AD37-445F-911D-F46BFFE0D935}" name="DISK2_TYPE" dataDxfId="211"/>
    <tableColumn id="20" xr3:uid="{11A57D74-7EA9-4EC3-A268-66147CAED3E2}" name="OS" dataDxfId="210"/>
    <tableColumn id="17" xr3:uid="{F2D9266C-AD81-48F3-9556-3D89CE03634F}" name="OS_TYPE" dataDxfId="209"/>
    <tableColumn id="21" xr3:uid="{9C75B5A7-3663-46E3-8C94-FAC103E26DE1}" name="OS_VER" dataDxfId="208"/>
    <tableColumn id="18" xr3:uid="{1105E996-7DE3-499D-A176-EA4742751FB5}" name="PRODUCT_ID" dataDxfId="207"/>
    <tableColumn id="19" xr3:uid="{4353A5D3-6661-419F-80B0-4EBA50A57747}" name="PRODUCT_KEY" dataDxfId="206"/>
    <tableColumn id="22" xr3:uid="{042F33B3-A00A-40DC-82A5-244811EE2D5D}" name="BH" dataDxfId="205" dataCellStyle="Percent">
      <calculatedColumnFormula>IFERROR(IF(Table12[[#This Row],[CATEGORY]]="PC DESKTOP","NA",(Table12[[#This Row],[FCC]]/Table12[[#This Row],[DC]])),"")</calculatedColumnFormula>
    </tableColumn>
    <tableColumn id="23" xr3:uid="{17476B42-EAF2-4DFC-B73D-A1722F322755}" name="DC" dataDxfId="204"/>
    <tableColumn id="24" xr3:uid="{41308448-EF25-4028-ACDA-320C211C1086}" name="FCC" dataDxfId="203"/>
    <tableColumn id="25" xr3:uid="{00582AE1-355C-49FE-A2DA-F9E8C1D0B950}" name="CASING" dataDxfId="202"/>
    <tableColumn id="26" xr3:uid="{79C05D45-6525-4E80-8DCE-0483D331DDF5}" name="DISPLAY" dataDxfId="201"/>
    <tableColumn id="37" xr3:uid="{89FB34DF-21BE-4368-BDEA-7884C602262B}" name="PORT_DISPLAY" dataDxfId="200"/>
    <tableColumn id="27" xr3:uid="{A64D4829-8428-457C-8944-9BDC0A1FB522}" name="KEYBOARD" dataDxfId="199"/>
    <tableColumn id="28" xr3:uid="{AAF517DA-37F6-40D1-B265-A1256D4741BF}" name="TOUCHPAD" dataDxfId="198"/>
    <tableColumn id="29" xr3:uid="{BC50647C-C812-4BE2-A897-95ED975C845A}" name="PORT_USB" dataDxfId="197"/>
    <tableColumn id="30" xr3:uid="{AA757140-3CDA-4AB7-A475-AE46A90351C3}" name="PORT_JECK" dataDxfId="196"/>
    <tableColumn id="31" xr3:uid="{610AFA45-5630-4E3D-8FA3-23B1871EC9B8}" name="PORT_PSU" dataDxfId="195"/>
    <tableColumn id="32" xr3:uid="{28328974-4E1F-4CDC-ADD1-CCFACC0C1324}" name="FAN" dataDxfId="194"/>
    <tableColumn id="33" xr3:uid="{891BC50C-B555-47CE-89A4-3CB4B573F876}" name="WEBCAM" dataDxfId="193"/>
    <tableColumn id="34" xr3:uid="{00EF9998-CB94-4C54-9BB3-32849BFB5A30}" name="MICROFON" dataDxfId="192"/>
    <tableColumn id="35" xr3:uid="{70386A1D-F13D-4699-AF91-2E20AF59D659}" name="SPEAKER" dataDxfId="191"/>
    <tableColumn id="36" xr3:uid="{8FB8B903-1FA2-4CDC-8A9E-0A4885B10DF1}" name="CONNECTION" dataDxfId="190"/>
    <tableColumn id="38" xr3:uid="{B4A902A2-E185-4FF9-8C6F-941FE712D137}" name="CONDITIONS" dataDxfId="189">
      <calculatedColumnFormula>IF(OR(Table12[[#This Row],[SUB_CON]]="CAUTION",Table12[[#This Row],[SUB_CON]]="POOR"),"BAD","GOOD")</calculatedColumnFormula>
    </tableColumn>
    <tableColumn id="39" xr3:uid="{13FE1115-70B5-41DC-8700-183BC8ED4A6E}" name="SUB_CON" dataDxfId="188"/>
    <tableColumn id="40" xr3:uid="{CA48C02C-E3E7-4360-9D2A-11E68BCDADFC}" name="NOTE_CON" dataDxfId="187"/>
    <tableColumn id="41" xr3:uid="{36ECCE00-9BA8-408C-81C7-7FE7124C52A3}" name="SOLUTION" dataDxfId="186">
      <calculatedColumnFormula array="1">_xlfn.IFS(
Table12[[#This Row],[SUB_CON]]="GREAT","KEEP",
Table12[[#This Row],[SUB_CON]]="NORMAL","UPGRADE",
Table12[[#This Row],[SUB_CON]]="CAUTION","SERVICE",
Table12[[#This Row],[SUB_CON]]="POOR","DISPOSE")</calculatedColumnFormula>
    </tableColumn>
    <tableColumn id="42" xr3:uid="{367B3FE2-E09D-4B7E-8951-5BE39EE89BB3}" name="NOTE_SOL" dataDxfId="185"/>
    <tableColumn id="48" xr3:uid="{FAF2D1E1-6F10-4BF6-A3E1-3B9EBD5D2655}" name="STATUS_FUNC" dataDxfId="184"/>
    <tableColumn id="43" xr3:uid="{ABEEECC9-15DF-4BA8-8A42-867FA98869CB}" name="FUNCTIONS" dataDxfId="183"/>
    <tableColumn id="44" xr3:uid="{F47772E7-684B-4B29-8922-813F8C1CC6F8}" name="NOTE_FUNC" dataDxfId="182"/>
    <tableColumn id="45" xr3:uid="{A71D3081-5303-4CCF-910A-E3F7E548B32D}" name="HISTORY_PIC" dataDxfId="181"/>
    <tableColumn id="46" xr3:uid="{94284A05-0F92-4C16-A982-70648293161F}" name="LOCATION" dataDxfId="180"/>
    <tableColumn id="47" xr3:uid="{7ECF6357-22F8-44CF-973C-8A96AE09A65B}" name="NOTE_LOC" dataDxfId="179"/>
    <tableColumn id="55" xr3:uid="{780CDB1E-5E5B-4BA7-B4D5-3FA43D0B1C14}" name="STATUS" dataDxfId="178">
      <calculatedColumnFormula>IF(Table12[[#This Row],[PIC_NIP]]&lt;&gt;999999,"IN USE",IF(AND(Table12[[#This Row],[NOTE_LOC]]="WAREHOUSE",Table12[[#This Row],[PIC_NIP]]=999999),"IN STORE","IN-ACTIVE"))</calculatedColumnFormula>
    </tableColumn>
    <tableColumn id="49" xr3:uid="{054651EB-0BF5-422B-9A6B-9D12F926F4EE}" name="PIC_NIP" dataDxfId="177"/>
    <tableColumn id="50" xr3:uid="{D4970B17-B465-4C26-BCF1-F3B646E37600}" name="ID_MAINTENANCE" dataDxfId="176"/>
    <tableColumn id="51" xr3:uid="{32F09A98-8837-4783-ADB8-5AA672D1798A}" name="VAL-1" dataDxfId="175">
      <calculatedColumnFormula>IF(COUNTBLANK(Table12[[#This Row],[ID_ASSET]:[ID_MAINTENANCE]])&gt;0,"VALIDATE [IN PROGRESS]","VALIDATE [DONE]")</calculatedColumnFormula>
    </tableColumn>
    <tableColumn id="53" xr3:uid="{CDB42010-FA52-4143-AB2A-FF390FA7A9BB}" name="QUERY" dataDxfId="174">
      <calculatedColumnFormula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calculatedColumnFormula>
    </tableColumn>
    <tableColumn id="54" xr3:uid="{B57DDE1C-6F35-4373-8826-2178B2B334DA}" name="Column1" dataDxfId="173">
      <calculatedColumnFormula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AAD99F-779D-454B-A666-5C7299054384}" name="Table17" displayName="Table17" ref="B4:F54" totalsRowShown="0" dataDxfId="172">
  <autoFilter ref="B4:F54" xr:uid="{60AAD99F-779D-454B-A666-5C7299054384}"/>
  <tableColumns count="5">
    <tableColumn id="1" xr3:uid="{8E1C9ADD-50DB-468B-BC47-2015801E3955}" name="OB" dataDxfId="171"/>
    <tableColumn id="2" xr3:uid="{561FAF73-2F54-4B35-B69F-FF2F002CDF18}" name="TYPE" dataDxfId="170"/>
    <tableColumn id="3" xr3:uid="{FDCB6EEC-143D-4F41-BC27-52C4E7812993}" name="LENGTH" dataDxfId="169"/>
    <tableColumn id="4" xr3:uid="{AD8DC806-765E-495A-80F9-95D2A2BDE39F}" name="LENGHT2" dataDxfId="168">
      <calculatedColumnFormula>IF(Table17[[#This Row],[TYPE]]="ENUM",0,Table17[[#This Row],[LENGTH]])</calculatedColumnFormula>
    </tableColumn>
    <tableColumn id="5" xr3:uid="{7311C28F-B0D2-4F73-A706-A602FAEE2A9F}" name="QUERY" dataDxfId="167">
      <calculatedColumnFormula>Table17[[#This Row],[OB]]&amp;" "&amp;Table17[[#This Row],[TYPE]]&amp;"("&amp;IF(Table17[[#This Row],[TYPE]]="ENUM",("'"&amp;Table17[[#This Row],[LENGTH]]),Table17[[#This Row],[LENGHT2]])&amp;"),"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1D9E3C7-5B08-4EF6-851F-81E73ADAADFC}" name="ME" displayName="ME" ref="B4:F8" totalsRowShown="0" headerRowDxfId="166" dataDxfId="165">
  <autoFilter ref="B4:F8" xr:uid="{21D9E3C7-5B08-4EF6-851F-81E73ADAADFC}"/>
  <tableColumns count="5">
    <tableColumn id="1" xr3:uid="{1316489C-607C-4109-9715-19057FA999EF}" name="ID_MAINTENANCE" dataDxfId="164"/>
    <tableColumn id="17" xr3:uid="{74B3AC17-B963-4A7C-AD47-91EBD96AA97F}" name="MAINTENANCE" dataDxfId="163"/>
    <tableColumn id="2" xr3:uid="{A64474E4-7185-40EA-8D24-A20A359C01B7}" name="TIME_DESC" dataDxfId="162"/>
    <tableColumn id="21" xr3:uid="{D3072A10-0CFB-467E-8D4A-C921B443FFCA}" name="CHARACTERISTIC" dataDxfId="161"/>
    <tableColumn id="4" xr3:uid="{390B7DA1-96E3-416D-8A92-B05D690025C6}" name="QUERY" dataDxfId="160">
      <calculatedColumnFormula>"('"&amp;ME[[#This Row],[ID_MAINTENANCE]]&amp;"','"&amp;ME[[#This Row],[MAINTENANCE]]&amp;"','"&amp;
ME[[#This Row],[TIME_DESC]]&amp;"','"&amp;ME[[#This Row],[CHARACTERISTIC]]&amp;"'),"</calculatedColumnFormula>
    </tableColumn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151E66-307D-4FCA-8FA1-2721A1D3233A}" name="TASK" displayName="TASK" ref="B4:G8" totalsRowShown="0" headerRowDxfId="159" dataDxfId="158">
  <autoFilter ref="B4:G8" xr:uid="{DE151E66-307D-4FCA-8FA1-2721A1D3233A}"/>
  <tableColumns count="6">
    <tableColumn id="1" xr3:uid="{6DBBFE03-86A2-4263-9824-AA930E756F3C}" name="ID_TASK" dataDxfId="157">
      <calculatedColumnFormula>TASK[[#This Row],[ID_MAINTENANCE2]]&amp;TEXT(TASK[[#This Row],[SCHEDULE_TASK]],"YYMMDD")</calculatedColumnFormula>
    </tableColumn>
    <tableColumn id="17" xr3:uid="{FFDB965B-9950-4DC6-91C3-1DFC1C857194}" name="ID_MAINTENANCE2" dataDxfId="156"/>
    <tableColumn id="23" xr3:uid="{A18F9BD8-9EAD-4E52-8EC6-D2A736C51482}" name="MAINTENANCE" dataDxfId="155">
      <calculatedColumnFormula>_xlfn.IFNA(VLOOKUP(TASK[[#This Row],[ID_MAINTENANCE2]],ME[[ID_MAINTENANCE]:[CHARACTERISTIC]],2,0),"NA")</calculatedColumnFormula>
    </tableColumn>
    <tableColumn id="2" xr3:uid="{DEA9A8E6-CB0E-418A-A994-E808146FE47E}" name="SCHEDULE_TASK" dataDxfId="154"/>
    <tableColumn id="22" xr3:uid="{4FCBACC4-B4D0-483E-B324-9718729C9BAA}" name="SCH_CONV" dataDxfId="153">
      <calculatedColumnFormula>TEXT(TASK[[#This Row],[SCHEDULE_TASK]],"YYYY-MM-DD")</calculatedColumnFormula>
    </tableColumn>
    <tableColumn id="4" xr3:uid="{12FF4340-3D00-43B7-9102-AD99E2D85396}" name="QUERY" dataDxfId="152">
      <calculatedColumnFormula>"('"&amp;TASK[[#This Row],[ID_TASK]]&amp;"','"&amp;TASK[[#This Row],[ID_MAINTENANCE2]]&amp;"','"&amp;TASK[[#This Row],[SCH_CONV]]&amp;"'),"</calculatedColumnFormula>
    </tableColumn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2DD66C-AD86-4CD9-8B76-CF04ABE802C7}" name="TASK19" displayName="TASK19" ref="B4:H8" totalsRowShown="0" headerRowDxfId="151" dataDxfId="150">
  <autoFilter ref="B4:H8" xr:uid="{DE151E66-307D-4FCA-8FA1-2721A1D3233A}"/>
  <tableColumns count="7">
    <tableColumn id="1" xr3:uid="{67815836-8F95-4ACF-9518-2E224023EDBF}" name="ID_WH" dataDxfId="149">
      <calculatedColumnFormula>"WH-"&amp;TASK19[[#This Row],[WH_SITE]]&amp;"-"&amp;TASK19[[#This Row],[NO]]</calculatedColumnFormula>
    </tableColumn>
    <tableColumn id="24" xr3:uid="{05BDE0D7-AABA-4870-A6C6-E8D3AA01A953}" name="NO" dataDxfId="148"/>
    <tableColumn id="17" xr3:uid="{911C163B-4AF1-4C0F-A7B3-5FACB38A7DA3}" name="ID_ASSET" dataDxfId="147"/>
    <tableColumn id="23" xr3:uid="{42F6C514-F81C-4ECD-BF7C-4A2B6822AD17}" name="WH_SITE" dataDxfId="146"/>
    <tableColumn id="2" xr3:uid="{4CD19B37-A848-4D1D-879F-A1D6F7B48370}" name="STATUS" dataDxfId="145"/>
    <tableColumn id="22" xr3:uid="{656A4D04-AE75-4DEC-BACC-0EC299A3E48F}" name="STATUS_AVAILABLE" dataDxfId="144">
      <calculatedColumnFormula>IF(OR(TASK19[[#This Row],[STATUS]]="IN STORE",TASK19[[#This Row],[STATUS]]="IN REPAIR"),1,0)</calculatedColumnFormula>
    </tableColumn>
    <tableColumn id="4" xr3:uid="{876CC4BA-A441-4FB6-9B10-055944E95472}" name="QUERY" dataDxfId="143">
      <calculatedColumnFormula>"('"&amp;TASK19[[#This Row],[ID_WH]]&amp;"','"&amp;TASK19[[#This Row],[ID_ASSET]]&amp;"','"&amp;TASK19[[#This Row],[WH_SITE]]&amp;"','"&amp;TASK19[[#This Row],[STATUS]]&amp;"','"&amp;TASK19[[#This Row],[STATUS_AVAILABLE]]&amp;"'),"</calculatedColumnFormula>
    </tableColumn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5247BF-3B6E-43C4-8A8A-AC2D3FECBBBB}" name="LEVEL101114" displayName="LEVEL101114" ref="B4:T17" totalsRowShown="0" headerRowDxfId="142" dataDxfId="141">
  <autoFilter ref="B4:T17" xr:uid="{1A5247BF-3B6E-43C4-8A8A-AC2D3FECBBBB}"/>
  <tableColumns count="19">
    <tableColumn id="1" xr3:uid="{636C0CB9-BC33-4658-8EC6-7DB498991704}" name="BARCODE" dataDxfId="140"/>
    <tableColumn id="27" xr3:uid="{A7F299F6-FF3B-4D90-BFA4-B045315E3BC8}" name="CODE_ITEM" dataDxfId="139"/>
    <tableColumn id="25" xr3:uid="{9A58CBAC-D78D-4D22-A548-F6EF822171B9}" name="OWNER_CODE" dataDxfId="138"/>
    <tableColumn id="20" xr3:uid="{23D266A1-B9AB-4F68-8AC7-1A038C282C4C}" name="ID_SITE" dataDxfId="137"/>
    <tableColumn id="17" xr3:uid="{3D7471EE-CCCD-4F4A-9950-D44864ED4AA3}" name="NO_PR" dataDxfId="136"/>
    <tableColumn id="2" xr3:uid="{369D7CC9-D049-4B97-896D-19500AE4A74A}" name="NO_PO" dataDxfId="135"/>
    <tableColumn id="3" xr3:uid="{8AD1AC53-0A1F-4EF7-8E3F-02A7C3D2CEDD}" name="DATE_PR" dataDxfId="134"/>
    <tableColumn id="21" xr3:uid="{DFB14DC9-921A-4974-9CCD-2903CA9465ED}" name="CONVDPR" dataDxfId="133">
      <calculatedColumnFormula>IF(LEVEL101114[[#This Row],[DATE_PR]]&lt;&gt;"-",TEXT(LEVEL101114[[#This Row],[DATE_PR]],"YYYY-MM-DD"),"-")</calculatedColumnFormula>
    </tableColumn>
    <tableColumn id="10" xr3:uid="{FF00464D-8EBB-42F7-A665-2177F30D2192}" name="DATE_PO" dataDxfId="132"/>
    <tableColumn id="22" xr3:uid="{39717A8E-71A2-47AE-958D-8B5FB2C65D8E}" name="CONVPO" dataDxfId="131">
      <calculatedColumnFormula>IF(LEVEL101114[[#This Row],[DATE_PO]]&lt;&gt;"-",TEXT(LEVEL101114[[#This Row],[DATE_PO]],"YYYY-MM-DD"),"-")</calculatedColumnFormula>
    </tableColumn>
    <tableColumn id="23" xr3:uid="{221BF0CC-779F-44CB-8BA0-4DCEA6726D03}" name="DATE_SHIPPING" dataDxfId="130"/>
    <tableColumn id="24" xr3:uid="{9AC2B92F-B8EC-42BA-8D1C-06D559D7A400}" name="CONVSHP" dataDxfId="129">
      <calculatedColumnFormula>IF(LEVEL101114[[#This Row],[DATE_SHIPPING]]&lt;&gt;"-",TEXT(LEVEL101114[[#This Row],[DATE_SHIPPING]],"YYYY-MM-DD"),"-")</calculatedColumnFormula>
    </tableColumn>
    <tableColumn id="26" xr3:uid="{23A89B79-86ED-463A-8E5E-69BE9570083B}" name="RECIPIENT" dataDxfId="128"/>
    <tableColumn id="11" xr3:uid="{461CC160-C2B2-4984-BEE4-F0FE6EC2C1AE}" name="PRICE" dataDxfId="127" dataCellStyle="Comma"/>
    <tableColumn id="12" xr3:uid="{0279AB21-C082-4622-BAE0-748C2CD5B108}" name="QTY" dataDxfId="126"/>
    <tableColumn id="5" xr3:uid="{785E401E-4A08-4B26-AAF5-448A521F717C}" name="DATE_ACQUISITION" dataDxfId="125"/>
    <tableColumn id="19" xr3:uid="{6CBB6961-A360-400E-92E4-89D3CE1F1B95}" name="CONVACQ" dataDxfId="124">
      <calculatedColumnFormula>IF(LEVEL101114[[#This Row],[DATE_ACQUISITION]]&lt;&gt;"-",TEXT(LEVEL101114[[#This Row],[DATE_ACQUISITION]],"YYYY-MM-DD"),"-")</calculatedColumnFormula>
    </tableColumn>
    <tableColumn id="8" xr3:uid="{000A909D-9DDB-46D8-BDF2-714132EE36DD}" name="COLL-SUPPORT1" dataDxfId="123">
      <calculatedColumnFormula>IF(COUNTBLANK(LEVEL101114[[#This Row],[BARCODE]:[CONVACQ]])&gt;0,"VALIDATE [IN PROGRESS]","VALIDATE [DONE]")</calculatedColumnFormula>
    </tableColumn>
    <tableColumn id="4" xr3:uid="{3473876A-5FD7-430B-8572-EA21E5EEECE7}" name="QUERY" dataDxfId="122">
      <calculatedColumnFormula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calculatedColumnFormula>
    </tableColumn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E198AD-F7CD-4D8B-8B06-149D91FCE15F}" name="LEVEL101115" displayName="LEVEL101115" ref="B4:E21" totalsRowShown="0" headerRowDxfId="121" dataDxfId="120">
  <autoFilter ref="B4:E21" xr:uid="{7DE198AD-F7CD-4D8B-8B06-149D91FCE15F}"/>
  <tableColumns count="4">
    <tableColumn id="1" xr3:uid="{4994FA2A-D414-4BB3-A38E-5B2ADF2C650B}" name="CODE_ITEM" dataDxfId="119"/>
    <tableColumn id="17" xr3:uid="{9834675F-893C-41FA-BFA5-4DFA70B3F077}" name="TYPE" dataDxfId="118"/>
    <tableColumn id="2" xr3:uid="{E3BBE047-150E-4BB8-BA4B-EEB0A1CF1A19}" name="CATEGORY" dataDxfId="117"/>
    <tableColumn id="4" xr3:uid="{EFA3DB8C-DDB0-4620-8D4B-626EEC2B6454}" name="QUERY" dataDxfId="116">
      <calculatedColumnFormula>"('"&amp;LEVEL101115[[#This Row],[CODE_ITEM]]&amp;"','"&amp;LEVEL101115[[#This Row],[TYPE]]&amp;"','"&amp;
LEVEL101115[[#This Row],[CATEGORY]]&amp;"'),"</calculatedColumnFormula>
    </tableColumn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66C8465-2344-4142-8765-D13F9576B0BC}" name="db_site" displayName="db_site" ref="B6:K27" totalsRowShown="0" headerRowDxfId="115" dataDxfId="113" headerRowBorderDxfId="114" tableBorderDxfId="112" totalsRowBorderDxfId="111">
  <autoFilter ref="B6:K27" xr:uid="{74766931-8F5A-4601-92A8-7A46B91277E6}"/>
  <tableColumns count="10">
    <tableColumn id="1" xr3:uid="{54E94D27-40A9-4B2C-A8D8-CA07B46F0D5D}" name="ID_SITE" dataDxfId="110"/>
    <tableColumn id="2" xr3:uid="{8F9F1B41-1920-4FC4-AE01-E6F3C2035E9C}" name="SITE" dataDxfId="109"/>
    <tableColumn id="3" xr3:uid="{0AED3334-4195-42EF-B2DF-340F661C7207}" name="BUSINESS_UNIT" dataDxfId="108"/>
    <tableColumn id="10" xr3:uid="{FFAFC337-32DE-470C-8CF2-F0BB5ECCDB73}" name="COMPANY" dataDxfId="107"/>
    <tableColumn id="4" xr3:uid="{979ABB10-4A5F-4BA2-A01E-6A0AF0817D3C}" name="Country" dataDxfId="106"/>
    <tableColumn id="5" xr3:uid="{B54EB208-D9DF-4B70-8A2C-A028AE80A4EF}" name="Provincy" dataDxfId="105"/>
    <tableColumn id="6" xr3:uid="{1C1770AA-4536-433A-A9AB-FF1579D1560D}" name="City" dataDxfId="104"/>
    <tableColumn id="7" xr3:uid="{DD3AA183-3B31-4BBA-9749-D46F83C24EE7}" name="Address" dataDxfId="103"/>
    <tableColumn id="8" xr3:uid="{575C6D37-0355-4C53-B13A-FCFD3772A1C8}" name="Url_maps" dataDxfId="102"/>
    <tableColumn id="9" xr3:uid="{D0357DE6-4697-4AD2-AAD3-47043335D299}" name="QUERY" dataDxfId="101">
      <calculatedColumnFormula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2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F473-D7B8-45DA-A65C-A113D44258FA}">
  <dimension ref="B7:S1316"/>
  <sheetViews>
    <sheetView showGridLines="0" zoomScale="85" zoomScaleNormal="85" workbookViewId="0">
      <pane xSplit="4" ySplit="7" topLeftCell="E470" activePane="bottomRight" state="frozen"/>
      <selection pane="topRight" activeCell="E1" sqref="E1"/>
      <selection pane="bottomLeft" activeCell="A8" sqref="A8"/>
      <selection pane="bottomRight" activeCell="B628" sqref="B628"/>
    </sheetView>
  </sheetViews>
  <sheetFormatPr defaultColWidth="8.85546875" defaultRowHeight="15" x14ac:dyDescent="0.25"/>
  <cols>
    <col min="1" max="1" width="2.7109375" customWidth="1"/>
    <col min="2" max="2" width="6.42578125" customWidth="1"/>
    <col min="3" max="3" width="14.85546875" style="2" customWidth="1"/>
    <col min="4" max="4" width="36.7109375" bestFit="1" customWidth="1"/>
    <col min="5" max="5" width="15.28515625" bestFit="1" customWidth="1"/>
    <col min="6" max="6" width="14.140625" bestFit="1" customWidth="1"/>
    <col min="7" max="7" width="53.5703125" bestFit="1" customWidth="1"/>
    <col min="8" max="8" width="13.5703125" bestFit="1" customWidth="1"/>
    <col min="9" max="9" width="27.28515625" bestFit="1" customWidth="1"/>
    <col min="10" max="10" width="14.5703125" bestFit="1" customWidth="1"/>
    <col min="11" max="11" width="12.140625" bestFit="1" customWidth="1"/>
    <col min="12" max="12" width="16.5703125" bestFit="1" customWidth="1"/>
    <col min="13" max="13" width="17.140625" style="3" bestFit="1" customWidth="1"/>
    <col min="14" max="14" width="29.85546875" bestFit="1" customWidth="1"/>
    <col min="15" max="15" width="39" bestFit="1" customWidth="1"/>
    <col min="16" max="16" width="21.28515625" bestFit="1" customWidth="1"/>
    <col min="17" max="17" width="22.140625" bestFit="1" customWidth="1"/>
    <col min="18" max="18" width="144.140625" bestFit="1" customWidth="1"/>
  </cols>
  <sheetData>
    <row r="7" spans="2:19" x14ac:dyDescent="0.25">
      <c r="B7" s="70" t="s">
        <v>830</v>
      </c>
      <c r="C7" s="71" t="s">
        <v>831</v>
      </c>
      <c r="D7" s="71" t="s">
        <v>832</v>
      </c>
      <c r="E7" s="71" t="s">
        <v>334</v>
      </c>
      <c r="F7" s="71" t="s">
        <v>2414</v>
      </c>
      <c r="G7" s="71" t="s">
        <v>833</v>
      </c>
      <c r="H7" s="71" t="s">
        <v>834</v>
      </c>
      <c r="I7" s="71" t="s">
        <v>835</v>
      </c>
      <c r="J7" s="71" t="s">
        <v>836</v>
      </c>
      <c r="K7" s="71" t="s">
        <v>837</v>
      </c>
      <c r="L7" s="71" t="s">
        <v>317</v>
      </c>
      <c r="M7" s="71" t="s">
        <v>318</v>
      </c>
      <c r="N7" s="72" t="s">
        <v>838</v>
      </c>
      <c r="O7" s="72" t="s">
        <v>839</v>
      </c>
      <c r="P7" s="72" t="s">
        <v>840</v>
      </c>
      <c r="Q7" s="72" t="s">
        <v>841</v>
      </c>
      <c r="R7" s="73" t="s">
        <v>842</v>
      </c>
      <c r="S7" s="73" t="s">
        <v>843</v>
      </c>
    </row>
    <row r="8" spans="2:19" hidden="1" x14ac:dyDescent="0.25">
      <c r="B8" s="75">
        <v>22</v>
      </c>
      <c r="C8" s="75">
        <v>180097</v>
      </c>
      <c r="D8" s="74" t="s">
        <v>844</v>
      </c>
      <c r="E8" s="75" t="s">
        <v>845</v>
      </c>
      <c r="F8" s="75" t="s">
        <v>846</v>
      </c>
      <c r="G8" s="74" t="s">
        <v>847</v>
      </c>
      <c r="H8" s="75" t="s">
        <v>848</v>
      </c>
      <c r="I8" s="74" t="s">
        <v>849</v>
      </c>
      <c r="J8" s="75" t="s">
        <v>315</v>
      </c>
      <c r="K8" s="75" t="s">
        <v>850</v>
      </c>
      <c r="L8" s="76">
        <v>43116</v>
      </c>
      <c r="M8" s="77">
        <f t="shared" ref="M8:M53" ca="1" si="0">TODAY()+1</f>
        <v>45954</v>
      </c>
      <c r="N8" s="74" t="str">
        <f>_xlfn.IFNA(VLOOKUP(db_emp[[#This Row],[ID_DIV]],[1]!db_dpt[[Code_dpt]:[Departement]],2,0),"-")</f>
        <v>Finance &amp; Accounting</v>
      </c>
      <c r="O8" s="74" t="str">
        <f>_xlfn.IFNA(VLOOKUP(db_emp[[#This Row],[ID_SDP]],[1]!db_div[[Code_div]:[Division]],2,0),"-")</f>
        <v>Account Payable</v>
      </c>
      <c r="P8" s="74" t="str">
        <f>_xlfn.IFNA(VLOOKUP(db_emp[[#This Row],[Code_lvl]],[1]!db_lvl[[#All],[ID_level]:[Leveling Name]],2,0),"-")</f>
        <v>Assistant Manager</v>
      </c>
      <c r="Q8" s="74" t="str">
        <f>_xlfn.IFNA(VLOOKUP(db_emp[[#This Row],[Code_site]],[1]!db_site[[ID_Site]:[Url_maps]],3,0),"-")</f>
        <v>Head Office - ASGO</v>
      </c>
      <c r="R8" s="78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180097,'Selamet Riyadi','FIN','APAYB','Account Payable Assistant Manager','LV07','Mall &amp; Cinema','O99','Employee','2018-01-16','2025-10-24'</v>
      </c>
      <c r="S8" s="78">
        <f>db_emp[[#This Row],[NIP (UPDATE)]]</f>
        <v>180097</v>
      </c>
    </row>
    <row r="9" spans="2:19" hidden="1" x14ac:dyDescent="0.25">
      <c r="B9" s="75">
        <v>7</v>
      </c>
      <c r="C9" s="75">
        <v>140073</v>
      </c>
      <c r="D9" s="74" t="s">
        <v>851</v>
      </c>
      <c r="E9" s="75" t="s">
        <v>845</v>
      </c>
      <c r="F9" s="75" t="s">
        <v>846</v>
      </c>
      <c r="G9" s="74" t="s">
        <v>852</v>
      </c>
      <c r="H9" s="75" t="s">
        <v>853</v>
      </c>
      <c r="I9" s="74" t="s">
        <v>849</v>
      </c>
      <c r="J9" s="75" t="s">
        <v>315</v>
      </c>
      <c r="K9" s="75" t="s">
        <v>850</v>
      </c>
      <c r="L9" s="76">
        <v>41659</v>
      </c>
      <c r="M9" s="77">
        <f t="shared" ca="1" si="0"/>
        <v>45954</v>
      </c>
      <c r="N9" s="74" t="str">
        <f>_xlfn.IFNA(VLOOKUP(db_emp[[#This Row],[ID_DIV]],[1]!db_dpt[[Code_dpt]:[Departement]],2,0),"-")</f>
        <v>Finance &amp; Accounting</v>
      </c>
      <c r="O9" s="74" t="str">
        <f>_xlfn.IFNA(VLOOKUP(db_emp[[#This Row],[ID_SDP]],[1]!db_div[[Code_div]:[Division]],2,0),"-")</f>
        <v>Account Payable</v>
      </c>
      <c r="P9" s="74" t="str">
        <f>_xlfn.IFNA(VLOOKUP(db_emp[[#This Row],[Code_lvl]],[1]!db_lvl[[#All],[ID_level]:[Leveling Name]],2,0),"-")</f>
        <v>Staff</v>
      </c>
      <c r="Q9" s="74" t="str">
        <f>_xlfn.IFNA(VLOOKUP(db_emp[[#This Row],[Code_site]],[1]!db_site[[ID_Site]:[Url_maps]],3,0),"-")</f>
        <v>Head Office - ASGO</v>
      </c>
      <c r="R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140073,'Rebecca Simbolon','FIN','APAYB','Account Payable Staff','LV12','Mall &amp; Cinema','O99','Employee','2014-01-20','2025-10-24'</v>
      </c>
      <c r="S9" s="74">
        <f>db_emp[[#This Row],[NIP (UPDATE)]]</f>
        <v>140073</v>
      </c>
    </row>
    <row r="10" spans="2:19" hidden="1" x14ac:dyDescent="0.25">
      <c r="B10" s="75">
        <v>17</v>
      </c>
      <c r="C10" s="75">
        <v>102186</v>
      </c>
      <c r="D10" s="74" t="s">
        <v>854</v>
      </c>
      <c r="E10" s="75" t="s">
        <v>845</v>
      </c>
      <c r="F10" s="75" t="s">
        <v>846</v>
      </c>
      <c r="G10" s="74" t="s">
        <v>852</v>
      </c>
      <c r="H10" s="75" t="s">
        <v>853</v>
      </c>
      <c r="I10" s="74" t="s">
        <v>849</v>
      </c>
      <c r="J10" s="75" t="s">
        <v>315</v>
      </c>
      <c r="K10" s="75" t="s">
        <v>850</v>
      </c>
      <c r="L10" s="76">
        <v>40010</v>
      </c>
      <c r="M10" s="77">
        <f t="shared" ca="1" si="0"/>
        <v>45954</v>
      </c>
      <c r="N10" s="74" t="str">
        <f>_xlfn.IFNA(VLOOKUP(db_emp[[#This Row],[ID_DIV]],[1]!db_dpt[[Code_dpt]:[Departement]],2,0),"-")</f>
        <v>Finance &amp; Accounting</v>
      </c>
      <c r="O10" s="74" t="str">
        <f>_xlfn.IFNA(VLOOKUP(db_emp[[#This Row],[ID_SDP]],[1]!db_div[[Code_div]:[Division]],2,0),"-")</f>
        <v>Account Payable</v>
      </c>
      <c r="P10" s="74" t="str">
        <f>_xlfn.IFNA(VLOOKUP(db_emp[[#This Row],[Code_lvl]],[1]!db_lvl[[#All],[ID_level]:[Leveling Name]],2,0),"-")</f>
        <v>Staff</v>
      </c>
      <c r="Q10" s="74" t="str">
        <f>_xlfn.IFNA(VLOOKUP(db_emp[[#This Row],[Code_site]],[1]!db_site[[ID_Site]:[Url_maps]],3,0),"-")</f>
        <v>Head Office - ASGO</v>
      </c>
      <c r="R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102186,'Hasanudin.','FIN','APAYB','Account Payable Staff','LV12','Mall &amp; Cinema','O99','Employee','2009-07-16','2025-10-24'</v>
      </c>
      <c r="S10" s="74">
        <f>db_emp[[#This Row],[NIP (UPDATE)]]</f>
        <v>102186</v>
      </c>
    </row>
    <row r="11" spans="2:19" hidden="1" x14ac:dyDescent="0.25">
      <c r="B11" s="75">
        <v>53</v>
      </c>
      <c r="C11" s="75">
        <v>211005</v>
      </c>
      <c r="D11" s="74" t="s">
        <v>855</v>
      </c>
      <c r="E11" s="75" t="s">
        <v>845</v>
      </c>
      <c r="F11" s="75" t="s">
        <v>846</v>
      </c>
      <c r="G11" s="74" t="s">
        <v>852</v>
      </c>
      <c r="H11" s="75" t="s">
        <v>853</v>
      </c>
      <c r="I11" s="74" t="s">
        <v>856</v>
      </c>
      <c r="J11" s="75" t="s">
        <v>315</v>
      </c>
      <c r="K11" s="75" t="s">
        <v>850</v>
      </c>
      <c r="L11" s="76">
        <v>44494</v>
      </c>
      <c r="M11" s="77">
        <f t="shared" ca="1" si="0"/>
        <v>45954</v>
      </c>
      <c r="N11" s="74" t="str">
        <f>_xlfn.IFNA(VLOOKUP(db_emp[[#This Row],[ID_DIV]],[1]!db_dpt[[Code_dpt]:[Departement]],2,0),"-")</f>
        <v>Finance &amp; Accounting</v>
      </c>
      <c r="O11" s="74" t="str">
        <f>_xlfn.IFNA(VLOOKUP(db_emp[[#This Row],[ID_SDP]],[1]!db_div[[Code_div]:[Division]],2,0),"-")</f>
        <v>Account Payable</v>
      </c>
      <c r="P11" s="74" t="str">
        <f>_xlfn.IFNA(VLOOKUP(db_emp[[#This Row],[Code_lvl]],[1]!db_lvl[[#All],[ID_level]:[Leveling Name]],2,0),"-")</f>
        <v>Staff</v>
      </c>
      <c r="Q11" s="74" t="str">
        <f>_xlfn.IFNA(VLOOKUP(db_emp[[#This Row],[Code_site]],[1]!db_site[[ID_Site]:[Url_maps]],3,0),"-")</f>
        <v>Head Office - ASGO</v>
      </c>
      <c r="R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211005,'Fifi Kuryani','FIN','APAYB','Account Payable Staff','LV12','HQ - All','O99','Employee','2021-10-25','2025-10-24'</v>
      </c>
      <c r="S11" s="74">
        <f>db_emp[[#This Row],[NIP (UPDATE)]]</f>
        <v>211005</v>
      </c>
    </row>
    <row r="12" spans="2:19" hidden="1" x14ac:dyDescent="0.25">
      <c r="B12" s="75">
        <v>62</v>
      </c>
      <c r="C12" s="75">
        <v>220350</v>
      </c>
      <c r="D12" s="74" t="s">
        <v>857</v>
      </c>
      <c r="E12" s="75" t="s">
        <v>845</v>
      </c>
      <c r="F12" s="75" t="s">
        <v>846</v>
      </c>
      <c r="G12" s="74" t="s">
        <v>852</v>
      </c>
      <c r="H12" s="75" t="s">
        <v>853</v>
      </c>
      <c r="I12" s="74" t="s">
        <v>849</v>
      </c>
      <c r="J12" s="75" t="s">
        <v>315</v>
      </c>
      <c r="K12" s="75" t="s">
        <v>850</v>
      </c>
      <c r="L12" s="76">
        <v>44634</v>
      </c>
      <c r="M12" s="77">
        <f t="shared" ca="1" si="0"/>
        <v>45954</v>
      </c>
      <c r="N12" s="74" t="str">
        <f>_xlfn.IFNA(VLOOKUP(db_emp[[#This Row],[ID_DIV]],[1]!db_dpt[[Code_dpt]:[Departement]],2,0),"-")</f>
        <v>Finance &amp; Accounting</v>
      </c>
      <c r="O12" s="74" t="str">
        <f>_xlfn.IFNA(VLOOKUP(db_emp[[#This Row],[ID_SDP]],[1]!db_div[[Code_div]:[Division]],2,0),"-")</f>
        <v>Account Payable</v>
      </c>
      <c r="P12" s="74" t="str">
        <f>_xlfn.IFNA(VLOOKUP(db_emp[[#This Row],[Code_lvl]],[1]!db_lvl[[#All],[ID_level]:[Leveling Name]],2,0),"-")</f>
        <v>Staff</v>
      </c>
      <c r="Q12" s="74" t="str">
        <f>_xlfn.IFNA(VLOOKUP(db_emp[[#This Row],[Code_site]],[1]!db_site[[ID_Site]:[Url_maps]],3,0),"-")</f>
        <v>Head Office - ASGO</v>
      </c>
      <c r="R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220350,'Tedy Henra Silo','FIN','APAYB','Account Payable Staff','LV12','Mall &amp; Cinema','O99','Employee','2022-03-14','2025-10-24'</v>
      </c>
      <c r="S12" s="74">
        <f>db_emp[[#This Row],[NIP (UPDATE)]]</f>
        <v>220350</v>
      </c>
    </row>
    <row r="13" spans="2:19" hidden="1" x14ac:dyDescent="0.25">
      <c r="B13" s="75">
        <v>82</v>
      </c>
      <c r="C13" s="75">
        <v>230138</v>
      </c>
      <c r="D13" s="74" t="s">
        <v>858</v>
      </c>
      <c r="E13" s="75" t="s">
        <v>845</v>
      </c>
      <c r="F13" s="75" t="s">
        <v>846</v>
      </c>
      <c r="G13" s="74" t="s">
        <v>852</v>
      </c>
      <c r="H13" s="75" t="s">
        <v>853</v>
      </c>
      <c r="I13" s="74" t="s">
        <v>849</v>
      </c>
      <c r="J13" s="75" t="s">
        <v>315</v>
      </c>
      <c r="K13" s="75" t="s">
        <v>850</v>
      </c>
      <c r="L13" s="76">
        <v>44963</v>
      </c>
      <c r="M13" s="77">
        <f t="shared" ca="1" si="0"/>
        <v>45954</v>
      </c>
      <c r="N13" s="74" t="str">
        <f>_xlfn.IFNA(VLOOKUP(db_emp[[#This Row],[ID_DIV]],[1]!db_dpt[[Code_dpt]:[Departement]],2,0),"-")</f>
        <v>Finance &amp; Accounting</v>
      </c>
      <c r="O13" s="74" t="str">
        <f>_xlfn.IFNA(VLOOKUP(db_emp[[#This Row],[ID_SDP]],[1]!db_div[[Code_div]:[Division]],2,0),"-")</f>
        <v>Account Payable</v>
      </c>
      <c r="P13" s="74" t="str">
        <f>_xlfn.IFNA(VLOOKUP(db_emp[[#This Row],[Code_lvl]],[1]!db_lvl[[#All],[ID_level]:[Leveling Name]],2,0),"-")</f>
        <v>Staff</v>
      </c>
      <c r="Q13" s="74" t="str">
        <f>_xlfn.IFNA(VLOOKUP(db_emp[[#This Row],[Code_site]],[1]!db_site[[ID_Site]:[Url_maps]],3,0),"-")</f>
        <v>Head Office - ASGO</v>
      </c>
      <c r="R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230138,'Bagus Rinaldi','FIN','APAYB','Account Payable Staff','LV12','Mall &amp; Cinema','O99','Employee','2023-02-06','2025-10-24'</v>
      </c>
      <c r="S13" s="74">
        <f>db_emp[[#This Row],[NIP (UPDATE)]]</f>
        <v>230138</v>
      </c>
    </row>
    <row r="14" spans="2:19" hidden="1" x14ac:dyDescent="0.25">
      <c r="B14" s="75">
        <v>88</v>
      </c>
      <c r="C14" s="75">
        <v>230702</v>
      </c>
      <c r="D14" s="74" t="s">
        <v>859</v>
      </c>
      <c r="E14" s="75" t="s">
        <v>845</v>
      </c>
      <c r="F14" s="75" t="s">
        <v>846</v>
      </c>
      <c r="G14" s="74" t="s">
        <v>852</v>
      </c>
      <c r="H14" s="75" t="s">
        <v>853</v>
      </c>
      <c r="I14" s="74" t="s">
        <v>860</v>
      </c>
      <c r="J14" s="75" t="s">
        <v>315</v>
      </c>
      <c r="K14" s="75" t="s">
        <v>850</v>
      </c>
      <c r="L14" s="76">
        <v>45068</v>
      </c>
      <c r="M14" s="77">
        <f t="shared" ca="1" si="0"/>
        <v>45954</v>
      </c>
      <c r="N14" s="74" t="str">
        <f>_xlfn.IFNA(VLOOKUP(db_emp[[#This Row],[ID_DIV]],[1]!db_dpt[[Code_dpt]:[Departement]],2,0),"-")</f>
        <v>Finance &amp; Accounting</v>
      </c>
      <c r="O14" s="74" t="str">
        <f>_xlfn.IFNA(VLOOKUP(db_emp[[#This Row],[ID_SDP]],[1]!db_div[[Code_div]:[Division]],2,0),"-")</f>
        <v>Account Payable</v>
      </c>
      <c r="P14" s="74" t="str">
        <f>_xlfn.IFNA(VLOOKUP(db_emp[[#This Row],[Code_lvl]],[1]!db_lvl[[#All],[ID_level]:[Leveling Name]],2,0),"-")</f>
        <v>Staff</v>
      </c>
      <c r="Q14" s="74" t="str">
        <f>_xlfn.IFNA(VLOOKUP(db_emp[[#This Row],[Code_site]],[1]!db_site[[ID_Site]:[Url_maps]],3,0),"-")</f>
        <v>Head Office - ASGO</v>
      </c>
      <c r="R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230702,'Tania Risandi','FIN','APAYB','Account Payable Staff','LV12','HQ - M&amp;C','O99','Employee','2023-05-22','2025-10-24'</v>
      </c>
      <c r="S14" s="74">
        <f>db_emp[[#This Row],[NIP (UPDATE)]]</f>
        <v>230702</v>
      </c>
    </row>
    <row r="15" spans="2:19" hidden="1" x14ac:dyDescent="0.25">
      <c r="B15" s="75">
        <v>163</v>
      </c>
      <c r="C15" s="75">
        <v>250367</v>
      </c>
      <c r="D15" s="74" t="s">
        <v>861</v>
      </c>
      <c r="E15" s="75" t="s">
        <v>845</v>
      </c>
      <c r="F15" s="75" t="s">
        <v>846</v>
      </c>
      <c r="G15" s="74" t="s">
        <v>852</v>
      </c>
      <c r="H15" s="75" t="s">
        <v>853</v>
      </c>
      <c r="I15" s="74" t="s">
        <v>849</v>
      </c>
      <c r="J15" s="75" t="s">
        <v>315</v>
      </c>
      <c r="K15" s="75" t="s">
        <v>862</v>
      </c>
      <c r="L15" s="76">
        <v>45775</v>
      </c>
      <c r="M15" s="77">
        <f t="shared" ca="1" si="0"/>
        <v>45954</v>
      </c>
      <c r="N15" s="74" t="str">
        <f>_xlfn.IFNA(VLOOKUP(db_emp[[#This Row],[ID_DIV]],[1]!db_dpt[[Code_dpt]:[Departement]],2,0),"-")</f>
        <v>Finance &amp; Accounting</v>
      </c>
      <c r="O15" s="74" t="str">
        <f>_xlfn.IFNA(VLOOKUP(db_emp[[#This Row],[ID_SDP]],[1]!db_div[[Code_div]:[Division]],2,0),"-")</f>
        <v>Account Payable</v>
      </c>
      <c r="P15" s="74" t="str">
        <f>_xlfn.IFNA(VLOOKUP(db_emp[[#This Row],[Code_lvl]],[1]!db_lvl[[#All],[ID_level]:[Leveling Name]],2,0),"-")</f>
        <v>Staff</v>
      </c>
      <c r="Q15" s="74" t="str">
        <f>_xlfn.IFNA(VLOOKUP(db_emp[[#This Row],[Code_site]],[1]!db_site[[ID_Site]:[Url_maps]],3,0),"-")</f>
        <v>Head Office - ASGO</v>
      </c>
      <c r="R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250367,'Rifka Oktaviana','FIN','APAYB','Account Payable Staff','LV12','Mall &amp; Cinema','O99','Not Employee','2025-04-28','2025-10-24'</v>
      </c>
      <c r="S15" s="74">
        <f>db_emp[[#This Row],[NIP (UPDATE)]]</f>
        <v>250367</v>
      </c>
    </row>
    <row r="16" spans="2:19" hidden="1" x14ac:dyDescent="0.25">
      <c r="B16" s="75">
        <v>603</v>
      </c>
      <c r="C16" s="75">
        <v>210544</v>
      </c>
      <c r="D16" s="74" t="s">
        <v>863</v>
      </c>
      <c r="E16" s="75" t="s">
        <v>845</v>
      </c>
      <c r="F16" s="75" t="s">
        <v>846</v>
      </c>
      <c r="G16" s="74" t="s">
        <v>852</v>
      </c>
      <c r="H16" s="75" t="s">
        <v>853</v>
      </c>
      <c r="I16" s="74" t="s">
        <v>864</v>
      </c>
      <c r="J16" s="75" t="s">
        <v>433</v>
      </c>
      <c r="K16" s="75" t="s">
        <v>850</v>
      </c>
      <c r="L16" s="76">
        <v>44382</v>
      </c>
      <c r="M16" s="77">
        <f t="shared" ca="1" si="0"/>
        <v>45954</v>
      </c>
      <c r="N16" s="74" t="str">
        <f>_xlfn.IFNA(VLOOKUP(db_emp[[#This Row],[ID_DIV]],[1]!db_dpt[[Code_dpt]:[Departement]],2,0),"-")</f>
        <v>Finance &amp; Accounting</v>
      </c>
      <c r="O16" s="74" t="str">
        <f>_xlfn.IFNA(VLOOKUP(db_emp[[#This Row],[ID_SDP]],[1]!db_div[[Code_div]:[Division]],2,0),"-")</f>
        <v>Account Payable</v>
      </c>
      <c r="P16" s="74" t="str">
        <f>_xlfn.IFNA(VLOOKUP(db_emp[[#This Row],[Code_lvl]],[1]!db_lvl[[#All],[ID_level]:[Leveling Name]],2,0),"-")</f>
        <v>Staff</v>
      </c>
      <c r="Q16" s="74" t="str">
        <f>_xlfn.IFNA(VLOOKUP(db_emp[[#This Row],[Code_site]],[1]!db_site[[ID_Site]:[Url_maps]],3,0),"-")</f>
        <v>Unit - Taman Anggrek Residences</v>
      </c>
      <c r="R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210544,'Merin Adelin Ena','FIN','APAYB','Account Payable Staff','LV12','Corp. Supporting Property (POM)','A01','Employee','2021-07-05','2025-10-24'</v>
      </c>
      <c r="S16" s="74">
        <f>db_emp[[#This Row],[NIP (UPDATE)]]</f>
        <v>210544</v>
      </c>
    </row>
    <row r="17" spans="2:19" hidden="1" x14ac:dyDescent="0.25">
      <c r="B17" s="75">
        <v>604</v>
      </c>
      <c r="C17" s="75">
        <v>230745</v>
      </c>
      <c r="D17" s="74" t="s">
        <v>865</v>
      </c>
      <c r="E17" s="75" t="s">
        <v>845</v>
      </c>
      <c r="F17" s="75" t="s">
        <v>846</v>
      </c>
      <c r="G17" s="74" t="s">
        <v>852</v>
      </c>
      <c r="H17" s="75" t="s">
        <v>853</v>
      </c>
      <c r="I17" s="74" t="s">
        <v>864</v>
      </c>
      <c r="J17" s="75" t="s">
        <v>433</v>
      </c>
      <c r="K17" s="75" t="s">
        <v>850</v>
      </c>
      <c r="L17" s="76">
        <v>45075</v>
      </c>
      <c r="M17" s="77">
        <f t="shared" ca="1" si="0"/>
        <v>45954</v>
      </c>
      <c r="N17" s="74" t="str">
        <f>_xlfn.IFNA(VLOOKUP(db_emp[[#This Row],[ID_DIV]],[1]!db_dpt[[Code_dpt]:[Departement]],2,0),"-")</f>
        <v>Finance &amp; Accounting</v>
      </c>
      <c r="O17" s="74" t="str">
        <f>_xlfn.IFNA(VLOOKUP(db_emp[[#This Row],[ID_SDP]],[1]!db_div[[Code_div]:[Division]],2,0),"-")</f>
        <v>Account Payable</v>
      </c>
      <c r="P17" s="74" t="str">
        <f>_xlfn.IFNA(VLOOKUP(db_emp[[#This Row],[Code_lvl]],[1]!db_lvl[[#All],[ID_level]:[Leveling Name]],2,0),"-")</f>
        <v>Staff</v>
      </c>
      <c r="Q17" s="74" t="str">
        <f>_xlfn.IFNA(VLOOKUP(db_emp[[#This Row],[Code_site]],[1]!db_site[[ID_Site]:[Url_maps]],3,0),"-")</f>
        <v>Unit - Taman Anggrek Residences</v>
      </c>
      <c r="R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230745,'Gita Adhelia Ramadhanty','FIN','APAYB','Account Payable Staff','LV12','Corp. Supporting Property (POM)','A01','Employee','2023-05-29','2025-10-24'</v>
      </c>
      <c r="S17" s="74">
        <f>db_emp[[#This Row],[NIP (UPDATE)]]</f>
        <v>230745</v>
      </c>
    </row>
    <row r="18" spans="2:19" hidden="1" x14ac:dyDescent="0.25">
      <c r="B18" s="75">
        <v>607</v>
      </c>
      <c r="C18" s="75">
        <v>240883</v>
      </c>
      <c r="D18" s="74" t="s">
        <v>866</v>
      </c>
      <c r="E18" s="75" t="s">
        <v>845</v>
      </c>
      <c r="F18" s="75" t="s">
        <v>846</v>
      </c>
      <c r="G18" s="74" t="s">
        <v>852</v>
      </c>
      <c r="H18" s="75" t="s">
        <v>853</v>
      </c>
      <c r="I18" s="74" t="s">
        <v>864</v>
      </c>
      <c r="J18" s="75" t="s">
        <v>433</v>
      </c>
      <c r="K18" s="75" t="s">
        <v>850</v>
      </c>
      <c r="L18" s="76">
        <v>45432</v>
      </c>
      <c r="M18" s="77">
        <f t="shared" ca="1" si="0"/>
        <v>45954</v>
      </c>
      <c r="N18" s="74" t="str">
        <f>_xlfn.IFNA(VLOOKUP(db_emp[[#This Row],[ID_DIV]],[1]!db_dpt[[Code_dpt]:[Departement]],2,0),"-")</f>
        <v>Finance &amp; Accounting</v>
      </c>
      <c r="O18" s="74" t="str">
        <f>_xlfn.IFNA(VLOOKUP(db_emp[[#This Row],[ID_SDP]],[1]!db_div[[Code_div]:[Division]],2,0),"-")</f>
        <v>Account Payable</v>
      </c>
      <c r="P18" s="74" t="str">
        <f>_xlfn.IFNA(VLOOKUP(db_emp[[#This Row],[Code_lvl]],[1]!db_lvl[[#All],[ID_level]:[Leveling Name]],2,0),"-")</f>
        <v>Staff</v>
      </c>
      <c r="Q18" s="74" t="str">
        <f>_xlfn.IFNA(VLOOKUP(db_emp[[#This Row],[Code_site]],[1]!db_site[[ID_Site]:[Url_maps]],3,0),"-")</f>
        <v>Unit - Taman Anggrek Residences</v>
      </c>
      <c r="R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240883,'Jeplyansyah','FIN','APAYB','Account Payable Staff','LV12','Corp. Supporting Property (POM)','A01','Employee','2024-05-20','2025-10-24'</v>
      </c>
      <c r="S18" s="74">
        <f>db_emp[[#This Row],[NIP (UPDATE)]]</f>
        <v>240883</v>
      </c>
    </row>
    <row r="19" spans="2:19" hidden="1" x14ac:dyDescent="0.25">
      <c r="B19" s="75">
        <v>663</v>
      </c>
      <c r="C19" s="75">
        <v>180371</v>
      </c>
      <c r="D19" s="74" t="s">
        <v>867</v>
      </c>
      <c r="E19" s="75" t="s">
        <v>845</v>
      </c>
      <c r="F19" s="75" t="s">
        <v>846</v>
      </c>
      <c r="G19" s="74" t="s">
        <v>852</v>
      </c>
      <c r="H19" s="75" t="s">
        <v>853</v>
      </c>
      <c r="I19" s="74" t="s">
        <v>864</v>
      </c>
      <c r="J19" s="75" t="s">
        <v>501</v>
      </c>
      <c r="K19" s="75" t="s">
        <v>850</v>
      </c>
      <c r="L19" s="76"/>
      <c r="M19" s="77">
        <f t="shared" ca="1" si="0"/>
        <v>45954</v>
      </c>
      <c r="N19" s="74" t="str">
        <f>_xlfn.IFNA(VLOOKUP(db_emp[[#This Row],[ID_DIV]],[1]!db_dpt[[Code_dpt]:[Departement]],2,0),"-")</f>
        <v>Finance &amp; Accounting</v>
      </c>
      <c r="O19" s="74" t="str">
        <f>_xlfn.IFNA(VLOOKUP(db_emp[[#This Row],[ID_SDP]],[1]!db_div[[Code_div]:[Division]],2,0),"-")</f>
        <v>Account Payable</v>
      </c>
      <c r="P19" s="74" t="str">
        <f>_xlfn.IFNA(VLOOKUP(db_emp[[#This Row],[Code_lvl]],[1]!db_lvl[[#All],[ID_level]:[Leveling Name]],2,0),"-")</f>
        <v>Staff</v>
      </c>
      <c r="Q19" s="74" t="str">
        <f>_xlfn.IFNA(VLOOKUP(db_emp[[#This Row],[Code_site]],[1]!db_site[[ID_Site]:[Url_maps]],3,0),"-")</f>
        <v>Unit - District 8</v>
      </c>
      <c r="R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180371,'Desi Lamria Indriani','FIN','APAYB','Account Payable Staff','LV12','Corp. Supporting Property (POM)','OD8','Employee','1900-01-00','2025-10-24'</v>
      </c>
      <c r="S19" s="74">
        <f>db_emp[[#This Row],[NIP (UPDATE)]]</f>
        <v>180371</v>
      </c>
    </row>
    <row r="20" spans="2:19" hidden="1" x14ac:dyDescent="0.25">
      <c r="B20" s="75">
        <v>8</v>
      </c>
      <c r="C20" s="75">
        <v>150712</v>
      </c>
      <c r="D20" s="74" t="s">
        <v>868</v>
      </c>
      <c r="E20" s="75" t="s">
        <v>845</v>
      </c>
      <c r="F20" s="75" t="s">
        <v>846</v>
      </c>
      <c r="G20" s="74" t="s">
        <v>869</v>
      </c>
      <c r="H20" s="75" t="s">
        <v>870</v>
      </c>
      <c r="I20" s="74" t="s">
        <v>849</v>
      </c>
      <c r="J20" s="75" t="s">
        <v>315</v>
      </c>
      <c r="K20" s="75" t="s">
        <v>850</v>
      </c>
      <c r="L20" s="76">
        <v>42240</v>
      </c>
      <c r="M20" s="77">
        <f t="shared" ca="1" si="0"/>
        <v>45954</v>
      </c>
      <c r="N20" s="74" t="str">
        <f>_xlfn.IFNA(VLOOKUP(db_emp[[#This Row],[ID_DIV]],[1]!db_dpt[[Code_dpt]:[Departement]],2,0),"-")</f>
        <v>Finance &amp; Accounting</v>
      </c>
      <c r="O20" s="74" t="str">
        <f>_xlfn.IFNA(VLOOKUP(db_emp[[#This Row],[ID_SDP]],[1]!db_div[[Code_div]:[Division]],2,0),"-")</f>
        <v>Account Payable</v>
      </c>
      <c r="P20" s="74" t="str">
        <f>_xlfn.IFNA(VLOOKUP(db_emp[[#This Row],[Code_lvl]],[1]!db_lvl[[#All],[ID_level]:[Leveling Name]],2,0),"-")</f>
        <v>Supervisor</v>
      </c>
      <c r="Q20" s="74" t="str">
        <f>_xlfn.IFNA(VLOOKUP(db_emp[[#This Row],[Code_site]],[1]!db_site[[ID_Site]:[Url_maps]],3,0),"-")</f>
        <v>Head Office - ASGO</v>
      </c>
      <c r="R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150712,'Een Ayu Widarti','FIN','APAYB','Account Payable Supervisor','LV09','Mall &amp; Cinema','O99','Employee','2015-08-24','2025-10-24'</v>
      </c>
      <c r="S20" s="74">
        <f>db_emp[[#This Row],[NIP (UPDATE)]]</f>
        <v>150712</v>
      </c>
    </row>
    <row r="21" spans="2:19" hidden="1" x14ac:dyDescent="0.25">
      <c r="B21" s="75">
        <v>707</v>
      </c>
      <c r="C21" s="75">
        <v>240399</v>
      </c>
      <c r="D21" s="74" t="s">
        <v>871</v>
      </c>
      <c r="E21" s="75" t="s">
        <v>845</v>
      </c>
      <c r="F21" s="75" t="s">
        <v>846</v>
      </c>
      <c r="G21" s="74" t="s">
        <v>869</v>
      </c>
      <c r="H21" s="75" t="s">
        <v>870</v>
      </c>
      <c r="I21" s="74" t="s">
        <v>864</v>
      </c>
      <c r="J21" s="75" t="s">
        <v>501</v>
      </c>
      <c r="K21" s="75" t="s">
        <v>850</v>
      </c>
      <c r="L21" s="76"/>
      <c r="M21" s="77">
        <f t="shared" ca="1" si="0"/>
        <v>45954</v>
      </c>
      <c r="N21" s="74" t="str">
        <f>_xlfn.IFNA(VLOOKUP(db_emp[[#This Row],[ID_DIV]],[1]!db_dpt[[Code_dpt]:[Departement]],2,0),"-")</f>
        <v>Finance &amp; Accounting</v>
      </c>
      <c r="O21" s="74" t="str">
        <f>_xlfn.IFNA(VLOOKUP(db_emp[[#This Row],[ID_SDP]],[1]!db_div[[Code_div]:[Division]],2,0),"-")</f>
        <v>Account Payable</v>
      </c>
      <c r="P21" s="74" t="str">
        <f>_xlfn.IFNA(VLOOKUP(db_emp[[#This Row],[Code_lvl]],[1]!db_lvl[[#All],[ID_level]:[Leveling Name]],2,0),"-")</f>
        <v>Supervisor</v>
      </c>
      <c r="Q21" s="74" t="str">
        <f>_xlfn.IFNA(VLOOKUP(db_emp[[#This Row],[Code_site]],[1]!db_site[[ID_Site]:[Url_maps]],3,0),"-")</f>
        <v>Unit - District 8</v>
      </c>
      <c r="R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240399,'Hanwi Sofjan','FIN','APAYB','Account Payable Supervisor','LV09','Corp. Supporting Property (POM)','OD8','Employee','1900-01-00','2025-10-24'</v>
      </c>
      <c r="S21" s="74">
        <f>db_emp[[#This Row],[NIP (UPDATE)]]</f>
        <v>240399</v>
      </c>
    </row>
    <row r="22" spans="2:19" hidden="1" x14ac:dyDescent="0.25">
      <c r="B22" s="75">
        <v>2</v>
      </c>
      <c r="C22" s="75">
        <v>111104</v>
      </c>
      <c r="D22" s="74" t="s">
        <v>872</v>
      </c>
      <c r="E22" s="75" t="s">
        <v>845</v>
      </c>
      <c r="F22" s="75" t="s">
        <v>873</v>
      </c>
      <c r="G22" s="74" t="s">
        <v>874</v>
      </c>
      <c r="H22" s="75" t="s">
        <v>848</v>
      </c>
      <c r="I22" s="74" t="s">
        <v>849</v>
      </c>
      <c r="J22" s="75" t="s">
        <v>315</v>
      </c>
      <c r="K22" s="75" t="s">
        <v>850</v>
      </c>
      <c r="L22" s="76">
        <v>40869</v>
      </c>
      <c r="M22" s="77">
        <f t="shared" ca="1" si="0"/>
        <v>45954</v>
      </c>
      <c r="N22" s="74" t="str">
        <f>_xlfn.IFNA(VLOOKUP(db_emp[[#This Row],[ID_DIV]],[1]!db_dpt[[Code_dpt]:[Departement]],2,0),"-")</f>
        <v>Finance &amp; Accounting</v>
      </c>
      <c r="O22" s="74" t="str">
        <f>_xlfn.IFNA(VLOOKUP(db_emp[[#This Row],[ID_SDP]],[1]!db_div[[Code_div]:[Division]],2,0),"-")</f>
        <v>Account Receivable</v>
      </c>
      <c r="P22" s="74" t="str">
        <f>_xlfn.IFNA(VLOOKUP(db_emp[[#This Row],[Code_lvl]],[1]!db_lvl[[#All],[ID_level]:[Leveling Name]],2,0),"-")</f>
        <v>Assistant Manager</v>
      </c>
      <c r="Q22" s="74" t="str">
        <f>_xlfn.IFNA(VLOOKUP(db_emp[[#This Row],[Code_site]],[1]!db_site[[ID_Site]:[Url_maps]],3,0),"-")</f>
        <v>Head Office - ASGO</v>
      </c>
      <c r="R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111104,'Helwin Firmansyah','FIN','ARCIV','Account Receivable Assistant Manager','LV07','Mall &amp; Cinema','O99','Employee','2011-11-22','2025-10-24'</v>
      </c>
      <c r="S22" s="74">
        <f>db_emp[[#This Row],[NIP (UPDATE)]]</f>
        <v>111104</v>
      </c>
    </row>
    <row r="23" spans="2:19" hidden="1" x14ac:dyDescent="0.25">
      <c r="B23" s="75">
        <v>14</v>
      </c>
      <c r="C23" s="75">
        <v>150716</v>
      </c>
      <c r="D23" s="74" t="s">
        <v>875</v>
      </c>
      <c r="E23" s="75" t="s">
        <v>845</v>
      </c>
      <c r="F23" s="75" t="s">
        <v>873</v>
      </c>
      <c r="G23" s="74" t="s">
        <v>876</v>
      </c>
      <c r="H23" s="75" t="s">
        <v>853</v>
      </c>
      <c r="I23" s="74" t="s">
        <v>849</v>
      </c>
      <c r="J23" s="75" t="s">
        <v>315</v>
      </c>
      <c r="K23" s="75" t="s">
        <v>850</v>
      </c>
      <c r="L23" s="76">
        <v>42241</v>
      </c>
      <c r="M23" s="77">
        <f t="shared" ca="1" si="0"/>
        <v>45954</v>
      </c>
      <c r="N23" s="74" t="str">
        <f>_xlfn.IFNA(VLOOKUP(db_emp[[#This Row],[ID_DIV]],[1]!db_dpt[[Code_dpt]:[Departement]],2,0),"-")</f>
        <v>Finance &amp; Accounting</v>
      </c>
      <c r="O23" s="74" t="str">
        <f>_xlfn.IFNA(VLOOKUP(db_emp[[#This Row],[ID_SDP]],[1]!db_div[[Code_div]:[Division]],2,0),"-")</f>
        <v>Account Receivable</v>
      </c>
      <c r="P23" s="74" t="str">
        <f>_xlfn.IFNA(VLOOKUP(db_emp[[#This Row],[Code_lvl]],[1]!db_lvl[[#All],[ID_level]:[Leveling Name]],2,0),"-")</f>
        <v>Staff</v>
      </c>
      <c r="Q23" s="74" t="str">
        <f>_xlfn.IFNA(VLOOKUP(db_emp[[#This Row],[Code_site]],[1]!db_site[[ID_Site]:[Url_maps]],3,0),"-")</f>
        <v>Head Office - ASGO</v>
      </c>
      <c r="R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150716,'Ratna Widiyasari','FIN','ARCIV','Account Receivable Staff','LV12','Mall &amp; Cinema','O99','Employee','2015-08-25','2025-10-24'</v>
      </c>
      <c r="S23" s="74">
        <f>db_emp[[#This Row],[NIP (UPDATE)]]</f>
        <v>150716</v>
      </c>
    </row>
    <row r="24" spans="2:19" hidden="1" x14ac:dyDescent="0.25">
      <c r="B24" s="75">
        <v>18</v>
      </c>
      <c r="C24" s="75">
        <v>190304</v>
      </c>
      <c r="D24" s="74" t="s">
        <v>877</v>
      </c>
      <c r="E24" s="75" t="s">
        <v>845</v>
      </c>
      <c r="F24" s="75" t="s">
        <v>873</v>
      </c>
      <c r="G24" s="74" t="s">
        <v>876</v>
      </c>
      <c r="H24" s="75" t="s">
        <v>853</v>
      </c>
      <c r="I24" s="74" t="s">
        <v>849</v>
      </c>
      <c r="J24" s="75" t="s">
        <v>315</v>
      </c>
      <c r="K24" s="75" t="s">
        <v>850</v>
      </c>
      <c r="L24" s="76">
        <v>43549</v>
      </c>
      <c r="M24" s="77">
        <f t="shared" ca="1" si="0"/>
        <v>45954</v>
      </c>
      <c r="N24" s="74" t="str">
        <f>_xlfn.IFNA(VLOOKUP(db_emp[[#This Row],[ID_DIV]],[1]!db_dpt[[Code_dpt]:[Departement]],2,0),"-")</f>
        <v>Finance &amp; Accounting</v>
      </c>
      <c r="O24" s="74" t="str">
        <f>_xlfn.IFNA(VLOOKUP(db_emp[[#This Row],[ID_SDP]],[1]!db_div[[Code_div]:[Division]],2,0),"-")</f>
        <v>Account Receivable</v>
      </c>
      <c r="P24" s="74" t="str">
        <f>_xlfn.IFNA(VLOOKUP(db_emp[[#This Row],[Code_lvl]],[1]!db_lvl[[#All],[ID_level]:[Leveling Name]],2,0),"-")</f>
        <v>Staff</v>
      </c>
      <c r="Q24" s="74" t="str">
        <f>_xlfn.IFNA(VLOOKUP(db_emp[[#This Row],[Code_site]],[1]!db_site[[ID_Site]:[Url_maps]],3,0),"-")</f>
        <v>Head Office - ASGO</v>
      </c>
      <c r="R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190304,'Santa Monika','FIN','ARCIV','Account Receivable Staff','LV12','Mall &amp; Cinema','O99','Employee','2019-03-25','2025-10-24'</v>
      </c>
      <c r="S24" s="74">
        <f>db_emp[[#This Row],[NIP (UPDATE)]]</f>
        <v>190304</v>
      </c>
    </row>
    <row r="25" spans="2:19" hidden="1" x14ac:dyDescent="0.25">
      <c r="B25" s="75">
        <v>20</v>
      </c>
      <c r="C25" s="75">
        <v>191066</v>
      </c>
      <c r="D25" s="74" t="s">
        <v>878</v>
      </c>
      <c r="E25" s="75" t="s">
        <v>845</v>
      </c>
      <c r="F25" s="75" t="s">
        <v>873</v>
      </c>
      <c r="G25" s="74" t="s">
        <v>876</v>
      </c>
      <c r="H25" s="75" t="s">
        <v>853</v>
      </c>
      <c r="I25" s="74" t="s">
        <v>486</v>
      </c>
      <c r="J25" s="75" t="s">
        <v>315</v>
      </c>
      <c r="K25" s="75" t="s">
        <v>850</v>
      </c>
      <c r="L25" s="76">
        <v>43787</v>
      </c>
      <c r="M25" s="77">
        <f t="shared" ca="1" si="0"/>
        <v>45954</v>
      </c>
      <c r="N25" s="74" t="str">
        <f>_xlfn.IFNA(VLOOKUP(db_emp[[#This Row],[ID_DIV]],[1]!db_dpt[[Code_dpt]:[Departement]],2,0),"-")</f>
        <v>Finance &amp; Accounting</v>
      </c>
      <c r="O25" s="74" t="str">
        <f>_xlfn.IFNA(VLOOKUP(db_emp[[#This Row],[ID_SDP]],[1]!db_div[[Code_div]:[Division]],2,0),"-")</f>
        <v>Account Receivable</v>
      </c>
      <c r="P25" s="74" t="str">
        <f>_xlfn.IFNA(VLOOKUP(db_emp[[#This Row],[Code_lvl]],[1]!db_lvl[[#All],[ID_level]:[Leveling Name]],2,0),"-")</f>
        <v>Staff</v>
      </c>
      <c r="Q25" s="74" t="str">
        <f>_xlfn.IFNA(VLOOKUP(db_emp[[#This Row],[Code_site]],[1]!db_site[[ID_Site]:[Url_maps]],3,0),"-")</f>
        <v>Head Office - ASGO</v>
      </c>
      <c r="R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191066,'Christin Aprina Simanjuntak','FIN','ARCIV','Account Receivable Staff','LV12','Mall','O99','Employee','2019-11-18','2025-10-24'</v>
      </c>
      <c r="S25" s="74">
        <f>db_emp[[#This Row],[NIP (UPDATE)]]</f>
        <v>191066</v>
      </c>
    </row>
    <row r="26" spans="2:19" hidden="1" x14ac:dyDescent="0.25">
      <c r="B26" s="75">
        <v>50</v>
      </c>
      <c r="C26" s="75">
        <v>210395</v>
      </c>
      <c r="D26" s="74" t="s">
        <v>879</v>
      </c>
      <c r="E26" s="75" t="s">
        <v>845</v>
      </c>
      <c r="F26" s="75" t="s">
        <v>873</v>
      </c>
      <c r="G26" s="74" t="s">
        <v>876</v>
      </c>
      <c r="H26" s="75" t="s">
        <v>853</v>
      </c>
      <c r="I26" s="74" t="s">
        <v>849</v>
      </c>
      <c r="J26" s="75" t="s">
        <v>315</v>
      </c>
      <c r="K26" s="75" t="s">
        <v>850</v>
      </c>
      <c r="L26" s="76">
        <v>44349</v>
      </c>
      <c r="M26" s="77">
        <f t="shared" ca="1" si="0"/>
        <v>45954</v>
      </c>
      <c r="N26" s="74" t="str">
        <f>_xlfn.IFNA(VLOOKUP(db_emp[[#This Row],[ID_DIV]],[1]!db_dpt[[Code_dpt]:[Departement]],2,0),"-")</f>
        <v>Finance &amp; Accounting</v>
      </c>
      <c r="O26" s="74" t="str">
        <f>_xlfn.IFNA(VLOOKUP(db_emp[[#This Row],[ID_SDP]],[1]!db_div[[Code_div]:[Division]],2,0),"-")</f>
        <v>Account Receivable</v>
      </c>
      <c r="P26" s="74" t="str">
        <f>_xlfn.IFNA(VLOOKUP(db_emp[[#This Row],[Code_lvl]],[1]!db_lvl[[#All],[ID_level]:[Leveling Name]],2,0),"-")</f>
        <v>Staff</v>
      </c>
      <c r="Q26" s="74" t="str">
        <f>_xlfn.IFNA(VLOOKUP(db_emp[[#This Row],[Code_site]],[1]!db_site[[ID_Site]:[Url_maps]],3,0),"-")</f>
        <v>Head Office - ASGO</v>
      </c>
      <c r="R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210395,'Rilo Pambudiyanto','FIN','ARCIV','Account Receivable Staff','LV12','Mall &amp; Cinema','O99','Employee','2021-06-02','2025-10-24'</v>
      </c>
      <c r="S26" s="74">
        <f>db_emp[[#This Row],[NIP (UPDATE)]]</f>
        <v>210395</v>
      </c>
    </row>
    <row r="27" spans="2:19" hidden="1" x14ac:dyDescent="0.25">
      <c r="B27" s="75">
        <v>78</v>
      </c>
      <c r="C27" s="75">
        <v>230037</v>
      </c>
      <c r="D27" s="74" t="s">
        <v>880</v>
      </c>
      <c r="E27" s="75" t="s">
        <v>845</v>
      </c>
      <c r="F27" s="75" t="s">
        <v>873</v>
      </c>
      <c r="G27" s="74" t="s">
        <v>876</v>
      </c>
      <c r="H27" s="75" t="s">
        <v>853</v>
      </c>
      <c r="I27" s="74" t="s">
        <v>849</v>
      </c>
      <c r="J27" s="75" t="s">
        <v>315</v>
      </c>
      <c r="K27" s="75" t="s">
        <v>850</v>
      </c>
      <c r="L27" s="76">
        <v>44942</v>
      </c>
      <c r="M27" s="77">
        <f t="shared" ca="1" si="0"/>
        <v>45954</v>
      </c>
      <c r="N27" s="74" t="str">
        <f>_xlfn.IFNA(VLOOKUP(db_emp[[#This Row],[ID_DIV]],[1]!db_dpt[[Code_dpt]:[Departement]],2,0),"-")</f>
        <v>Finance &amp; Accounting</v>
      </c>
      <c r="O27" s="74" t="str">
        <f>_xlfn.IFNA(VLOOKUP(db_emp[[#This Row],[ID_SDP]],[1]!db_div[[Code_div]:[Division]],2,0),"-")</f>
        <v>Account Receivable</v>
      </c>
      <c r="P27" s="74" t="str">
        <f>_xlfn.IFNA(VLOOKUP(db_emp[[#This Row],[Code_lvl]],[1]!db_lvl[[#All],[ID_level]:[Leveling Name]],2,0),"-")</f>
        <v>Staff</v>
      </c>
      <c r="Q27" s="74" t="str">
        <f>_xlfn.IFNA(VLOOKUP(db_emp[[#This Row],[Code_site]],[1]!db_site[[ID_Site]:[Url_maps]],3,0),"-")</f>
        <v>Head Office - ASGO</v>
      </c>
      <c r="R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230037,'Aulia Dina Savitri','FIN','ARCIV','Account Receivable Staff','LV12','Mall &amp; Cinema','O99','Employee','2023-01-16','2025-10-24'</v>
      </c>
      <c r="S27" s="74">
        <f>db_emp[[#This Row],[NIP (UPDATE)]]</f>
        <v>230037</v>
      </c>
    </row>
    <row r="28" spans="2:19" hidden="1" x14ac:dyDescent="0.25">
      <c r="B28" s="75">
        <v>91</v>
      </c>
      <c r="C28" s="75">
        <v>230882</v>
      </c>
      <c r="D28" s="74" t="s">
        <v>881</v>
      </c>
      <c r="E28" s="75" t="s">
        <v>845</v>
      </c>
      <c r="F28" s="75" t="s">
        <v>873</v>
      </c>
      <c r="G28" s="74" t="s">
        <v>876</v>
      </c>
      <c r="H28" s="75" t="s">
        <v>853</v>
      </c>
      <c r="I28" s="74" t="s">
        <v>860</v>
      </c>
      <c r="J28" s="75" t="s">
        <v>315</v>
      </c>
      <c r="K28" s="75" t="s">
        <v>850</v>
      </c>
      <c r="L28" s="76">
        <v>45089</v>
      </c>
      <c r="M28" s="77">
        <f t="shared" ca="1" si="0"/>
        <v>45954</v>
      </c>
      <c r="N28" s="74" t="str">
        <f>_xlfn.IFNA(VLOOKUP(db_emp[[#This Row],[ID_DIV]],[1]!db_dpt[[Code_dpt]:[Departement]],2,0),"-")</f>
        <v>Finance &amp; Accounting</v>
      </c>
      <c r="O28" s="74" t="str">
        <f>_xlfn.IFNA(VLOOKUP(db_emp[[#This Row],[ID_SDP]],[1]!db_div[[Code_div]:[Division]],2,0),"-")</f>
        <v>Account Receivable</v>
      </c>
      <c r="P28" s="74" t="str">
        <f>_xlfn.IFNA(VLOOKUP(db_emp[[#This Row],[Code_lvl]],[1]!db_lvl[[#All],[ID_level]:[Leveling Name]],2,0),"-")</f>
        <v>Staff</v>
      </c>
      <c r="Q28" s="74" t="str">
        <f>_xlfn.IFNA(VLOOKUP(db_emp[[#This Row],[Code_site]],[1]!db_site[[ID_Site]:[Url_maps]],3,0),"-")</f>
        <v>Head Office - ASGO</v>
      </c>
      <c r="R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230882,'Nadia Khatun Zahra','FIN','ARCIV','Account Receivable Staff','LV12','HQ - M&amp;C','O99','Employee','2023-06-12','2025-10-24'</v>
      </c>
      <c r="S28" s="74">
        <f>db_emp[[#This Row],[NIP (UPDATE)]]</f>
        <v>230882</v>
      </c>
    </row>
    <row r="29" spans="2:19" hidden="1" x14ac:dyDescent="0.25">
      <c r="B29" s="75">
        <v>98</v>
      </c>
      <c r="C29" s="75">
        <v>231868</v>
      </c>
      <c r="D29" s="74" t="s">
        <v>882</v>
      </c>
      <c r="E29" s="75" t="s">
        <v>845</v>
      </c>
      <c r="F29" s="75" t="s">
        <v>873</v>
      </c>
      <c r="G29" s="74" t="s">
        <v>876</v>
      </c>
      <c r="H29" s="75" t="s">
        <v>853</v>
      </c>
      <c r="I29" s="74" t="s">
        <v>849</v>
      </c>
      <c r="J29" s="75" t="s">
        <v>315</v>
      </c>
      <c r="K29" s="75" t="s">
        <v>850</v>
      </c>
      <c r="L29" s="76">
        <v>45222</v>
      </c>
      <c r="M29" s="77">
        <f t="shared" ca="1" si="0"/>
        <v>45954</v>
      </c>
      <c r="N29" s="74" t="str">
        <f>_xlfn.IFNA(VLOOKUP(db_emp[[#This Row],[ID_DIV]],[1]!db_dpt[[Code_dpt]:[Departement]],2,0),"-")</f>
        <v>Finance &amp; Accounting</v>
      </c>
      <c r="O29" s="74" t="str">
        <f>_xlfn.IFNA(VLOOKUP(db_emp[[#This Row],[ID_SDP]],[1]!db_div[[Code_div]:[Division]],2,0),"-")</f>
        <v>Account Receivable</v>
      </c>
      <c r="P29" s="74" t="str">
        <f>_xlfn.IFNA(VLOOKUP(db_emp[[#This Row],[Code_lvl]],[1]!db_lvl[[#All],[ID_level]:[Leveling Name]],2,0),"-")</f>
        <v>Staff</v>
      </c>
      <c r="Q29" s="74" t="str">
        <f>_xlfn.IFNA(VLOOKUP(db_emp[[#This Row],[Code_site]],[1]!db_site[[ID_Site]:[Url_maps]],3,0),"-")</f>
        <v>Head Office - ASGO</v>
      </c>
      <c r="R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231868,'Maharani Putri Salsabila','FIN','ARCIV','Account Receivable Staff','LV12','Mall &amp; Cinema','O99','Employee','2023-10-23','2025-10-24'</v>
      </c>
      <c r="S29" s="74">
        <f>db_emp[[#This Row],[NIP (UPDATE)]]</f>
        <v>231868</v>
      </c>
    </row>
    <row r="30" spans="2:19" hidden="1" x14ac:dyDescent="0.25">
      <c r="B30" s="75">
        <v>138</v>
      </c>
      <c r="C30" s="75">
        <v>241721</v>
      </c>
      <c r="D30" s="74" t="s">
        <v>883</v>
      </c>
      <c r="E30" s="75" t="s">
        <v>845</v>
      </c>
      <c r="F30" s="75" t="s">
        <v>873</v>
      </c>
      <c r="G30" s="74" t="s">
        <v>876</v>
      </c>
      <c r="H30" s="75" t="s">
        <v>853</v>
      </c>
      <c r="I30" s="74" t="s">
        <v>849</v>
      </c>
      <c r="J30" s="75" t="s">
        <v>315</v>
      </c>
      <c r="K30" s="75" t="s">
        <v>850</v>
      </c>
      <c r="L30" s="76">
        <v>45558</v>
      </c>
      <c r="M30" s="77">
        <f t="shared" ca="1" si="0"/>
        <v>45954</v>
      </c>
      <c r="N30" s="74" t="str">
        <f>_xlfn.IFNA(VLOOKUP(db_emp[[#This Row],[ID_DIV]],[1]!db_dpt[[Code_dpt]:[Departement]],2,0),"-")</f>
        <v>Finance &amp; Accounting</v>
      </c>
      <c r="O30" s="74" t="str">
        <f>_xlfn.IFNA(VLOOKUP(db_emp[[#This Row],[ID_SDP]],[1]!db_div[[Code_div]:[Division]],2,0),"-")</f>
        <v>Account Receivable</v>
      </c>
      <c r="P30" s="74" t="str">
        <f>_xlfn.IFNA(VLOOKUP(db_emp[[#This Row],[Code_lvl]],[1]!db_lvl[[#All],[ID_level]:[Leveling Name]],2,0),"-")</f>
        <v>Staff</v>
      </c>
      <c r="Q30" s="74" t="str">
        <f>_xlfn.IFNA(VLOOKUP(db_emp[[#This Row],[Code_site]],[1]!db_site[[ID_Site]:[Url_maps]],3,0),"-")</f>
        <v>Head Office - ASGO</v>
      </c>
      <c r="R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241721,'Ade Ayunda Talitha','FIN','ARCIV','Account Receivable Staff','LV12','Mall &amp; Cinema','O99','Employee','2024-09-23','2025-10-24'</v>
      </c>
      <c r="S30" s="74">
        <f>db_emp[[#This Row],[NIP (UPDATE)]]</f>
        <v>241721</v>
      </c>
    </row>
    <row r="31" spans="2:19" hidden="1" x14ac:dyDescent="0.25">
      <c r="B31" s="75">
        <v>508</v>
      </c>
      <c r="C31" s="75">
        <v>231637</v>
      </c>
      <c r="D31" s="74" t="s">
        <v>884</v>
      </c>
      <c r="E31" s="75" t="s">
        <v>845</v>
      </c>
      <c r="F31" s="75" t="s">
        <v>873</v>
      </c>
      <c r="G31" s="74" t="s">
        <v>876</v>
      </c>
      <c r="H31" s="75" t="s">
        <v>885</v>
      </c>
      <c r="I31" s="74" t="s">
        <v>864</v>
      </c>
      <c r="J31" s="75" t="s">
        <v>441</v>
      </c>
      <c r="K31" s="75" t="s">
        <v>850</v>
      </c>
      <c r="L31" s="76">
        <v>43355</v>
      </c>
      <c r="M31" s="77">
        <f t="shared" ca="1" si="0"/>
        <v>45954</v>
      </c>
      <c r="N31" s="74" t="str">
        <f>_xlfn.IFNA(VLOOKUP(db_emp[[#This Row],[ID_DIV]],[1]!db_dpt[[Code_dpt]:[Departement]],2,0),"-")</f>
        <v>Finance &amp; Accounting</v>
      </c>
      <c r="O31" s="74" t="str">
        <f>_xlfn.IFNA(VLOOKUP(db_emp[[#This Row],[ID_SDP]],[1]!db_div[[Code_div]:[Division]],2,0),"-")</f>
        <v>Account Receivable</v>
      </c>
      <c r="P31" s="74" t="str">
        <f>_xlfn.IFNA(VLOOKUP(db_emp[[#This Row],[Code_lvl]],[1]!db_lvl[[#All],[ID_level]:[Leveling Name]],2,0),"-")</f>
        <v>Senior Staff</v>
      </c>
      <c r="Q31" s="74" t="str">
        <f>_xlfn.IFNA(VLOOKUP(db_emp[[#This Row],[Code_site]],[1]!db_site[[ID_Site]:[Url_maps]],3,0),"-")</f>
        <v>Unit - Fatmawati City Center</v>
      </c>
      <c r="R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231637,'Tiya Mariadi Tarihoran','FIN','ARCIV','Account Receivable Staff','LV11','Corp. Supporting Property (POM)','A02','Employee','2018-09-12','2025-10-24'</v>
      </c>
      <c r="S31" s="74">
        <f>db_emp[[#This Row],[NIP (UPDATE)]]</f>
        <v>231637</v>
      </c>
    </row>
    <row r="32" spans="2:19" hidden="1" x14ac:dyDescent="0.25">
      <c r="B32" s="75">
        <v>544</v>
      </c>
      <c r="C32" s="75">
        <v>231820</v>
      </c>
      <c r="D32" s="74" t="s">
        <v>886</v>
      </c>
      <c r="E32" s="75" t="s">
        <v>845</v>
      </c>
      <c r="F32" s="75" t="s">
        <v>873</v>
      </c>
      <c r="G32" s="74" t="s">
        <v>876</v>
      </c>
      <c r="H32" s="75" t="s">
        <v>853</v>
      </c>
      <c r="I32" s="74" t="s">
        <v>864</v>
      </c>
      <c r="J32" s="75" t="s">
        <v>446</v>
      </c>
      <c r="K32" s="75" t="s">
        <v>850</v>
      </c>
      <c r="L32" s="76">
        <v>45215</v>
      </c>
      <c r="M32" s="77">
        <f t="shared" ca="1" si="0"/>
        <v>45954</v>
      </c>
      <c r="N32" s="74" t="str">
        <f>_xlfn.IFNA(VLOOKUP(db_emp[[#This Row],[ID_DIV]],[1]!db_dpt[[Code_dpt]:[Departement]],2,0),"-")</f>
        <v>Finance &amp; Accounting</v>
      </c>
      <c r="O32" s="74" t="str">
        <f>_xlfn.IFNA(VLOOKUP(db_emp[[#This Row],[ID_SDP]],[1]!db_div[[Code_div]:[Division]],2,0),"-")</f>
        <v>Account Receivable</v>
      </c>
      <c r="P32" s="74" t="str">
        <f>_xlfn.IFNA(VLOOKUP(db_emp[[#This Row],[Code_lvl]],[1]!db_lvl[[#All],[ID_level]:[Leveling Name]],2,0),"-")</f>
        <v>Staff</v>
      </c>
      <c r="Q32" s="74" t="str">
        <f>_xlfn.IFNA(VLOOKUP(db_emp[[#This Row],[Code_site]],[1]!db_site[[ID_Site]:[Url_maps]],3,0),"-")</f>
        <v>Unit - Menara Jakarta POM</v>
      </c>
      <c r="R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231820,'Damayanti Bekti Astuti','FIN','ARCIV','Account Receivable Staff','LV12','Corp. Supporting Property (POM)','A03','Employee','2023-10-16','2025-10-24'</v>
      </c>
      <c r="S32" s="74">
        <f>db_emp[[#This Row],[NIP (UPDATE)]]</f>
        <v>231820</v>
      </c>
    </row>
    <row r="33" spans="2:19" hidden="1" x14ac:dyDescent="0.25">
      <c r="B33" s="75">
        <v>601</v>
      </c>
      <c r="C33" s="75">
        <v>240098</v>
      </c>
      <c r="D33" s="74" t="s">
        <v>887</v>
      </c>
      <c r="E33" s="75" t="s">
        <v>845</v>
      </c>
      <c r="F33" s="75" t="s">
        <v>873</v>
      </c>
      <c r="G33" s="74" t="s">
        <v>876</v>
      </c>
      <c r="H33" s="75" t="s">
        <v>885</v>
      </c>
      <c r="I33" s="74" t="s">
        <v>864</v>
      </c>
      <c r="J33" s="75" t="s">
        <v>433</v>
      </c>
      <c r="K33" s="75" t="s">
        <v>850</v>
      </c>
      <c r="L33" s="76">
        <v>43325</v>
      </c>
      <c r="M33" s="77">
        <f t="shared" ca="1" si="0"/>
        <v>45954</v>
      </c>
      <c r="N33" s="74" t="str">
        <f>_xlfn.IFNA(VLOOKUP(db_emp[[#This Row],[ID_DIV]],[1]!db_dpt[[Code_dpt]:[Departement]],2,0),"-")</f>
        <v>Finance &amp; Accounting</v>
      </c>
      <c r="O33" s="74" t="str">
        <f>_xlfn.IFNA(VLOOKUP(db_emp[[#This Row],[ID_SDP]],[1]!db_div[[Code_div]:[Division]],2,0),"-")</f>
        <v>Account Receivable</v>
      </c>
      <c r="P33" s="74" t="str">
        <f>_xlfn.IFNA(VLOOKUP(db_emp[[#This Row],[Code_lvl]],[1]!db_lvl[[#All],[ID_level]:[Leveling Name]],2,0),"-")</f>
        <v>Senior Staff</v>
      </c>
      <c r="Q33" s="74" t="str">
        <f>_xlfn.IFNA(VLOOKUP(db_emp[[#This Row],[Code_site]],[1]!db_site[[ID_Site]:[Url_maps]],3,0),"-")</f>
        <v>Unit - Taman Anggrek Residences</v>
      </c>
      <c r="R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240098,'Nurlely Rositasari','FIN','ARCIV','Account Receivable Staff','LV11','Corp. Supporting Property (POM)','A01','Employee','2018-08-13','2025-10-24'</v>
      </c>
      <c r="S33" s="74">
        <f>db_emp[[#This Row],[NIP (UPDATE)]]</f>
        <v>240098</v>
      </c>
    </row>
    <row r="34" spans="2:19" hidden="1" x14ac:dyDescent="0.25">
      <c r="B34" s="75">
        <v>606</v>
      </c>
      <c r="C34" s="75">
        <v>240161</v>
      </c>
      <c r="D34" s="74" t="s">
        <v>888</v>
      </c>
      <c r="E34" s="75" t="s">
        <v>845</v>
      </c>
      <c r="F34" s="75" t="s">
        <v>873</v>
      </c>
      <c r="G34" s="74" t="s">
        <v>876</v>
      </c>
      <c r="H34" s="75" t="s">
        <v>853</v>
      </c>
      <c r="I34" s="74" t="s">
        <v>864</v>
      </c>
      <c r="J34" s="75" t="s">
        <v>433</v>
      </c>
      <c r="K34" s="75" t="s">
        <v>850</v>
      </c>
      <c r="L34" s="76">
        <v>45317</v>
      </c>
      <c r="M34" s="77">
        <f t="shared" ca="1" si="0"/>
        <v>45954</v>
      </c>
      <c r="N34" s="74" t="str">
        <f>_xlfn.IFNA(VLOOKUP(db_emp[[#This Row],[ID_DIV]],[1]!db_dpt[[Code_dpt]:[Departement]],2,0),"-")</f>
        <v>Finance &amp; Accounting</v>
      </c>
      <c r="O34" s="74" t="str">
        <f>_xlfn.IFNA(VLOOKUP(db_emp[[#This Row],[ID_SDP]],[1]!db_div[[Code_div]:[Division]],2,0),"-")</f>
        <v>Account Receivable</v>
      </c>
      <c r="P34" s="74" t="str">
        <f>_xlfn.IFNA(VLOOKUP(db_emp[[#This Row],[Code_lvl]],[1]!db_lvl[[#All],[ID_level]:[Leveling Name]],2,0),"-")</f>
        <v>Staff</v>
      </c>
      <c r="Q34" s="74" t="str">
        <f>_xlfn.IFNA(VLOOKUP(db_emp[[#This Row],[Code_site]],[1]!db_site[[ID_Site]:[Url_maps]],3,0),"-")</f>
        <v>Unit - Taman Anggrek Residences</v>
      </c>
      <c r="R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240161,'Haikal Rifky Ramadhan','FIN','ARCIV','Account Receivable Staff','LV12','Corp. Supporting Property (POM)','A01','Employee','2024-01-26','2025-10-24'</v>
      </c>
      <c r="S34" s="74">
        <f>db_emp[[#This Row],[NIP (UPDATE)]]</f>
        <v>240161</v>
      </c>
    </row>
    <row r="35" spans="2:19" hidden="1" x14ac:dyDescent="0.25">
      <c r="B35" s="75">
        <v>12</v>
      </c>
      <c r="C35" s="75">
        <v>140819</v>
      </c>
      <c r="D35" s="74" t="s">
        <v>889</v>
      </c>
      <c r="E35" s="75" t="s">
        <v>845</v>
      </c>
      <c r="F35" s="75" t="s">
        <v>873</v>
      </c>
      <c r="G35" s="74" t="s">
        <v>890</v>
      </c>
      <c r="H35" s="75" t="s">
        <v>870</v>
      </c>
      <c r="I35" s="74" t="s">
        <v>849</v>
      </c>
      <c r="J35" s="75" t="s">
        <v>315</v>
      </c>
      <c r="K35" s="75" t="s">
        <v>850</v>
      </c>
      <c r="L35" s="76">
        <v>41855</v>
      </c>
      <c r="M35" s="77">
        <f t="shared" ca="1" si="0"/>
        <v>45954</v>
      </c>
      <c r="N35" s="74" t="str">
        <f>_xlfn.IFNA(VLOOKUP(db_emp[[#This Row],[ID_DIV]],[1]!db_dpt[[Code_dpt]:[Departement]],2,0),"-")</f>
        <v>Finance &amp; Accounting</v>
      </c>
      <c r="O35" s="74" t="str">
        <f>_xlfn.IFNA(VLOOKUP(db_emp[[#This Row],[ID_SDP]],[1]!db_div[[Code_div]:[Division]],2,0),"-")</f>
        <v>Account Receivable</v>
      </c>
      <c r="P35" s="74" t="str">
        <f>_xlfn.IFNA(VLOOKUP(db_emp[[#This Row],[Code_lvl]],[1]!db_lvl[[#All],[ID_level]:[Leveling Name]],2,0),"-")</f>
        <v>Supervisor</v>
      </c>
      <c r="Q35" s="74" t="str">
        <f>_xlfn.IFNA(VLOOKUP(db_emp[[#This Row],[Code_site]],[1]!db_site[[ID_Site]:[Url_maps]],3,0),"-")</f>
        <v>Head Office - ASGO</v>
      </c>
      <c r="R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140819,'Nur Hidayah','FIN','ARCIV','Account Receivable Supervisor','LV09','Mall &amp; Cinema','O99','Employee','2014-08-04','2025-10-24'</v>
      </c>
      <c r="S35" s="74">
        <f>db_emp[[#This Row],[NIP (UPDATE)]]</f>
        <v>140819</v>
      </c>
    </row>
    <row r="36" spans="2:19" hidden="1" x14ac:dyDescent="0.25">
      <c r="B36" s="75">
        <v>660</v>
      </c>
      <c r="C36" s="75">
        <v>180221</v>
      </c>
      <c r="D36" s="74" t="s">
        <v>891</v>
      </c>
      <c r="E36" s="75" t="s">
        <v>845</v>
      </c>
      <c r="F36" s="75" t="s">
        <v>873</v>
      </c>
      <c r="G36" s="74" t="s">
        <v>892</v>
      </c>
      <c r="H36" s="75" t="s">
        <v>853</v>
      </c>
      <c r="I36" s="74" t="s">
        <v>864</v>
      </c>
      <c r="J36" s="75" t="s">
        <v>501</v>
      </c>
      <c r="K36" s="75" t="s">
        <v>850</v>
      </c>
      <c r="L36" s="76"/>
      <c r="M36" s="77">
        <f t="shared" ca="1" si="0"/>
        <v>45954</v>
      </c>
      <c r="N36" s="74" t="str">
        <f>_xlfn.IFNA(VLOOKUP(db_emp[[#This Row],[ID_DIV]],[1]!db_dpt[[Code_dpt]:[Departement]],2,0),"-")</f>
        <v>Finance &amp; Accounting</v>
      </c>
      <c r="O36" s="74" t="str">
        <f>_xlfn.IFNA(VLOOKUP(db_emp[[#This Row],[ID_SDP]],[1]!db_div[[Code_div]:[Division]],2,0),"-")</f>
        <v>Account Receivable</v>
      </c>
      <c r="P36" s="74" t="str">
        <f>_xlfn.IFNA(VLOOKUP(db_emp[[#This Row],[Code_lvl]],[1]!db_lvl[[#All],[ID_level]:[Leveling Name]],2,0),"-")</f>
        <v>Staff</v>
      </c>
      <c r="Q36" s="74" t="str">
        <f>_xlfn.IFNA(VLOOKUP(db_emp[[#This Row],[Code_site]],[1]!db_site[[ID_Site]:[Url_maps]],3,0),"-")</f>
        <v>Unit - District 8</v>
      </c>
      <c r="R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180221,'Irma Yulyanti','FIN','ARCIV','Account Receiveble Staff','LV12','Corp. Supporting Property (POM)','OD8','Employee','1900-01-00','2025-10-24'</v>
      </c>
      <c r="S36" s="74">
        <f>db_emp[[#This Row],[NIP (UPDATE)]]</f>
        <v>180221</v>
      </c>
    </row>
    <row r="37" spans="2:19" hidden="1" x14ac:dyDescent="0.25">
      <c r="B37" s="75">
        <v>680</v>
      </c>
      <c r="C37" s="75">
        <v>221309</v>
      </c>
      <c r="D37" s="74" t="s">
        <v>893</v>
      </c>
      <c r="E37" s="75" t="s">
        <v>845</v>
      </c>
      <c r="F37" s="75" t="s">
        <v>873</v>
      </c>
      <c r="G37" s="74" t="s">
        <v>892</v>
      </c>
      <c r="H37" s="75" t="s">
        <v>853</v>
      </c>
      <c r="I37" s="74" t="s">
        <v>864</v>
      </c>
      <c r="J37" s="75" t="s">
        <v>501</v>
      </c>
      <c r="K37" s="75" t="s">
        <v>850</v>
      </c>
      <c r="L37" s="76"/>
      <c r="M37" s="77">
        <f t="shared" ca="1" si="0"/>
        <v>45954</v>
      </c>
      <c r="N37" s="74" t="str">
        <f>_xlfn.IFNA(VLOOKUP(db_emp[[#This Row],[ID_DIV]],[1]!db_dpt[[Code_dpt]:[Departement]],2,0),"-")</f>
        <v>Finance &amp; Accounting</v>
      </c>
      <c r="O37" s="74" t="str">
        <f>_xlfn.IFNA(VLOOKUP(db_emp[[#This Row],[ID_SDP]],[1]!db_div[[Code_div]:[Division]],2,0),"-")</f>
        <v>Account Receivable</v>
      </c>
      <c r="P37" s="74" t="str">
        <f>_xlfn.IFNA(VLOOKUP(db_emp[[#This Row],[Code_lvl]],[1]!db_lvl[[#All],[ID_level]:[Leveling Name]],2,0),"-")</f>
        <v>Staff</v>
      </c>
      <c r="Q37" s="74" t="str">
        <f>_xlfn.IFNA(VLOOKUP(db_emp[[#This Row],[Code_site]],[1]!db_site[[ID_Site]:[Url_maps]],3,0),"-")</f>
        <v>Unit - District 8</v>
      </c>
      <c r="R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221309,'Sulaiman','FIN','ARCIV','Account Receiveble Staff','LV12','Corp. Supporting Property (POM)','OD8','Employee','1900-01-00','2025-10-24'</v>
      </c>
      <c r="S37" s="74">
        <f>db_emp[[#This Row],[NIP (UPDATE)]]</f>
        <v>221309</v>
      </c>
    </row>
    <row r="38" spans="2:19" hidden="1" x14ac:dyDescent="0.25">
      <c r="B38" s="75">
        <v>154</v>
      </c>
      <c r="C38" s="75">
        <v>250132</v>
      </c>
      <c r="D38" s="74" t="s">
        <v>894</v>
      </c>
      <c r="E38" s="75" t="s">
        <v>845</v>
      </c>
      <c r="F38" s="75" t="s">
        <v>895</v>
      </c>
      <c r="G38" s="74" t="s">
        <v>896</v>
      </c>
      <c r="H38" s="75" t="s">
        <v>848</v>
      </c>
      <c r="I38" s="74" t="s">
        <v>849</v>
      </c>
      <c r="J38" s="75" t="s">
        <v>315</v>
      </c>
      <c r="K38" s="75" t="s">
        <v>862</v>
      </c>
      <c r="L38" s="76">
        <v>45691</v>
      </c>
      <c r="M38" s="77">
        <f t="shared" ca="1" si="0"/>
        <v>45954</v>
      </c>
      <c r="N38" s="74" t="str">
        <f>_xlfn.IFNA(VLOOKUP(db_emp[[#This Row],[ID_DIV]],[1]!db_dpt[[Code_dpt]:[Departement]],2,0),"-")</f>
        <v>Finance &amp; Accounting</v>
      </c>
      <c r="O38" s="74" t="str">
        <f>_xlfn.IFNA(VLOOKUP(db_emp[[#This Row],[ID_SDP]],[1]!db_div[[Code_div]:[Division]],2,0),"-")</f>
        <v>Accounting</v>
      </c>
      <c r="P38" s="74" t="str">
        <f>_xlfn.IFNA(VLOOKUP(db_emp[[#This Row],[Code_lvl]],[1]!db_lvl[[#All],[ID_level]:[Leveling Name]],2,0),"-")</f>
        <v>Assistant Manager</v>
      </c>
      <c r="Q38" s="74" t="str">
        <f>_xlfn.IFNA(VLOOKUP(db_emp[[#This Row],[Code_site]],[1]!db_site[[ID_Site]:[Url_maps]],3,0),"-")</f>
        <v>Head Office - ASGO</v>
      </c>
      <c r="R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250132,'Finarsih Septria','FIN','ACCTG','Accounting Assistant Manager','LV07','Mall &amp; Cinema','O99','Not Employee','2025-02-03','2025-10-24'</v>
      </c>
      <c r="S38" s="74">
        <f>db_emp[[#This Row],[NIP (UPDATE)]]</f>
        <v>250132</v>
      </c>
    </row>
    <row r="39" spans="2:19" hidden="1" x14ac:dyDescent="0.25">
      <c r="B39" s="75">
        <v>9</v>
      </c>
      <c r="C39" s="75">
        <v>170984</v>
      </c>
      <c r="D39" s="74" t="s">
        <v>897</v>
      </c>
      <c r="E39" s="75" t="s">
        <v>845</v>
      </c>
      <c r="F39" s="75" t="s">
        <v>895</v>
      </c>
      <c r="G39" s="74" t="s">
        <v>898</v>
      </c>
      <c r="H39" s="75" t="s">
        <v>853</v>
      </c>
      <c r="I39" s="74" t="s">
        <v>849</v>
      </c>
      <c r="J39" s="75" t="s">
        <v>315</v>
      </c>
      <c r="K39" s="75" t="s">
        <v>850</v>
      </c>
      <c r="L39" s="76">
        <v>43038</v>
      </c>
      <c r="M39" s="77">
        <f t="shared" ca="1" si="0"/>
        <v>45954</v>
      </c>
      <c r="N39" s="74" t="str">
        <f>_xlfn.IFNA(VLOOKUP(db_emp[[#This Row],[ID_DIV]],[1]!db_dpt[[Code_dpt]:[Departement]],2,0),"-")</f>
        <v>Finance &amp; Accounting</v>
      </c>
      <c r="O39" s="74" t="str">
        <f>_xlfn.IFNA(VLOOKUP(db_emp[[#This Row],[ID_SDP]],[1]!db_div[[Code_div]:[Division]],2,0),"-")</f>
        <v>Accounting</v>
      </c>
      <c r="P39" s="74" t="str">
        <f>_xlfn.IFNA(VLOOKUP(db_emp[[#This Row],[Code_lvl]],[1]!db_lvl[[#All],[ID_level]:[Leveling Name]],2,0),"-")</f>
        <v>Staff</v>
      </c>
      <c r="Q39" s="74" t="str">
        <f>_xlfn.IFNA(VLOOKUP(db_emp[[#This Row],[Code_site]],[1]!db_site[[ID_Site]:[Url_maps]],3,0),"-")</f>
        <v>Head Office - ASGO</v>
      </c>
      <c r="R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170984,'Vanny Paramitha Riyadie','FIN','ACCTG','Accounting Staff','LV12','Mall &amp; Cinema','O99','Employee','2017-10-30','2025-10-24'</v>
      </c>
      <c r="S39" s="74">
        <f>db_emp[[#This Row],[NIP (UPDATE)]]</f>
        <v>170984</v>
      </c>
    </row>
    <row r="40" spans="2:19" hidden="1" x14ac:dyDescent="0.25">
      <c r="B40" s="75">
        <v>70</v>
      </c>
      <c r="C40" s="75">
        <v>221295</v>
      </c>
      <c r="D40" s="74" t="s">
        <v>899</v>
      </c>
      <c r="E40" s="75" t="s">
        <v>845</v>
      </c>
      <c r="F40" s="75" t="s">
        <v>895</v>
      </c>
      <c r="G40" s="74" t="s">
        <v>898</v>
      </c>
      <c r="H40" s="75" t="s">
        <v>853</v>
      </c>
      <c r="I40" s="74" t="s">
        <v>849</v>
      </c>
      <c r="J40" s="75" t="s">
        <v>315</v>
      </c>
      <c r="K40" s="75" t="s">
        <v>850</v>
      </c>
      <c r="L40" s="76">
        <v>44802</v>
      </c>
      <c r="M40" s="77">
        <f t="shared" ca="1" si="0"/>
        <v>45954</v>
      </c>
      <c r="N40" s="74" t="str">
        <f>_xlfn.IFNA(VLOOKUP(db_emp[[#This Row],[ID_DIV]],[1]!db_dpt[[Code_dpt]:[Departement]],2,0),"-")</f>
        <v>Finance &amp; Accounting</v>
      </c>
      <c r="O40" s="74" t="str">
        <f>_xlfn.IFNA(VLOOKUP(db_emp[[#This Row],[ID_SDP]],[1]!db_div[[Code_div]:[Division]],2,0),"-")</f>
        <v>Accounting</v>
      </c>
      <c r="P40" s="74" t="str">
        <f>_xlfn.IFNA(VLOOKUP(db_emp[[#This Row],[Code_lvl]],[1]!db_lvl[[#All],[ID_level]:[Leveling Name]],2,0),"-")</f>
        <v>Staff</v>
      </c>
      <c r="Q40" s="74" t="str">
        <f>_xlfn.IFNA(VLOOKUP(db_emp[[#This Row],[Code_site]],[1]!db_site[[ID_Site]:[Url_maps]],3,0),"-")</f>
        <v>Head Office - ASGO</v>
      </c>
      <c r="R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221295,'Elisa Kusumanita Sari','FIN','ACCTG','Accounting Staff','LV12','Mall &amp; Cinema','O99','Employee','2022-08-29','2025-10-24'</v>
      </c>
      <c r="S40" s="74">
        <f>db_emp[[#This Row],[NIP (UPDATE)]]</f>
        <v>221295</v>
      </c>
    </row>
    <row r="41" spans="2:19" hidden="1" x14ac:dyDescent="0.25">
      <c r="B41" s="75">
        <v>79</v>
      </c>
      <c r="C41" s="75">
        <v>230064</v>
      </c>
      <c r="D41" s="74" t="s">
        <v>900</v>
      </c>
      <c r="E41" s="75" t="s">
        <v>845</v>
      </c>
      <c r="F41" s="75" t="s">
        <v>895</v>
      </c>
      <c r="G41" s="74" t="s">
        <v>898</v>
      </c>
      <c r="H41" s="75" t="s">
        <v>853</v>
      </c>
      <c r="I41" s="74" t="s">
        <v>849</v>
      </c>
      <c r="J41" s="75" t="s">
        <v>315</v>
      </c>
      <c r="K41" s="75" t="s">
        <v>850</v>
      </c>
      <c r="L41" s="76">
        <v>44950</v>
      </c>
      <c r="M41" s="77">
        <f t="shared" ca="1" si="0"/>
        <v>45954</v>
      </c>
      <c r="N41" s="74" t="str">
        <f>_xlfn.IFNA(VLOOKUP(db_emp[[#This Row],[ID_DIV]],[1]!db_dpt[[Code_dpt]:[Departement]],2,0),"-")</f>
        <v>Finance &amp; Accounting</v>
      </c>
      <c r="O41" s="74" t="str">
        <f>_xlfn.IFNA(VLOOKUP(db_emp[[#This Row],[ID_SDP]],[1]!db_div[[Code_div]:[Division]],2,0),"-")</f>
        <v>Accounting</v>
      </c>
      <c r="P41" s="74" t="str">
        <f>_xlfn.IFNA(VLOOKUP(db_emp[[#This Row],[Code_lvl]],[1]!db_lvl[[#All],[ID_level]:[Leveling Name]],2,0),"-")</f>
        <v>Staff</v>
      </c>
      <c r="Q41" s="74" t="str">
        <f>_xlfn.IFNA(VLOOKUP(db_emp[[#This Row],[Code_site]],[1]!db_site[[ID_Site]:[Url_maps]],3,0),"-")</f>
        <v>Head Office - ASGO</v>
      </c>
      <c r="R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230064,'Ayu Endah Lestari','FIN','ACCTG','Accounting Staff','LV12','Mall &amp; Cinema','O99','Employee','2023-01-24','2025-10-24'</v>
      </c>
      <c r="S41" s="74">
        <f>db_emp[[#This Row],[NIP (UPDATE)]]</f>
        <v>230064</v>
      </c>
    </row>
    <row r="42" spans="2:19" hidden="1" x14ac:dyDescent="0.25">
      <c r="B42" s="75">
        <v>90</v>
      </c>
      <c r="C42" s="75">
        <v>230880</v>
      </c>
      <c r="D42" s="74" t="s">
        <v>901</v>
      </c>
      <c r="E42" s="75" t="s">
        <v>845</v>
      </c>
      <c r="F42" s="75" t="s">
        <v>895</v>
      </c>
      <c r="G42" s="74" t="s">
        <v>898</v>
      </c>
      <c r="H42" s="75" t="s">
        <v>853</v>
      </c>
      <c r="I42" s="74" t="s">
        <v>477</v>
      </c>
      <c r="J42" s="75" t="s">
        <v>315</v>
      </c>
      <c r="K42" s="75" t="s">
        <v>850</v>
      </c>
      <c r="L42" s="76">
        <v>45089</v>
      </c>
      <c r="M42" s="77">
        <f t="shared" ca="1" si="0"/>
        <v>45954</v>
      </c>
      <c r="N42" s="74" t="str">
        <f>_xlfn.IFNA(VLOOKUP(db_emp[[#This Row],[ID_DIV]],[1]!db_dpt[[Code_dpt]:[Departement]],2,0),"-")</f>
        <v>Finance &amp; Accounting</v>
      </c>
      <c r="O42" s="74" t="str">
        <f>_xlfn.IFNA(VLOOKUP(db_emp[[#This Row],[ID_SDP]],[1]!db_div[[Code_div]:[Division]],2,0),"-")</f>
        <v>Accounting</v>
      </c>
      <c r="P42" s="74" t="str">
        <f>_xlfn.IFNA(VLOOKUP(db_emp[[#This Row],[Code_lvl]],[1]!db_lvl[[#All],[ID_level]:[Leveling Name]],2,0),"-")</f>
        <v>Staff</v>
      </c>
      <c r="Q42" s="74" t="str">
        <f>_xlfn.IFNA(VLOOKUP(db_emp[[#This Row],[Code_site]],[1]!db_site[[ID_Site]:[Url_maps]],3,0),"-")</f>
        <v>Head Office - ASGO</v>
      </c>
      <c r="R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230880,'Andreas Angga Wijaya','FIN','ACCTG','Accounting Staff','LV12','Hotel','O99','Employee','2023-06-12','2025-10-24'</v>
      </c>
      <c r="S42" s="74">
        <f>db_emp[[#This Row],[NIP (UPDATE)]]</f>
        <v>230880</v>
      </c>
    </row>
    <row r="43" spans="2:19" hidden="1" x14ac:dyDescent="0.25">
      <c r="B43" s="75">
        <v>105</v>
      </c>
      <c r="C43" s="75">
        <v>232104</v>
      </c>
      <c r="D43" s="74" t="s">
        <v>902</v>
      </c>
      <c r="E43" s="75" t="s">
        <v>845</v>
      </c>
      <c r="F43" s="75" t="s">
        <v>895</v>
      </c>
      <c r="G43" s="74" t="s">
        <v>898</v>
      </c>
      <c r="H43" s="75" t="s">
        <v>853</v>
      </c>
      <c r="I43" s="74" t="s">
        <v>849</v>
      </c>
      <c r="J43" s="75" t="s">
        <v>315</v>
      </c>
      <c r="K43" s="75" t="s">
        <v>903</v>
      </c>
      <c r="L43" s="76">
        <v>45250</v>
      </c>
      <c r="M43" s="77">
        <f t="shared" ca="1" si="0"/>
        <v>45954</v>
      </c>
      <c r="N43" s="74" t="str">
        <f>_xlfn.IFNA(VLOOKUP(db_emp[[#This Row],[ID_DIV]],[1]!db_dpt[[Code_dpt]:[Departement]],2,0),"-")</f>
        <v>Finance &amp; Accounting</v>
      </c>
      <c r="O43" s="74" t="str">
        <f>_xlfn.IFNA(VLOOKUP(db_emp[[#This Row],[ID_SDP]],[1]!db_div[[Code_div]:[Division]],2,0),"-")</f>
        <v>Accounting</v>
      </c>
      <c r="P43" s="74" t="str">
        <f>_xlfn.IFNA(VLOOKUP(db_emp[[#This Row],[Code_lvl]],[1]!db_lvl[[#All],[ID_level]:[Leveling Name]],2,0),"-")</f>
        <v>Staff</v>
      </c>
      <c r="Q43" s="74" t="str">
        <f>_xlfn.IFNA(VLOOKUP(db_emp[[#This Row],[Code_site]],[1]!db_site[[ID_Site]:[Url_maps]],3,0),"-")</f>
        <v>Head Office - ASGO</v>
      </c>
      <c r="R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232104,'Khusnul Khotimah','FIN','ACCTG','Accounting Staff','LV12','Mall &amp; Cinema','O99','Resign','2023-11-20','2025-10-24'</v>
      </c>
      <c r="S43" s="74">
        <f>db_emp[[#This Row],[NIP (UPDATE)]]</f>
        <v>232104</v>
      </c>
    </row>
    <row r="44" spans="2:19" hidden="1" x14ac:dyDescent="0.25">
      <c r="B44" s="75">
        <v>147</v>
      </c>
      <c r="C44" s="75">
        <v>241895</v>
      </c>
      <c r="D44" s="74" t="s">
        <v>904</v>
      </c>
      <c r="E44" s="75" t="s">
        <v>845</v>
      </c>
      <c r="F44" s="75" t="s">
        <v>895</v>
      </c>
      <c r="G44" s="74" t="s">
        <v>898</v>
      </c>
      <c r="H44" s="75" t="s">
        <v>853</v>
      </c>
      <c r="I44" s="74" t="s">
        <v>849</v>
      </c>
      <c r="J44" s="75" t="s">
        <v>315</v>
      </c>
      <c r="K44" s="75" t="s">
        <v>850</v>
      </c>
      <c r="L44" s="76">
        <v>45593</v>
      </c>
      <c r="M44" s="77">
        <f t="shared" ca="1" si="0"/>
        <v>45954</v>
      </c>
      <c r="N44" s="74" t="str">
        <f>_xlfn.IFNA(VLOOKUP(db_emp[[#This Row],[ID_DIV]],[1]!db_dpt[[Code_dpt]:[Departement]],2,0),"-")</f>
        <v>Finance &amp; Accounting</v>
      </c>
      <c r="O44" s="74" t="str">
        <f>_xlfn.IFNA(VLOOKUP(db_emp[[#This Row],[ID_SDP]],[1]!db_div[[Code_div]:[Division]],2,0),"-")</f>
        <v>Accounting</v>
      </c>
      <c r="P44" s="74" t="str">
        <f>_xlfn.IFNA(VLOOKUP(db_emp[[#This Row],[Code_lvl]],[1]!db_lvl[[#All],[ID_level]:[Leveling Name]],2,0),"-")</f>
        <v>Staff</v>
      </c>
      <c r="Q44" s="74" t="str">
        <f>_xlfn.IFNA(VLOOKUP(db_emp[[#This Row],[Code_site]],[1]!db_site[[ID_Site]:[Url_maps]],3,0),"-")</f>
        <v>Head Office - ASGO</v>
      </c>
      <c r="R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241895,'Salwa Kamilia Balqis','FIN','ACCTG','Accounting Staff','LV12','Mall &amp; Cinema','O99','Employee','2024-10-28','2025-10-24'</v>
      </c>
      <c r="S44" s="74">
        <f>db_emp[[#This Row],[NIP (UPDATE)]]</f>
        <v>241895</v>
      </c>
    </row>
    <row r="45" spans="2:19" hidden="1" x14ac:dyDescent="0.25">
      <c r="B45" s="75">
        <v>159</v>
      </c>
      <c r="C45" s="75">
        <v>250300</v>
      </c>
      <c r="D45" s="74" t="s">
        <v>905</v>
      </c>
      <c r="E45" s="75" t="s">
        <v>845</v>
      </c>
      <c r="F45" s="75" t="s">
        <v>895</v>
      </c>
      <c r="G45" s="74" t="s">
        <v>898</v>
      </c>
      <c r="H45" s="75" t="s">
        <v>853</v>
      </c>
      <c r="I45" s="74" t="s">
        <v>849</v>
      </c>
      <c r="J45" s="75" t="s">
        <v>315</v>
      </c>
      <c r="K45" s="75" t="s">
        <v>862</v>
      </c>
      <c r="L45" s="76">
        <v>45755</v>
      </c>
      <c r="M45" s="77">
        <f t="shared" ca="1" si="0"/>
        <v>45954</v>
      </c>
      <c r="N45" s="74" t="str">
        <f>_xlfn.IFNA(VLOOKUP(db_emp[[#This Row],[ID_DIV]],[1]!db_dpt[[Code_dpt]:[Departement]],2,0),"-")</f>
        <v>Finance &amp; Accounting</v>
      </c>
      <c r="O45" s="74" t="str">
        <f>_xlfn.IFNA(VLOOKUP(db_emp[[#This Row],[ID_SDP]],[1]!db_div[[Code_div]:[Division]],2,0),"-")</f>
        <v>Accounting</v>
      </c>
      <c r="P45" s="74" t="str">
        <f>_xlfn.IFNA(VLOOKUP(db_emp[[#This Row],[Code_lvl]],[1]!db_lvl[[#All],[ID_level]:[Leveling Name]],2,0),"-")</f>
        <v>Staff</v>
      </c>
      <c r="Q45" s="74" t="str">
        <f>_xlfn.IFNA(VLOOKUP(db_emp[[#This Row],[Code_site]],[1]!db_site[[ID_Site]:[Url_maps]],3,0),"-")</f>
        <v>Head Office - ASGO</v>
      </c>
      <c r="R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250300,'Evelyn Sabella Salahi','FIN','ACCTG','Accounting Staff','LV12','Mall &amp; Cinema','O99','Not Employee','2025-04-08','2025-10-24'</v>
      </c>
      <c r="S45" s="74">
        <f>db_emp[[#This Row],[NIP (UPDATE)]]</f>
        <v>250300</v>
      </c>
    </row>
    <row r="46" spans="2:19" hidden="1" x14ac:dyDescent="0.25">
      <c r="B46" s="75">
        <v>164</v>
      </c>
      <c r="C46" s="75">
        <v>250391</v>
      </c>
      <c r="D46" s="74" t="s">
        <v>906</v>
      </c>
      <c r="E46" s="75" t="s">
        <v>845</v>
      </c>
      <c r="F46" s="75" t="s">
        <v>895</v>
      </c>
      <c r="G46" s="74" t="s">
        <v>898</v>
      </c>
      <c r="H46" s="75" t="s">
        <v>853</v>
      </c>
      <c r="I46" s="74" t="s">
        <v>849</v>
      </c>
      <c r="J46" s="75" t="s">
        <v>315</v>
      </c>
      <c r="K46" s="75" t="s">
        <v>862</v>
      </c>
      <c r="L46" s="76">
        <v>45775</v>
      </c>
      <c r="M46" s="77">
        <f t="shared" ca="1" si="0"/>
        <v>45954</v>
      </c>
      <c r="N46" s="74" t="str">
        <f>_xlfn.IFNA(VLOOKUP(db_emp[[#This Row],[ID_DIV]],[1]!db_dpt[[Code_dpt]:[Departement]],2,0),"-")</f>
        <v>Finance &amp; Accounting</v>
      </c>
      <c r="O46" s="74" t="str">
        <f>_xlfn.IFNA(VLOOKUP(db_emp[[#This Row],[ID_SDP]],[1]!db_div[[Code_div]:[Division]],2,0),"-")</f>
        <v>Accounting</v>
      </c>
      <c r="P46" s="74" t="str">
        <f>_xlfn.IFNA(VLOOKUP(db_emp[[#This Row],[Code_lvl]],[1]!db_lvl[[#All],[ID_level]:[Leveling Name]],2,0),"-")</f>
        <v>Staff</v>
      </c>
      <c r="Q46" s="74" t="str">
        <f>_xlfn.IFNA(VLOOKUP(db_emp[[#This Row],[Code_site]],[1]!db_site[[ID_Site]:[Url_maps]],3,0),"-")</f>
        <v>Head Office - ASGO</v>
      </c>
      <c r="R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250391,'Afifah Ismah Kheolda','FIN','ACCTG','Accounting Staff','LV12','Mall &amp; Cinema','O99','Not Employee','2025-04-28','2025-10-24'</v>
      </c>
      <c r="S46" s="74">
        <f>db_emp[[#This Row],[NIP (UPDATE)]]</f>
        <v>250391</v>
      </c>
    </row>
    <row r="47" spans="2:19" hidden="1" x14ac:dyDescent="0.25">
      <c r="B47" s="75">
        <v>6</v>
      </c>
      <c r="C47" s="75">
        <v>181468</v>
      </c>
      <c r="D47" s="74" t="s">
        <v>907</v>
      </c>
      <c r="E47" s="75" t="s">
        <v>845</v>
      </c>
      <c r="F47" s="75" t="s">
        <v>895</v>
      </c>
      <c r="G47" s="74" t="s">
        <v>908</v>
      </c>
      <c r="H47" s="75" t="s">
        <v>870</v>
      </c>
      <c r="I47" s="74" t="s">
        <v>849</v>
      </c>
      <c r="J47" s="75" t="s">
        <v>315</v>
      </c>
      <c r="K47" s="75" t="s">
        <v>850</v>
      </c>
      <c r="L47" s="76">
        <v>43430</v>
      </c>
      <c r="M47" s="77">
        <f t="shared" ca="1" si="0"/>
        <v>45954</v>
      </c>
      <c r="N47" s="74" t="str">
        <f>_xlfn.IFNA(VLOOKUP(db_emp[[#This Row],[ID_DIV]],[1]!db_dpt[[Code_dpt]:[Departement]],2,0),"-")</f>
        <v>Finance &amp; Accounting</v>
      </c>
      <c r="O47" s="74" t="str">
        <f>_xlfn.IFNA(VLOOKUP(db_emp[[#This Row],[ID_SDP]],[1]!db_div[[Code_div]:[Division]],2,0),"-")</f>
        <v>Accounting</v>
      </c>
      <c r="P47" s="74" t="str">
        <f>_xlfn.IFNA(VLOOKUP(db_emp[[#This Row],[Code_lvl]],[1]!db_lvl[[#All],[ID_level]:[Leveling Name]],2,0),"-")</f>
        <v>Supervisor</v>
      </c>
      <c r="Q47" s="74" t="str">
        <f>_xlfn.IFNA(VLOOKUP(db_emp[[#This Row],[Code_site]],[1]!db_site[[ID_Site]:[Url_maps]],3,0),"-")</f>
        <v>Head Office - ASGO</v>
      </c>
      <c r="R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181468,'Muchammad Yusuf Ichsan','FIN','ACCTG','Accounting Supervisor','LV09','Mall &amp; Cinema','O99','Employee','2018-11-26','2025-10-24'</v>
      </c>
      <c r="S47" s="74">
        <f>db_emp[[#This Row],[NIP (UPDATE)]]</f>
        <v>181468</v>
      </c>
    </row>
    <row r="48" spans="2:19" hidden="1" x14ac:dyDescent="0.25">
      <c r="B48" s="75">
        <v>21</v>
      </c>
      <c r="C48" s="75">
        <v>170849</v>
      </c>
      <c r="D48" s="74" t="s">
        <v>909</v>
      </c>
      <c r="E48" s="75" t="s">
        <v>845</v>
      </c>
      <c r="F48" s="75" t="s">
        <v>895</v>
      </c>
      <c r="G48" s="74" t="s">
        <v>908</v>
      </c>
      <c r="H48" s="75" t="s">
        <v>870</v>
      </c>
      <c r="I48" s="74" t="s">
        <v>849</v>
      </c>
      <c r="J48" s="75" t="s">
        <v>315</v>
      </c>
      <c r="K48" s="75" t="s">
        <v>850</v>
      </c>
      <c r="L48" s="76">
        <v>42998</v>
      </c>
      <c r="M48" s="77">
        <f t="shared" ca="1" si="0"/>
        <v>45954</v>
      </c>
      <c r="N48" s="74" t="str">
        <f>_xlfn.IFNA(VLOOKUP(db_emp[[#This Row],[ID_DIV]],[1]!db_dpt[[Code_dpt]:[Departement]],2,0),"-")</f>
        <v>Finance &amp; Accounting</v>
      </c>
      <c r="O48" s="74" t="str">
        <f>_xlfn.IFNA(VLOOKUP(db_emp[[#This Row],[ID_SDP]],[1]!db_div[[Code_div]:[Division]],2,0),"-")</f>
        <v>Accounting</v>
      </c>
      <c r="P48" s="74" t="str">
        <f>_xlfn.IFNA(VLOOKUP(db_emp[[#This Row],[Code_lvl]],[1]!db_lvl[[#All],[ID_level]:[Leveling Name]],2,0),"-")</f>
        <v>Supervisor</v>
      </c>
      <c r="Q48" s="74" t="str">
        <f>_xlfn.IFNA(VLOOKUP(db_emp[[#This Row],[Code_site]],[1]!db_site[[ID_Site]:[Url_maps]],3,0),"-")</f>
        <v>Head Office - ASGO</v>
      </c>
      <c r="R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170849,'Nico William','FIN','ACCTG','Accounting Supervisor','LV09','Mall &amp; Cinema','O99','Employee','2017-09-20','2025-10-24'</v>
      </c>
      <c r="S48" s="74">
        <f>db_emp[[#This Row],[NIP (UPDATE)]]</f>
        <v>170849</v>
      </c>
    </row>
    <row r="49" spans="2:19" hidden="1" x14ac:dyDescent="0.25">
      <c r="B49" s="75">
        <v>101</v>
      </c>
      <c r="C49" s="75">
        <v>200180</v>
      </c>
      <c r="D49" s="74" t="s">
        <v>910</v>
      </c>
      <c r="E49" s="75" t="s">
        <v>911</v>
      </c>
      <c r="F49" s="75" t="s">
        <v>912</v>
      </c>
      <c r="G49" s="74" t="s">
        <v>913</v>
      </c>
      <c r="H49" s="75" t="s">
        <v>853</v>
      </c>
      <c r="I49" s="74" t="s">
        <v>856</v>
      </c>
      <c r="J49" s="75" t="s">
        <v>315</v>
      </c>
      <c r="K49" s="75" t="s">
        <v>850</v>
      </c>
      <c r="L49" s="76">
        <v>43871</v>
      </c>
      <c r="M49" s="77">
        <f t="shared" ca="1" si="0"/>
        <v>45954</v>
      </c>
      <c r="N49" s="74" t="str">
        <f>_xlfn.IFNA(VLOOKUP(db_emp[[#This Row],[ID_DIV]],[1]!db_dpt[[Code_dpt]:[Departement]],2,0),"-")</f>
        <v>Engineering</v>
      </c>
      <c r="O49" s="74" t="str">
        <f>_xlfn.IFNA(VLOOKUP(db_emp[[#This Row],[ID_SDP]],[1]!db_div[[Code_div]:[Division]],2,0),"-")</f>
        <v>Admin</v>
      </c>
      <c r="P49" s="74" t="str">
        <f>_xlfn.IFNA(VLOOKUP(db_emp[[#This Row],[Code_lvl]],[1]!db_lvl[[#All],[ID_level]:[Leveling Name]],2,0),"-")</f>
        <v>Staff</v>
      </c>
      <c r="Q49" s="74" t="str">
        <f>_xlfn.IFNA(VLOOKUP(db_emp[[#This Row],[Code_site]],[1]!db_site[[ID_Site]:[Url_maps]],3,0),"-")</f>
        <v>Head Office - ASGO</v>
      </c>
      <c r="R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200180,'Ika Ayuni Putri','ENG','ADMIN','Admin Engineering','LV12','HQ - All','O99','Employee','2020-02-10','2025-10-24'</v>
      </c>
      <c r="S49" s="74">
        <f>db_emp[[#This Row],[NIP (UPDATE)]]</f>
        <v>200180</v>
      </c>
    </row>
    <row r="50" spans="2:19" hidden="1" x14ac:dyDescent="0.25">
      <c r="B50" s="75">
        <v>136</v>
      </c>
      <c r="C50" s="75">
        <v>231309</v>
      </c>
      <c r="D50" s="74" t="s">
        <v>914</v>
      </c>
      <c r="E50" s="75" t="s">
        <v>911</v>
      </c>
      <c r="F50" s="75" t="s">
        <v>912</v>
      </c>
      <c r="G50" s="74" t="s">
        <v>913</v>
      </c>
      <c r="H50" s="75" t="s">
        <v>853</v>
      </c>
      <c r="I50" s="74" t="s">
        <v>856</v>
      </c>
      <c r="J50" s="75" t="s">
        <v>315</v>
      </c>
      <c r="K50" s="75" t="s">
        <v>903</v>
      </c>
      <c r="L50" s="76">
        <v>43584</v>
      </c>
      <c r="M50" s="77">
        <f t="shared" ca="1" si="0"/>
        <v>45954</v>
      </c>
      <c r="N50" s="74" t="str">
        <f>_xlfn.IFNA(VLOOKUP(db_emp[[#This Row],[ID_DIV]],[1]!db_dpt[[Code_dpt]:[Departement]],2,0),"-")</f>
        <v>Engineering</v>
      </c>
      <c r="O50" s="74" t="str">
        <f>_xlfn.IFNA(VLOOKUP(db_emp[[#This Row],[ID_SDP]],[1]!db_div[[Code_div]:[Division]],2,0),"-")</f>
        <v>Admin</v>
      </c>
      <c r="P50" s="74" t="str">
        <f>_xlfn.IFNA(VLOOKUP(db_emp[[#This Row],[Code_lvl]],[1]!db_lvl[[#All],[ID_level]:[Leveling Name]],2,0),"-")</f>
        <v>Staff</v>
      </c>
      <c r="Q50" s="74" t="str">
        <f>_xlfn.IFNA(VLOOKUP(db_emp[[#This Row],[Code_site]],[1]!db_site[[ID_Site]:[Url_maps]],3,0),"-")</f>
        <v>Head Office - ASGO</v>
      </c>
      <c r="R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231309,'Febriana Eka Hermayati','ENG','ADMIN','Admin Engineering','LV12','HQ - All','O99','Resign','2019-04-29','2025-10-24'</v>
      </c>
      <c r="S50" s="74">
        <f>db_emp[[#This Row],[NIP (UPDATE)]]</f>
        <v>231309</v>
      </c>
    </row>
    <row r="51" spans="2:19" hidden="1" x14ac:dyDescent="0.25">
      <c r="B51" s="75">
        <v>740</v>
      </c>
      <c r="C51" s="75">
        <v>241382</v>
      </c>
      <c r="D51" s="74" t="s">
        <v>915</v>
      </c>
      <c r="E51" s="75" t="s">
        <v>916</v>
      </c>
      <c r="F51" s="75" t="s">
        <v>917</v>
      </c>
      <c r="G51" s="74" t="s">
        <v>918</v>
      </c>
      <c r="H51" s="75" t="s">
        <v>853</v>
      </c>
      <c r="I51" s="74" t="s">
        <v>864</v>
      </c>
      <c r="J51" s="75" t="s">
        <v>501</v>
      </c>
      <c r="K51" s="75" t="s">
        <v>850</v>
      </c>
      <c r="L51" s="76"/>
      <c r="M51" s="77">
        <f t="shared" ca="1" si="0"/>
        <v>45954</v>
      </c>
      <c r="N51" s="74" t="str">
        <f>_xlfn.IFNA(VLOOKUP(db_emp[[#This Row],[ID_DIV]],[1]!db_dpt[[Code_dpt]:[Departement]],2,0),"-")</f>
        <v>Property Management</v>
      </c>
      <c r="O51" s="74" t="str">
        <f>_xlfn.IFNA(VLOOKUP(db_emp[[#This Row],[ID_SDP]],[1]!db_div[[Code_div]:[Division]],2,0),"-")</f>
        <v>HSE</v>
      </c>
      <c r="P51" s="74" t="str">
        <f>_xlfn.IFNA(VLOOKUP(db_emp[[#This Row],[Code_lvl]],[1]!db_lvl[[#All],[ID_level]:[Leveling Name]],2,0),"-")</f>
        <v>Staff</v>
      </c>
      <c r="Q51" s="74" t="str">
        <f>_xlfn.IFNA(VLOOKUP(db_emp[[#This Row],[Code_site]],[1]!db_site[[ID_Site]:[Url_maps]],3,0),"-")</f>
        <v>Unit - District 8</v>
      </c>
      <c r="R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241382,'Ericha Salsabila Rudiantono','POM','HSEFT','Admin HSE Officer','LV12','Corp. Supporting Property (POM)','OD8','Employee','1900-01-00','2025-10-24'</v>
      </c>
      <c r="S51" s="74">
        <f>db_emp[[#This Row],[NIP (UPDATE)]]</f>
        <v>241382</v>
      </c>
    </row>
    <row r="52" spans="2:19" hidden="1" x14ac:dyDescent="0.25">
      <c r="B52" s="75">
        <v>196</v>
      </c>
      <c r="C52" s="75">
        <v>170311</v>
      </c>
      <c r="D52" s="74" t="s">
        <v>919</v>
      </c>
      <c r="E52" s="75" t="s">
        <v>920</v>
      </c>
      <c r="F52" s="75" t="s">
        <v>912</v>
      </c>
      <c r="G52" s="74" t="s">
        <v>921</v>
      </c>
      <c r="H52" s="75" t="s">
        <v>853</v>
      </c>
      <c r="I52" s="74" t="s">
        <v>849</v>
      </c>
      <c r="J52" s="75" t="s">
        <v>314</v>
      </c>
      <c r="K52" s="75" t="s">
        <v>850</v>
      </c>
      <c r="L52" s="76">
        <v>42837</v>
      </c>
      <c r="M52" s="77">
        <f t="shared" ca="1" si="0"/>
        <v>45954</v>
      </c>
      <c r="N52" s="74" t="str">
        <f>_xlfn.IFNA(VLOOKUP(db_emp[[#This Row],[ID_DIV]],[1]!db_dpt[[Code_dpt]:[Departement]],2,0),"-")</f>
        <v>Leasing</v>
      </c>
      <c r="O52" s="74" t="str">
        <f>_xlfn.IFNA(VLOOKUP(db_emp[[#This Row],[ID_SDP]],[1]!db_div[[Code_div]:[Division]],2,0),"-")</f>
        <v>Admin</v>
      </c>
      <c r="P52" s="74" t="str">
        <f>_xlfn.IFNA(VLOOKUP(db_emp[[#This Row],[Code_lvl]],[1]!db_lvl[[#All],[ID_level]:[Leveling Name]],2,0),"-")</f>
        <v>Staff</v>
      </c>
      <c r="Q52" s="74" t="str">
        <f>_xlfn.IFNA(VLOOKUP(db_emp[[#This Row],[Code_site]],[1]!db_site[[ID_Site]:[Url_maps]],3,0),"-")</f>
        <v>Unit - MOI</v>
      </c>
      <c r="R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170311,'Arbhy Yuansar Timor','LEA','ADMIN','Administration Staff','LV12','Mall &amp; Cinema','M02','Employee','2017-04-12','2025-10-24'</v>
      </c>
      <c r="S52" s="74">
        <f>db_emp[[#This Row],[NIP (UPDATE)]]</f>
        <v>170311</v>
      </c>
    </row>
    <row r="53" spans="2:19" hidden="1" x14ac:dyDescent="0.25">
      <c r="B53" s="75">
        <v>227</v>
      </c>
      <c r="C53" s="75">
        <v>230720</v>
      </c>
      <c r="D53" s="74" t="s">
        <v>922</v>
      </c>
      <c r="E53" s="75" t="s">
        <v>920</v>
      </c>
      <c r="F53" s="75" t="s">
        <v>912</v>
      </c>
      <c r="G53" s="74" t="s">
        <v>921</v>
      </c>
      <c r="H53" s="75" t="s">
        <v>853</v>
      </c>
      <c r="I53" s="74" t="s">
        <v>849</v>
      </c>
      <c r="J53" s="75" t="s">
        <v>314</v>
      </c>
      <c r="K53" s="75" t="s">
        <v>850</v>
      </c>
      <c r="L53" s="76">
        <v>45070</v>
      </c>
      <c r="M53" s="77">
        <f t="shared" ca="1" si="0"/>
        <v>45954</v>
      </c>
      <c r="N53" s="74" t="str">
        <f>_xlfn.IFNA(VLOOKUP(db_emp[[#This Row],[ID_DIV]],[1]!db_dpt[[Code_dpt]:[Departement]],2,0),"-")</f>
        <v>Leasing</v>
      </c>
      <c r="O53" s="74" t="str">
        <f>_xlfn.IFNA(VLOOKUP(db_emp[[#This Row],[ID_SDP]],[1]!db_div[[Code_div]:[Division]],2,0),"-")</f>
        <v>Admin</v>
      </c>
      <c r="P53" s="74" t="str">
        <f>_xlfn.IFNA(VLOOKUP(db_emp[[#This Row],[Code_lvl]],[1]!db_lvl[[#All],[ID_level]:[Leveling Name]],2,0),"-")</f>
        <v>Staff</v>
      </c>
      <c r="Q53" s="74" t="str">
        <f>_xlfn.IFNA(VLOOKUP(db_emp[[#This Row],[Code_site]],[1]!db_site[[ID_Site]:[Url_maps]],3,0),"-")</f>
        <v>Unit - MOI</v>
      </c>
      <c r="R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230720,'Clara Veronica','LEA','ADMIN','Administration Staff','LV12','Mall &amp; Cinema','M02','Employee','2023-05-24','2025-10-24'</v>
      </c>
      <c r="S53" s="74">
        <f>db_emp[[#This Row],[NIP (UPDATE)]]</f>
        <v>230720</v>
      </c>
    </row>
    <row r="54" spans="2:19" hidden="1" x14ac:dyDescent="0.25">
      <c r="B54" s="75">
        <v>379</v>
      </c>
      <c r="C54" s="75">
        <v>232100</v>
      </c>
      <c r="D54" s="74" t="s">
        <v>923</v>
      </c>
      <c r="E54" s="75" t="s">
        <v>920</v>
      </c>
      <c r="F54" s="75" t="s">
        <v>912</v>
      </c>
      <c r="G54" s="74" t="s">
        <v>921</v>
      </c>
      <c r="H54" s="75" t="s">
        <v>853</v>
      </c>
      <c r="I54" s="74" t="s">
        <v>486</v>
      </c>
      <c r="J54" s="75" t="s">
        <v>492</v>
      </c>
      <c r="K54" s="75" t="s">
        <v>903</v>
      </c>
      <c r="L54" s="76">
        <v>45250</v>
      </c>
      <c r="M54" s="77">
        <v>45868</v>
      </c>
      <c r="N54" s="74" t="str">
        <f>_xlfn.IFNA(VLOOKUP(db_emp[[#This Row],[ID_DIV]],[1]!db_dpt[[Code_dpt]:[Departement]],2,0),"-")</f>
        <v>Leasing</v>
      </c>
      <c r="O54" s="74" t="str">
        <f>_xlfn.IFNA(VLOOKUP(db_emp[[#This Row],[ID_SDP]],[1]!db_div[[Code_div]:[Division]],2,0),"-")</f>
        <v>Admin</v>
      </c>
      <c r="P54" s="74" t="str">
        <f>_xlfn.IFNA(VLOOKUP(db_emp[[#This Row],[Code_lvl]],[1]!db_lvl[[#All],[ID_level]:[Leveling Name]],2,0),"-")</f>
        <v>Staff</v>
      </c>
      <c r="Q54" s="74" t="str">
        <f>_xlfn.IFNA(VLOOKUP(db_emp[[#This Row],[Code_site]],[1]!db_site[[ID_Site]:[Url_maps]],3,0),"-")</f>
        <v>Unit - Hublife</v>
      </c>
      <c r="R54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232100,'Kinanthi Sekar Pinakesti','LEA','ADMIN','Administration Staff','LV12','Mall','M05','Resign','2023-11-20','2025-07-30'</v>
      </c>
      <c r="S54" s="74">
        <f>db_emp[[#This Row],[NIP (UPDATE)]]</f>
        <v>232100</v>
      </c>
    </row>
    <row r="55" spans="2:19" hidden="1" x14ac:dyDescent="0.25">
      <c r="B55" s="75">
        <v>142</v>
      </c>
      <c r="C55" s="75">
        <v>241814</v>
      </c>
      <c r="D55" s="74" t="s">
        <v>924</v>
      </c>
      <c r="E55" s="75" t="s">
        <v>920</v>
      </c>
      <c r="F55" s="75" t="s">
        <v>912</v>
      </c>
      <c r="G55" s="74" t="s">
        <v>925</v>
      </c>
      <c r="H55" s="75" t="s">
        <v>853</v>
      </c>
      <c r="I55" s="74" t="s">
        <v>849</v>
      </c>
      <c r="J55" s="75" t="s">
        <v>315</v>
      </c>
      <c r="K55" s="75" t="s">
        <v>850</v>
      </c>
      <c r="L55" s="76">
        <v>45572</v>
      </c>
      <c r="M55" s="77">
        <f t="shared" ref="M55:M113" ca="1" si="1">TODAY()+1</f>
        <v>45954</v>
      </c>
      <c r="N55" s="74" t="str">
        <f>_xlfn.IFNA(VLOOKUP(db_emp[[#This Row],[ID_DIV]],[1]!db_dpt[[Code_dpt]:[Departement]],2,0),"-")</f>
        <v>Leasing</v>
      </c>
      <c r="O55" s="74" t="str">
        <f>_xlfn.IFNA(VLOOKUP(db_emp[[#This Row],[ID_SDP]],[1]!db_div[[Code_div]:[Division]],2,0),"-")</f>
        <v>Admin</v>
      </c>
      <c r="P55" s="74" t="str">
        <f>_xlfn.IFNA(VLOOKUP(db_emp[[#This Row],[Code_lvl]],[1]!db_lvl[[#All],[ID_level]:[Leveling Name]],2,0),"-")</f>
        <v>Staff</v>
      </c>
      <c r="Q55" s="74" t="str">
        <f>_xlfn.IFNA(VLOOKUP(db_emp[[#This Row],[Code_site]],[1]!db_site[[ID_Site]:[Url_maps]],3,0),"-")</f>
        <v>Head Office - ASGO</v>
      </c>
      <c r="R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241814,'Priscilla Modena','LEA','ADMIN','Administration Team 1 Staff','LV12','Mall &amp; Cinema','O99','Employee','2024-10-07','2025-10-24'</v>
      </c>
      <c r="S55" s="74">
        <f>db_emp[[#This Row],[NIP (UPDATE)]]</f>
        <v>241814</v>
      </c>
    </row>
    <row r="56" spans="2:19" hidden="1" x14ac:dyDescent="0.25">
      <c r="B56" s="75">
        <v>199</v>
      </c>
      <c r="C56" s="75">
        <v>150984</v>
      </c>
      <c r="D56" s="74" t="s">
        <v>926</v>
      </c>
      <c r="E56" s="75" t="s">
        <v>927</v>
      </c>
      <c r="F56" s="75" t="s">
        <v>928</v>
      </c>
      <c r="G56" s="74" t="s">
        <v>929</v>
      </c>
      <c r="H56" s="75" t="s">
        <v>853</v>
      </c>
      <c r="I56" s="74" t="s">
        <v>849</v>
      </c>
      <c r="J56" s="75" t="s">
        <v>314</v>
      </c>
      <c r="K56" s="75" t="s">
        <v>850</v>
      </c>
      <c r="L56" s="76">
        <v>42314</v>
      </c>
      <c r="M56" s="77">
        <f t="shared" ca="1" si="1"/>
        <v>45954</v>
      </c>
      <c r="N56" s="74" t="str">
        <f>_xlfn.IFNA(VLOOKUP(db_emp[[#This Row],[ID_DIV]],[1]!db_dpt[[Code_dpt]:[Departement]],2,0),"-")</f>
        <v>Center Experience</v>
      </c>
      <c r="O56" s="74" t="str">
        <f>_xlfn.IFNA(VLOOKUP(db_emp[[#This Row],[ID_SDP]],[1]!db_div[[Code_div]:[Division]],2,0),"-")</f>
        <v>Advertising &amp; Shopping Promotion</v>
      </c>
      <c r="P56" s="74" t="str">
        <f>_xlfn.IFNA(VLOOKUP(db_emp[[#This Row],[Code_lvl]],[1]!db_lvl[[#All],[ID_level]:[Leveling Name]],2,0),"-")</f>
        <v>Staff</v>
      </c>
      <c r="Q56" s="74" t="str">
        <f>_xlfn.IFNA(VLOOKUP(db_emp[[#This Row],[Code_site]],[1]!db_site[[ID_Site]:[Url_maps]],3,0),"-")</f>
        <v>Unit - MOI</v>
      </c>
      <c r="R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150984,'Adelia Marcha Yunus','CEX','ADSPO','Advertising &amp; Shopping Promotion Staff','LV12','Mall &amp; Cinema','M02','Employee','2015-11-06','2025-10-24'</v>
      </c>
      <c r="S56" s="74">
        <f>db_emp[[#This Row],[NIP (UPDATE)]]</f>
        <v>150984</v>
      </c>
    </row>
    <row r="57" spans="2:19" hidden="1" x14ac:dyDescent="0.25">
      <c r="B57" s="75">
        <v>398</v>
      </c>
      <c r="C57" s="75">
        <v>240013</v>
      </c>
      <c r="D57" s="74" t="s">
        <v>930</v>
      </c>
      <c r="E57" s="75" t="s">
        <v>927</v>
      </c>
      <c r="F57" s="75" t="s">
        <v>928</v>
      </c>
      <c r="G57" s="74" t="s">
        <v>929</v>
      </c>
      <c r="H57" s="75" t="s">
        <v>853</v>
      </c>
      <c r="I57" s="74" t="s">
        <v>849</v>
      </c>
      <c r="J57" s="75" t="s">
        <v>316</v>
      </c>
      <c r="K57" s="75" t="s">
        <v>850</v>
      </c>
      <c r="L57" s="76">
        <v>43636</v>
      </c>
      <c r="M57" s="77">
        <f t="shared" ca="1" si="1"/>
        <v>45954</v>
      </c>
      <c r="N57" s="74" t="str">
        <f>_xlfn.IFNA(VLOOKUP(db_emp[[#This Row],[ID_DIV]],[1]!db_dpt[[Code_dpt]:[Departement]],2,0),"-")</f>
        <v>Center Experience</v>
      </c>
      <c r="O57" s="74" t="str">
        <f>_xlfn.IFNA(VLOOKUP(db_emp[[#This Row],[ID_SDP]],[1]!db_div[[Code_div]:[Division]],2,0),"-")</f>
        <v>Advertising &amp; Shopping Promotion</v>
      </c>
      <c r="P57" s="74" t="str">
        <f>_xlfn.IFNA(VLOOKUP(db_emp[[#This Row],[Code_lvl]],[1]!db_lvl[[#All],[ID_level]:[Leveling Name]],2,0),"-")</f>
        <v>Staff</v>
      </c>
      <c r="Q57" s="74" t="str">
        <f>_xlfn.IFNA(VLOOKUP(db_emp[[#This Row],[Code_site]],[1]!db_site[[ID_Site]:[Url_maps]],3,0),"-")</f>
        <v>Unit - GGP</v>
      </c>
      <c r="R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240013,'Yuriza Vidya Bramantio','CEX','ADSPO','Advertising &amp; Shopping Promotion Staff','LV12','Mall &amp; Cinema','M03','Employee','2019-06-20','2025-10-24'</v>
      </c>
      <c r="S57" s="74">
        <f>db_emp[[#This Row],[NIP (UPDATE)]]</f>
        <v>240013</v>
      </c>
    </row>
    <row r="58" spans="2:19" hidden="1" x14ac:dyDescent="0.25">
      <c r="B58" s="75">
        <v>427</v>
      </c>
      <c r="C58" s="75">
        <v>241612</v>
      </c>
      <c r="D58" s="74" t="s">
        <v>931</v>
      </c>
      <c r="E58" s="75" t="s">
        <v>927</v>
      </c>
      <c r="F58" s="75" t="s">
        <v>928</v>
      </c>
      <c r="G58" s="74" t="s">
        <v>929</v>
      </c>
      <c r="H58" s="75" t="s">
        <v>853</v>
      </c>
      <c r="I58" s="74" t="s">
        <v>849</v>
      </c>
      <c r="J58" s="75" t="s">
        <v>316</v>
      </c>
      <c r="K58" s="75" t="s">
        <v>862</v>
      </c>
      <c r="L58" s="76">
        <v>45539</v>
      </c>
      <c r="M58" s="77">
        <f t="shared" ca="1" si="1"/>
        <v>45954</v>
      </c>
      <c r="N58" s="74" t="str">
        <f>_xlfn.IFNA(VLOOKUP(db_emp[[#This Row],[ID_DIV]],[1]!db_dpt[[Code_dpt]:[Departement]],2,0),"-")</f>
        <v>Center Experience</v>
      </c>
      <c r="O58" s="74" t="str">
        <f>_xlfn.IFNA(VLOOKUP(db_emp[[#This Row],[ID_SDP]],[1]!db_div[[Code_div]:[Division]],2,0),"-")</f>
        <v>Advertising &amp; Shopping Promotion</v>
      </c>
      <c r="P58" s="74" t="str">
        <f>_xlfn.IFNA(VLOOKUP(db_emp[[#This Row],[Code_lvl]],[1]!db_lvl[[#All],[ID_level]:[Leveling Name]],2,0),"-")</f>
        <v>Staff</v>
      </c>
      <c r="Q58" s="74" t="str">
        <f>_xlfn.IFNA(VLOOKUP(db_emp[[#This Row],[Code_site]],[1]!db_site[[ID_Site]:[Url_maps]],3,0),"-")</f>
        <v>Unit - GGP</v>
      </c>
      <c r="R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241612,'Maria Rosa Angelica Djawa Meka ','CEX','ADSPO','Advertising &amp; Shopping Promotion Staff','LV12','Mall &amp; Cinema','M03','Not Employee','2024-09-04','2025-10-24'</v>
      </c>
      <c r="S58" s="74">
        <f>db_emp[[#This Row],[NIP (UPDATE)]]</f>
        <v>241612</v>
      </c>
    </row>
    <row r="59" spans="2:19" hidden="1" x14ac:dyDescent="0.25">
      <c r="B59" s="75">
        <v>376</v>
      </c>
      <c r="C59" s="75">
        <v>210549</v>
      </c>
      <c r="D59" s="74" t="s">
        <v>932</v>
      </c>
      <c r="E59" s="75" t="s">
        <v>927</v>
      </c>
      <c r="F59" s="75" t="s">
        <v>928</v>
      </c>
      <c r="G59" s="74" t="s">
        <v>933</v>
      </c>
      <c r="H59" s="75" t="s">
        <v>853</v>
      </c>
      <c r="I59" s="74" t="s">
        <v>486</v>
      </c>
      <c r="J59" s="75" t="s">
        <v>492</v>
      </c>
      <c r="K59" s="75" t="s">
        <v>850</v>
      </c>
      <c r="L59" s="76">
        <v>44378</v>
      </c>
      <c r="M59" s="77">
        <f t="shared" ca="1" si="1"/>
        <v>45954</v>
      </c>
      <c r="N59" s="74" t="str">
        <f>_xlfn.IFNA(VLOOKUP(db_emp[[#This Row],[ID_DIV]],[1]!db_dpt[[Code_dpt]:[Departement]],2,0),"-")</f>
        <v>Center Experience</v>
      </c>
      <c r="O59" s="74" t="str">
        <f>_xlfn.IFNA(VLOOKUP(db_emp[[#This Row],[ID_SDP]],[1]!db_div[[Code_div]:[Division]],2,0),"-")</f>
        <v>Advertising &amp; Shopping Promotion</v>
      </c>
      <c r="P59" s="74" t="str">
        <f>_xlfn.IFNA(VLOOKUP(db_emp[[#This Row],[Code_lvl]],[1]!db_lvl[[#All],[ID_level]:[Leveling Name]],2,0),"-")</f>
        <v>Staff</v>
      </c>
      <c r="Q59" s="74" t="str">
        <f>_xlfn.IFNA(VLOOKUP(db_emp[[#This Row],[Code_site]],[1]!db_site[[ID_Site]:[Url_maps]],3,0),"-")</f>
        <v>Unit - Hublife</v>
      </c>
      <c r="R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210549,'Ulfa Yani','CEX','ADSPO','Advertising &amp; Shopping Promotion Staff  ','LV12','Mall','M05','Employee','2021-07-01','2025-10-24'</v>
      </c>
      <c r="S59" s="74">
        <f>db_emp[[#This Row],[NIP (UPDATE)]]</f>
        <v>210549</v>
      </c>
    </row>
    <row r="60" spans="2:19" hidden="1" x14ac:dyDescent="0.25">
      <c r="B60" s="75">
        <v>470</v>
      </c>
      <c r="C60" s="75">
        <v>220922</v>
      </c>
      <c r="D60" s="74" t="s">
        <v>934</v>
      </c>
      <c r="E60" s="75" t="s">
        <v>927</v>
      </c>
      <c r="F60" s="75" t="s">
        <v>928</v>
      </c>
      <c r="G60" s="74" t="s">
        <v>933</v>
      </c>
      <c r="H60" s="75" t="s">
        <v>853</v>
      </c>
      <c r="I60" s="74" t="s">
        <v>849</v>
      </c>
      <c r="J60" s="75" t="s">
        <v>490</v>
      </c>
      <c r="K60" s="75" t="s">
        <v>850</v>
      </c>
      <c r="L60" s="76">
        <v>44741</v>
      </c>
      <c r="M60" s="77">
        <f t="shared" ca="1" si="1"/>
        <v>45954</v>
      </c>
      <c r="N60" s="74" t="str">
        <f>_xlfn.IFNA(VLOOKUP(db_emp[[#This Row],[ID_DIV]],[1]!db_dpt[[Code_dpt]:[Departement]],2,0),"-")</f>
        <v>Center Experience</v>
      </c>
      <c r="O60" s="74" t="str">
        <f>_xlfn.IFNA(VLOOKUP(db_emp[[#This Row],[ID_SDP]],[1]!db_div[[Code_div]:[Division]],2,0),"-")</f>
        <v>Advertising &amp; Shopping Promotion</v>
      </c>
      <c r="P60" s="74" t="str">
        <f>_xlfn.IFNA(VLOOKUP(db_emp[[#This Row],[Code_lvl]],[1]!db_lvl[[#All],[ID_level]:[Leveling Name]],2,0),"-")</f>
        <v>Staff</v>
      </c>
      <c r="Q60" s="74" t="str">
        <f>_xlfn.IFNA(VLOOKUP(db_emp[[#This Row],[Code_site]],[1]!db_site[[ID_Site]:[Url_maps]],3,0),"-")</f>
        <v>Unit - ASHTA</v>
      </c>
      <c r="R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220922,'Cessha Fatimah Adinda Putri','CEX','ADSPO','Advertising &amp; Shopping Promotion Staff  ','LV12','Mall &amp; Cinema','M04','Employee','2022-06-29','2025-10-24'</v>
      </c>
      <c r="S60" s="74">
        <f>db_emp[[#This Row],[NIP (UPDATE)]]</f>
        <v>220922</v>
      </c>
    </row>
    <row r="61" spans="2:19" hidden="1" x14ac:dyDescent="0.25">
      <c r="B61" s="75">
        <v>200</v>
      </c>
      <c r="C61" s="75">
        <v>200402</v>
      </c>
      <c r="D61" s="74" t="s">
        <v>935</v>
      </c>
      <c r="E61" s="75" t="s">
        <v>927</v>
      </c>
      <c r="F61" s="75" t="s">
        <v>928</v>
      </c>
      <c r="G61" s="74" t="s">
        <v>936</v>
      </c>
      <c r="H61" s="75" t="s">
        <v>870</v>
      </c>
      <c r="I61" s="74" t="s">
        <v>849</v>
      </c>
      <c r="J61" s="75" t="s">
        <v>314</v>
      </c>
      <c r="K61" s="75" t="s">
        <v>850</v>
      </c>
      <c r="L61" s="76">
        <v>44025</v>
      </c>
      <c r="M61" s="77">
        <f t="shared" ca="1" si="1"/>
        <v>45954</v>
      </c>
      <c r="N61" s="74" t="str">
        <f>_xlfn.IFNA(VLOOKUP(db_emp[[#This Row],[ID_DIV]],[1]!db_dpt[[Code_dpt]:[Departement]],2,0),"-")</f>
        <v>Center Experience</v>
      </c>
      <c r="O61" s="74" t="str">
        <f>_xlfn.IFNA(VLOOKUP(db_emp[[#This Row],[ID_SDP]],[1]!db_div[[Code_div]:[Division]],2,0),"-")</f>
        <v>Advertising &amp; Shopping Promotion</v>
      </c>
      <c r="P61" s="74" t="str">
        <f>_xlfn.IFNA(VLOOKUP(db_emp[[#This Row],[Code_lvl]],[1]!db_lvl[[#All],[ID_level]:[Leveling Name]],2,0),"-")</f>
        <v>Supervisor</v>
      </c>
      <c r="Q61" s="74" t="str">
        <f>_xlfn.IFNA(VLOOKUP(db_emp[[#This Row],[Code_site]],[1]!db_site[[ID_Site]:[Url_maps]],3,0),"-")</f>
        <v>Unit - MOI</v>
      </c>
      <c r="R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200402,'Inez Sutjiadi','CEX','ADSPO','Advertising &amp; Shopping Promotion Supervisor','LV09','Mall &amp; Cinema','M02','Employee','2020-07-13','2025-10-24'</v>
      </c>
      <c r="S61" s="74">
        <f>db_emp[[#This Row],[NIP (UPDATE)]]</f>
        <v>200402</v>
      </c>
    </row>
    <row r="62" spans="2:19" hidden="1" x14ac:dyDescent="0.25">
      <c r="B62" s="75">
        <v>294</v>
      </c>
      <c r="C62" s="75">
        <v>171088</v>
      </c>
      <c r="D62" s="74" t="s">
        <v>937</v>
      </c>
      <c r="E62" s="75" t="s">
        <v>927</v>
      </c>
      <c r="F62" s="75" t="s">
        <v>928</v>
      </c>
      <c r="G62" s="74" t="s">
        <v>936</v>
      </c>
      <c r="H62" s="75" t="s">
        <v>870</v>
      </c>
      <c r="I62" s="74" t="s">
        <v>849</v>
      </c>
      <c r="J62" s="75" t="s">
        <v>484</v>
      </c>
      <c r="K62" s="75" t="s">
        <v>850</v>
      </c>
      <c r="L62" s="76">
        <v>43059</v>
      </c>
      <c r="M62" s="77">
        <f t="shared" ca="1" si="1"/>
        <v>45954</v>
      </c>
      <c r="N62" s="74" t="str">
        <f>_xlfn.IFNA(VLOOKUP(db_emp[[#This Row],[ID_DIV]],[1]!db_dpt[[Code_dpt]:[Departement]],2,0),"-")</f>
        <v>Center Experience</v>
      </c>
      <c r="O62" s="74" t="str">
        <f>_xlfn.IFNA(VLOOKUP(db_emp[[#This Row],[ID_SDP]],[1]!db_div[[Code_div]:[Division]],2,0),"-")</f>
        <v>Advertising &amp; Shopping Promotion</v>
      </c>
      <c r="P62" s="74" t="str">
        <f>_xlfn.IFNA(VLOOKUP(db_emp[[#This Row],[Code_lvl]],[1]!db_lvl[[#All],[ID_level]:[Leveling Name]],2,0),"-")</f>
        <v>Supervisor</v>
      </c>
      <c r="Q62" s="74" t="str">
        <f>_xlfn.IFNA(VLOOKUP(db_emp[[#This Row],[Code_site]],[1]!db_site[[ID_Site]:[Url_maps]],3,0),"-")</f>
        <v>Unit - PIK Avenue</v>
      </c>
      <c r="R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171088,'Vera Lidia Simanjuntak','CEX','ADSPO','Advertising &amp; Shopping Promotion Supervisor','LV09','Mall &amp; Cinema','M01','Employee','2017-11-20','2025-10-24'</v>
      </c>
      <c r="S62" s="74">
        <f>db_emp[[#This Row],[NIP (UPDATE)]]</f>
        <v>171088</v>
      </c>
    </row>
    <row r="63" spans="2:19" hidden="1" x14ac:dyDescent="0.25">
      <c r="B63" s="75">
        <v>298</v>
      </c>
      <c r="C63" s="75">
        <v>181122</v>
      </c>
      <c r="D63" s="74" t="s">
        <v>938</v>
      </c>
      <c r="E63" s="75" t="s">
        <v>927</v>
      </c>
      <c r="F63" s="75" t="s">
        <v>928</v>
      </c>
      <c r="G63" s="74" t="s">
        <v>936</v>
      </c>
      <c r="H63" s="75" t="s">
        <v>870</v>
      </c>
      <c r="I63" s="74" t="s">
        <v>849</v>
      </c>
      <c r="J63" s="75" t="s">
        <v>484</v>
      </c>
      <c r="K63" s="75" t="s">
        <v>850</v>
      </c>
      <c r="L63" s="76">
        <v>43346</v>
      </c>
      <c r="M63" s="77">
        <f t="shared" ca="1" si="1"/>
        <v>45954</v>
      </c>
      <c r="N63" s="74" t="str">
        <f>_xlfn.IFNA(VLOOKUP(db_emp[[#This Row],[ID_DIV]],[1]!db_dpt[[Code_dpt]:[Departement]],2,0),"-")</f>
        <v>Center Experience</v>
      </c>
      <c r="O63" s="74" t="str">
        <f>_xlfn.IFNA(VLOOKUP(db_emp[[#This Row],[ID_SDP]],[1]!db_div[[Code_div]:[Division]],2,0),"-")</f>
        <v>Advertising &amp; Shopping Promotion</v>
      </c>
      <c r="P63" s="74" t="str">
        <f>_xlfn.IFNA(VLOOKUP(db_emp[[#This Row],[Code_lvl]],[1]!db_lvl[[#All],[ID_level]:[Leveling Name]],2,0),"-")</f>
        <v>Supervisor</v>
      </c>
      <c r="Q63" s="74" t="str">
        <f>_xlfn.IFNA(VLOOKUP(db_emp[[#This Row],[Code_site]],[1]!db_site[[ID_Site]:[Url_maps]],3,0),"-")</f>
        <v>Unit - PIK Avenue</v>
      </c>
      <c r="R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181122,'Dhany Andreas','CEX','ADSPO','Advertising &amp; Shopping Promotion Supervisor','LV09','Mall &amp; Cinema','M01','Employee','2018-09-03','2025-10-24'</v>
      </c>
      <c r="S63" s="74">
        <f>db_emp[[#This Row],[NIP (UPDATE)]]</f>
        <v>181122</v>
      </c>
    </row>
    <row r="64" spans="2:19" hidden="1" x14ac:dyDescent="0.25">
      <c r="B64" s="75">
        <v>290</v>
      </c>
      <c r="C64" s="75">
        <v>180745</v>
      </c>
      <c r="D64" s="74" t="s">
        <v>939</v>
      </c>
      <c r="E64" s="75" t="s">
        <v>940</v>
      </c>
      <c r="F64" s="75" t="s">
        <v>941</v>
      </c>
      <c r="G64" s="74" t="s">
        <v>942</v>
      </c>
      <c r="H64" s="75" t="s">
        <v>848</v>
      </c>
      <c r="I64" s="74" t="s">
        <v>849</v>
      </c>
      <c r="J64" s="75" t="s">
        <v>484</v>
      </c>
      <c r="K64" s="75" t="s">
        <v>850</v>
      </c>
      <c r="L64" s="76">
        <v>43238</v>
      </c>
      <c r="M64" s="77">
        <f t="shared" ca="1" si="1"/>
        <v>45954</v>
      </c>
      <c r="N64" s="74" t="str">
        <f>_xlfn.IFNA(VLOOKUP(db_emp[[#This Row],[ID_DIV]],[1]!db_dpt[[Code_dpt]:[Departement]],2,0),"-")</f>
        <v>Digital Media &amp; Community</v>
      </c>
      <c r="O64" s="74" t="str">
        <f>_xlfn.IFNA(VLOOKUP(db_emp[[#This Row],[ID_SDP]],[1]!db_div[[Code_div]:[Division]],2,0),"-")</f>
        <v>ASRI Living</v>
      </c>
      <c r="P64" s="74" t="str">
        <f>_xlfn.IFNA(VLOOKUP(db_emp[[#This Row],[Code_lvl]],[1]!db_lvl[[#All],[ID_level]:[Leveling Name]],2,0),"-")</f>
        <v>Assistant Manager</v>
      </c>
      <c r="Q64" s="74" t="str">
        <f>_xlfn.IFNA(VLOOKUP(db_emp[[#This Row],[Code_site]],[1]!db_site[[ID_Site]:[Url_maps]],3,0),"-")</f>
        <v>Unit - PIK Avenue</v>
      </c>
      <c r="R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180745,'Edward Zico','DMC','ASLIV','ASRI Living Assistant Manager','LV07','Mall &amp; Cinema','M01','Employee','2018-05-18','2025-10-24'</v>
      </c>
      <c r="S64" s="74">
        <f>db_emp[[#This Row],[NIP (UPDATE)]]</f>
        <v>180745</v>
      </c>
    </row>
    <row r="65" spans="2:19" hidden="1" x14ac:dyDescent="0.25">
      <c r="B65" s="75">
        <v>73</v>
      </c>
      <c r="C65" s="75">
        <v>221292</v>
      </c>
      <c r="D65" s="74" t="s">
        <v>943</v>
      </c>
      <c r="E65" s="75" t="s">
        <v>940</v>
      </c>
      <c r="F65" s="75" t="s">
        <v>941</v>
      </c>
      <c r="G65" s="74" t="s">
        <v>944</v>
      </c>
      <c r="H65" s="75" t="s">
        <v>853</v>
      </c>
      <c r="I65" s="74" t="s">
        <v>849</v>
      </c>
      <c r="J65" s="75" t="s">
        <v>315</v>
      </c>
      <c r="K65" s="75" t="s">
        <v>850</v>
      </c>
      <c r="L65" s="76">
        <v>44809</v>
      </c>
      <c r="M65" s="77">
        <f t="shared" ca="1" si="1"/>
        <v>45954</v>
      </c>
      <c r="N65" s="74" t="str">
        <f>_xlfn.IFNA(VLOOKUP(db_emp[[#This Row],[ID_DIV]],[1]!db_dpt[[Code_dpt]:[Departement]],2,0),"-")</f>
        <v>Digital Media &amp; Community</v>
      </c>
      <c r="O65" s="74" t="str">
        <f>_xlfn.IFNA(VLOOKUP(db_emp[[#This Row],[ID_SDP]],[1]!db_div[[Code_div]:[Division]],2,0),"-")</f>
        <v>ASRI Living</v>
      </c>
      <c r="P65" s="74" t="str">
        <f>_xlfn.IFNA(VLOOKUP(db_emp[[#This Row],[Code_lvl]],[1]!db_lvl[[#All],[ID_level]:[Leveling Name]],2,0),"-")</f>
        <v>Staff</v>
      </c>
      <c r="Q65" s="74" t="str">
        <f>_xlfn.IFNA(VLOOKUP(db_emp[[#This Row],[Code_site]],[1]!db_site[[ID_Site]:[Url_maps]],3,0),"-")</f>
        <v>Head Office - ASGO</v>
      </c>
      <c r="R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221292,'Nurfika Nabilla Oktaviani','DMC','ASLIV','ASRI Living Staff','LV12','Mall &amp; Cinema','O99','Employee','2022-09-05','2025-10-24'</v>
      </c>
      <c r="S65" s="74">
        <f>db_emp[[#This Row],[NIP (UPDATE)]]</f>
        <v>221292</v>
      </c>
    </row>
    <row r="66" spans="2:19" hidden="1" x14ac:dyDescent="0.25">
      <c r="B66" s="75">
        <v>291</v>
      </c>
      <c r="C66" s="75">
        <v>210543</v>
      </c>
      <c r="D66" s="74" t="s">
        <v>945</v>
      </c>
      <c r="E66" s="75" t="s">
        <v>940</v>
      </c>
      <c r="F66" s="75" t="s">
        <v>941</v>
      </c>
      <c r="G66" s="74" t="s">
        <v>944</v>
      </c>
      <c r="H66" s="75" t="s">
        <v>885</v>
      </c>
      <c r="I66" s="74" t="s">
        <v>849</v>
      </c>
      <c r="J66" s="75" t="s">
        <v>484</v>
      </c>
      <c r="K66" s="75" t="s">
        <v>850</v>
      </c>
      <c r="L66" s="76">
        <v>44389</v>
      </c>
      <c r="M66" s="77">
        <f t="shared" ca="1" si="1"/>
        <v>45954</v>
      </c>
      <c r="N66" s="74" t="str">
        <f>_xlfn.IFNA(VLOOKUP(db_emp[[#This Row],[ID_DIV]],[1]!db_dpt[[Code_dpt]:[Departement]],2,0),"-")</f>
        <v>Digital Media &amp; Community</v>
      </c>
      <c r="O66" s="74" t="str">
        <f>_xlfn.IFNA(VLOOKUP(db_emp[[#This Row],[ID_SDP]],[1]!db_div[[Code_div]:[Division]],2,0),"-")</f>
        <v>ASRI Living</v>
      </c>
      <c r="P66" s="74" t="str">
        <f>_xlfn.IFNA(VLOOKUP(db_emp[[#This Row],[Code_lvl]],[1]!db_lvl[[#All],[ID_level]:[Leveling Name]],2,0),"-")</f>
        <v>Senior Staff</v>
      </c>
      <c r="Q66" s="74" t="str">
        <f>_xlfn.IFNA(VLOOKUP(db_emp[[#This Row],[Code_site]],[1]!db_site[[ID_Site]:[Url_maps]],3,0),"-")</f>
        <v>Unit - PIK Avenue</v>
      </c>
      <c r="R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210543,'Nia Utami Rachmawati','DMC','ASLIV','ASRI Living Staff','LV11','Mall &amp; Cinema','M01','Employee','2021-07-12','2025-10-24'</v>
      </c>
      <c r="S66" s="74">
        <f>db_emp[[#This Row],[NIP (UPDATE)]]</f>
        <v>210543</v>
      </c>
    </row>
    <row r="67" spans="2:19" hidden="1" x14ac:dyDescent="0.25">
      <c r="B67" s="75">
        <v>292</v>
      </c>
      <c r="C67" s="75">
        <v>220942</v>
      </c>
      <c r="D67" s="74" t="s">
        <v>946</v>
      </c>
      <c r="E67" s="75" t="s">
        <v>940</v>
      </c>
      <c r="F67" s="75" t="s">
        <v>941</v>
      </c>
      <c r="G67" s="74" t="s">
        <v>944</v>
      </c>
      <c r="H67" s="75" t="s">
        <v>853</v>
      </c>
      <c r="I67" s="74" t="s">
        <v>849</v>
      </c>
      <c r="J67" s="75" t="s">
        <v>484</v>
      </c>
      <c r="K67" s="75" t="s">
        <v>850</v>
      </c>
      <c r="L67" s="76">
        <v>44743</v>
      </c>
      <c r="M67" s="77">
        <f t="shared" ca="1" si="1"/>
        <v>45954</v>
      </c>
      <c r="N67" s="74" t="str">
        <f>_xlfn.IFNA(VLOOKUP(db_emp[[#This Row],[ID_DIV]],[1]!db_dpt[[Code_dpt]:[Departement]],2,0),"-")</f>
        <v>Digital Media &amp; Community</v>
      </c>
      <c r="O67" s="74" t="str">
        <f>_xlfn.IFNA(VLOOKUP(db_emp[[#This Row],[ID_SDP]],[1]!db_div[[Code_div]:[Division]],2,0),"-")</f>
        <v>ASRI Living</v>
      </c>
      <c r="P67" s="74" t="str">
        <f>_xlfn.IFNA(VLOOKUP(db_emp[[#This Row],[Code_lvl]],[1]!db_lvl[[#All],[ID_level]:[Leveling Name]],2,0),"-")</f>
        <v>Staff</v>
      </c>
      <c r="Q67" s="74" t="str">
        <f>_xlfn.IFNA(VLOOKUP(db_emp[[#This Row],[Code_site]],[1]!db_site[[ID_Site]:[Url_maps]],3,0),"-")</f>
        <v>Unit - PIK Avenue</v>
      </c>
      <c r="R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220942,'Rachmat Teguh Widiantoro','DMC','ASLIV','ASRI Living Staff','LV12','Mall &amp; Cinema','M01','Employee','2022-07-01','2025-10-24'</v>
      </c>
      <c r="S67" s="74">
        <f>db_emp[[#This Row],[NIP (UPDATE)]]</f>
        <v>220942</v>
      </c>
    </row>
    <row r="68" spans="2:19" hidden="1" x14ac:dyDescent="0.25">
      <c r="B68" s="75">
        <v>403</v>
      </c>
      <c r="C68" s="75">
        <v>221632</v>
      </c>
      <c r="D68" s="74" t="s">
        <v>947</v>
      </c>
      <c r="E68" s="75" t="s">
        <v>940</v>
      </c>
      <c r="F68" s="75" t="s">
        <v>941</v>
      </c>
      <c r="G68" s="74" t="s">
        <v>944</v>
      </c>
      <c r="H68" s="75" t="s">
        <v>853</v>
      </c>
      <c r="I68" s="74" t="s">
        <v>849</v>
      </c>
      <c r="J68" s="75" t="s">
        <v>316</v>
      </c>
      <c r="K68" s="75" t="s">
        <v>850</v>
      </c>
      <c r="L68" s="76">
        <v>44872</v>
      </c>
      <c r="M68" s="77">
        <f t="shared" ca="1" si="1"/>
        <v>45954</v>
      </c>
      <c r="N68" s="74" t="str">
        <f>_xlfn.IFNA(VLOOKUP(db_emp[[#This Row],[ID_DIV]],[1]!db_dpt[[Code_dpt]:[Departement]],2,0),"-")</f>
        <v>Digital Media &amp; Community</v>
      </c>
      <c r="O68" s="74" t="str">
        <f>_xlfn.IFNA(VLOOKUP(db_emp[[#This Row],[ID_SDP]],[1]!db_div[[Code_div]:[Division]],2,0),"-")</f>
        <v>ASRI Living</v>
      </c>
      <c r="P68" s="74" t="str">
        <f>_xlfn.IFNA(VLOOKUP(db_emp[[#This Row],[Code_lvl]],[1]!db_lvl[[#All],[ID_level]:[Leveling Name]],2,0),"-")</f>
        <v>Staff</v>
      </c>
      <c r="Q68" s="74" t="str">
        <f>_xlfn.IFNA(VLOOKUP(db_emp[[#This Row],[Code_site]],[1]!db_site[[ID_Site]:[Url_maps]],3,0),"-")</f>
        <v>Unit - GGP</v>
      </c>
      <c r="R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221632,'Yos Dora Cristy Girsang','DMC','ASLIV','ASRI Living Staff','LV12','Mall &amp; Cinema','M03','Employee','2022-11-07','2025-10-24'</v>
      </c>
      <c r="S68" s="74">
        <f>db_emp[[#This Row],[NIP (UPDATE)]]</f>
        <v>221632</v>
      </c>
    </row>
    <row r="69" spans="2:19" hidden="1" x14ac:dyDescent="0.25">
      <c r="B69" s="75">
        <v>24</v>
      </c>
      <c r="C69" s="75">
        <v>141045</v>
      </c>
      <c r="D69" s="74" t="s">
        <v>948</v>
      </c>
      <c r="E69" s="75" t="s">
        <v>845</v>
      </c>
      <c r="F69" s="75" t="s">
        <v>949</v>
      </c>
      <c r="G69" s="74" t="s">
        <v>950</v>
      </c>
      <c r="H69" s="75" t="s">
        <v>848</v>
      </c>
      <c r="I69" s="74" t="s">
        <v>856</v>
      </c>
      <c r="J69" s="75" t="s">
        <v>315</v>
      </c>
      <c r="K69" s="75" t="s">
        <v>850</v>
      </c>
      <c r="L69" s="76">
        <v>41906</v>
      </c>
      <c r="M69" s="77">
        <f t="shared" ca="1" si="1"/>
        <v>45954</v>
      </c>
      <c r="N69" s="74" t="str">
        <f>_xlfn.IFNA(VLOOKUP(db_emp[[#This Row],[ID_DIV]],[1]!db_dpt[[Code_dpt]:[Departement]],2,0),"-")</f>
        <v>Finance &amp; Accounting</v>
      </c>
      <c r="O69" s="74" t="str">
        <f>_xlfn.IFNA(VLOOKUP(db_emp[[#This Row],[ID_SDP]],[1]!db_div[[Code_div]:[Division]],2,0),"-")</f>
        <v>Asset Management &amp; Controller</v>
      </c>
      <c r="P69" s="74" t="str">
        <f>_xlfn.IFNA(VLOOKUP(db_emp[[#This Row],[Code_lvl]],[1]!db_lvl[[#All],[ID_level]:[Leveling Name]],2,0),"-")</f>
        <v>Assistant Manager</v>
      </c>
      <c r="Q69" s="74" t="str">
        <f>_xlfn.IFNA(VLOOKUP(db_emp[[#This Row],[Code_site]],[1]!db_site[[ID_Site]:[Url_maps]],3,0),"-")</f>
        <v>Head Office - ASGO</v>
      </c>
      <c r="R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141045,'Galih Rizky Kurniawan','FIN','AMCTR','Asset Management &amp; Controller Assistant Manager','LV07','HQ - All','O99','Employee','2014-09-24','2025-10-24'</v>
      </c>
      <c r="S69" s="74">
        <f>db_emp[[#This Row],[NIP (UPDATE)]]</f>
        <v>141045</v>
      </c>
    </row>
    <row r="70" spans="2:19" hidden="1" x14ac:dyDescent="0.25">
      <c r="B70" s="75">
        <v>3</v>
      </c>
      <c r="C70" s="75">
        <v>170149</v>
      </c>
      <c r="D70" s="74" t="s">
        <v>951</v>
      </c>
      <c r="E70" s="75" t="s">
        <v>845</v>
      </c>
      <c r="F70" s="75" t="s">
        <v>949</v>
      </c>
      <c r="G70" s="74" t="s">
        <v>952</v>
      </c>
      <c r="H70" s="75" t="s">
        <v>953</v>
      </c>
      <c r="I70" s="74" t="s">
        <v>856</v>
      </c>
      <c r="J70" s="75" t="s">
        <v>315</v>
      </c>
      <c r="K70" s="75" t="s">
        <v>850</v>
      </c>
      <c r="L70" s="76">
        <v>42786</v>
      </c>
      <c r="M70" s="77">
        <f t="shared" ca="1" si="1"/>
        <v>45954</v>
      </c>
      <c r="N70" s="74" t="str">
        <f>_xlfn.IFNA(VLOOKUP(db_emp[[#This Row],[ID_DIV]],[1]!db_dpt[[Code_dpt]:[Departement]],2,0),"-")</f>
        <v>Finance &amp; Accounting</v>
      </c>
      <c r="O70" s="74" t="str">
        <f>_xlfn.IFNA(VLOOKUP(db_emp[[#This Row],[ID_SDP]],[1]!db_div[[Code_div]:[Division]],2,0),"-")</f>
        <v>Asset Management &amp; Controller</v>
      </c>
      <c r="P70" s="74" t="str">
        <f>_xlfn.IFNA(VLOOKUP(db_emp[[#This Row],[Code_lvl]],[1]!db_lvl[[#All],[ID_level]:[Leveling Name]],2,0),"-")</f>
        <v>Manager</v>
      </c>
      <c r="Q70" s="74" t="str">
        <f>_xlfn.IFNA(VLOOKUP(db_emp[[#This Row],[Code_site]],[1]!db_site[[ID_Site]:[Url_maps]],3,0),"-")</f>
        <v>Head Office - ASGO</v>
      </c>
      <c r="R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170149,'Eduarda Cynthia Dewi Mulyadi','FIN','AMCTR','Asset Management &amp; Controller Manager','LV05','HQ - All','O99','Employee','2017-02-20','2025-10-24'</v>
      </c>
      <c r="S70" s="74">
        <f>db_emp[[#This Row],[NIP (UPDATE)]]</f>
        <v>170149</v>
      </c>
    </row>
    <row r="71" spans="2:19" hidden="1" x14ac:dyDescent="0.25">
      <c r="B71" s="75">
        <v>60</v>
      </c>
      <c r="C71" s="75">
        <v>220145</v>
      </c>
      <c r="D71" s="74" t="s">
        <v>954</v>
      </c>
      <c r="E71" s="75" t="s">
        <v>845</v>
      </c>
      <c r="F71" s="75" t="s">
        <v>949</v>
      </c>
      <c r="G71" s="74" t="s">
        <v>955</v>
      </c>
      <c r="H71" s="75" t="s">
        <v>853</v>
      </c>
      <c r="I71" s="74" t="s">
        <v>849</v>
      </c>
      <c r="J71" s="75" t="s">
        <v>315</v>
      </c>
      <c r="K71" s="75" t="s">
        <v>850</v>
      </c>
      <c r="L71" s="76">
        <v>44594</v>
      </c>
      <c r="M71" s="77">
        <f t="shared" ca="1" si="1"/>
        <v>45954</v>
      </c>
      <c r="N71" s="74" t="str">
        <f>_xlfn.IFNA(VLOOKUP(db_emp[[#This Row],[ID_DIV]],[1]!db_dpt[[Code_dpt]:[Departement]],2,0),"-")</f>
        <v>Finance &amp; Accounting</v>
      </c>
      <c r="O71" s="74" t="str">
        <f>_xlfn.IFNA(VLOOKUP(db_emp[[#This Row],[ID_SDP]],[1]!db_div[[Code_div]:[Division]],2,0),"-")</f>
        <v>Asset Management &amp; Controller</v>
      </c>
      <c r="P71" s="74" t="str">
        <f>_xlfn.IFNA(VLOOKUP(db_emp[[#This Row],[Code_lvl]],[1]!db_lvl[[#All],[ID_level]:[Leveling Name]],2,0),"-")</f>
        <v>Staff</v>
      </c>
      <c r="Q71" s="74" t="str">
        <f>_xlfn.IFNA(VLOOKUP(db_emp[[#This Row],[Code_site]],[1]!db_site[[ID_Site]:[Url_maps]],3,0),"-")</f>
        <v>Head Office - ASGO</v>
      </c>
      <c r="R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220145,'Vini Sabila Rahma','FIN','AMCTR','Asset Management &amp; Controller Staff','LV12','Mall &amp; Cinema','O99','Employee','2022-02-02','2025-10-24'</v>
      </c>
      <c r="S71" s="74">
        <f>db_emp[[#This Row],[NIP (UPDATE)]]</f>
        <v>220145</v>
      </c>
    </row>
    <row r="72" spans="2:19" hidden="1" x14ac:dyDescent="0.25">
      <c r="B72" s="75">
        <v>92</v>
      </c>
      <c r="C72" s="75">
        <v>231055</v>
      </c>
      <c r="D72" s="74" t="s">
        <v>956</v>
      </c>
      <c r="E72" s="75" t="s">
        <v>845</v>
      </c>
      <c r="F72" s="75" t="s">
        <v>949</v>
      </c>
      <c r="G72" s="74" t="s">
        <v>955</v>
      </c>
      <c r="H72" s="75" t="s">
        <v>853</v>
      </c>
      <c r="I72" s="74" t="s">
        <v>860</v>
      </c>
      <c r="J72" s="75" t="s">
        <v>315</v>
      </c>
      <c r="K72" s="75" t="s">
        <v>850</v>
      </c>
      <c r="L72" s="76">
        <v>45110</v>
      </c>
      <c r="M72" s="77">
        <f t="shared" ca="1" si="1"/>
        <v>45954</v>
      </c>
      <c r="N72" s="74" t="str">
        <f>_xlfn.IFNA(VLOOKUP(db_emp[[#This Row],[ID_DIV]],[1]!db_dpt[[Code_dpt]:[Departement]],2,0),"-")</f>
        <v>Finance &amp; Accounting</v>
      </c>
      <c r="O72" s="74" t="str">
        <f>_xlfn.IFNA(VLOOKUP(db_emp[[#This Row],[ID_SDP]],[1]!db_div[[Code_div]:[Division]],2,0),"-")</f>
        <v>Asset Management &amp; Controller</v>
      </c>
      <c r="P72" s="74" t="str">
        <f>_xlfn.IFNA(VLOOKUP(db_emp[[#This Row],[Code_lvl]],[1]!db_lvl[[#All],[ID_level]:[Leveling Name]],2,0),"-")</f>
        <v>Staff</v>
      </c>
      <c r="Q72" s="74" t="str">
        <f>_xlfn.IFNA(VLOOKUP(db_emp[[#This Row],[Code_site]],[1]!db_site[[ID_Site]:[Url_maps]],3,0),"-")</f>
        <v>Head Office - ASGO</v>
      </c>
      <c r="R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231055,'Berliana Adi Safitri','FIN','AMCTR','Asset Management &amp; Controller Staff','LV12','HQ - M&amp;C','O99','Employee','2023-07-03','2025-10-24'</v>
      </c>
      <c r="S72" s="74">
        <f>db_emp[[#This Row],[NIP (UPDATE)]]</f>
        <v>231055</v>
      </c>
    </row>
    <row r="73" spans="2:19" hidden="1" x14ac:dyDescent="0.25">
      <c r="B73" s="75">
        <v>102</v>
      </c>
      <c r="C73" s="75">
        <v>231932</v>
      </c>
      <c r="D73" s="74" t="s">
        <v>957</v>
      </c>
      <c r="E73" s="75" t="s">
        <v>845</v>
      </c>
      <c r="F73" s="75" t="s">
        <v>949</v>
      </c>
      <c r="G73" s="74" t="s">
        <v>955</v>
      </c>
      <c r="H73" s="75" t="s">
        <v>853</v>
      </c>
      <c r="I73" s="74" t="s">
        <v>849</v>
      </c>
      <c r="J73" s="75" t="s">
        <v>315</v>
      </c>
      <c r="K73" s="75" t="s">
        <v>850</v>
      </c>
      <c r="L73" s="76">
        <v>45231</v>
      </c>
      <c r="M73" s="77">
        <f t="shared" ca="1" si="1"/>
        <v>45954</v>
      </c>
      <c r="N73" s="74" t="str">
        <f>_xlfn.IFNA(VLOOKUP(db_emp[[#This Row],[ID_DIV]],[1]!db_dpt[[Code_dpt]:[Departement]],2,0),"-")</f>
        <v>Finance &amp; Accounting</v>
      </c>
      <c r="O73" s="74" t="str">
        <f>_xlfn.IFNA(VLOOKUP(db_emp[[#This Row],[ID_SDP]],[1]!db_div[[Code_div]:[Division]],2,0),"-")</f>
        <v>Asset Management &amp; Controller</v>
      </c>
      <c r="P73" s="74" t="str">
        <f>_xlfn.IFNA(VLOOKUP(db_emp[[#This Row],[Code_lvl]],[1]!db_lvl[[#All],[ID_level]:[Leveling Name]],2,0),"-")</f>
        <v>Staff</v>
      </c>
      <c r="Q73" s="74" t="str">
        <f>_xlfn.IFNA(VLOOKUP(db_emp[[#This Row],[Code_site]],[1]!db_site[[ID_Site]:[Url_maps]],3,0),"-")</f>
        <v>Head Office - ASGO</v>
      </c>
      <c r="R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231932,'Daniel Widyasana','FIN','AMCTR','Asset Management &amp; Controller Staff','LV12','Mall &amp; Cinema','O99','Employee','2023-11-01','2025-10-24'</v>
      </c>
      <c r="S73" s="74">
        <f>db_emp[[#This Row],[NIP (UPDATE)]]</f>
        <v>231932</v>
      </c>
    </row>
    <row r="74" spans="2:19" hidden="1" x14ac:dyDescent="0.25">
      <c r="B74" s="75">
        <v>306</v>
      </c>
      <c r="C74" s="75">
        <v>140164</v>
      </c>
      <c r="D74" s="74" t="s">
        <v>958</v>
      </c>
      <c r="E74" s="75" t="s">
        <v>959</v>
      </c>
      <c r="F74" s="75" t="s">
        <v>960</v>
      </c>
      <c r="G74" s="74" t="s">
        <v>961</v>
      </c>
      <c r="H74" s="75" t="s">
        <v>848</v>
      </c>
      <c r="I74" s="74" t="s">
        <v>962</v>
      </c>
      <c r="J74" s="75" t="s">
        <v>484</v>
      </c>
      <c r="K74" s="75" t="s">
        <v>850</v>
      </c>
      <c r="L74" s="76">
        <v>41682</v>
      </c>
      <c r="M74" s="77">
        <f t="shared" ca="1" si="1"/>
        <v>45954</v>
      </c>
      <c r="N74" s="74" t="str">
        <f>_xlfn.IFNA(VLOOKUP(db_emp[[#This Row],[ID_DIV]],[1]!db_dpt[[Code_dpt]:[Departement]],2,0),"-")</f>
        <v>-</v>
      </c>
      <c r="O74" s="74" t="str">
        <f>_xlfn.IFNA(VLOOKUP(db_emp[[#This Row],[ID_SDP]],[1]!db_div[[Code_div]:[Division]],2,0),"-")</f>
        <v>Brand &amp; Design</v>
      </c>
      <c r="P74" s="74" t="str">
        <f>_xlfn.IFNA(VLOOKUP(db_emp[[#This Row],[Code_lvl]],[1]!db_lvl[[#All],[ID_level]:[Leveling Name]],2,0),"-")</f>
        <v>Assistant Manager</v>
      </c>
      <c r="Q74" s="74" t="str">
        <f>_xlfn.IFNA(VLOOKUP(db_emp[[#This Row],[Code_site]],[1]!db_site[[ID_Site]:[Url_maps]],3,0),"-")</f>
        <v>Unit - PIK Avenue</v>
      </c>
      <c r="R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140164,'Rahmad Hidayat','BND','BDSGN','Brand &amp; Design Assistant Manager','LV07','Mall &amp; Hotel','M01','Employee','2014-02-12','2025-10-24'</v>
      </c>
      <c r="S74" s="74">
        <f>db_emp[[#This Row],[NIP (UPDATE)]]</f>
        <v>140164</v>
      </c>
    </row>
    <row r="75" spans="2:19" hidden="1" x14ac:dyDescent="0.25">
      <c r="B75" s="75">
        <v>307</v>
      </c>
      <c r="C75" s="75">
        <v>231697</v>
      </c>
      <c r="D75" s="74" t="s">
        <v>963</v>
      </c>
      <c r="E75" s="75" t="s">
        <v>964</v>
      </c>
      <c r="F75" s="75" t="s">
        <v>960</v>
      </c>
      <c r="G75" s="74" t="s">
        <v>965</v>
      </c>
      <c r="H75" s="75" t="s">
        <v>885</v>
      </c>
      <c r="I75" s="74" t="s">
        <v>962</v>
      </c>
      <c r="J75" s="75" t="s">
        <v>484</v>
      </c>
      <c r="K75" s="75" t="s">
        <v>850</v>
      </c>
      <c r="L75" s="76">
        <v>45194</v>
      </c>
      <c r="M75" s="77">
        <f t="shared" ca="1" si="1"/>
        <v>45954</v>
      </c>
      <c r="N75" s="74" t="str">
        <f>_xlfn.IFNA(VLOOKUP(db_emp[[#This Row],[ID_DIV]],[1]!db_dpt[[Code_dpt]:[Departement]],2,0),"-")</f>
        <v>Marketing Communication</v>
      </c>
      <c r="O75" s="74" t="str">
        <f>_xlfn.IFNA(VLOOKUP(db_emp[[#This Row],[ID_SDP]],[1]!db_div[[Code_div]:[Division]],2,0),"-")</f>
        <v>Brand &amp; Design</v>
      </c>
      <c r="P75" s="74" t="str">
        <f>_xlfn.IFNA(VLOOKUP(db_emp[[#This Row],[Code_lvl]],[1]!db_lvl[[#All],[ID_level]:[Leveling Name]],2,0),"-")</f>
        <v>Senior Staff</v>
      </c>
      <c r="Q75" s="74" t="str">
        <f>_xlfn.IFNA(VLOOKUP(db_emp[[#This Row],[Code_site]],[1]!db_site[[ID_Site]:[Url_maps]],3,0),"-")</f>
        <v>Unit - PIK Avenue</v>
      </c>
      <c r="R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231697,'Samanda Ratna Janna S','MAR','BDSGN','Brand Design &amp; Web Development Staff','LV11','Mall &amp; Hotel','M01','Employee','2023-09-25','2025-10-24'</v>
      </c>
      <c r="S75" s="74">
        <f>db_emp[[#This Row],[NIP (UPDATE)]]</f>
        <v>231697</v>
      </c>
    </row>
    <row r="76" spans="2:19" hidden="1" x14ac:dyDescent="0.25">
      <c r="B76" s="75">
        <v>276</v>
      </c>
      <c r="C76" s="75">
        <v>250216</v>
      </c>
      <c r="D76" s="74" t="s">
        <v>966</v>
      </c>
      <c r="E76" s="75" t="s">
        <v>964</v>
      </c>
      <c r="F76" s="75" t="s">
        <v>960</v>
      </c>
      <c r="G76" s="74" t="s">
        <v>967</v>
      </c>
      <c r="H76" s="75" t="s">
        <v>968</v>
      </c>
      <c r="I76" s="74" t="s">
        <v>849</v>
      </c>
      <c r="J76" s="75" t="s">
        <v>314</v>
      </c>
      <c r="K76" s="75" t="s">
        <v>903</v>
      </c>
      <c r="L76" s="76">
        <v>45719</v>
      </c>
      <c r="M76" s="77">
        <f t="shared" ca="1" si="1"/>
        <v>45954</v>
      </c>
      <c r="N76" s="74" t="str">
        <f>_xlfn.IFNA(VLOOKUP(db_emp[[#This Row],[ID_DIV]],[1]!db_dpt[[Code_dpt]:[Departement]],2,0),"-")</f>
        <v>Marketing Communication</v>
      </c>
      <c r="O76" s="74" t="str">
        <f>_xlfn.IFNA(VLOOKUP(db_emp[[#This Row],[ID_SDP]],[1]!db_div[[Code_div]:[Division]],2,0),"-")</f>
        <v>Brand &amp; Design</v>
      </c>
      <c r="P76" s="74" t="str">
        <f>_xlfn.IFNA(VLOOKUP(db_emp[[#This Row],[Code_lvl]],[1]!db_lvl[[#All],[ID_level]:[Leveling Name]],2,0),"-")</f>
        <v>Senior Manager</v>
      </c>
      <c r="Q76" s="74" t="str">
        <f>_xlfn.IFNA(VLOOKUP(db_emp[[#This Row],[Code_site]],[1]!db_site[[ID_Site]:[Url_maps]],3,0),"-")</f>
        <v>Unit - MOI</v>
      </c>
      <c r="R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250216,'Indra Jumarindra','MAR','BDSGN','Brand Design Senior Manager','LV04','Mall &amp; Cinema','M02','Resign','2025-03-03','2025-10-24'</v>
      </c>
      <c r="S76" s="74">
        <f>db_emp[[#This Row],[NIP (UPDATE)]]</f>
        <v>250216</v>
      </c>
    </row>
    <row r="77" spans="2:19" hidden="1" x14ac:dyDescent="0.25">
      <c r="B77" s="75">
        <v>706</v>
      </c>
      <c r="C77" s="75">
        <v>240367</v>
      </c>
      <c r="D77" s="74" t="s">
        <v>969</v>
      </c>
      <c r="E77" s="75" t="s">
        <v>970</v>
      </c>
      <c r="F77" s="75" t="s">
        <v>971</v>
      </c>
      <c r="G77" s="74" t="s">
        <v>972</v>
      </c>
      <c r="H77" s="75" t="s">
        <v>973</v>
      </c>
      <c r="I77" s="74" t="s">
        <v>864</v>
      </c>
      <c r="J77" s="75" t="s">
        <v>501</v>
      </c>
      <c r="K77" s="75" t="s">
        <v>850</v>
      </c>
      <c r="L77" s="76"/>
      <c r="M77" s="77">
        <f t="shared" ca="1" si="1"/>
        <v>45954</v>
      </c>
      <c r="N77" s="74" t="str">
        <f>_xlfn.IFNA(VLOOKUP(db_emp[[#This Row],[ID_DIV]],[1]!db_dpt[[Code_dpt]:[Departement]],2,0),"-")</f>
        <v>Management</v>
      </c>
      <c r="O77" s="74" t="str">
        <f>_xlfn.IFNA(VLOOKUP(db_emp[[#This Row],[ID_SDP]],[1]!db_div[[Code_div]:[Division]],2,0),"-")</f>
        <v>General Head Departement</v>
      </c>
      <c r="P77" s="74" t="str">
        <f>_xlfn.IFNA(VLOOKUP(db_emp[[#This Row],[Code_lvl]],[1]!db_lvl[[#All],[ID_level]:[Leveling Name]],2,0),"-")</f>
        <v>General Manager</v>
      </c>
      <c r="Q77" s="74" t="str">
        <f>_xlfn.IFNA(VLOOKUP(db_emp[[#This Row],[Code_site]],[1]!db_site[[ID_Site]:[Url_maps]],3,0),"-")</f>
        <v>Unit - District 8</v>
      </c>
      <c r="R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240367,'Dirk Fischbach','MNG','GNRAL','Building Management General Manager','LV02','Corp. Supporting Property (POM)','OD8','Employee','1900-01-00','2025-10-24'</v>
      </c>
      <c r="S77" s="74">
        <f>db_emp[[#This Row],[NIP (UPDATE)]]</f>
        <v>240367</v>
      </c>
    </row>
    <row r="78" spans="2:19" hidden="1" x14ac:dyDescent="0.25">
      <c r="B78" s="75">
        <v>113</v>
      </c>
      <c r="C78" s="75">
        <v>232380</v>
      </c>
      <c r="D78" s="74" t="s">
        <v>974</v>
      </c>
      <c r="E78" s="75" t="s">
        <v>911</v>
      </c>
      <c r="F78" s="75" t="s">
        <v>971</v>
      </c>
      <c r="G78" s="74" t="s">
        <v>975</v>
      </c>
      <c r="H78" s="75" t="s">
        <v>953</v>
      </c>
      <c r="I78" s="74" t="s">
        <v>856</v>
      </c>
      <c r="J78" s="75" t="s">
        <v>315</v>
      </c>
      <c r="K78" s="75" t="s">
        <v>850</v>
      </c>
      <c r="L78" s="76">
        <v>45294</v>
      </c>
      <c r="M78" s="77">
        <f t="shared" ca="1" si="1"/>
        <v>45954</v>
      </c>
      <c r="N78" s="74" t="str">
        <f>_xlfn.IFNA(VLOOKUP(db_emp[[#This Row],[ID_DIV]],[1]!db_dpt[[Code_dpt]:[Departement]],2,0),"-")</f>
        <v>Engineering</v>
      </c>
      <c r="O78" s="74" t="str">
        <f>_xlfn.IFNA(VLOOKUP(db_emp[[#This Row],[ID_SDP]],[1]!db_div[[Code_div]:[Division]],2,0),"-")</f>
        <v>General Head Departement</v>
      </c>
      <c r="P78" s="74" t="str">
        <f>_xlfn.IFNA(VLOOKUP(db_emp[[#This Row],[Code_lvl]],[1]!db_lvl[[#All],[ID_level]:[Leveling Name]],2,0),"-")</f>
        <v>Manager</v>
      </c>
      <c r="Q78" s="74" t="str">
        <f>_xlfn.IFNA(VLOOKUP(db_emp[[#This Row],[Code_site]],[1]!db_site[[ID_Site]:[Url_maps]],3,0),"-")</f>
        <v>Head Office - ASGO</v>
      </c>
      <c r="R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232380,'Survey Tatar Robinhot','ENG','GNRAL','Building Service Manager','LV05','HQ - All','O99','Employee','2024-01-03','2025-10-24'</v>
      </c>
      <c r="S78" s="74">
        <f>db_emp[[#This Row],[NIP (UPDATE)]]</f>
        <v>232380</v>
      </c>
    </row>
    <row r="79" spans="2:19" hidden="1" x14ac:dyDescent="0.25">
      <c r="B79" s="75">
        <v>46</v>
      </c>
      <c r="C79" s="75">
        <v>190243</v>
      </c>
      <c r="D79" s="74" t="s">
        <v>976</v>
      </c>
      <c r="E79" s="75" t="s">
        <v>977</v>
      </c>
      <c r="F79" s="75" t="s">
        <v>971</v>
      </c>
      <c r="G79" s="74" t="s">
        <v>978</v>
      </c>
      <c r="H79" s="75" t="s">
        <v>848</v>
      </c>
      <c r="I79" s="74" t="s">
        <v>849</v>
      </c>
      <c r="J79" s="75" t="s">
        <v>315</v>
      </c>
      <c r="K79" s="75" t="s">
        <v>850</v>
      </c>
      <c r="L79" s="76">
        <v>43528</v>
      </c>
      <c r="M79" s="77">
        <f t="shared" ca="1" si="1"/>
        <v>45954</v>
      </c>
      <c r="N79" s="74" t="str">
        <f>_xlfn.IFNA(VLOOKUP(db_emp[[#This Row],[ID_DIV]],[1]!db_dpt[[Code_dpt]:[Departement]],2,0),"-")</f>
        <v>Business Development</v>
      </c>
      <c r="O79" s="74" t="str">
        <f>_xlfn.IFNA(VLOOKUP(db_emp[[#This Row],[ID_SDP]],[1]!db_div[[Code_div]:[Division]],2,0),"-")</f>
        <v>General Head Departement</v>
      </c>
      <c r="P79" s="74" t="str">
        <f>_xlfn.IFNA(VLOOKUP(db_emp[[#This Row],[Code_lvl]],[1]!db_lvl[[#All],[ID_level]:[Leveling Name]],2,0),"-")</f>
        <v>Assistant Manager</v>
      </c>
      <c r="Q79" s="74" t="str">
        <f>_xlfn.IFNA(VLOOKUP(db_emp[[#This Row],[Code_site]],[1]!db_site[[ID_Site]:[Url_maps]],3,0),"-")</f>
        <v>Head Office - ASGO</v>
      </c>
      <c r="R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190243,'Melissa S Wongkar','BDO','GNRAL','Business Development Assistant Manager','LV07','Mall &amp; Cinema','O99','Employee','2019-03-04','2025-10-24'</v>
      </c>
      <c r="S79" s="74">
        <f>db_emp[[#This Row],[NIP (UPDATE)]]</f>
        <v>190243</v>
      </c>
    </row>
    <row r="80" spans="2:19" hidden="1" x14ac:dyDescent="0.25">
      <c r="B80" s="75">
        <v>56</v>
      </c>
      <c r="C80" s="75">
        <v>220067</v>
      </c>
      <c r="D80" s="74" t="s">
        <v>979</v>
      </c>
      <c r="E80" s="75" t="s">
        <v>977</v>
      </c>
      <c r="F80" s="75" t="s">
        <v>971</v>
      </c>
      <c r="G80" s="74" t="s">
        <v>980</v>
      </c>
      <c r="H80" s="75" t="s">
        <v>953</v>
      </c>
      <c r="I80" s="74" t="s">
        <v>849</v>
      </c>
      <c r="J80" s="75" t="s">
        <v>315</v>
      </c>
      <c r="K80" s="75" t="s">
        <v>850</v>
      </c>
      <c r="L80" s="76">
        <v>44578</v>
      </c>
      <c r="M80" s="77">
        <f t="shared" ca="1" si="1"/>
        <v>45954</v>
      </c>
      <c r="N80" s="74" t="str">
        <f>_xlfn.IFNA(VLOOKUP(db_emp[[#This Row],[ID_DIV]],[1]!db_dpt[[Code_dpt]:[Departement]],2,0),"-")</f>
        <v>Business Development</v>
      </c>
      <c r="O80" s="74" t="str">
        <f>_xlfn.IFNA(VLOOKUP(db_emp[[#This Row],[ID_SDP]],[1]!db_div[[Code_div]:[Division]],2,0),"-")</f>
        <v>General Head Departement</v>
      </c>
      <c r="P80" s="74" t="str">
        <f>_xlfn.IFNA(VLOOKUP(db_emp[[#This Row],[Code_lvl]],[1]!db_lvl[[#All],[ID_level]:[Leveling Name]],2,0),"-")</f>
        <v>Manager</v>
      </c>
      <c r="Q80" s="74" t="str">
        <f>_xlfn.IFNA(VLOOKUP(db_emp[[#This Row],[Code_site]],[1]!db_site[[ID_Site]:[Url_maps]],3,0),"-")</f>
        <v>Head Office - ASGO</v>
      </c>
      <c r="R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220067,'Fanny','BDO','GNRAL','Business Development Manager','LV05','Mall &amp; Cinema','O99','Employee','2022-01-17','2025-10-24'</v>
      </c>
      <c r="S80" s="74">
        <f>db_emp[[#This Row],[NIP (UPDATE)]]</f>
        <v>220067</v>
      </c>
    </row>
    <row r="81" spans="2:19" hidden="1" x14ac:dyDescent="0.25">
      <c r="B81" s="75">
        <v>669</v>
      </c>
      <c r="C81" s="75">
        <v>180802</v>
      </c>
      <c r="D81" s="74" t="s">
        <v>981</v>
      </c>
      <c r="E81" s="75" t="s">
        <v>977</v>
      </c>
      <c r="F81" s="75" t="s">
        <v>971</v>
      </c>
      <c r="G81" s="74" t="s">
        <v>980</v>
      </c>
      <c r="H81" s="75" t="s">
        <v>953</v>
      </c>
      <c r="I81" s="74" t="s">
        <v>864</v>
      </c>
      <c r="J81" s="75" t="s">
        <v>501</v>
      </c>
      <c r="K81" s="75" t="s">
        <v>850</v>
      </c>
      <c r="L81" s="76"/>
      <c r="M81" s="77">
        <f t="shared" ca="1" si="1"/>
        <v>45954</v>
      </c>
      <c r="N81" s="74" t="str">
        <f>_xlfn.IFNA(VLOOKUP(db_emp[[#This Row],[ID_DIV]],[1]!db_dpt[[Code_dpt]:[Departement]],2,0),"-")</f>
        <v>Business Development</v>
      </c>
      <c r="O81" s="74" t="str">
        <f>_xlfn.IFNA(VLOOKUP(db_emp[[#This Row],[ID_SDP]],[1]!db_div[[Code_div]:[Division]],2,0),"-")</f>
        <v>General Head Departement</v>
      </c>
      <c r="P81" s="74" t="str">
        <f>_xlfn.IFNA(VLOOKUP(db_emp[[#This Row],[Code_lvl]],[1]!db_lvl[[#All],[ID_level]:[Leveling Name]],2,0),"-")</f>
        <v>Manager</v>
      </c>
      <c r="Q81" s="74" t="str">
        <f>_xlfn.IFNA(VLOOKUP(db_emp[[#This Row],[Code_site]],[1]!db_site[[ID_Site]:[Url_maps]],3,0),"-")</f>
        <v>Unit - District 8</v>
      </c>
      <c r="R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180802,'Leni Christine Juniartha','BDO','GNRAL','Business Development Manager','LV05','Corp. Supporting Property (POM)','OD8','Employee','1900-01-00','2025-10-24'</v>
      </c>
      <c r="S81" s="74">
        <f>db_emp[[#This Row],[NIP (UPDATE)]]</f>
        <v>180802</v>
      </c>
    </row>
    <row r="82" spans="2:19" hidden="1" x14ac:dyDescent="0.25">
      <c r="B82" s="75">
        <v>45</v>
      </c>
      <c r="C82" s="75">
        <v>180227</v>
      </c>
      <c r="D82" s="74" t="s">
        <v>982</v>
      </c>
      <c r="E82" s="75" t="s">
        <v>977</v>
      </c>
      <c r="F82" s="75" t="s">
        <v>971</v>
      </c>
      <c r="G82" s="74" t="s">
        <v>983</v>
      </c>
      <c r="H82" s="75" t="s">
        <v>968</v>
      </c>
      <c r="I82" s="74" t="s">
        <v>849</v>
      </c>
      <c r="J82" s="75" t="s">
        <v>315</v>
      </c>
      <c r="K82" s="75" t="s">
        <v>850</v>
      </c>
      <c r="L82" s="76">
        <v>43150</v>
      </c>
      <c r="M82" s="77">
        <f t="shared" ca="1" si="1"/>
        <v>45954</v>
      </c>
      <c r="N82" s="74" t="str">
        <f>_xlfn.IFNA(VLOOKUP(db_emp[[#This Row],[ID_DIV]],[1]!db_dpt[[Code_dpt]:[Departement]],2,0),"-")</f>
        <v>Business Development</v>
      </c>
      <c r="O82" s="74" t="str">
        <f>_xlfn.IFNA(VLOOKUP(db_emp[[#This Row],[ID_SDP]],[1]!db_div[[Code_div]:[Division]],2,0),"-")</f>
        <v>General Head Departement</v>
      </c>
      <c r="P82" s="74" t="str">
        <f>_xlfn.IFNA(VLOOKUP(db_emp[[#This Row],[Code_lvl]],[1]!db_lvl[[#All],[ID_level]:[Leveling Name]],2,0),"-")</f>
        <v>Senior Manager</v>
      </c>
      <c r="Q82" s="74" t="str">
        <f>_xlfn.IFNA(VLOOKUP(db_emp[[#This Row],[Code_site]],[1]!db_site[[ID_Site]:[Url_maps]],3,0),"-")</f>
        <v>Head Office - ASGO</v>
      </c>
      <c r="R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180227,'Albert Santoso','BDO','GNRAL','Business Development Senior Manager','LV04','Mall &amp; Cinema','O99','Employee','2018-02-19','2025-10-24'</v>
      </c>
      <c r="S82" s="74">
        <f>db_emp[[#This Row],[NIP (UPDATE)]]</f>
        <v>180227</v>
      </c>
    </row>
    <row r="83" spans="2:19" hidden="1" x14ac:dyDescent="0.25">
      <c r="B83" s="75">
        <v>339</v>
      </c>
      <c r="C83" s="75">
        <v>241512</v>
      </c>
      <c r="D83" s="74" t="s">
        <v>984</v>
      </c>
      <c r="E83" s="75" t="s">
        <v>977</v>
      </c>
      <c r="F83" s="75" t="s">
        <v>971</v>
      </c>
      <c r="G83" s="74" t="s">
        <v>985</v>
      </c>
      <c r="H83" s="75" t="s">
        <v>853</v>
      </c>
      <c r="I83" s="74" t="s">
        <v>849</v>
      </c>
      <c r="J83" s="75" t="s">
        <v>484</v>
      </c>
      <c r="K83" s="75" t="s">
        <v>850</v>
      </c>
      <c r="L83" s="76">
        <v>45524</v>
      </c>
      <c r="M83" s="77">
        <f t="shared" ca="1" si="1"/>
        <v>45954</v>
      </c>
      <c r="N83" s="74" t="str">
        <f>_xlfn.IFNA(VLOOKUP(db_emp[[#This Row],[ID_DIV]],[1]!db_dpt[[Code_dpt]:[Departement]],2,0),"-")</f>
        <v>Business Development</v>
      </c>
      <c r="O83" s="74" t="str">
        <f>_xlfn.IFNA(VLOOKUP(db_emp[[#This Row],[ID_SDP]],[1]!db_div[[Code_div]:[Division]],2,0),"-")</f>
        <v>General Head Departement</v>
      </c>
      <c r="P83" s="74" t="str">
        <f>_xlfn.IFNA(VLOOKUP(db_emp[[#This Row],[Code_lvl]],[1]!db_lvl[[#All],[ID_level]:[Leveling Name]],2,0),"-")</f>
        <v>Staff</v>
      </c>
      <c r="Q83" s="74" t="str">
        <f>_xlfn.IFNA(VLOOKUP(db_emp[[#This Row],[Code_site]],[1]!db_site[[ID_Site]:[Url_maps]],3,0),"-")</f>
        <v>Unit - PIK Avenue</v>
      </c>
      <c r="R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241512,'Sulastri','BDO','GNRAL','Business Development Staff','LV12','Mall &amp; Cinema','M01','Employee','2024-08-20','2025-10-24'</v>
      </c>
      <c r="S83" s="74">
        <f>db_emp[[#This Row],[NIP (UPDATE)]]</f>
        <v>241512</v>
      </c>
    </row>
    <row r="84" spans="2:19" hidden="1" x14ac:dyDescent="0.25">
      <c r="B84" s="75">
        <v>124</v>
      </c>
      <c r="C84" s="75">
        <v>240944</v>
      </c>
      <c r="D84" s="74" t="s">
        <v>986</v>
      </c>
      <c r="E84" s="75" t="s">
        <v>977</v>
      </c>
      <c r="F84" s="75" t="s">
        <v>971</v>
      </c>
      <c r="G84" s="74" t="s">
        <v>987</v>
      </c>
      <c r="H84" s="75" t="s">
        <v>870</v>
      </c>
      <c r="I84" s="74" t="s">
        <v>849</v>
      </c>
      <c r="J84" s="75" t="s">
        <v>315</v>
      </c>
      <c r="K84" s="75" t="s">
        <v>850</v>
      </c>
      <c r="L84" s="76">
        <v>45446</v>
      </c>
      <c r="M84" s="77">
        <f t="shared" ca="1" si="1"/>
        <v>45954</v>
      </c>
      <c r="N84" s="74" t="str">
        <f>_xlfn.IFNA(VLOOKUP(db_emp[[#This Row],[ID_DIV]],[1]!db_dpt[[Code_dpt]:[Departement]],2,0),"-")</f>
        <v>Business Development</v>
      </c>
      <c r="O84" s="74" t="str">
        <f>_xlfn.IFNA(VLOOKUP(db_emp[[#This Row],[ID_SDP]],[1]!db_div[[Code_div]:[Division]],2,0),"-")</f>
        <v>General Head Departement</v>
      </c>
      <c r="P84" s="74" t="str">
        <f>_xlfn.IFNA(VLOOKUP(db_emp[[#This Row],[Code_lvl]],[1]!db_lvl[[#All],[ID_level]:[Leveling Name]],2,0),"-")</f>
        <v>Supervisor</v>
      </c>
      <c r="Q84" s="74" t="str">
        <f>_xlfn.IFNA(VLOOKUP(db_emp[[#This Row],[Code_site]],[1]!db_site[[ID_Site]:[Url_maps]],3,0),"-")</f>
        <v>Head Office - ASGO</v>
      </c>
      <c r="R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240944,'Ezra Laurencia Anwar','BDO','GNRAL','Business Development Supervisor','LV09','Mall &amp; Cinema','O99','Employee','2024-06-03','2025-10-24'</v>
      </c>
      <c r="S84" s="74">
        <f>db_emp[[#This Row],[NIP (UPDATE)]]</f>
        <v>240944</v>
      </c>
    </row>
    <row r="85" spans="2:19" hidden="1" x14ac:dyDescent="0.25">
      <c r="B85" s="75">
        <v>11</v>
      </c>
      <c r="C85" s="75">
        <v>110480</v>
      </c>
      <c r="D85" s="74" t="s">
        <v>988</v>
      </c>
      <c r="E85" s="75" t="s">
        <v>845</v>
      </c>
      <c r="F85" s="75" t="s">
        <v>989</v>
      </c>
      <c r="G85" s="74" t="s">
        <v>990</v>
      </c>
      <c r="H85" s="75" t="s">
        <v>853</v>
      </c>
      <c r="I85" s="74" t="s">
        <v>849</v>
      </c>
      <c r="J85" s="75" t="s">
        <v>315</v>
      </c>
      <c r="K85" s="75" t="s">
        <v>850</v>
      </c>
      <c r="L85" s="76">
        <v>40694</v>
      </c>
      <c r="M85" s="77">
        <f t="shared" ca="1" si="1"/>
        <v>45954</v>
      </c>
      <c r="N85" s="74" t="str">
        <f>_xlfn.IFNA(VLOOKUP(db_emp[[#This Row],[ID_DIV]],[1]!db_dpt[[Code_dpt]:[Departement]],2,0),"-")</f>
        <v>Finance &amp; Accounting</v>
      </c>
      <c r="O85" s="74" t="str">
        <f>_xlfn.IFNA(VLOOKUP(db_emp[[#This Row],[ID_SDP]],[1]!db_div[[Code_div]:[Division]],2,0),"-")</f>
        <v>Cashier</v>
      </c>
      <c r="P85" s="74" t="str">
        <f>_xlfn.IFNA(VLOOKUP(db_emp[[#This Row],[Code_lvl]],[1]!db_lvl[[#All],[ID_level]:[Leveling Name]],2,0),"-")</f>
        <v>Staff</v>
      </c>
      <c r="Q85" s="74" t="str">
        <f>_xlfn.IFNA(VLOOKUP(db_emp[[#This Row],[Code_site]],[1]!db_site[[ID_Site]:[Url_maps]],3,0),"-")</f>
        <v>Head Office - ASGO</v>
      </c>
      <c r="R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110480,'Anita Septiany','FIN','CASHR','Cashier Staff','LV12','Mall &amp; Cinema','O99','Employee','2011-05-31','2025-10-24'</v>
      </c>
      <c r="S85" s="74">
        <f>db_emp[[#This Row],[NIP (UPDATE)]]</f>
        <v>110480</v>
      </c>
    </row>
    <row r="86" spans="2:19" hidden="1" x14ac:dyDescent="0.25">
      <c r="B86" s="75">
        <v>186</v>
      </c>
      <c r="C86" s="75">
        <v>110482</v>
      </c>
      <c r="D86" s="74" t="s">
        <v>991</v>
      </c>
      <c r="E86" s="75" t="s">
        <v>845</v>
      </c>
      <c r="F86" s="75" t="s">
        <v>989</v>
      </c>
      <c r="G86" s="74" t="s">
        <v>990</v>
      </c>
      <c r="H86" s="75" t="s">
        <v>853</v>
      </c>
      <c r="I86" s="74" t="s">
        <v>849</v>
      </c>
      <c r="J86" s="75" t="s">
        <v>314</v>
      </c>
      <c r="K86" s="75" t="s">
        <v>850</v>
      </c>
      <c r="L86" s="76">
        <v>40694</v>
      </c>
      <c r="M86" s="77">
        <f t="shared" ca="1" si="1"/>
        <v>45954</v>
      </c>
      <c r="N86" s="74" t="str">
        <f>_xlfn.IFNA(VLOOKUP(db_emp[[#This Row],[ID_DIV]],[1]!db_dpt[[Code_dpt]:[Departement]],2,0),"-")</f>
        <v>Finance &amp; Accounting</v>
      </c>
      <c r="O86" s="74" t="str">
        <f>_xlfn.IFNA(VLOOKUP(db_emp[[#This Row],[ID_SDP]],[1]!db_div[[Code_div]:[Division]],2,0),"-")</f>
        <v>Cashier</v>
      </c>
      <c r="P86" s="74" t="str">
        <f>_xlfn.IFNA(VLOOKUP(db_emp[[#This Row],[Code_lvl]],[1]!db_lvl[[#All],[ID_level]:[Leveling Name]],2,0),"-")</f>
        <v>Staff</v>
      </c>
      <c r="Q86" s="74" t="str">
        <f>_xlfn.IFNA(VLOOKUP(db_emp[[#This Row],[Code_site]],[1]!db_site[[ID_Site]:[Url_maps]],3,0),"-")</f>
        <v>Unit - MOI</v>
      </c>
      <c r="R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110482,'Diyah Tri Wulandari','FIN','CASHR','Cashier Staff','LV12','Mall &amp; Cinema','M02','Employee','2011-05-31','2025-10-24'</v>
      </c>
      <c r="S86" s="74">
        <f>db_emp[[#This Row],[NIP (UPDATE)]]</f>
        <v>110482</v>
      </c>
    </row>
    <row r="87" spans="2:19" hidden="1" x14ac:dyDescent="0.25">
      <c r="B87" s="75">
        <v>187</v>
      </c>
      <c r="C87" s="75">
        <v>170395</v>
      </c>
      <c r="D87" s="74" t="s">
        <v>992</v>
      </c>
      <c r="E87" s="75" t="s">
        <v>845</v>
      </c>
      <c r="F87" s="75" t="s">
        <v>989</v>
      </c>
      <c r="G87" s="74" t="s">
        <v>990</v>
      </c>
      <c r="H87" s="75" t="s">
        <v>853</v>
      </c>
      <c r="I87" s="74" t="s">
        <v>849</v>
      </c>
      <c r="J87" s="75" t="s">
        <v>314</v>
      </c>
      <c r="K87" s="75" t="s">
        <v>850</v>
      </c>
      <c r="L87" s="76">
        <v>42857</v>
      </c>
      <c r="M87" s="77">
        <f t="shared" ca="1" si="1"/>
        <v>45954</v>
      </c>
      <c r="N87" s="74" t="str">
        <f>_xlfn.IFNA(VLOOKUP(db_emp[[#This Row],[ID_DIV]],[1]!db_dpt[[Code_dpt]:[Departement]],2,0),"-")</f>
        <v>Finance &amp; Accounting</v>
      </c>
      <c r="O87" s="74" t="str">
        <f>_xlfn.IFNA(VLOOKUP(db_emp[[#This Row],[ID_SDP]],[1]!db_div[[Code_div]:[Division]],2,0),"-")</f>
        <v>Cashier</v>
      </c>
      <c r="P87" s="74" t="str">
        <f>_xlfn.IFNA(VLOOKUP(db_emp[[#This Row],[Code_lvl]],[1]!db_lvl[[#All],[ID_level]:[Leveling Name]],2,0),"-")</f>
        <v>Staff</v>
      </c>
      <c r="Q87" s="74" t="str">
        <f>_xlfn.IFNA(VLOOKUP(db_emp[[#This Row],[Code_site]],[1]!db_site[[ID_Site]:[Url_maps]],3,0),"-")</f>
        <v>Unit - MOI</v>
      </c>
      <c r="R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170395,'Dian Daniasih Puspita','FIN','CASHR','Cashier Staff','LV12','Mall &amp; Cinema','M02','Employee','2017-05-02','2025-10-24'</v>
      </c>
      <c r="S87" s="74">
        <f>db_emp[[#This Row],[NIP (UPDATE)]]</f>
        <v>170395</v>
      </c>
    </row>
    <row r="88" spans="2:19" hidden="1" x14ac:dyDescent="0.25">
      <c r="B88" s="75">
        <v>340</v>
      </c>
      <c r="C88" s="75">
        <v>241582</v>
      </c>
      <c r="D88" s="74" t="s">
        <v>993</v>
      </c>
      <c r="E88" s="75" t="s">
        <v>845</v>
      </c>
      <c r="F88" s="75" t="s">
        <v>989</v>
      </c>
      <c r="G88" s="74" t="s">
        <v>990</v>
      </c>
      <c r="H88" s="75" t="s">
        <v>853</v>
      </c>
      <c r="I88" s="74" t="s">
        <v>849</v>
      </c>
      <c r="J88" s="75" t="s">
        <v>484</v>
      </c>
      <c r="K88" s="75" t="s">
        <v>850</v>
      </c>
      <c r="L88" s="76">
        <v>45537</v>
      </c>
      <c r="M88" s="77">
        <f t="shared" ca="1" si="1"/>
        <v>45954</v>
      </c>
      <c r="N88" s="74" t="str">
        <f>_xlfn.IFNA(VLOOKUP(db_emp[[#This Row],[ID_DIV]],[1]!db_dpt[[Code_dpt]:[Departement]],2,0),"-")</f>
        <v>Finance &amp; Accounting</v>
      </c>
      <c r="O88" s="74" t="str">
        <f>_xlfn.IFNA(VLOOKUP(db_emp[[#This Row],[ID_SDP]],[1]!db_div[[Code_div]:[Division]],2,0),"-")</f>
        <v>Cashier</v>
      </c>
      <c r="P88" s="74" t="str">
        <f>_xlfn.IFNA(VLOOKUP(db_emp[[#This Row],[Code_lvl]],[1]!db_lvl[[#All],[ID_level]:[Leveling Name]],2,0),"-")</f>
        <v>Staff</v>
      </c>
      <c r="Q88" s="74" t="str">
        <f>_xlfn.IFNA(VLOOKUP(db_emp[[#This Row],[Code_site]],[1]!db_site[[ID_Site]:[Url_maps]],3,0),"-")</f>
        <v>Unit - PIK Avenue</v>
      </c>
      <c r="R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241582,'Putri Rahmadani','FIN','CASHR','Cashier Staff','LV12','Mall &amp; Cinema','M01','Employee','2024-09-02','2025-10-24'</v>
      </c>
      <c r="S88" s="74">
        <f>db_emp[[#This Row],[NIP (UPDATE)]]</f>
        <v>241582</v>
      </c>
    </row>
    <row r="89" spans="2:19" hidden="1" x14ac:dyDescent="0.25">
      <c r="B89" s="75">
        <v>394</v>
      </c>
      <c r="C89" s="75">
        <v>130877</v>
      </c>
      <c r="D89" s="74" t="s">
        <v>994</v>
      </c>
      <c r="E89" s="75" t="s">
        <v>845</v>
      </c>
      <c r="F89" s="75" t="s">
        <v>989</v>
      </c>
      <c r="G89" s="74" t="s">
        <v>990</v>
      </c>
      <c r="H89" s="75" t="s">
        <v>853</v>
      </c>
      <c r="I89" s="74" t="s">
        <v>849</v>
      </c>
      <c r="J89" s="75" t="s">
        <v>316</v>
      </c>
      <c r="K89" s="75" t="s">
        <v>850</v>
      </c>
      <c r="L89" s="76">
        <v>41505</v>
      </c>
      <c r="M89" s="77">
        <f t="shared" ca="1" si="1"/>
        <v>45954</v>
      </c>
      <c r="N89" s="74" t="str">
        <f>_xlfn.IFNA(VLOOKUP(db_emp[[#This Row],[ID_DIV]],[1]!db_dpt[[Code_dpt]:[Departement]],2,0),"-")</f>
        <v>Finance &amp; Accounting</v>
      </c>
      <c r="O89" s="74" t="str">
        <f>_xlfn.IFNA(VLOOKUP(db_emp[[#This Row],[ID_SDP]],[1]!db_div[[Code_div]:[Division]],2,0),"-")</f>
        <v>Cashier</v>
      </c>
      <c r="P89" s="74" t="str">
        <f>_xlfn.IFNA(VLOOKUP(db_emp[[#This Row],[Code_lvl]],[1]!db_lvl[[#All],[ID_level]:[Leveling Name]],2,0),"-")</f>
        <v>Staff</v>
      </c>
      <c r="Q89" s="74" t="str">
        <f>_xlfn.IFNA(VLOOKUP(db_emp[[#This Row],[Code_site]],[1]!db_site[[ID_Site]:[Url_maps]],3,0),"-")</f>
        <v>Unit - GGP</v>
      </c>
      <c r="R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130877,'Farida Astoria','FIN','CASHR','Cashier Staff','LV12','Mall &amp; Cinema','M03','Employee','2013-08-19','2025-10-24'</v>
      </c>
      <c r="S89" s="74">
        <f>db_emp[[#This Row],[NIP (UPDATE)]]</f>
        <v>130877</v>
      </c>
    </row>
    <row r="90" spans="2:19" hidden="1" x14ac:dyDescent="0.25">
      <c r="B90" s="75">
        <v>679</v>
      </c>
      <c r="C90" s="75">
        <v>221174</v>
      </c>
      <c r="D90" s="74" t="s">
        <v>995</v>
      </c>
      <c r="E90" s="75" t="s">
        <v>845</v>
      </c>
      <c r="F90" s="75" t="s">
        <v>989</v>
      </c>
      <c r="G90" s="74" t="s">
        <v>990</v>
      </c>
      <c r="H90" s="75" t="s">
        <v>853</v>
      </c>
      <c r="I90" s="74" t="s">
        <v>864</v>
      </c>
      <c r="J90" s="75" t="s">
        <v>501</v>
      </c>
      <c r="K90" s="75" t="s">
        <v>850</v>
      </c>
      <c r="L90" s="76"/>
      <c r="M90" s="77">
        <f t="shared" ca="1" si="1"/>
        <v>45954</v>
      </c>
      <c r="N90" s="74" t="str">
        <f>_xlfn.IFNA(VLOOKUP(db_emp[[#This Row],[ID_DIV]],[1]!db_dpt[[Code_dpt]:[Departement]],2,0),"-")</f>
        <v>Finance &amp; Accounting</v>
      </c>
      <c r="O90" s="74" t="str">
        <f>_xlfn.IFNA(VLOOKUP(db_emp[[#This Row],[ID_SDP]],[1]!db_div[[Code_div]:[Division]],2,0),"-")</f>
        <v>Cashier</v>
      </c>
      <c r="P90" s="74" t="str">
        <f>_xlfn.IFNA(VLOOKUP(db_emp[[#This Row],[Code_lvl]],[1]!db_lvl[[#All],[ID_level]:[Leveling Name]],2,0),"-")</f>
        <v>Staff</v>
      </c>
      <c r="Q90" s="74" t="str">
        <f>_xlfn.IFNA(VLOOKUP(db_emp[[#This Row],[Code_site]],[1]!db_site[[ID_Site]:[Url_maps]],3,0),"-")</f>
        <v>Unit - District 8</v>
      </c>
      <c r="R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221174,'Venesia Sormin','FIN','CASHR','Cashier Staff','LV12','Corp. Supporting Property (POM)','OD8','Employee','1900-01-00','2025-10-24'</v>
      </c>
      <c r="S90" s="74">
        <f>db_emp[[#This Row],[NIP (UPDATE)]]</f>
        <v>221174</v>
      </c>
    </row>
    <row r="91" spans="2:19" hidden="1" x14ac:dyDescent="0.25">
      <c r="B91" s="75">
        <v>86</v>
      </c>
      <c r="C91" s="75">
        <v>230553</v>
      </c>
      <c r="D91" s="74" t="s">
        <v>996</v>
      </c>
      <c r="E91" s="75" t="s">
        <v>845</v>
      </c>
      <c r="F91" s="75" t="s">
        <v>989</v>
      </c>
      <c r="G91" s="74" t="s">
        <v>997</v>
      </c>
      <c r="H91" s="75" t="s">
        <v>870</v>
      </c>
      <c r="I91" s="74" t="s">
        <v>860</v>
      </c>
      <c r="J91" s="75" t="s">
        <v>315</v>
      </c>
      <c r="K91" s="75" t="s">
        <v>850</v>
      </c>
      <c r="L91" s="76">
        <v>45048</v>
      </c>
      <c r="M91" s="77">
        <f t="shared" ca="1" si="1"/>
        <v>45954</v>
      </c>
      <c r="N91" s="74" t="str">
        <f>_xlfn.IFNA(VLOOKUP(db_emp[[#This Row],[ID_DIV]],[1]!db_dpt[[Code_dpt]:[Departement]],2,0),"-")</f>
        <v>Finance &amp; Accounting</v>
      </c>
      <c r="O91" s="74" t="str">
        <f>_xlfn.IFNA(VLOOKUP(db_emp[[#This Row],[ID_SDP]],[1]!db_div[[Code_div]:[Division]],2,0),"-")</f>
        <v>Cashier</v>
      </c>
      <c r="P91" s="74" t="str">
        <f>_xlfn.IFNA(VLOOKUP(db_emp[[#This Row],[Code_lvl]],[1]!db_lvl[[#All],[ID_level]:[Leveling Name]],2,0),"-")</f>
        <v>Supervisor</v>
      </c>
      <c r="Q91" s="74" t="str">
        <f>_xlfn.IFNA(VLOOKUP(db_emp[[#This Row],[Code_site]],[1]!db_site[[ID_Site]:[Url_maps]],3,0),"-")</f>
        <v>Head Office - ASGO</v>
      </c>
      <c r="R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230553,'Vera Setiawati','FIN','CASHR','Cashier Supervisor','LV09','HQ - M&amp;C','O99','Employee','2023-05-02','2025-10-24'</v>
      </c>
      <c r="S91" s="74">
        <f>db_emp[[#This Row],[NIP (UPDATE)]]</f>
        <v>230553</v>
      </c>
    </row>
    <row r="92" spans="2:19" hidden="1" x14ac:dyDescent="0.25">
      <c r="B92" s="75">
        <v>416</v>
      </c>
      <c r="C92" s="75">
        <v>210252</v>
      </c>
      <c r="D92" s="74" t="s">
        <v>998</v>
      </c>
      <c r="E92" s="75" t="s">
        <v>964</v>
      </c>
      <c r="F92" s="75" t="s">
        <v>999</v>
      </c>
      <c r="G92" s="74" t="s">
        <v>1000</v>
      </c>
      <c r="H92" s="75" t="s">
        <v>848</v>
      </c>
      <c r="I92" s="74" t="s">
        <v>849</v>
      </c>
      <c r="J92" s="75" t="s">
        <v>316</v>
      </c>
      <c r="K92" s="75" t="s">
        <v>850</v>
      </c>
      <c r="L92" s="76">
        <v>44323</v>
      </c>
      <c r="M92" s="77">
        <f t="shared" ca="1" si="1"/>
        <v>45954</v>
      </c>
      <c r="N92" s="74" t="str">
        <f>_xlfn.IFNA(VLOOKUP(db_emp[[#This Row],[ID_DIV]],[1]!db_dpt[[Code_dpt]:[Departement]],2,0),"-")</f>
        <v>Marketing Communication</v>
      </c>
      <c r="O92" s="74" t="str">
        <f>_xlfn.IFNA(VLOOKUP(db_emp[[#This Row],[ID_SDP]],[1]!db_div[[Code_div]:[Division]],2,0),"-")</f>
        <v>Center Experience</v>
      </c>
      <c r="P92" s="74" t="str">
        <f>_xlfn.IFNA(VLOOKUP(db_emp[[#This Row],[Code_lvl]],[1]!db_lvl[[#All],[ID_level]:[Leveling Name]],2,0),"-")</f>
        <v>Assistant Manager</v>
      </c>
      <c r="Q92" s="74" t="str">
        <f>_xlfn.IFNA(VLOOKUP(db_emp[[#This Row],[Code_site]],[1]!db_site[[ID_Site]:[Url_maps]],3,0),"-")</f>
        <v>Unit - GGP</v>
      </c>
      <c r="R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210252,'Ryan Julianus','MAR','CTREX','Casual Leasing Assistant Manager','LV07','Mall &amp; Cinema','M03','Employee','2021-05-07','2025-10-24'</v>
      </c>
      <c r="S92" s="74">
        <f>db_emp[[#This Row],[NIP (UPDATE)]]</f>
        <v>210252</v>
      </c>
    </row>
    <row r="93" spans="2:19" hidden="1" x14ac:dyDescent="0.25">
      <c r="B93" s="75">
        <v>438</v>
      </c>
      <c r="C93" s="75">
        <v>240630</v>
      </c>
      <c r="D93" s="74" t="s">
        <v>1001</v>
      </c>
      <c r="E93" s="75" t="s">
        <v>964</v>
      </c>
      <c r="F93" s="75" t="s">
        <v>999</v>
      </c>
      <c r="G93" s="74" t="s">
        <v>1000</v>
      </c>
      <c r="H93" s="75" t="s">
        <v>848</v>
      </c>
      <c r="I93" s="74" t="s">
        <v>486</v>
      </c>
      <c r="J93" s="75" t="s">
        <v>496</v>
      </c>
      <c r="K93" s="75" t="s">
        <v>850</v>
      </c>
      <c r="L93" s="76">
        <v>45376</v>
      </c>
      <c r="M93" s="77">
        <f t="shared" ca="1" si="1"/>
        <v>45954</v>
      </c>
      <c r="N93" s="74" t="str">
        <f>_xlfn.IFNA(VLOOKUP(db_emp[[#This Row],[ID_DIV]],[1]!db_dpt[[Code_dpt]:[Departement]],2,0),"-")</f>
        <v>Marketing Communication</v>
      </c>
      <c r="O93" s="74" t="str">
        <f>_xlfn.IFNA(VLOOKUP(db_emp[[#This Row],[ID_SDP]],[1]!db_div[[Code_div]:[Division]],2,0),"-")</f>
        <v>Center Experience</v>
      </c>
      <c r="P93" s="74" t="str">
        <f>_xlfn.IFNA(VLOOKUP(db_emp[[#This Row],[Code_lvl]],[1]!db_lvl[[#All],[ID_level]:[Leveling Name]],2,0),"-")</f>
        <v>Assistant Manager</v>
      </c>
      <c r="Q93" s="74" t="str">
        <f>_xlfn.IFNA(VLOOKUP(db_emp[[#This Row],[Code_site]],[1]!db_site[[ID_Site]:[Url_maps]],3,0),"-")</f>
        <v>Unit - Menara Jakarta</v>
      </c>
      <c r="R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240630,'Yudiantoro Hermawan','MAR','CTREX','Casual Leasing Assistant Manager','LV07','Mall','M06','Employee','2024-03-25','2025-10-24'</v>
      </c>
      <c r="S93" s="74">
        <f>db_emp[[#This Row],[NIP (UPDATE)]]</f>
        <v>240630</v>
      </c>
    </row>
    <row r="94" spans="2:19" hidden="1" x14ac:dyDescent="0.25">
      <c r="B94" s="75">
        <v>479</v>
      </c>
      <c r="C94" s="75">
        <v>241312</v>
      </c>
      <c r="D94" s="74" t="s">
        <v>1002</v>
      </c>
      <c r="E94" s="75" t="s">
        <v>964</v>
      </c>
      <c r="F94" s="75" t="s">
        <v>999</v>
      </c>
      <c r="G94" s="74" t="s">
        <v>1000</v>
      </c>
      <c r="H94" s="75" t="s">
        <v>848</v>
      </c>
      <c r="I94" s="74" t="s">
        <v>849</v>
      </c>
      <c r="J94" s="75" t="s">
        <v>490</v>
      </c>
      <c r="K94" s="75" t="s">
        <v>850</v>
      </c>
      <c r="L94" s="76">
        <v>45495</v>
      </c>
      <c r="M94" s="77">
        <f t="shared" ca="1" si="1"/>
        <v>45954</v>
      </c>
      <c r="N94" s="74" t="str">
        <f>_xlfn.IFNA(VLOOKUP(db_emp[[#This Row],[ID_DIV]],[1]!db_dpt[[Code_dpt]:[Departement]],2,0),"-")</f>
        <v>Marketing Communication</v>
      </c>
      <c r="O94" s="74" t="str">
        <f>_xlfn.IFNA(VLOOKUP(db_emp[[#This Row],[ID_SDP]],[1]!db_div[[Code_div]:[Division]],2,0),"-")</f>
        <v>Center Experience</v>
      </c>
      <c r="P94" s="74" t="str">
        <f>_xlfn.IFNA(VLOOKUP(db_emp[[#This Row],[Code_lvl]],[1]!db_lvl[[#All],[ID_level]:[Leveling Name]],2,0),"-")</f>
        <v>Assistant Manager</v>
      </c>
      <c r="Q94" s="74" t="str">
        <f>_xlfn.IFNA(VLOOKUP(db_emp[[#This Row],[Code_site]],[1]!db_site[[ID_Site]:[Url_maps]],3,0),"-")</f>
        <v>Unit - ASHTA</v>
      </c>
      <c r="R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241312,'Stella Ongko Wijaya','MAR','CTREX','Casual Leasing Assistant Manager','LV07','Mall &amp; Cinema','M04','Employee','2024-07-22','2025-10-24'</v>
      </c>
      <c r="S94" s="74">
        <f>db_emp[[#This Row],[NIP (UPDATE)]]</f>
        <v>241312</v>
      </c>
    </row>
    <row r="95" spans="2:19" hidden="1" x14ac:dyDescent="0.25">
      <c r="B95" s="75">
        <v>130</v>
      </c>
      <c r="C95" s="75">
        <v>241323</v>
      </c>
      <c r="D95" s="74" t="s">
        <v>1003</v>
      </c>
      <c r="E95" s="75" t="s">
        <v>964</v>
      </c>
      <c r="F95" s="75" t="s">
        <v>1004</v>
      </c>
      <c r="G95" s="74" t="s">
        <v>1005</v>
      </c>
      <c r="H95" s="75" t="s">
        <v>953</v>
      </c>
      <c r="I95" s="74" t="s">
        <v>486</v>
      </c>
      <c r="J95" s="75" t="s">
        <v>315</v>
      </c>
      <c r="K95" s="75" t="s">
        <v>850</v>
      </c>
      <c r="L95" s="76">
        <v>45495</v>
      </c>
      <c r="M95" s="77">
        <f t="shared" ca="1" si="1"/>
        <v>45954</v>
      </c>
      <c r="N95" s="74" t="str">
        <f>_xlfn.IFNA(VLOOKUP(db_emp[[#This Row],[ID_DIV]],[1]!db_dpt[[Code_dpt]:[Departement]],2,0),"-")</f>
        <v>Marketing Communication</v>
      </c>
      <c r="O95" s="74" t="str">
        <f>_xlfn.IFNA(VLOOKUP(db_emp[[#This Row],[ID_SDP]],[1]!db_div[[Code_div]:[Division]],2,0),"-")</f>
        <v>Casual Leasing</v>
      </c>
      <c r="P95" s="74" t="str">
        <f>_xlfn.IFNA(VLOOKUP(db_emp[[#This Row],[Code_lvl]],[1]!db_lvl[[#All],[ID_level]:[Leveling Name]],2,0),"-")</f>
        <v>Manager</v>
      </c>
      <c r="Q95" s="74" t="str">
        <f>_xlfn.IFNA(VLOOKUP(db_emp[[#This Row],[Code_site]],[1]!db_site[[ID_Site]:[Url_maps]],3,0),"-")</f>
        <v>Head Office - ASGO</v>
      </c>
      <c r="R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241323,'Ahmad Zaelani Firdaus','MAR','CSLNG','Casual Leasing Manager','LV05','Mall','O99','Employee','2024-07-22','2025-10-24'</v>
      </c>
      <c r="S95" s="74">
        <f>db_emp[[#This Row],[NIP (UPDATE)]]</f>
        <v>241323</v>
      </c>
    </row>
    <row r="96" spans="2:19" hidden="1" x14ac:dyDescent="0.25">
      <c r="B96" s="75">
        <v>1</v>
      </c>
      <c r="C96" s="75">
        <v>150132</v>
      </c>
      <c r="D96" s="74" t="s">
        <v>1006</v>
      </c>
      <c r="E96" s="75" t="s">
        <v>964</v>
      </c>
      <c r="F96" s="75" t="s">
        <v>1004</v>
      </c>
      <c r="G96" s="74" t="s">
        <v>1007</v>
      </c>
      <c r="H96" s="75" t="s">
        <v>968</v>
      </c>
      <c r="I96" s="74" t="s">
        <v>486</v>
      </c>
      <c r="J96" s="75" t="s">
        <v>315</v>
      </c>
      <c r="K96" s="75" t="s">
        <v>850</v>
      </c>
      <c r="L96" s="76">
        <v>42037</v>
      </c>
      <c r="M96" s="77">
        <f t="shared" ca="1" si="1"/>
        <v>45954</v>
      </c>
      <c r="N96" s="74" t="str">
        <f>_xlfn.IFNA(VLOOKUP(db_emp[[#This Row],[ID_DIV]],[1]!db_dpt[[Code_dpt]:[Departement]],2,0),"-")</f>
        <v>Marketing Communication</v>
      </c>
      <c r="O96" s="74" t="str">
        <f>_xlfn.IFNA(VLOOKUP(db_emp[[#This Row],[ID_SDP]],[1]!db_div[[Code_div]:[Division]],2,0),"-")</f>
        <v>Casual Leasing</v>
      </c>
      <c r="P96" s="74" t="str">
        <f>_xlfn.IFNA(VLOOKUP(db_emp[[#This Row],[Code_lvl]],[1]!db_lvl[[#All],[ID_level]:[Leveling Name]],2,0),"-")</f>
        <v>Senior Manager</v>
      </c>
      <c r="Q96" s="74" t="str">
        <f>_xlfn.IFNA(VLOOKUP(db_emp[[#This Row],[Code_site]],[1]!db_site[[ID_Site]:[Url_maps]],3,0),"-")</f>
        <v>Head Office - ASGO</v>
      </c>
      <c r="R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150132,'Aryo Pramono','MAR','CSLNG','Casual Leasing Senior Manager','LV04','Mall','O99','Employee','2015-02-02','2025-10-24'</v>
      </c>
      <c r="S96" s="74">
        <f>db_emp[[#This Row],[NIP (UPDATE)]]</f>
        <v>150132</v>
      </c>
    </row>
    <row r="97" spans="2:19" hidden="1" x14ac:dyDescent="0.25">
      <c r="B97" s="75">
        <v>213</v>
      </c>
      <c r="C97" s="75">
        <v>220363</v>
      </c>
      <c r="D97" s="74" t="s">
        <v>1008</v>
      </c>
      <c r="E97" s="75" t="s">
        <v>927</v>
      </c>
      <c r="F97" s="75" t="s">
        <v>1004</v>
      </c>
      <c r="G97" s="74" t="s">
        <v>1009</v>
      </c>
      <c r="H97" s="75" t="s">
        <v>885</v>
      </c>
      <c r="I97" s="74" t="s">
        <v>849</v>
      </c>
      <c r="J97" s="75" t="s">
        <v>314</v>
      </c>
      <c r="K97" s="75" t="s">
        <v>850</v>
      </c>
      <c r="L97" s="76">
        <v>44634</v>
      </c>
      <c r="M97" s="77">
        <f t="shared" ca="1" si="1"/>
        <v>45954</v>
      </c>
      <c r="N97" s="74" t="str">
        <f>_xlfn.IFNA(VLOOKUP(db_emp[[#This Row],[ID_DIV]],[1]!db_dpt[[Code_dpt]:[Departement]],2,0),"-")</f>
        <v>Center Experience</v>
      </c>
      <c r="O97" s="74" t="str">
        <f>_xlfn.IFNA(VLOOKUP(db_emp[[#This Row],[ID_SDP]],[1]!db_div[[Code_div]:[Division]],2,0),"-")</f>
        <v>Casual Leasing</v>
      </c>
      <c r="P97" s="74" t="str">
        <f>_xlfn.IFNA(VLOOKUP(db_emp[[#This Row],[Code_lvl]],[1]!db_lvl[[#All],[ID_level]:[Leveling Name]],2,0),"-")</f>
        <v>Senior Staff</v>
      </c>
      <c r="Q97" s="74" t="str">
        <f>_xlfn.IFNA(VLOOKUP(db_emp[[#This Row],[Code_site]],[1]!db_site[[ID_Site]:[Url_maps]],3,0),"-")</f>
        <v>Unit - MOI</v>
      </c>
      <c r="R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220363,'Karlina Veradia S','CEX','CSLNG','Casual Leasing Staff','LV11','Mall &amp; Cinema','M02','Employee','2022-03-14','2025-10-24'</v>
      </c>
      <c r="S97" s="74">
        <f>db_emp[[#This Row],[NIP (UPDATE)]]</f>
        <v>220363</v>
      </c>
    </row>
    <row r="98" spans="2:19" hidden="1" x14ac:dyDescent="0.25">
      <c r="B98" s="75">
        <v>249</v>
      </c>
      <c r="C98" s="75">
        <v>241757</v>
      </c>
      <c r="D98" s="74" t="s">
        <v>1010</v>
      </c>
      <c r="E98" s="75" t="s">
        <v>927</v>
      </c>
      <c r="F98" s="75" t="s">
        <v>1004</v>
      </c>
      <c r="G98" s="74" t="s">
        <v>1009</v>
      </c>
      <c r="H98" s="75" t="s">
        <v>853</v>
      </c>
      <c r="I98" s="74" t="s">
        <v>849</v>
      </c>
      <c r="J98" s="75" t="s">
        <v>314</v>
      </c>
      <c r="K98" s="75" t="s">
        <v>850</v>
      </c>
      <c r="L98" s="76">
        <v>43710</v>
      </c>
      <c r="M98" s="77">
        <f t="shared" ca="1" si="1"/>
        <v>45954</v>
      </c>
      <c r="N98" s="74" t="str">
        <f>_xlfn.IFNA(VLOOKUP(db_emp[[#This Row],[ID_DIV]],[1]!db_dpt[[Code_dpt]:[Departement]],2,0),"-")</f>
        <v>Center Experience</v>
      </c>
      <c r="O98" s="74" t="str">
        <f>_xlfn.IFNA(VLOOKUP(db_emp[[#This Row],[ID_SDP]],[1]!db_div[[Code_div]:[Division]],2,0),"-")</f>
        <v>Casual Leasing</v>
      </c>
      <c r="P98" s="74" t="str">
        <f>_xlfn.IFNA(VLOOKUP(db_emp[[#This Row],[Code_lvl]],[1]!db_lvl[[#All],[ID_level]:[Leveling Name]],2,0),"-")</f>
        <v>Staff</v>
      </c>
      <c r="Q98" s="74" t="str">
        <f>_xlfn.IFNA(VLOOKUP(db_emp[[#This Row],[Code_site]],[1]!db_site[[ID_Site]:[Url_maps]],3,0),"-")</f>
        <v>Unit - MOI</v>
      </c>
      <c r="R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241757,'Hery Hermawan','CEX','CSLNG','Casual Leasing Staff','LV12','Mall &amp; Cinema','M02','Employee','2019-09-02','2025-10-24'</v>
      </c>
      <c r="S98" s="74">
        <f>db_emp[[#This Row],[NIP (UPDATE)]]</f>
        <v>241757</v>
      </c>
    </row>
    <row r="99" spans="2:19" hidden="1" x14ac:dyDescent="0.25">
      <c r="B99" s="75">
        <v>261</v>
      </c>
      <c r="C99" s="75">
        <v>160681</v>
      </c>
      <c r="D99" s="74" t="s">
        <v>1011</v>
      </c>
      <c r="E99" s="75" t="s">
        <v>927</v>
      </c>
      <c r="F99" s="75" t="s">
        <v>1004</v>
      </c>
      <c r="G99" s="74" t="s">
        <v>1009</v>
      </c>
      <c r="H99" s="75" t="s">
        <v>853</v>
      </c>
      <c r="I99" s="74" t="s">
        <v>849</v>
      </c>
      <c r="J99" s="75" t="s">
        <v>314</v>
      </c>
      <c r="K99" s="75" t="s">
        <v>850</v>
      </c>
      <c r="L99" s="76">
        <v>42611</v>
      </c>
      <c r="M99" s="77">
        <f t="shared" ca="1" si="1"/>
        <v>45954</v>
      </c>
      <c r="N99" s="74" t="str">
        <f>_xlfn.IFNA(VLOOKUP(db_emp[[#This Row],[ID_DIV]],[1]!db_dpt[[Code_dpt]:[Departement]],2,0),"-")</f>
        <v>Center Experience</v>
      </c>
      <c r="O99" s="74" t="str">
        <f>_xlfn.IFNA(VLOOKUP(db_emp[[#This Row],[ID_SDP]],[1]!db_div[[Code_div]:[Division]],2,0),"-")</f>
        <v>Casual Leasing</v>
      </c>
      <c r="P99" s="74" t="str">
        <f>_xlfn.IFNA(VLOOKUP(db_emp[[#This Row],[Code_lvl]],[1]!db_lvl[[#All],[ID_level]:[Leveling Name]],2,0),"-")</f>
        <v>Staff</v>
      </c>
      <c r="Q99" s="74" t="str">
        <f>_xlfn.IFNA(VLOOKUP(db_emp[[#This Row],[Code_site]],[1]!db_site[[ID_Site]:[Url_maps]],3,0),"-")</f>
        <v>Unit - MOI</v>
      </c>
      <c r="R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160681,'Siti Maisyaroh Toyib','CEX','CSLNG','Casual Leasing Staff','LV12','Mall &amp; Cinema','M02','Employee','2016-08-29','2025-10-24'</v>
      </c>
      <c r="S99" s="74">
        <f>db_emp[[#This Row],[NIP (UPDATE)]]</f>
        <v>160681</v>
      </c>
    </row>
    <row r="100" spans="2:19" hidden="1" x14ac:dyDescent="0.25">
      <c r="B100" s="75">
        <v>374</v>
      </c>
      <c r="C100" s="75">
        <v>190079</v>
      </c>
      <c r="D100" s="74" t="s">
        <v>1012</v>
      </c>
      <c r="E100" s="75" t="s">
        <v>927</v>
      </c>
      <c r="F100" s="75" t="s">
        <v>1004</v>
      </c>
      <c r="G100" s="74" t="s">
        <v>1013</v>
      </c>
      <c r="H100" s="75" t="s">
        <v>870</v>
      </c>
      <c r="I100" s="74" t="s">
        <v>486</v>
      </c>
      <c r="J100" s="75" t="s">
        <v>492</v>
      </c>
      <c r="K100" s="75" t="s">
        <v>850</v>
      </c>
      <c r="L100" s="76">
        <v>43482</v>
      </c>
      <c r="M100" s="77">
        <f t="shared" ca="1" si="1"/>
        <v>45954</v>
      </c>
      <c r="N100" s="74" t="str">
        <f>_xlfn.IFNA(VLOOKUP(db_emp[[#This Row],[ID_DIV]],[1]!db_dpt[[Code_dpt]:[Departement]],2,0),"-")</f>
        <v>Center Experience</v>
      </c>
      <c r="O100" s="74" t="str">
        <f>_xlfn.IFNA(VLOOKUP(db_emp[[#This Row],[ID_SDP]],[1]!db_div[[Code_div]:[Division]],2,0),"-")</f>
        <v>Casual Leasing</v>
      </c>
      <c r="P100" s="74" t="str">
        <f>_xlfn.IFNA(VLOOKUP(db_emp[[#This Row],[Code_lvl]],[1]!db_lvl[[#All],[ID_level]:[Leveling Name]],2,0),"-")</f>
        <v>Supervisor</v>
      </c>
      <c r="Q100" s="74" t="str">
        <f>_xlfn.IFNA(VLOOKUP(db_emp[[#This Row],[Code_site]],[1]!db_site[[ID_Site]:[Url_maps]],3,0),"-")</f>
        <v>Unit - Hublife</v>
      </c>
      <c r="R1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190079,'Stefanny Yanto','CEX','CSLNG','Casual Leasing Supervisor','LV09','Mall','M05','Employee','2019-01-17','2025-10-24'</v>
      </c>
      <c r="S100" s="74">
        <f>db_emp[[#This Row],[NIP (UPDATE)]]</f>
        <v>190079</v>
      </c>
    </row>
    <row r="101" spans="2:19" hidden="1" x14ac:dyDescent="0.25">
      <c r="B101" s="75">
        <v>440</v>
      </c>
      <c r="C101" s="75">
        <v>250288</v>
      </c>
      <c r="D101" s="74" t="s">
        <v>1014</v>
      </c>
      <c r="E101" s="75" t="s">
        <v>927</v>
      </c>
      <c r="F101" s="75" t="s">
        <v>1004</v>
      </c>
      <c r="G101" s="74" t="s">
        <v>1013</v>
      </c>
      <c r="H101" s="75" t="s">
        <v>870</v>
      </c>
      <c r="I101" s="74" t="s">
        <v>486</v>
      </c>
      <c r="J101" s="75" t="s">
        <v>496</v>
      </c>
      <c r="K101" s="75" t="s">
        <v>850</v>
      </c>
      <c r="L101" s="76">
        <v>45740</v>
      </c>
      <c r="M101" s="77">
        <f t="shared" ca="1" si="1"/>
        <v>45954</v>
      </c>
      <c r="N101" s="74" t="str">
        <f>_xlfn.IFNA(VLOOKUP(db_emp[[#This Row],[ID_DIV]],[1]!db_dpt[[Code_dpt]:[Departement]],2,0),"-")</f>
        <v>Center Experience</v>
      </c>
      <c r="O101" s="74" t="str">
        <f>_xlfn.IFNA(VLOOKUP(db_emp[[#This Row],[ID_SDP]],[1]!db_div[[Code_div]:[Division]],2,0),"-")</f>
        <v>Casual Leasing</v>
      </c>
      <c r="P101" s="74" t="str">
        <f>_xlfn.IFNA(VLOOKUP(db_emp[[#This Row],[Code_lvl]],[1]!db_lvl[[#All],[ID_level]:[Leveling Name]],2,0),"-")</f>
        <v>Supervisor</v>
      </c>
      <c r="Q101" s="74" t="str">
        <f>_xlfn.IFNA(VLOOKUP(db_emp[[#This Row],[Code_site]],[1]!db_site[[ID_Site]:[Url_maps]],3,0),"-")</f>
        <v>Unit - Menara Jakarta</v>
      </c>
      <c r="R1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250288,'Wilfred Purnama','CEX','CSLNG','Casual Leasing Supervisor','LV09','Mall','M06','Employee','2025-03-24','2025-10-24'</v>
      </c>
      <c r="S101" s="74">
        <f>db_emp[[#This Row],[NIP (UPDATE)]]</f>
        <v>250288</v>
      </c>
    </row>
    <row r="102" spans="2:19" hidden="1" x14ac:dyDescent="0.25">
      <c r="B102" s="75">
        <v>488</v>
      </c>
      <c r="C102" s="75">
        <v>250214</v>
      </c>
      <c r="D102" s="74" t="s">
        <v>1015</v>
      </c>
      <c r="E102" s="75" t="s">
        <v>927</v>
      </c>
      <c r="F102" s="75" t="s">
        <v>1004</v>
      </c>
      <c r="G102" s="74" t="s">
        <v>1013</v>
      </c>
      <c r="H102" s="75" t="s">
        <v>1016</v>
      </c>
      <c r="I102" s="74" t="s">
        <v>849</v>
      </c>
      <c r="J102" s="75" t="s">
        <v>490</v>
      </c>
      <c r="K102" s="75" t="s">
        <v>862</v>
      </c>
      <c r="L102" s="76">
        <v>45719</v>
      </c>
      <c r="M102" s="77">
        <f t="shared" ca="1" si="1"/>
        <v>45954</v>
      </c>
      <c r="N102" s="74" t="str">
        <f>_xlfn.IFNA(VLOOKUP(db_emp[[#This Row],[ID_DIV]],[1]!db_dpt[[Code_dpt]:[Departement]],2,0),"-")</f>
        <v>Center Experience</v>
      </c>
      <c r="O102" s="74" t="str">
        <f>_xlfn.IFNA(VLOOKUP(db_emp[[#This Row],[ID_SDP]],[1]!db_div[[Code_div]:[Division]],2,0),"-")</f>
        <v>Casual Leasing</v>
      </c>
      <c r="P102" s="74" t="str">
        <f>_xlfn.IFNA(VLOOKUP(db_emp[[#This Row],[Code_lvl]],[1]!db_lvl[[#All],[ID_level]:[Leveling Name]],2,0),"-")</f>
        <v>Junior Supervisor</v>
      </c>
      <c r="Q102" s="74" t="str">
        <f>_xlfn.IFNA(VLOOKUP(db_emp[[#This Row],[Code_site]],[1]!db_site[[ID_Site]:[Url_maps]],3,0),"-")</f>
        <v>Unit - ASHTA</v>
      </c>
      <c r="R1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250214,'Rahma Nindia Kalyana','CEX','CSLNG','Casual Leasing Supervisor','LV10','Mall &amp; Cinema','M04','Not Employee','2025-03-03','2025-10-24'</v>
      </c>
      <c r="S102" s="74">
        <f>db_emp[[#This Row],[NIP (UPDATE)]]</f>
        <v>250214</v>
      </c>
    </row>
    <row r="103" spans="2:19" hidden="1" x14ac:dyDescent="0.25">
      <c r="B103" s="75">
        <v>704</v>
      </c>
      <c r="C103" s="75">
        <v>240263</v>
      </c>
      <c r="D103" s="74" t="s">
        <v>1017</v>
      </c>
      <c r="E103" s="75" t="s">
        <v>1018</v>
      </c>
      <c r="F103" s="75" t="s">
        <v>1019</v>
      </c>
      <c r="G103" s="74" t="s">
        <v>1020</v>
      </c>
      <c r="H103" s="75" t="s">
        <v>853</v>
      </c>
      <c r="I103" s="74" t="s">
        <v>864</v>
      </c>
      <c r="J103" s="75" t="s">
        <v>501</v>
      </c>
      <c r="K103" s="75" t="s">
        <v>850</v>
      </c>
      <c r="L103" s="76"/>
      <c r="M103" s="77">
        <f t="shared" ca="1" si="1"/>
        <v>45954</v>
      </c>
      <c r="N103" s="74" t="str">
        <f>_xlfn.IFNA(VLOOKUP(db_emp[[#This Row],[ID_DIV]],[1]!db_dpt[[Code_dpt]:[Departement]],2,0),"-")</f>
        <v>Operational</v>
      </c>
      <c r="O103" s="74" t="str">
        <f>_xlfn.IFNA(VLOOKUP(db_emp[[#This Row],[ID_SDP]],[1]!db_div[[Code_div]:[Division]],2,0),"-")</f>
        <v>Operational CCTV</v>
      </c>
      <c r="P103" s="74" t="str">
        <f>_xlfn.IFNA(VLOOKUP(db_emp[[#This Row],[Code_lvl]],[1]!db_lvl[[#All],[ID_level]:[Leveling Name]],2,0),"-")</f>
        <v>Staff</v>
      </c>
      <c r="Q103" s="74" t="str">
        <f>_xlfn.IFNA(VLOOKUP(db_emp[[#This Row],[Code_site]],[1]!db_site[[ID_Site]:[Url_maps]],3,0),"-")</f>
        <v>Unit - District 8</v>
      </c>
      <c r="R1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240263,'M. Rijal','OPR','OCCTV','CCTV Staff','LV12','Corp. Supporting Property (POM)','OD8','Employee','1900-01-00','2025-10-24'</v>
      </c>
      <c r="S103" s="74">
        <f>db_emp[[#This Row],[NIP (UPDATE)]]</f>
        <v>240263</v>
      </c>
    </row>
    <row r="104" spans="2:19" hidden="1" x14ac:dyDescent="0.25">
      <c r="B104" s="75">
        <v>719</v>
      </c>
      <c r="C104" s="75">
        <v>240461</v>
      </c>
      <c r="D104" s="74" t="s">
        <v>1021</v>
      </c>
      <c r="E104" s="75" t="s">
        <v>1018</v>
      </c>
      <c r="F104" s="75" t="s">
        <v>1019</v>
      </c>
      <c r="G104" s="74" t="s">
        <v>1020</v>
      </c>
      <c r="H104" s="75" t="s">
        <v>853</v>
      </c>
      <c r="I104" s="74" t="s">
        <v>864</v>
      </c>
      <c r="J104" s="75" t="s">
        <v>501</v>
      </c>
      <c r="K104" s="75" t="s">
        <v>850</v>
      </c>
      <c r="L104" s="76"/>
      <c r="M104" s="77">
        <f t="shared" ca="1" si="1"/>
        <v>45954</v>
      </c>
      <c r="N104" s="74" t="str">
        <f>_xlfn.IFNA(VLOOKUP(db_emp[[#This Row],[ID_DIV]],[1]!db_dpt[[Code_dpt]:[Departement]],2,0),"-")</f>
        <v>Operational</v>
      </c>
      <c r="O104" s="74" t="str">
        <f>_xlfn.IFNA(VLOOKUP(db_emp[[#This Row],[ID_SDP]],[1]!db_div[[Code_div]:[Division]],2,0),"-")</f>
        <v>Operational CCTV</v>
      </c>
      <c r="P104" s="74" t="str">
        <f>_xlfn.IFNA(VLOOKUP(db_emp[[#This Row],[Code_lvl]],[1]!db_lvl[[#All],[ID_level]:[Leveling Name]],2,0),"-")</f>
        <v>Staff</v>
      </c>
      <c r="Q104" s="74" t="str">
        <f>_xlfn.IFNA(VLOOKUP(db_emp[[#This Row],[Code_site]],[1]!db_site[[ID_Site]:[Url_maps]],3,0),"-")</f>
        <v>Unit - District 8</v>
      </c>
      <c r="R1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240461,'Muhammad Yadi','OPR','OCCTV','CCTV Staff','LV12','Corp. Supporting Property (POM)','OD8','Employee','1900-01-00','2025-10-24'</v>
      </c>
      <c r="S104" s="74">
        <f>db_emp[[#This Row],[NIP (UPDATE)]]</f>
        <v>240461</v>
      </c>
    </row>
    <row r="105" spans="2:19" hidden="1" x14ac:dyDescent="0.25">
      <c r="B105" s="75">
        <v>723</v>
      </c>
      <c r="C105" s="75">
        <v>240468</v>
      </c>
      <c r="D105" s="74" t="s">
        <v>1022</v>
      </c>
      <c r="E105" s="75" t="s">
        <v>1018</v>
      </c>
      <c r="F105" s="75" t="s">
        <v>1019</v>
      </c>
      <c r="G105" s="74" t="s">
        <v>1020</v>
      </c>
      <c r="H105" s="75" t="s">
        <v>853</v>
      </c>
      <c r="I105" s="74" t="s">
        <v>864</v>
      </c>
      <c r="J105" s="75" t="s">
        <v>501</v>
      </c>
      <c r="K105" s="75" t="s">
        <v>850</v>
      </c>
      <c r="L105" s="76"/>
      <c r="M105" s="77">
        <f t="shared" ca="1" si="1"/>
        <v>45954</v>
      </c>
      <c r="N105" s="74" t="str">
        <f>_xlfn.IFNA(VLOOKUP(db_emp[[#This Row],[ID_DIV]],[1]!db_dpt[[Code_dpt]:[Departement]],2,0),"-")</f>
        <v>Operational</v>
      </c>
      <c r="O105" s="74" t="str">
        <f>_xlfn.IFNA(VLOOKUP(db_emp[[#This Row],[ID_SDP]],[1]!db_div[[Code_div]:[Division]],2,0),"-")</f>
        <v>Operational CCTV</v>
      </c>
      <c r="P105" s="74" t="str">
        <f>_xlfn.IFNA(VLOOKUP(db_emp[[#This Row],[Code_lvl]],[1]!db_lvl[[#All],[ID_level]:[Leveling Name]],2,0),"-")</f>
        <v>Staff</v>
      </c>
      <c r="Q105" s="74" t="str">
        <f>_xlfn.IFNA(VLOOKUP(db_emp[[#This Row],[Code_site]],[1]!db_site[[ID_Site]:[Url_maps]],3,0),"-")</f>
        <v>Unit - District 8</v>
      </c>
      <c r="R1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240468,'Fietri Samika','OPR','OCCTV','CCTV Staff','LV12','Corp. Supporting Property (POM)','OD8','Employee','1900-01-00','2025-10-24'</v>
      </c>
      <c r="S105" s="74">
        <f>db_emp[[#This Row],[NIP (UPDATE)]]</f>
        <v>240468</v>
      </c>
    </row>
    <row r="106" spans="2:19" hidden="1" x14ac:dyDescent="0.25">
      <c r="B106" s="75">
        <v>729</v>
      </c>
      <c r="C106" s="75">
        <v>240685</v>
      </c>
      <c r="D106" s="74" t="s">
        <v>1023</v>
      </c>
      <c r="E106" s="75" t="s">
        <v>1018</v>
      </c>
      <c r="F106" s="75" t="s">
        <v>1019</v>
      </c>
      <c r="G106" s="74" t="s">
        <v>1020</v>
      </c>
      <c r="H106" s="75" t="s">
        <v>853</v>
      </c>
      <c r="I106" s="74" t="s">
        <v>864</v>
      </c>
      <c r="J106" s="75" t="s">
        <v>501</v>
      </c>
      <c r="K106" s="75" t="s">
        <v>850</v>
      </c>
      <c r="L106" s="76"/>
      <c r="M106" s="77">
        <f t="shared" ca="1" si="1"/>
        <v>45954</v>
      </c>
      <c r="N106" s="74" t="str">
        <f>_xlfn.IFNA(VLOOKUP(db_emp[[#This Row],[ID_DIV]],[1]!db_dpt[[Code_dpt]:[Departement]],2,0),"-")</f>
        <v>Operational</v>
      </c>
      <c r="O106" s="74" t="str">
        <f>_xlfn.IFNA(VLOOKUP(db_emp[[#This Row],[ID_SDP]],[1]!db_div[[Code_div]:[Division]],2,0),"-")</f>
        <v>Operational CCTV</v>
      </c>
      <c r="P106" s="74" t="str">
        <f>_xlfn.IFNA(VLOOKUP(db_emp[[#This Row],[Code_lvl]],[1]!db_lvl[[#All],[ID_level]:[Leveling Name]],2,0),"-")</f>
        <v>Staff</v>
      </c>
      <c r="Q106" s="74" t="str">
        <f>_xlfn.IFNA(VLOOKUP(db_emp[[#This Row],[Code_site]],[1]!db_site[[ID_Site]:[Url_maps]],3,0),"-")</f>
        <v>Unit - District 8</v>
      </c>
      <c r="R1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240685,'Manoa Awo Kolly','OPR','OCCTV','CCTV Staff','LV12','Corp. Supporting Property (POM)','OD8','Employee','1900-01-00','2025-10-24'</v>
      </c>
      <c r="S106" s="74">
        <f>db_emp[[#This Row],[NIP (UPDATE)]]</f>
        <v>240685</v>
      </c>
    </row>
    <row r="107" spans="2:19" hidden="1" x14ac:dyDescent="0.25">
      <c r="B107" s="75">
        <v>747</v>
      </c>
      <c r="C107" s="75">
        <v>242004</v>
      </c>
      <c r="D107" s="74" t="s">
        <v>1024</v>
      </c>
      <c r="E107" s="75" t="s">
        <v>1018</v>
      </c>
      <c r="F107" s="75" t="s">
        <v>1019</v>
      </c>
      <c r="G107" s="74" t="s">
        <v>1020</v>
      </c>
      <c r="H107" s="75" t="s">
        <v>853</v>
      </c>
      <c r="I107" s="74" t="s">
        <v>864</v>
      </c>
      <c r="J107" s="75" t="s">
        <v>501</v>
      </c>
      <c r="K107" s="75" t="s">
        <v>850</v>
      </c>
      <c r="L107" s="76"/>
      <c r="M107" s="77">
        <f t="shared" ca="1" si="1"/>
        <v>45954</v>
      </c>
      <c r="N107" s="74" t="str">
        <f>_xlfn.IFNA(VLOOKUP(db_emp[[#This Row],[ID_DIV]],[1]!db_dpt[[Code_dpt]:[Departement]],2,0),"-")</f>
        <v>Operational</v>
      </c>
      <c r="O107" s="74" t="str">
        <f>_xlfn.IFNA(VLOOKUP(db_emp[[#This Row],[ID_SDP]],[1]!db_div[[Code_div]:[Division]],2,0),"-")</f>
        <v>Operational CCTV</v>
      </c>
      <c r="P107" s="74" t="str">
        <f>_xlfn.IFNA(VLOOKUP(db_emp[[#This Row],[Code_lvl]],[1]!db_lvl[[#All],[ID_level]:[Leveling Name]],2,0),"-")</f>
        <v>Staff</v>
      </c>
      <c r="Q107" s="74" t="str">
        <f>_xlfn.IFNA(VLOOKUP(db_emp[[#This Row],[Code_site]],[1]!db_site[[ID_Site]:[Url_maps]],3,0),"-")</f>
        <v>Unit - District 8</v>
      </c>
      <c r="R1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242004,'Aldiansyah.','OPR','OCCTV','CCTV Staff','LV12','Corp. Supporting Property (POM)','OD8','Employee','1900-01-00','2025-10-24'</v>
      </c>
      <c r="S107" s="74">
        <f>db_emp[[#This Row],[NIP (UPDATE)]]</f>
        <v>242004</v>
      </c>
    </row>
    <row r="108" spans="2:19" hidden="1" x14ac:dyDescent="0.25">
      <c r="B108" s="75">
        <v>748</v>
      </c>
      <c r="C108" s="75">
        <v>242005</v>
      </c>
      <c r="D108" s="74" t="s">
        <v>1025</v>
      </c>
      <c r="E108" s="75" t="s">
        <v>1018</v>
      </c>
      <c r="F108" s="75" t="s">
        <v>1019</v>
      </c>
      <c r="G108" s="74" t="s">
        <v>1020</v>
      </c>
      <c r="H108" s="75" t="s">
        <v>853</v>
      </c>
      <c r="I108" s="74" t="s">
        <v>864</v>
      </c>
      <c r="J108" s="75" t="s">
        <v>501</v>
      </c>
      <c r="K108" s="75" t="s">
        <v>850</v>
      </c>
      <c r="L108" s="76"/>
      <c r="M108" s="77">
        <f t="shared" ca="1" si="1"/>
        <v>45954</v>
      </c>
      <c r="N108" s="74" t="str">
        <f>_xlfn.IFNA(VLOOKUP(db_emp[[#This Row],[ID_DIV]],[1]!db_dpt[[Code_dpt]:[Departement]],2,0),"-")</f>
        <v>Operational</v>
      </c>
      <c r="O108" s="74" t="str">
        <f>_xlfn.IFNA(VLOOKUP(db_emp[[#This Row],[ID_SDP]],[1]!db_div[[Code_div]:[Division]],2,0),"-")</f>
        <v>Operational CCTV</v>
      </c>
      <c r="P108" s="74" t="str">
        <f>_xlfn.IFNA(VLOOKUP(db_emp[[#This Row],[Code_lvl]],[1]!db_lvl[[#All],[ID_level]:[Leveling Name]],2,0),"-")</f>
        <v>Staff</v>
      </c>
      <c r="Q108" s="74" t="str">
        <f>_xlfn.IFNA(VLOOKUP(db_emp[[#This Row],[Code_site]],[1]!db_site[[ID_Site]:[Url_maps]],3,0),"-")</f>
        <v>Unit - District 8</v>
      </c>
      <c r="R1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242005,'Rustam Maulana','OPR','OCCTV','CCTV Staff','LV12','Corp. Supporting Property (POM)','OD8','Employee','1900-01-00','2025-10-24'</v>
      </c>
      <c r="S108" s="74">
        <f>db_emp[[#This Row],[NIP (UPDATE)]]</f>
        <v>242005</v>
      </c>
    </row>
    <row r="109" spans="2:19" hidden="1" x14ac:dyDescent="0.25">
      <c r="B109" s="75">
        <v>762</v>
      </c>
      <c r="C109" s="75">
        <v>250331</v>
      </c>
      <c r="D109" s="74" t="s">
        <v>1026</v>
      </c>
      <c r="E109" s="75" t="s">
        <v>1018</v>
      </c>
      <c r="F109" s="75" t="s">
        <v>1019</v>
      </c>
      <c r="G109" s="74" t="s">
        <v>1020</v>
      </c>
      <c r="H109" s="75" t="s">
        <v>853</v>
      </c>
      <c r="I109" s="74" t="s">
        <v>864</v>
      </c>
      <c r="J109" s="75" t="s">
        <v>501</v>
      </c>
      <c r="K109" s="75" t="s">
        <v>850</v>
      </c>
      <c r="L109" s="76"/>
      <c r="M109" s="77">
        <f t="shared" ca="1" si="1"/>
        <v>45954</v>
      </c>
      <c r="N109" s="74" t="str">
        <f>_xlfn.IFNA(VLOOKUP(db_emp[[#This Row],[ID_DIV]],[1]!db_dpt[[Code_dpt]:[Departement]],2,0),"-")</f>
        <v>Operational</v>
      </c>
      <c r="O109" s="74" t="str">
        <f>_xlfn.IFNA(VLOOKUP(db_emp[[#This Row],[ID_SDP]],[1]!db_div[[Code_div]:[Division]],2,0),"-")</f>
        <v>Operational CCTV</v>
      </c>
      <c r="P109" s="74" t="str">
        <f>_xlfn.IFNA(VLOOKUP(db_emp[[#This Row],[Code_lvl]],[1]!db_lvl[[#All],[ID_level]:[Leveling Name]],2,0),"-")</f>
        <v>Staff</v>
      </c>
      <c r="Q109" s="74" t="str">
        <f>_xlfn.IFNA(VLOOKUP(db_emp[[#This Row],[Code_site]],[1]!db_site[[ID_Site]:[Url_maps]],3,0),"-")</f>
        <v>Unit - District 8</v>
      </c>
      <c r="R1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250331,'Dendi Yuda Anggara','OPR','OCCTV','CCTV Staff','LV12','Corp. Supporting Property (POM)','OD8','Employee','1900-01-00','2025-10-24'</v>
      </c>
      <c r="S109" s="74">
        <f>db_emp[[#This Row],[NIP (UPDATE)]]</f>
        <v>250331</v>
      </c>
    </row>
    <row r="110" spans="2:19" hidden="1" x14ac:dyDescent="0.25">
      <c r="B110" s="75">
        <v>766</v>
      </c>
      <c r="C110" s="75">
        <v>250413</v>
      </c>
      <c r="D110" s="74" t="s">
        <v>1027</v>
      </c>
      <c r="E110" s="75" t="s">
        <v>1018</v>
      </c>
      <c r="F110" s="75" t="s">
        <v>1019</v>
      </c>
      <c r="G110" s="74" t="s">
        <v>1020</v>
      </c>
      <c r="H110" s="75" t="s">
        <v>853</v>
      </c>
      <c r="I110" s="74" t="s">
        <v>864</v>
      </c>
      <c r="J110" s="75" t="s">
        <v>501</v>
      </c>
      <c r="K110" s="75" t="s">
        <v>850</v>
      </c>
      <c r="L110" s="76"/>
      <c r="M110" s="77">
        <f t="shared" ca="1" si="1"/>
        <v>45954</v>
      </c>
      <c r="N110" s="74" t="str">
        <f>_xlfn.IFNA(VLOOKUP(db_emp[[#This Row],[ID_DIV]],[1]!db_dpt[[Code_dpt]:[Departement]],2,0),"-")</f>
        <v>Operational</v>
      </c>
      <c r="O110" s="74" t="str">
        <f>_xlfn.IFNA(VLOOKUP(db_emp[[#This Row],[ID_SDP]],[1]!db_div[[Code_div]:[Division]],2,0),"-")</f>
        <v>Operational CCTV</v>
      </c>
      <c r="P110" s="74" t="str">
        <f>_xlfn.IFNA(VLOOKUP(db_emp[[#This Row],[Code_lvl]],[1]!db_lvl[[#All],[ID_level]:[Leveling Name]],2,0),"-")</f>
        <v>Staff</v>
      </c>
      <c r="Q110" s="74" t="str">
        <f>_xlfn.IFNA(VLOOKUP(db_emp[[#This Row],[Code_site]],[1]!db_site[[ID_Site]:[Url_maps]],3,0),"-")</f>
        <v>Unit - District 8</v>
      </c>
      <c r="R1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250413,'Imran Tanjung','OPR','OCCTV','CCTV Staff','LV12','Corp. Supporting Property (POM)','OD8','Employee','1900-01-00','2025-10-24'</v>
      </c>
      <c r="S110" s="74">
        <f>db_emp[[#This Row],[NIP (UPDATE)]]</f>
        <v>250413</v>
      </c>
    </row>
    <row r="111" spans="2:19" hidden="1" x14ac:dyDescent="0.25">
      <c r="B111" s="75">
        <v>767</v>
      </c>
      <c r="C111" s="75">
        <v>250435</v>
      </c>
      <c r="D111" s="74" t="s">
        <v>1028</v>
      </c>
      <c r="E111" s="75" t="s">
        <v>1018</v>
      </c>
      <c r="F111" s="75" t="s">
        <v>1019</v>
      </c>
      <c r="G111" s="74" t="s">
        <v>1020</v>
      </c>
      <c r="H111" s="75" t="s">
        <v>853</v>
      </c>
      <c r="I111" s="74" t="s">
        <v>864</v>
      </c>
      <c r="J111" s="75" t="s">
        <v>501</v>
      </c>
      <c r="K111" s="75" t="s">
        <v>850</v>
      </c>
      <c r="L111" s="76"/>
      <c r="M111" s="77">
        <f t="shared" ca="1" si="1"/>
        <v>45954</v>
      </c>
      <c r="N111" s="74" t="str">
        <f>_xlfn.IFNA(VLOOKUP(db_emp[[#This Row],[ID_DIV]],[1]!db_dpt[[Code_dpt]:[Departement]],2,0),"-")</f>
        <v>Operational</v>
      </c>
      <c r="O111" s="74" t="str">
        <f>_xlfn.IFNA(VLOOKUP(db_emp[[#This Row],[ID_SDP]],[1]!db_div[[Code_div]:[Division]],2,0),"-")</f>
        <v>Operational CCTV</v>
      </c>
      <c r="P111" s="74" t="str">
        <f>_xlfn.IFNA(VLOOKUP(db_emp[[#This Row],[Code_lvl]],[1]!db_lvl[[#All],[ID_level]:[Leveling Name]],2,0),"-")</f>
        <v>Staff</v>
      </c>
      <c r="Q111" s="74" t="str">
        <f>_xlfn.IFNA(VLOOKUP(db_emp[[#This Row],[Code_site]],[1]!db_site[[ID_Site]:[Url_maps]],3,0),"-")</f>
        <v>Unit - District 8</v>
      </c>
      <c r="R1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250435,'Riski Gunawan Alfaret','OPR','OCCTV','CCTV Staff','LV12','Corp. Supporting Property (POM)','OD8','Employee','1900-01-00','2025-10-24'</v>
      </c>
      <c r="S111" s="74">
        <f>db_emp[[#This Row],[NIP (UPDATE)]]</f>
        <v>250435</v>
      </c>
    </row>
    <row r="112" spans="2:19" hidden="1" x14ac:dyDescent="0.25">
      <c r="B112" s="75">
        <v>397</v>
      </c>
      <c r="C112" s="75">
        <v>171033</v>
      </c>
      <c r="D112" s="74" t="s">
        <v>1029</v>
      </c>
      <c r="E112" s="75" t="s">
        <v>927</v>
      </c>
      <c r="F112" s="75" t="s">
        <v>971</v>
      </c>
      <c r="G112" s="74" t="s">
        <v>1030</v>
      </c>
      <c r="H112" s="75" t="s">
        <v>953</v>
      </c>
      <c r="I112" s="74" t="s">
        <v>849</v>
      </c>
      <c r="J112" s="75" t="s">
        <v>316</v>
      </c>
      <c r="K112" s="75" t="s">
        <v>850</v>
      </c>
      <c r="L112" s="76">
        <v>43047</v>
      </c>
      <c r="M112" s="77">
        <f t="shared" ca="1" si="1"/>
        <v>45954</v>
      </c>
      <c r="N112" s="74" t="str">
        <f>_xlfn.IFNA(VLOOKUP(db_emp[[#This Row],[ID_DIV]],[1]!db_dpt[[Code_dpt]:[Departement]],2,0),"-")</f>
        <v>Center Experience</v>
      </c>
      <c r="O112" s="74" t="str">
        <f>_xlfn.IFNA(VLOOKUP(db_emp[[#This Row],[ID_SDP]],[1]!db_div[[Code_div]:[Division]],2,0),"-")</f>
        <v>General Head Departement</v>
      </c>
      <c r="P112" s="74" t="str">
        <f>_xlfn.IFNA(VLOOKUP(db_emp[[#This Row],[Code_lvl]],[1]!db_lvl[[#All],[ID_level]:[Leveling Name]],2,0),"-")</f>
        <v>Manager</v>
      </c>
      <c r="Q112" s="74" t="str">
        <f>_xlfn.IFNA(VLOOKUP(db_emp[[#This Row],[Code_site]],[1]!db_site[[ID_Site]:[Url_maps]],3,0),"-")</f>
        <v>Unit - GGP</v>
      </c>
      <c r="R1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171033,'Benny.','CEX','GNRAL','Center Experience Manager','LV05','Mall &amp; Cinema','M03','Employee','2017-11-08','2025-10-24'</v>
      </c>
      <c r="S112" s="74">
        <f>db_emp[[#This Row],[NIP (UPDATE)]]</f>
        <v>171033</v>
      </c>
    </row>
    <row r="113" spans="2:19" hidden="1" x14ac:dyDescent="0.25">
      <c r="B113" s="75">
        <v>198</v>
      </c>
      <c r="C113" s="75">
        <v>191095</v>
      </c>
      <c r="D113" s="74" t="s">
        <v>1031</v>
      </c>
      <c r="E113" s="75" t="s">
        <v>927</v>
      </c>
      <c r="F113" s="75" t="s">
        <v>971</v>
      </c>
      <c r="G113" s="74" t="s">
        <v>1032</v>
      </c>
      <c r="H113" s="75" t="s">
        <v>968</v>
      </c>
      <c r="I113" s="74" t="s">
        <v>849</v>
      </c>
      <c r="J113" s="75" t="s">
        <v>314</v>
      </c>
      <c r="K113" s="75" t="s">
        <v>850</v>
      </c>
      <c r="L113" s="76">
        <v>43794</v>
      </c>
      <c r="M113" s="77">
        <f t="shared" ca="1" si="1"/>
        <v>45954</v>
      </c>
      <c r="N113" s="74" t="str">
        <f>_xlfn.IFNA(VLOOKUP(db_emp[[#This Row],[ID_DIV]],[1]!db_dpt[[Code_dpt]:[Departement]],2,0),"-")</f>
        <v>Center Experience</v>
      </c>
      <c r="O113" s="74" t="str">
        <f>_xlfn.IFNA(VLOOKUP(db_emp[[#This Row],[ID_SDP]],[1]!db_div[[Code_div]:[Division]],2,0),"-")</f>
        <v>General Head Departement</v>
      </c>
      <c r="P113" s="74" t="str">
        <f>_xlfn.IFNA(VLOOKUP(db_emp[[#This Row],[Code_lvl]],[1]!db_lvl[[#All],[ID_level]:[Leveling Name]],2,0),"-")</f>
        <v>Senior Manager</v>
      </c>
      <c r="Q113" s="74" t="str">
        <f>_xlfn.IFNA(VLOOKUP(db_emp[[#This Row],[Code_site]],[1]!db_site[[ID_Site]:[Url_maps]],3,0),"-")</f>
        <v>Unit - MOI</v>
      </c>
      <c r="R1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191095,'Wahyu Setiadi Nugroho','CEX','GNRAL','Center Experience Senior Manager','LV04','Mall &amp; Cinema','M02','Employee','2019-11-25','2025-10-24'</v>
      </c>
      <c r="S113" s="74">
        <f>db_emp[[#This Row],[NIP (UPDATE)]]</f>
        <v>191095</v>
      </c>
    </row>
    <row r="114" spans="2:19" hidden="1" x14ac:dyDescent="0.25">
      <c r="B114" s="75">
        <v>293</v>
      </c>
      <c r="C114" s="75">
        <v>200664</v>
      </c>
      <c r="D114" s="74" t="s">
        <v>1033</v>
      </c>
      <c r="E114" s="75" t="s">
        <v>964</v>
      </c>
      <c r="F114" s="75" t="s">
        <v>971</v>
      </c>
      <c r="G114" s="74" t="s">
        <v>1032</v>
      </c>
      <c r="H114" s="75" t="s">
        <v>968</v>
      </c>
      <c r="I114" s="74" t="s">
        <v>849</v>
      </c>
      <c r="J114" s="75" t="s">
        <v>484</v>
      </c>
      <c r="K114" s="75" t="s">
        <v>903</v>
      </c>
      <c r="L114" s="76">
        <v>44158</v>
      </c>
      <c r="M114" s="77">
        <v>45849</v>
      </c>
      <c r="N114" s="74" t="str">
        <f>_xlfn.IFNA(VLOOKUP(db_emp[[#This Row],[ID_DIV]],[1]!db_dpt[[Code_dpt]:[Departement]],2,0),"-")</f>
        <v>Marketing Communication</v>
      </c>
      <c r="O114" s="74" t="str">
        <f>_xlfn.IFNA(VLOOKUP(db_emp[[#This Row],[ID_SDP]],[1]!db_div[[Code_div]:[Division]],2,0),"-")</f>
        <v>General Head Departement</v>
      </c>
      <c r="P114" s="74" t="str">
        <f>_xlfn.IFNA(VLOOKUP(db_emp[[#This Row],[Code_lvl]],[1]!db_lvl[[#All],[ID_level]:[Leveling Name]],2,0),"-")</f>
        <v>Senior Manager</v>
      </c>
      <c r="Q114" s="74" t="str">
        <f>_xlfn.IFNA(VLOOKUP(db_emp[[#This Row],[Code_site]],[1]!db_site[[ID_Site]:[Url_maps]],3,0),"-")</f>
        <v>Unit - PIK Avenue</v>
      </c>
      <c r="R114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200664,'Tessa Marlenaska','MAR','GNRAL','Center Experience Senior Manager','LV04','Mall &amp; Cinema','M01','Resign','2020-11-23','2025-07-11'</v>
      </c>
      <c r="S114" s="74">
        <f>db_emp[[#This Row],[NIP (UPDATE)]]</f>
        <v>200664</v>
      </c>
    </row>
    <row r="115" spans="2:19" hidden="1" x14ac:dyDescent="0.25">
      <c r="B115" s="75">
        <v>472</v>
      </c>
      <c r="C115" s="75">
        <v>240951</v>
      </c>
      <c r="D115" s="74" t="s">
        <v>1034</v>
      </c>
      <c r="E115" s="75" t="s">
        <v>927</v>
      </c>
      <c r="F115" s="75" t="s">
        <v>971</v>
      </c>
      <c r="G115" s="74" t="s">
        <v>1032</v>
      </c>
      <c r="H115" s="75" t="s">
        <v>968</v>
      </c>
      <c r="I115" s="74" t="s">
        <v>849</v>
      </c>
      <c r="J115" s="75" t="s">
        <v>490</v>
      </c>
      <c r="K115" s="75" t="s">
        <v>850</v>
      </c>
      <c r="L115" s="76">
        <v>45446</v>
      </c>
      <c r="M115" s="77">
        <f t="shared" ref="M115:M123" ca="1" si="2">TODAY()+1</f>
        <v>45954</v>
      </c>
      <c r="N115" s="74" t="str">
        <f>_xlfn.IFNA(VLOOKUP(db_emp[[#This Row],[ID_DIV]],[1]!db_dpt[[Code_dpt]:[Departement]],2,0),"-")</f>
        <v>Center Experience</v>
      </c>
      <c r="O115" s="74" t="str">
        <f>_xlfn.IFNA(VLOOKUP(db_emp[[#This Row],[ID_SDP]],[1]!db_div[[Code_div]:[Division]],2,0),"-")</f>
        <v>General Head Departement</v>
      </c>
      <c r="P115" s="74" t="str">
        <f>_xlfn.IFNA(VLOOKUP(db_emp[[#This Row],[Code_lvl]],[1]!db_lvl[[#All],[ID_level]:[Leveling Name]],2,0),"-")</f>
        <v>Senior Manager</v>
      </c>
      <c r="Q115" s="74" t="str">
        <f>_xlfn.IFNA(VLOOKUP(db_emp[[#This Row],[Code_site]],[1]!db_site[[ID_Site]:[Url_maps]],3,0),"-")</f>
        <v>Unit - ASHTA</v>
      </c>
      <c r="R1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240951,'Leonardo','CEX','GNRAL','Center Experience Senior Manager','LV04','Mall &amp; Cinema','M04','Employee','2024-06-03','2025-10-24'</v>
      </c>
      <c r="S115" s="74">
        <f>db_emp[[#This Row],[NIP (UPDATE)]]</f>
        <v>240951</v>
      </c>
    </row>
    <row r="116" spans="2:19" hidden="1" x14ac:dyDescent="0.25">
      <c r="B116" s="75">
        <v>731</v>
      </c>
      <c r="C116" s="75">
        <v>240734</v>
      </c>
      <c r="D116" s="74" t="s">
        <v>1035</v>
      </c>
      <c r="E116" s="75" t="s">
        <v>1036</v>
      </c>
      <c r="F116" s="75" t="s">
        <v>1037</v>
      </c>
      <c r="G116" s="74" t="s">
        <v>1038</v>
      </c>
      <c r="H116" s="75" t="s">
        <v>848</v>
      </c>
      <c r="I116" s="74" t="s">
        <v>864</v>
      </c>
      <c r="J116" s="75" t="s">
        <v>501</v>
      </c>
      <c r="K116" s="75" t="s">
        <v>850</v>
      </c>
      <c r="L116" s="76"/>
      <c r="M116" s="77">
        <f t="shared" ca="1" si="2"/>
        <v>45954</v>
      </c>
      <c r="N116" s="74" t="str">
        <f>_xlfn.IFNA(VLOOKUP(db_emp[[#This Row],[ID_DIV]],[1]!db_dpt[[Code_dpt]:[Departement]],2,0),"-")</f>
        <v>Tenant Relation</v>
      </c>
      <c r="O116" s="74" t="str">
        <f>_xlfn.IFNA(VLOOKUP(db_emp[[#This Row],[ID_SDP]],[1]!db_div[[Code_div]:[Division]],2,0),"-")</f>
        <v>Consierg</v>
      </c>
      <c r="P116" s="74" t="str">
        <f>_xlfn.IFNA(VLOOKUP(db_emp[[#This Row],[Code_lvl]],[1]!db_lvl[[#All],[ID_level]:[Leveling Name]],2,0),"-")</f>
        <v>Assistant Manager</v>
      </c>
      <c r="Q116" s="74" t="str">
        <f>_xlfn.IFNA(VLOOKUP(db_emp[[#This Row],[Code_site]],[1]!db_site[[ID_Site]:[Url_maps]],3,0),"-")</f>
        <v>Unit - District 8</v>
      </c>
      <c r="R1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240734,'Agit Sholeh Manansal','TRL','CONSI','Chief Concierge','LV07','Corp. Supporting Property (POM)','OD8','Employee','1900-01-00','2025-10-24'</v>
      </c>
      <c r="S116" s="74">
        <f>db_emp[[#This Row],[NIP (UPDATE)]]</f>
        <v>240734</v>
      </c>
    </row>
    <row r="117" spans="2:19" hidden="1" x14ac:dyDescent="0.25">
      <c r="B117" s="75">
        <v>545</v>
      </c>
      <c r="C117" s="75">
        <v>240041</v>
      </c>
      <c r="D117" s="74" t="s">
        <v>1039</v>
      </c>
      <c r="E117" s="75" t="s">
        <v>1018</v>
      </c>
      <c r="F117" s="75" t="s">
        <v>917</v>
      </c>
      <c r="G117" s="74" t="s">
        <v>1040</v>
      </c>
      <c r="H117" s="75" t="s">
        <v>848</v>
      </c>
      <c r="I117" s="74" t="s">
        <v>864</v>
      </c>
      <c r="J117" s="75" t="s">
        <v>446</v>
      </c>
      <c r="K117" s="75" t="s">
        <v>850</v>
      </c>
      <c r="L117" s="76">
        <v>45301</v>
      </c>
      <c r="M117" s="77">
        <f t="shared" ca="1" si="2"/>
        <v>45954</v>
      </c>
      <c r="N117" s="74" t="str">
        <f>_xlfn.IFNA(VLOOKUP(db_emp[[#This Row],[ID_DIV]],[1]!db_dpt[[Code_dpt]:[Departement]],2,0),"-")</f>
        <v>Operational</v>
      </c>
      <c r="O117" s="74" t="str">
        <f>_xlfn.IFNA(VLOOKUP(db_emp[[#This Row],[ID_SDP]],[1]!db_div[[Code_div]:[Division]],2,0),"-")</f>
        <v>HSE</v>
      </c>
      <c r="P117" s="74" t="str">
        <f>_xlfn.IFNA(VLOOKUP(db_emp[[#This Row],[Code_lvl]],[1]!db_lvl[[#All],[ID_level]:[Leveling Name]],2,0),"-")</f>
        <v>Assistant Manager</v>
      </c>
      <c r="Q117" s="74" t="str">
        <f>_xlfn.IFNA(VLOOKUP(db_emp[[#This Row],[Code_site]],[1]!db_site[[ID_Site]:[Url_maps]],3,0),"-")</f>
        <v>Unit - Menara Jakarta POM</v>
      </c>
      <c r="R1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240041,'Yusabiran','OPR','HSEFT','Chief HSE','LV07','Corp. Supporting Property (POM)','A03','Employee','2024-01-10','2025-10-24'</v>
      </c>
      <c r="S117" s="74">
        <f>db_emp[[#This Row],[NIP (UPDATE)]]</f>
        <v>240041</v>
      </c>
    </row>
    <row r="118" spans="2:19" hidden="1" x14ac:dyDescent="0.25">
      <c r="B118" s="75">
        <v>434</v>
      </c>
      <c r="C118" s="75">
        <v>221707</v>
      </c>
      <c r="D118" s="74" t="s">
        <v>1041</v>
      </c>
      <c r="E118" s="75" t="s">
        <v>1042</v>
      </c>
      <c r="F118" s="75" t="s">
        <v>912</v>
      </c>
      <c r="G118" s="74" t="s">
        <v>1043</v>
      </c>
      <c r="H118" s="75" t="s">
        <v>885</v>
      </c>
      <c r="I118" s="74" t="s">
        <v>457</v>
      </c>
      <c r="J118" s="75" t="s">
        <v>464</v>
      </c>
      <c r="K118" s="75" t="s">
        <v>850</v>
      </c>
      <c r="L118" s="76">
        <v>44886</v>
      </c>
      <c r="M118" s="77">
        <f t="shared" ca="1" si="2"/>
        <v>45954</v>
      </c>
      <c r="N118" s="74" t="str">
        <f>_xlfn.IFNA(VLOOKUP(db_emp[[#This Row],[ID_DIV]],[1]!db_dpt[[Code_dpt]:[Departement]],2,0),"-")</f>
        <v>Cinema</v>
      </c>
      <c r="O118" s="74" t="str">
        <f>_xlfn.IFNA(VLOOKUP(db_emp[[#This Row],[ID_SDP]],[1]!db_div[[Code_div]:[Division]],2,0),"-")</f>
        <v>Admin</v>
      </c>
      <c r="P118" s="74" t="str">
        <f>_xlfn.IFNA(VLOOKUP(db_emp[[#This Row],[Code_lvl]],[1]!db_lvl[[#All],[ID_level]:[Leveling Name]],2,0),"-")</f>
        <v>Senior Staff</v>
      </c>
      <c r="Q118" s="74" t="str">
        <f>_xlfn.IFNA(VLOOKUP(db_emp[[#This Row],[Code_site]],[1]!db_site[[ID_Site]:[Url_maps]],3,0),"-")</f>
        <v>Unit - FLIX GGP</v>
      </c>
      <c r="R1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221707,'Rizky Kurniawan Rizwar','CIN','ADMIN','Cinema Administration Staff','LV11','Cinema','F03','Employee','2022-11-21','2025-10-24'</v>
      </c>
      <c r="S118" s="74">
        <f>db_emp[[#This Row],[NIP (UPDATE)]]</f>
        <v>221707</v>
      </c>
    </row>
    <row r="119" spans="2:19" hidden="1" x14ac:dyDescent="0.25">
      <c r="B119" s="75">
        <v>167</v>
      </c>
      <c r="C119" s="75">
        <v>170687</v>
      </c>
      <c r="D119" s="74" t="s">
        <v>1044</v>
      </c>
      <c r="E119" s="75" t="s">
        <v>1042</v>
      </c>
      <c r="F119" s="75" t="s">
        <v>912</v>
      </c>
      <c r="G119" s="74" t="s">
        <v>1045</v>
      </c>
      <c r="H119" s="75" t="s">
        <v>853</v>
      </c>
      <c r="I119" s="74" t="s">
        <v>457</v>
      </c>
      <c r="J119" s="75" t="s">
        <v>315</v>
      </c>
      <c r="K119" s="75" t="s">
        <v>850</v>
      </c>
      <c r="L119" s="76">
        <v>42948</v>
      </c>
      <c r="M119" s="77">
        <f t="shared" ca="1" si="2"/>
        <v>45954</v>
      </c>
      <c r="N119" s="74" t="str">
        <f>_xlfn.IFNA(VLOOKUP(db_emp[[#This Row],[ID_DIV]],[1]!db_dpt[[Code_dpt]:[Departement]],2,0),"-")</f>
        <v>Cinema</v>
      </c>
      <c r="O119" s="74" t="str">
        <f>_xlfn.IFNA(VLOOKUP(db_emp[[#This Row],[ID_SDP]],[1]!db_div[[Code_div]:[Division]],2,0),"-")</f>
        <v>Admin</v>
      </c>
      <c r="P119" s="74" t="str">
        <f>_xlfn.IFNA(VLOOKUP(db_emp[[#This Row],[Code_lvl]],[1]!db_lvl[[#All],[ID_level]:[Leveling Name]],2,0),"-")</f>
        <v>Staff</v>
      </c>
      <c r="Q119" s="74" t="str">
        <f>_xlfn.IFNA(VLOOKUP(db_emp[[#This Row],[Code_site]],[1]!db_site[[ID_Site]:[Url_maps]],3,0),"-")</f>
        <v>Head Office - ASGO</v>
      </c>
      <c r="R1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170687,'Valentina Rima Christiyanti','CIN','ADMIN','Cinema Operation Administration Staff','LV12','Cinema','O99','Employee','2017-08-01','2025-10-24'</v>
      </c>
      <c r="S119" s="74">
        <f>db_emp[[#This Row],[NIP (UPDATE)]]</f>
        <v>170687</v>
      </c>
    </row>
    <row r="120" spans="2:19" hidden="1" x14ac:dyDescent="0.25">
      <c r="B120" s="75">
        <v>285</v>
      </c>
      <c r="C120" s="75">
        <v>232297</v>
      </c>
      <c r="D120" s="74" t="s">
        <v>1046</v>
      </c>
      <c r="E120" s="75" t="s">
        <v>1042</v>
      </c>
      <c r="F120" s="75" t="s">
        <v>912</v>
      </c>
      <c r="G120" s="74" t="s">
        <v>1045</v>
      </c>
      <c r="H120" s="75" t="s">
        <v>853</v>
      </c>
      <c r="I120" s="74" t="s">
        <v>457</v>
      </c>
      <c r="J120" s="75" t="s">
        <v>460</v>
      </c>
      <c r="K120" s="75" t="s">
        <v>850</v>
      </c>
      <c r="L120" s="76">
        <v>45278</v>
      </c>
      <c r="M120" s="77">
        <f t="shared" ca="1" si="2"/>
        <v>45954</v>
      </c>
      <c r="N120" s="74" t="str">
        <f>_xlfn.IFNA(VLOOKUP(db_emp[[#This Row],[ID_DIV]],[1]!db_dpt[[Code_dpt]:[Departement]],2,0),"-")</f>
        <v>Cinema</v>
      </c>
      <c r="O120" s="74" t="str">
        <f>_xlfn.IFNA(VLOOKUP(db_emp[[#This Row],[ID_SDP]],[1]!db_div[[Code_div]:[Division]],2,0),"-")</f>
        <v>Admin</v>
      </c>
      <c r="P120" s="74" t="str">
        <f>_xlfn.IFNA(VLOOKUP(db_emp[[#This Row],[Code_lvl]],[1]!db_lvl[[#All],[ID_level]:[Leveling Name]],2,0),"-")</f>
        <v>Staff</v>
      </c>
      <c r="Q120" s="74" t="str">
        <f>_xlfn.IFNA(VLOOKUP(db_emp[[#This Row],[Code_site]],[1]!db_site[[ID_Site]:[Url_maps]],3,0),"-")</f>
        <v>Unit - FLIX MOI</v>
      </c>
      <c r="R1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232297,'Siti Chotimah','CIN','ADMIN','Cinema Operation Administration Staff','LV12','Cinema','F02','Employee','2023-12-18','2025-10-24'</v>
      </c>
      <c r="S120" s="74">
        <f>db_emp[[#This Row],[NIP (UPDATE)]]</f>
        <v>232297</v>
      </c>
    </row>
    <row r="121" spans="2:19" hidden="1" x14ac:dyDescent="0.25">
      <c r="B121" s="75">
        <v>284</v>
      </c>
      <c r="C121" s="75">
        <v>220296</v>
      </c>
      <c r="D121" s="74" t="s">
        <v>1047</v>
      </c>
      <c r="E121" s="75" t="s">
        <v>1042</v>
      </c>
      <c r="F121" s="75" t="s">
        <v>1048</v>
      </c>
      <c r="G121" s="74" t="s">
        <v>1049</v>
      </c>
      <c r="H121" s="75" t="s">
        <v>848</v>
      </c>
      <c r="I121" s="74" t="s">
        <v>457</v>
      </c>
      <c r="J121" s="75" t="s">
        <v>460</v>
      </c>
      <c r="K121" s="75" t="s">
        <v>850</v>
      </c>
      <c r="L121" s="76">
        <v>44621</v>
      </c>
      <c r="M121" s="77">
        <f t="shared" ca="1" si="2"/>
        <v>45954</v>
      </c>
      <c r="N121" s="74" t="str">
        <f>_xlfn.IFNA(VLOOKUP(db_emp[[#This Row],[ID_DIV]],[1]!db_dpt[[Code_dpt]:[Departement]],2,0),"-")</f>
        <v>Cinema</v>
      </c>
      <c r="O121" s="74" t="str">
        <f>_xlfn.IFNA(VLOOKUP(db_emp[[#This Row],[ID_SDP]],[1]!db_div[[Code_div]:[Division]],2,0),"-")</f>
        <v>Cinema Operation</v>
      </c>
      <c r="P121" s="74" t="str">
        <f>_xlfn.IFNA(VLOOKUP(db_emp[[#This Row],[Code_lvl]],[1]!db_lvl[[#All],[ID_level]:[Leveling Name]],2,0),"-")</f>
        <v>Assistant Manager</v>
      </c>
      <c r="Q121" s="74" t="str">
        <f>_xlfn.IFNA(VLOOKUP(db_emp[[#This Row],[Code_site]],[1]!db_site[[ID_Site]:[Url_maps]],3,0),"-")</f>
        <v>Unit - FLIX MOI</v>
      </c>
      <c r="R1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220296,'Faisal Permana Alam','CIN','CIOPR','Cinema Operation Assistant Manager','LV07','Cinema','F02','Employee','2022-03-01','2025-10-24'</v>
      </c>
      <c r="S121" s="74">
        <f>db_emp[[#This Row],[NIP (UPDATE)]]</f>
        <v>220296</v>
      </c>
    </row>
    <row r="122" spans="2:19" hidden="1" x14ac:dyDescent="0.25">
      <c r="B122" s="75">
        <v>436</v>
      </c>
      <c r="C122" s="75">
        <v>170123</v>
      </c>
      <c r="D122" s="74" t="s">
        <v>1050</v>
      </c>
      <c r="E122" s="75" t="s">
        <v>1042</v>
      </c>
      <c r="F122" s="75" t="s">
        <v>1048</v>
      </c>
      <c r="G122" s="74" t="s">
        <v>1049</v>
      </c>
      <c r="H122" s="75" t="s">
        <v>848</v>
      </c>
      <c r="I122" s="74" t="s">
        <v>457</v>
      </c>
      <c r="J122" s="75" t="s">
        <v>464</v>
      </c>
      <c r="K122" s="75" t="s">
        <v>850</v>
      </c>
      <c r="L122" s="76">
        <v>42772</v>
      </c>
      <c r="M122" s="77">
        <f t="shared" ca="1" si="2"/>
        <v>45954</v>
      </c>
      <c r="N122" s="74" t="str">
        <f>_xlfn.IFNA(VLOOKUP(db_emp[[#This Row],[ID_DIV]],[1]!db_dpt[[Code_dpt]:[Departement]],2,0),"-")</f>
        <v>Cinema</v>
      </c>
      <c r="O122" s="74" t="str">
        <f>_xlfn.IFNA(VLOOKUP(db_emp[[#This Row],[ID_SDP]],[1]!db_div[[Code_div]:[Division]],2,0),"-")</f>
        <v>Cinema Operation</v>
      </c>
      <c r="P122" s="74" t="str">
        <f>_xlfn.IFNA(VLOOKUP(db_emp[[#This Row],[Code_lvl]],[1]!db_lvl[[#All],[ID_level]:[Leveling Name]],2,0),"-")</f>
        <v>Assistant Manager</v>
      </c>
      <c r="Q122" s="74" t="str">
        <f>_xlfn.IFNA(VLOOKUP(db_emp[[#This Row],[Code_site]],[1]!db_site[[ID_Site]:[Url_maps]],3,0),"-")</f>
        <v>Unit - FLIX GGP</v>
      </c>
      <c r="R1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170123,'Riyan Rizki','CIN','CIOPR','Cinema Operation Assistant Manager','LV07','Cinema','F03','Employee','2017-02-06','2025-10-24'</v>
      </c>
      <c r="S122" s="74">
        <f>db_emp[[#This Row],[NIP (UPDATE)]]</f>
        <v>170123</v>
      </c>
    </row>
    <row r="123" spans="2:19" hidden="1" x14ac:dyDescent="0.25">
      <c r="B123" s="75">
        <v>166</v>
      </c>
      <c r="C123" s="75">
        <v>160890</v>
      </c>
      <c r="D123" s="74" t="s">
        <v>1051</v>
      </c>
      <c r="E123" s="75" t="s">
        <v>1042</v>
      </c>
      <c r="F123" s="75" t="s">
        <v>1048</v>
      </c>
      <c r="G123" s="74" t="s">
        <v>1052</v>
      </c>
      <c r="H123" s="75" t="s">
        <v>968</v>
      </c>
      <c r="I123" s="74" t="s">
        <v>457</v>
      </c>
      <c r="J123" s="75" t="s">
        <v>315</v>
      </c>
      <c r="K123" s="75" t="s">
        <v>850</v>
      </c>
      <c r="L123" s="76">
        <v>42688</v>
      </c>
      <c r="M123" s="77">
        <f t="shared" ca="1" si="2"/>
        <v>45954</v>
      </c>
      <c r="N123" s="74" t="str">
        <f>_xlfn.IFNA(VLOOKUP(db_emp[[#This Row],[ID_DIV]],[1]!db_dpt[[Code_dpt]:[Departement]],2,0),"-")</f>
        <v>Cinema</v>
      </c>
      <c r="O123" s="74" t="str">
        <f>_xlfn.IFNA(VLOOKUP(db_emp[[#This Row],[ID_SDP]],[1]!db_div[[Code_div]:[Division]],2,0),"-")</f>
        <v>Cinema Operation</v>
      </c>
      <c r="P123" s="74" t="str">
        <f>_xlfn.IFNA(VLOOKUP(db_emp[[#This Row],[Code_lvl]],[1]!db_lvl[[#All],[ID_level]:[Leveling Name]],2,0),"-")</f>
        <v>Senior Manager</v>
      </c>
      <c r="Q123" s="74" t="str">
        <f>_xlfn.IFNA(VLOOKUP(db_emp[[#This Row],[Code_site]],[1]!db_site[[ID_Site]:[Url_maps]],3,0),"-")</f>
        <v>Head Office - ASGO</v>
      </c>
      <c r="R1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160890,'Iman Hartawan','CIN','CIOPR','Cinema Operation Senior Manager','LV04','Cinema','O99','Employee','2016-11-14','2025-10-24'</v>
      </c>
      <c r="S123" s="74">
        <f>db_emp[[#This Row],[NIP (UPDATE)]]</f>
        <v>160890</v>
      </c>
    </row>
    <row r="124" spans="2:19" hidden="1" x14ac:dyDescent="0.25">
      <c r="B124" s="75">
        <v>287</v>
      </c>
      <c r="C124" s="75">
        <v>241005</v>
      </c>
      <c r="D124" s="74" t="s">
        <v>1053</v>
      </c>
      <c r="E124" s="75" t="s">
        <v>1042</v>
      </c>
      <c r="F124" s="75" t="s">
        <v>1048</v>
      </c>
      <c r="G124" s="74" t="s">
        <v>1054</v>
      </c>
      <c r="H124" s="75" t="s">
        <v>870</v>
      </c>
      <c r="I124" s="74" t="s">
        <v>457</v>
      </c>
      <c r="J124" s="75" t="s">
        <v>460</v>
      </c>
      <c r="K124" s="75" t="s">
        <v>903</v>
      </c>
      <c r="L124" s="76">
        <v>45454</v>
      </c>
      <c r="M124" s="77">
        <v>45868</v>
      </c>
      <c r="N124" s="74" t="str">
        <f>_xlfn.IFNA(VLOOKUP(db_emp[[#This Row],[ID_DIV]],[1]!db_dpt[[Code_dpt]:[Departement]],2,0),"-")</f>
        <v>Cinema</v>
      </c>
      <c r="O124" s="74" t="str">
        <f>_xlfn.IFNA(VLOOKUP(db_emp[[#This Row],[ID_SDP]],[1]!db_div[[Code_div]:[Division]],2,0),"-")</f>
        <v>Cinema Operation</v>
      </c>
      <c r="P124" s="74" t="str">
        <f>_xlfn.IFNA(VLOOKUP(db_emp[[#This Row],[Code_lvl]],[1]!db_lvl[[#All],[ID_level]:[Leveling Name]],2,0),"-")</f>
        <v>Supervisor</v>
      </c>
      <c r="Q124" s="74" t="str">
        <f>_xlfn.IFNA(VLOOKUP(db_emp[[#This Row],[Code_site]],[1]!db_site[[ID_Site]:[Url_maps]],3,0),"-")</f>
        <v>Unit - FLIX MOI</v>
      </c>
      <c r="R124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241005,'Rizki Ilham','CIN','CIOPR','Cinema Operation Supervisor','LV09','Cinema','F02','Resign','2024-06-11','2025-07-30'</v>
      </c>
      <c r="S124" s="74">
        <f>db_emp[[#This Row],[NIP (UPDATE)]]</f>
        <v>241005</v>
      </c>
    </row>
    <row r="125" spans="2:19" hidden="1" x14ac:dyDescent="0.25">
      <c r="B125" s="75">
        <v>288</v>
      </c>
      <c r="C125" s="75">
        <v>241377</v>
      </c>
      <c r="D125" s="74" t="s">
        <v>1055</v>
      </c>
      <c r="E125" s="75" t="s">
        <v>1042</v>
      </c>
      <c r="F125" s="75" t="s">
        <v>1048</v>
      </c>
      <c r="G125" s="74" t="s">
        <v>1054</v>
      </c>
      <c r="H125" s="75" t="s">
        <v>870</v>
      </c>
      <c r="I125" s="74" t="s">
        <v>457</v>
      </c>
      <c r="J125" s="75" t="s">
        <v>460</v>
      </c>
      <c r="K125" s="75" t="s">
        <v>850</v>
      </c>
      <c r="L125" s="76">
        <v>45505</v>
      </c>
      <c r="M125" s="77">
        <f t="shared" ref="M125:M188" ca="1" si="3">TODAY()+1</f>
        <v>45954</v>
      </c>
      <c r="N125" s="74" t="str">
        <f>_xlfn.IFNA(VLOOKUP(db_emp[[#This Row],[ID_DIV]],[1]!db_dpt[[Code_dpt]:[Departement]],2,0),"-")</f>
        <v>Cinema</v>
      </c>
      <c r="O125" s="74" t="str">
        <f>_xlfn.IFNA(VLOOKUP(db_emp[[#This Row],[ID_SDP]],[1]!db_div[[Code_div]:[Division]],2,0),"-")</f>
        <v>Cinema Operation</v>
      </c>
      <c r="P125" s="74" t="str">
        <f>_xlfn.IFNA(VLOOKUP(db_emp[[#This Row],[Code_lvl]],[1]!db_lvl[[#All],[ID_level]:[Leveling Name]],2,0),"-")</f>
        <v>Supervisor</v>
      </c>
      <c r="Q125" s="74" t="str">
        <f>_xlfn.IFNA(VLOOKUP(db_emp[[#This Row],[Code_site]],[1]!db_site[[ID_Site]:[Url_maps]],3,0),"-")</f>
        <v>Unit - FLIX MOI</v>
      </c>
      <c r="R1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241377,'Ahmad Eko Muhardani','CIN','CIOPR','Cinema Operation Supervisor','LV09','Cinema','F02','Employee','2024-08-01','2025-10-24'</v>
      </c>
      <c r="S125" s="74">
        <f>db_emp[[#This Row],[NIP (UPDATE)]]</f>
        <v>241377</v>
      </c>
    </row>
    <row r="126" spans="2:19" hidden="1" x14ac:dyDescent="0.25">
      <c r="B126" s="75">
        <v>354</v>
      </c>
      <c r="C126" s="75">
        <v>241180</v>
      </c>
      <c r="D126" s="74" t="s">
        <v>1056</v>
      </c>
      <c r="E126" s="75" t="s">
        <v>1042</v>
      </c>
      <c r="F126" s="75" t="s">
        <v>1048</v>
      </c>
      <c r="G126" s="74" t="s">
        <v>1054</v>
      </c>
      <c r="H126" s="75" t="s">
        <v>870</v>
      </c>
      <c r="I126" s="74" t="s">
        <v>457</v>
      </c>
      <c r="J126" s="75" t="s">
        <v>455</v>
      </c>
      <c r="K126" s="75" t="s">
        <v>850</v>
      </c>
      <c r="L126" s="76">
        <v>45474</v>
      </c>
      <c r="M126" s="77">
        <f t="shared" ca="1" si="3"/>
        <v>45954</v>
      </c>
      <c r="N126" s="74" t="str">
        <f>_xlfn.IFNA(VLOOKUP(db_emp[[#This Row],[ID_DIV]],[1]!db_dpt[[Code_dpt]:[Departement]],2,0),"-")</f>
        <v>Cinema</v>
      </c>
      <c r="O126" s="74" t="str">
        <f>_xlfn.IFNA(VLOOKUP(db_emp[[#This Row],[ID_SDP]],[1]!db_div[[Code_div]:[Division]],2,0),"-")</f>
        <v>Cinema Operation</v>
      </c>
      <c r="P126" s="74" t="str">
        <f>_xlfn.IFNA(VLOOKUP(db_emp[[#This Row],[Code_lvl]],[1]!db_lvl[[#All],[ID_level]:[Leveling Name]],2,0),"-")</f>
        <v>Supervisor</v>
      </c>
      <c r="Q126" s="74" t="str">
        <f>_xlfn.IFNA(VLOOKUP(db_emp[[#This Row],[Code_site]],[1]!db_site[[ID_Site]:[Url_maps]],3,0),"-")</f>
        <v>Unit - FLIX PIK Avenue</v>
      </c>
      <c r="R1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241180,'Rahadian Hilnus','CIN','CIOPR','Cinema Operation Supervisor','LV09','Cinema','F01','Employee','2024-07-01','2025-10-24'</v>
      </c>
      <c r="S126" s="74">
        <f>db_emp[[#This Row],[NIP (UPDATE)]]</f>
        <v>241180</v>
      </c>
    </row>
    <row r="127" spans="2:19" hidden="1" x14ac:dyDescent="0.25">
      <c r="B127" s="75">
        <v>355</v>
      </c>
      <c r="C127" s="75">
        <v>250301</v>
      </c>
      <c r="D127" s="74" t="s">
        <v>1057</v>
      </c>
      <c r="E127" s="75" t="s">
        <v>1042</v>
      </c>
      <c r="F127" s="75" t="s">
        <v>1048</v>
      </c>
      <c r="G127" s="74" t="s">
        <v>1054</v>
      </c>
      <c r="H127" s="75" t="s">
        <v>870</v>
      </c>
      <c r="I127" s="74" t="s">
        <v>457</v>
      </c>
      <c r="J127" s="75" t="s">
        <v>455</v>
      </c>
      <c r="K127" s="75" t="s">
        <v>850</v>
      </c>
      <c r="L127" s="76">
        <v>45755</v>
      </c>
      <c r="M127" s="77">
        <f t="shared" ca="1" si="3"/>
        <v>45954</v>
      </c>
      <c r="N127" s="74" t="str">
        <f>_xlfn.IFNA(VLOOKUP(db_emp[[#This Row],[ID_DIV]],[1]!db_dpt[[Code_dpt]:[Departement]],2,0),"-")</f>
        <v>Cinema</v>
      </c>
      <c r="O127" s="74" t="str">
        <f>_xlfn.IFNA(VLOOKUP(db_emp[[#This Row],[ID_SDP]],[1]!db_div[[Code_div]:[Division]],2,0),"-")</f>
        <v>Cinema Operation</v>
      </c>
      <c r="P127" s="74" t="str">
        <f>_xlfn.IFNA(VLOOKUP(db_emp[[#This Row],[Code_lvl]],[1]!db_lvl[[#All],[ID_level]:[Leveling Name]],2,0),"-")</f>
        <v>Supervisor</v>
      </c>
      <c r="Q127" s="74" t="str">
        <f>_xlfn.IFNA(VLOOKUP(db_emp[[#This Row],[Code_site]],[1]!db_site[[ID_Site]:[Url_maps]],3,0),"-")</f>
        <v>Unit - FLIX PIK Avenue</v>
      </c>
      <c r="R1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250301,'Jaka Dwi Mustari','CIN','CIOPR','Cinema Operation Supervisor','LV09','Cinema','F01','Employee','2025-04-08','2025-10-24'</v>
      </c>
      <c r="S127" s="74">
        <f>db_emp[[#This Row],[NIP (UPDATE)]]</f>
        <v>250301</v>
      </c>
    </row>
    <row r="128" spans="2:19" hidden="1" x14ac:dyDescent="0.25">
      <c r="B128" s="75">
        <v>433</v>
      </c>
      <c r="C128" s="75">
        <v>220784</v>
      </c>
      <c r="D128" s="74" t="s">
        <v>1058</v>
      </c>
      <c r="E128" s="75" t="s">
        <v>1042</v>
      </c>
      <c r="F128" s="75" t="s">
        <v>1048</v>
      </c>
      <c r="G128" s="74" t="s">
        <v>1054</v>
      </c>
      <c r="H128" s="75" t="s">
        <v>870</v>
      </c>
      <c r="I128" s="74" t="s">
        <v>457</v>
      </c>
      <c r="J128" s="75" t="s">
        <v>464</v>
      </c>
      <c r="K128" s="75" t="s">
        <v>850</v>
      </c>
      <c r="L128" s="76">
        <v>44714</v>
      </c>
      <c r="M128" s="77">
        <f t="shared" ca="1" si="3"/>
        <v>45954</v>
      </c>
      <c r="N128" s="74" t="str">
        <f>_xlfn.IFNA(VLOOKUP(db_emp[[#This Row],[ID_DIV]],[1]!db_dpt[[Code_dpt]:[Departement]],2,0),"-")</f>
        <v>Cinema</v>
      </c>
      <c r="O128" s="74" t="str">
        <f>_xlfn.IFNA(VLOOKUP(db_emp[[#This Row],[ID_SDP]],[1]!db_div[[Code_div]:[Division]],2,0),"-")</f>
        <v>Cinema Operation</v>
      </c>
      <c r="P128" s="74" t="str">
        <f>_xlfn.IFNA(VLOOKUP(db_emp[[#This Row],[Code_lvl]],[1]!db_lvl[[#All],[ID_level]:[Leveling Name]],2,0),"-")</f>
        <v>Supervisor</v>
      </c>
      <c r="Q128" s="74" t="str">
        <f>_xlfn.IFNA(VLOOKUP(db_emp[[#This Row],[Code_site]],[1]!db_site[[ID_Site]:[Url_maps]],3,0),"-")</f>
        <v>Unit - FLIX GGP</v>
      </c>
      <c r="R1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220784,'Fahrian Chairul Umam','CIN','CIOPR','Cinema Operation Supervisor','LV09','Cinema','F03','Employee','2022-06-02','2025-10-24'</v>
      </c>
      <c r="S128" s="74">
        <f>db_emp[[#This Row],[NIP (UPDATE)]]</f>
        <v>220784</v>
      </c>
    </row>
    <row r="129" spans="2:19" hidden="1" x14ac:dyDescent="0.25">
      <c r="B129" s="75">
        <v>437</v>
      </c>
      <c r="C129" s="75">
        <v>241773</v>
      </c>
      <c r="D129" s="74" t="s">
        <v>1059</v>
      </c>
      <c r="E129" s="75" t="s">
        <v>1042</v>
      </c>
      <c r="F129" s="75" t="s">
        <v>1048</v>
      </c>
      <c r="G129" s="74" t="s">
        <v>1054</v>
      </c>
      <c r="H129" s="75" t="s">
        <v>870</v>
      </c>
      <c r="I129" s="74" t="s">
        <v>457</v>
      </c>
      <c r="J129" s="75" t="s">
        <v>464</v>
      </c>
      <c r="K129" s="75" t="s">
        <v>850</v>
      </c>
      <c r="L129" s="76">
        <v>45566</v>
      </c>
      <c r="M129" s="77">
        <f t="shared" ca="1" si="3"/>
        <v>45954</v>
      </c>
      <c r="N129" s="74" t="str">
        <f>_xlfn.IFNA(VLOOKUP(db_emp[[#This Row],[ID_DIV]],[1]!db_dpt[[Code_dpt]:[Departement]],2,0),"-")</f>
        <v>Cinema</v>
      </c>
      <c r="O129" s="74" t="str">
        <f>_xlfn.IFNA(VLOOKUP(db_emp[[#This Row],[ID_SDP]],[1]!db_div[[Code_div]:[Division]],2,0),"-")</f>
        <v>Cinema Operation</v>
      </c>
      <c r="P129" s="74" t="str">
        <f>_xlfn.IFNA(VLOOKUP(db_emp[[#This Row],[Code_lvl]],[1]!db_lvl[[#All],[ID_level]:[Leveling Name]],2,0),"-")</f>
        <v>Supervisor</v>
      </c>
      <c r="Q129" s="74" t="str">
        <f>_xlfn.IFNA(VLOOKUP(db_emp[[#This Row],[Code_site]],[1]!db_site[[ID_Site]:[Url_maps]],3,0),"-")</f>
        <v>Unit - FLIX GGP</v>
      </c>
      <c r="R1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241773,'Ridwan Maulana','CIN','CIOPR','Cinema Operation Supervisor','LV09','Cinema','F03','Employee','2024-10-01','2025-10-24'</v>
      </c>
      <c r="S129" s="74">
        <f>db_emp[[#This Row],[NIP (UPDATE)]]</f>
        <v>241773</v>
      </c>
    </row>
    <row r="130" spans="2:19" hidden="1" x14ac:dyDescent="0.25">
      <c r="B130" s="75">
        <v>489</v>
      </c>
      <c r="C130" s="75">
        <v>221832</v>
      </c>
      <c r="D130" s="74" t="s">
        <v>1060</v>
      </c>
      <c r="E130" s="75" t="s">
        <v>1042</v>
      </c>
      <c r="F130" s="75" t="s">
        <v>1048</v>
      </c>
      <c r="G130" s="74" t="s">
        <v>1054</v>
      </c>
      <c r="H130" s="75" t="s">
        <v>870</v>
      </c>
      <c r="I130" s="74" t="s">
        <v>457</v>
      </c>
      <c r="J130" s="75" t="s">
        <v>469</v>
      </c>
      <c r="K130" s="75" t="s">
        <v>850</v>
      </c>
      <c r="L130" s="76">
        <v>44921</v>
      </c>
      <c r="M130" s="77">
        <f t="shared" ca="1" si="3"/>
        <v>45954</v>
      </c>
      <c r="N130" s="74" t="str">
        <f>_xlfn.IFNA(VLOOKUP(db_emp[[#This Row],[ID_DIV]],[1]!db_dpt[[Code_dpt]:[Departement]],2,0),"-")</f>
        <v>Cinema</v>
      </c>
      <c r="O130" s="74" t="str">
        <f>_xlfn.IFNA(VLOOKUP(db_emp[[#This Row],[ID_SDP]],[1]!db_div[[Code_div]:[Division]],2,0),"-")</f>
        <v>Cinema Operation</v>
      </c>
      <c r="P130" s="74" t="str">
        <f>_xlfn.IFNA(VLOOKUP(db_emp[[#This Row],[Code_lvl]],[1]!db_lvl[[#All],[ID_level]:[Leveling Name]],2,0),"-")</f>
        <v>Supervisor</v>
      </c>
      <c r="Q130" s="74" t="str">
        <f>_xlfn.IFNA(VLOOKUP(db_emp[[#This Row],[Code_site]],[1]!db_site[[ID_Site]:[Url_maps]],3,0),"-")</f>
        <v>Unit - FLIX ASHTA</v>
      </c>
      <c r="R1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221832,'Silvia Rizki','CIN','CIOPR','Cinema Operation Supervisor','LV09','Cinema','F04','Employee','2022-12-26','2025-10-24'</v>
      </c>
      <c r="S130" s="74">
        <f>db_emp[[#This Row],[NIP (UPDATE)]]</f>
        <v>221832</v>
      </c>
    </row>
    <row r="131" spans="2:19" hidden="1" x14ac:dyDescent="0.25">
      <c r="B131" s="75">
        <v>165</v>
      </c>
      <c r="C131" s="75">
        <v>160032</v>
      </c>
      <c r="D131" s="74" t="s">
        <v>1061</v>
      </c>
      <c r="E131" s="75" t="s">
        <v>1042</v>
      </c>
      <c r="F131" s="75" t="s">
        <v>1062</v>
      </c>
      <c r="G131" s="74" t="s">
        <v>1063</v>
      </c>
      <c r="H131" s="75" t="s">
        <v>953</v>
      </c>
      <c r="I131" s="74" t="s">
        <v>457</v>
      </c>
      <c r="J131" s="75" t="s">
        <v>315</v>
      </c>
      <c r="K131" s="75" t="s">
        <v>850</v>
      </c>
      <c r="L131" s="76">
        <v>42373</v>
      </c>
      <c r="M131" s="77">
        <f t="shared" ca="1" si="3"/>
        <v>45954</v>
      </c>
      <c r="N131" s="74" t="str">
        <f>_xlfn.IFNA(VLOOKUP(db_emp[[#This Row],[ID_DIV]],[1]!db_dpt[[Code_dpt]:[Departement]],2,0),"-")</f>
        <v>Cinema</v>
      </c>
      <c r="O131" s="74" t="str">
        <f>_xlfn.IFNA(VLOOKUP(db_emp[[#This Row],[ID_SDP]],[1]!db_div[[Code_div]:[Division]],2,0),"-")</f>
        <v>Cinema Technology</v>
      </c>
      <c r="P131" s="74" t="str">
        <f>_xlfn.IFNA(VLOOKUP(db_emp[[#This Row],[Code_lvl]],[1]!db_lvl[[#All],[ID_level]:[Leveling Name]],2,0),"-")</f>
        <v>Manager</v>
      </c>
      <c r="Q131" s="74" t="str">
        <f>_xlfn.IFNA(VLOOKUP(db_emp[[#This Row],[Code_site]],[1]!db_site[[ID_Site]:[Url_maps]],3,0),"-")</f>
        <v>Head Office - ASGO</v>
      </c>
      <c r="R1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160032,'Yudho Rahutomo','CIN','TECHN','Cinema Technology Manager','LV05','Cinema','O99','Employee','2016-01-04','2025-10-24'</v>
      </c>
      <c r="S131" s="74">
        <f>db_emp[[#This Row],[NIP (UPDATE)]]</f>
        <v>160032</v>
      </c>
    </row>
    <row r="132" spans="2:19" hidden="1" x14ac:dyDescent="0.25">
      <c r="B132" s="75">
        <v>169</v>
      </c>
      <c r="C132" s="75">
        <v>161015</v>
      </c>
      <c r="D132" s="74" t="s">
        <v>1064</v>
      </c>
      <c r="E132" s="75" t="s">
        <v>1042</v>
      </c>
      <c r="F132" s="75" t="s">
        <v>1062</v>
      </c>
      <c r="G132" s="74" t="s">
        <v>1065</v>
      </c>
      <c r="H132" s="75" t="s">
        <v>870</v>
      </c>
      <c r="I132" s="74" t="s">
        <v>849</v>
      </c>
      <c r="J132" s="75" t="s">
        <v>315</v>
      </c>
      <c r="K132" s="75" t="s">
        <v>850</v>
      </c>
      <c r="L132" s="76">
        <v>42723</v>
      </c>
      <c r="M132" s="77">
        <f t="shared" ca="1" si="3"/>
        <v>45954</v>
      </c>
      <c r="N132" s="74" t="str">
        <f>_xlfn.IFNA(VLOOKUP(db_emp[[#This Row],[ID_DIV]],[1]!db_dpt[[Code_dpt]:[Departement]],2,0),"-")</f>
        <v>Cinema</v>
      </c>
      <c r="O132" s="74" t="str">
        <f>_xlfn.IFNA(VLOOKUP(db_emp[[#This Row],[ID_SDP]],[1]!db_div[[Code_div]:[Division]],2,0),"-")</f>
        <v>Cinema Technology</v>
      </c>
      <c r="P132" s="74" t="str">
        <f>_xlfn.IFNA(VLOOKUP(db_emp[[#This Row],[Code_lvl]],[1]!db_lvl[[#All],[ID_level]:[Leveling Name]],2,0),"-")</f>
        <v>Supervisor</v>
      </c>
      <c r="Q132" s="74" t="str">
        <f>_xlfn.IFNA(VLOOKUP(db_emp[[#This Row],[Code_site]],[1]!db_site[[ID_Site]:[Url_maps]],3,0),"-")</f>
        <v>Head Office - ASGO</v>
      </c>
      <c r="R1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161015,'Yomi Andrizal','CIN','TECHN','Cinema Technology Supervisor','LV09','Mall &amp; Cinema','O99','Employee','2016-12-19','2025-10-24'</v>
      </c>
      <c r="S132" s="74">
        <f>db_emp[[#This Row],[NIP (UPDATE)]]</f>
        <v>161015</v>
      </c>
    </row>
    <row r="133" spans="2:19" hidden="1" x14ac:dyDescent="0.25">
      <c r="B133" s="75">
        <v>289</v>
      </c>
      <c r="C133" s="75">
        <v>221467</v>
      </c>
      <c r="D133" s="74" t="s">
        <v>1066</v>
      </c>
      <c r="E133" s="75" t="s">
        <v>1042</v>
      </c>
      <c r="F133" s="75" t="s">
        <v>1062</v>
      </c>
      <c r="G133" s="74" t="s">
        <v>1065</v>
      </c>
      <c r="H133" s="75" t="s">
        <v>870</v>
      </c>
      <c r="I133" s="74" t="s">
        <v>457</v>
      </c>
      <c r="J133" s="75" t="s">
        <v>460</v>
      </c>
      <c r="K133" s="75" t="s">
        <v>850</v>
      </c>
      <c r="L133" s="76">
        <v>44830</v>
      </c>
      <c r="M133" s="77">
        <f t="shared" ca="1" si="3"/>
        <v>45954</v>
      </c>
      <c r="N133" s="74" t="str">
        <f>_xlfn.IFNA(VLOOKUP(db_emp[[#This Row],[ID_DIV]],[1]!db_dpt[[Code_dpt]:[Departement]],2,0),"-")</f>
        <v>Cinema</v>
      </c>
      <c r="O133" s="74" t="str">
        <f>_xlfn.IFNA(VLOOKUP(db_emp[[#This Row],[ID_SDP]],[1]!db_div[[Code_div]:[Division]],2,0),"-")</f>
        <v>Cinema Technology</v>
      </c>
      <c r="P133" s="74" t="str">
        <f>_xlfn.IFNA(VLOOKUP(db_emp[[#This Row],[Code_lvl]],[1]!db_lvl[[#All],[ID_level]:[Leveling Name]],2,0),"-")</f>
        <v>Supervisor</v>
      </c>
      <c r="Q133" s="74" t="str">
        <f>_xlfn.IFNA(VLOOKUP(db_emp[[#This Row],[Code_site]],[1]!db_site[[ID_Site]:[Url_maps]],3,0),"-")</f>
        <v>Unit - FLIX MOI</v>
      </c>
      <c r="R1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221467,'Mohamad Asep Sudrajat','CIN','TECHN','Cinema Technology Supervisor','LV09','Cinema','F02','Employee','2022-09-26','2025-10-24'</v>
      </c>
      <c r="S133" s="74">
        <f>db_emp[[#This Row],[NIP (UPDATE)]]</f>
        <v>221467</v>
      </c>
    </row>
    <row r="134" spans="2:19" hidden="1" x14ac:dyDescent="0.25">
      <c r="B134" s="75">
        <v>353</v>
      </c>
      <c r="C134" s="75">
        <v>231059</v>
      </c>
      <c r="D134" s="74" t="s">
        <v>1067</v>
      </c>
      <c r="E134" s="75" t="s">
        <v>1042</v>
      </c>
      <c r="F134" s="75" t="s">
        <v>1062</v>
      </c>
      <c r="G134" s="74" t="s">
        <v>1065</v>
      </c>
      <c r="H134" s="75" t="s">
        <v>870</v>
      </c>
      <c r="I134" s="74" t="s">
        <v>457</v>
      </c>
      <c r="J134" s="75" t="s">
        <v>455</v>
      </c>
      <c r="K134" s="75" t="s">
        <v>850</v>
      </c>
      <c r="L134" s="76">
        <v>45110</v>
      </c>
      <c r="M134" s="77">
        <f t="shared" ca="1" si="3"/>
        <v>45954</v>
      </c>
      <c r="N134" s="74" t="str">
        <f>_xlfn.IFNA(VLOOKUP(db_emp[[#This Row],[ID_DIV]],[1]!db_dpt[[Code_dpt]:[Departement]],2,0),"-")</f>
        <v>Cinema</v>
      </c>
      <c r="O134" s="74" t="str">
        <f>_xlfn.IFNA(VLOOKUP(db_emp[[#This Row],[ID_SDP]],[1]!db_div[[Code_div]:[Division]],2,0),"-")</f>
        <v>Cinema Technology</v>
      </c>
      <c r="P134" s="74" t="str">
        <f>_xlfn.IFNA(VLOOKUP(db_emp[[#This Row],[Code_lvl]],[1]!db_lvl[[#All],[ID_level]:[Leveling Name]],2,0),"-")</f>
        <v>Supervisor</v>
      </c>
      <c r="Q134" s="74" t="str">
        <f>_xlfn.IFNA(VLOOKUP(db_emp[[#This Row],[Code_site]],[1]!db_site[[ID_Site]:[Url_maps]],3,0),"-")</f>
        <v>Unit - FLIX PIK Avenue</v>
      </c>
      <c r="R1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231059,'Aji Setiawan','CIN','TECHN','Cinema Technology Supervisor','LV09','Cinema','F01','Employee','2023-07-03','2025-10-24'</v>
      </c>
      <c r="S134" s="74">
        <f>db_emp[[#This Row],[NIP (UPDATE)]]</f>
        <v>231059</v>
      </c>
    </row>
    <row r="135" spans="2:19" hidden="1" x14ac:dyDescent="0.25">
      <c r="B135" s="75">
        <v>435</v>
      </c>
      <c r="C135" s="75">
        <v>160965</v>
      </c>
      <c r="D135" s="74" t="s">
        <v>1068</v>
      </c>
      <c r="E135" s="75" t="s">
        <v>1042</v>
      </c>
      <c r="F135" s="75" t="s">
        <v>1062</v>
      </c>
      <c r="G135" s="74" t="s">
        <v>1065</v>
      </c>
      <c r="H135" s="75" t="s">
        <v>870</v>
      </c>
      <c r="I135" s="74" t="s">
        <v>457</v>
      </c>
      <c r="J135" s="75" t="s">
        <v>464</v>
      </c>
      <c r="K135" s="75" t="s">
        <v>850</v>
      </c>
      <c r="L135" s="76">
        <v>42712</v>
      </c>
      <c r="M135" s="77">
        <f t="shared" ca="1" si="3"/>
        <v>45954</v>
      </c>
      <c r="N135" s="74" t="str">
        <f>_xlfn.IFNA(VLOOKUP(db_emp[[#This Row],[ID_DIV]],[1]!db_dpt[[Code_dpt]:[Departement]],2,0),"-")</f>
        <v>Cinema</v>
      </c>
      <c r="O135" s="74" t="str">
        <f>_xlfn.IFNA(VLOOKUP(db_emp[[#This Row],[ID_SDP]],[1]!db_div[[Code_div]:[Division]],2,0),"-")</f>
        <v>Cinema Technology</v>
      </c>
      <c r="P135" s="74" t="str">
        <f>_xlfn.IFNA(VLOOKUP(db_emp[[#This Row],[Code_lvl]],[1]!db_lvl[[#All],[ID_level]:[Leveling Name]],2,0),"-")</f>
        <v>Supervisor</v>
      </c>
      <c r="Q135" s="74" t="str">
        <f>_xlfn.IFNA(VLOOKUP(db_emp[[#This Row],[Code_site]],[1]!db_site[[ID_Site]:[Url_maps]],3,0),"-")</f>
        <v>Unit - FLIX GGP</v>
      </c>
      <c r="R1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160965,'Lois Ridarsono','CIN','TECHN','Cinema Technology Supervisor','LV09','Cinema','F03','Employee','2016-12-08','2025-10-24'</v>
      </c>
      <c r="S135" s="74">
        <f>db_emp[[#This Row],[NIP (UPDATE)]]</f>
        <v>160965</v>
      </c>
    </row>
    <row r="136" spans="2:19" hidden="1" x14ac:dyDescent="0.25">
      <c r="B136" s="75">
        <v>490</v>
      </c>
      <c r="C136" s="75">
        <v>250340</v>
      </c>
      <c r="D136" s="74" t="s">
        <v>1069</v>
      </c>
      <c r="E136" s="75" t="s">
        <v>1042</v>
      </c>
      <c r="F136" s="75" t="s">
        <v>1062</v>
      </c>
      <c r="G136" s="74" t="s">
        <v>1065</v>
      </c>
      <c r="H136" s="75" t="s">
        <v>870</v>
      </c>
      <c r="I136" s="74" t="s">
        <v>457</v>
      </c>
      <c r="J136" s="75" t="s">
        <v>469</v>
      </c>
      <c r="K136" s="75" t="s">
        <v>850</v>
      </c>
      <c r="L136" s="76">
        <v>45761</v>
      </c>
      <c r="M136" s="77">
        <f t="shared" ca="1" si="3"/>
        <v>45954</v>
      </c>
      <c r="N136" s="74" t="str">
        <f>_xlfn.IFNA(VLOOKUP(db_emp[[#This Row],[ID_DIV]],[1]!db_dpt[[Code_dpt]:[Departement]],2,0),"-")</f>
        <v>Cinema</v>
      </c>
      <c r="O136" s="74" t="str">
        <f>_xlfn.IFNA(VLOOKUP(db_emp[[#This Row],[ID_SDP]],[1]!db_div[[Code_div]:[Division]],2,0),"-")</f>
        <v>Cinema Technology</v>
      </c>
      <c r="P136" s="74" t="str">
        <f>_xlfn.IFNA(VLOOKUP(db_emp[[#This Row],[Code_lvl]],[1]!db_lvl[[#All],[ID_level]:[Leveling Name]],2,0),"-")</f>
        <v>Supervisor</v>
      </c>
      <c r="Q136" s="74" t="str">
        <f>_xlfn.IFNA(VLOOKUP(db_emp[[#This Row],[Code_site]],[1]!db_site[[ID_Site]:[Url_maps]],3,0),"-")</f>
        <v>Unit - FLIX ASHTA</v>
      </c>
      <c r="R1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250340,'Ahmad Sopyan','CIN','TECHN','Cinema Technology Supervisor','LV09','Cinema','F04','Employee','2025-04-14','2025-10-24'</v>
      </c>
      <c r="S136" s="74">
        <f>db_emp[[#This Row],[NIP (UPDATE)]]</f>
        <v>250340</v>
      </c>
    </row>
    <row r="137" spans="2:19" hidden="1" x14ac:dyDescent="0.25">
      <c r="B137" s="75">
        <v>180</v>
      </c>
      <c r="C137" s="75">
        <v>190633</v>
      </c>
      <c r="D137" s="74" t="s">
        <v>1070</v>
      </c>
      <c r="E137" s="75" t="s">
        <v>911</v>
      </c>
      <c r="F137" s="75" t="s">
        <v>1071</v>
      </c>
      <c r="G137" s="74" t="s">
        <v>1072</v>
      </c>
      <c r="H137" s="75" t="s">
        <v>853</v>
      </c>
      <c r="I137" s="74" t="s">
        <v>849</v>
      </c>
      <c r="J137" s="75" t="s">
        <v>314</v>
      </c>
      <c r="K137" s="75" t="s">
        <v>850</v>
      </c>
      <c r="L137" s="76">
        <v>43668</v>
      </c>
      <c r="M137" s="77">
        <f t="shared" ca="1" si="3"/>
        <v>45954</v>
      </c>
      <c r="N137" s="74" t="str">
        <f>_xlfn.IFNA(VLOOKUP(db_emp[[#This Row],[ID_DIV]],[1]!db_dpt[[Code_dpt]:[Departement]],2,0),"-")</f>
        <v>Engineering</v>
      </c>
      <c r="O137" s="74" t="str">
        <f>_xlfn.IFNA(VLOOKUP(db_emp[[#This Row],[ID_SDP]],[1]!db_div[[Code_div]:[Division]],2,0),"-")</f>
        <v>Civil</v>
      </c>
      <c r="P137" s="74" t="str">
        <f>_xlfn.IFNA(VLOOKUP(db_emp[[#This Row],[Code_lvl]],[1]!db_lvl[[#All],[ID_level]:[Leveling Name]],2,0),"-")</f>
        <v>Staff</v>
      </c>
      <c r="Q137" s="74" t="str">
        <f>_xlfn.IFNA(VLOOKUP(db_emp[[#This Row],[Code_site]],[1]!db_site[[ID_Site]:[Url_maps]],3,0),"-")</f>
        <v>Unit - MOI</v>
      </c>
      <c r="R1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190633,'Muhammad Firhansah','ENG','CIVIL','Civil Staff','LV12','Mall &amp; Cinema','M02','Employee','2019-07-22','2025-10-24'</v>
      </c>
      <c r="S137" s="74">
        <f>db_emp[[#This Row],[NIP (UPDATE)]]</f>
        <v>190633</v>
      </c>
    </row>
    <row r="138" spans="2:19" hidden="1" x14ac:dyDescent="0.25">
      <c r="B138" s="75">
        <v>184</v>
      </c>
      <c r="C138" s="75">
        <v>101629</v>
      </c>
      <c r="D138" s="74" t="s">
        <v>1073</v>
      </c>
      <c r="E138" s="75" t="s">
        <v>911</v>
      </c>
      <c r="F138" s="75" t="s">
        <v>1071</v>
      </c>
      <c r="G138" s="74" t="s">
        <v>1072</v>
      </c>
      <c r="H138" s="75" t="s">
        <v>885</v>
      </c>
      <c r="I138" s="74" t="s">
        <v>849</v>
      </c>
      <c r="J138" s="75" t="s">
        <v>314</v>
      </c>
      <c r="K138" s="75" t="s">
        <v>850</v>
      </c>
      <c r="L138" s="76">
        <v>39611</v>
      </c>
      <c r="M138" s="77">
        <f t="shared" ca="1" si="3"/>
        <v>45954</v>
      </c>
      <c r="N138" s="74" t="str">
        <f>_xlfn.IFNA(VLOOKUP(db_emp[[#This Row],[ID_DIV]],[1]!db_dpt[[Code_dpt]:[Departement]],2,0),"-")</f>
        <v>Engineering</v>
      </c>
      <c r="O138" s="74" t="str">
        <f>_xlfn.IFNA(VLOOKUP(db_emp[[#This Row],[ID_SDP]],[1]!db_div[[Code_div]:[Division]],2,0),"-")</f>
        <v>Civil</v>
      </c>
      <c r="P138" s="74" t="str">
        <f>_xlfn.IFNA(VLOOKUP(db_emp[[#This Row],[Code_lvl]],[1]!db_lvl[[#All],[ID_level]:[Leveling Name]],2,0),"-")</f>
        <v>Senior Staff</v>
      </c>
      <c r="Q138" s="74" t="str">
        <f>_xlfn.IFNA(VLOOKUP(db_emp[[#This Row],[Code_site]],[1]!db_site[[ID_Site]:[Url_maps]],3,0),"-")</f>
        <v>Unit - MOI</v>
      </c>
      <c r="R1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101629,'Tolani Raharjo','ENG','CIVIL','Civil Staff','LV11','Mall &amp; Cinema','M02','Employee','2008-06-12','2025-10-24'</v>
      </c>
      <c r="S138" s="74">
        <f>db_emp[[#This Row],[NIP (UPDATE)]]</f>
        <v>101629</v>
      </c>
    </row>
    <row r="139" spans="2:19" hidden="1" x14ac:dyDescent="0.25">
      <c r="B139" s="75">
        <v>220</v>
      </c>
      <c r="C139" s="75">
        <v>220780</v>
      </c>
      <c r="D139" s="74" t="s">
        <v>1074</v>
      </c>
      <c r="E139" s="75" t="s">
        <v>911</v>
      </c>
      <c r="F139" s="75" t="s">
        <v>1071</v>
      </c>
      <c r="G139" s="74" t="s">
        <v>1072</v>
      </c>
      <c r="H139" s="75" t="s">
        <v>853</v>
      </c>
      <c r="I139" s="74" t="s">
        <v>849</v>
      </c>
      <c r="J139" s="75" t="s">
        <v>314</v>
      </c>
      <c r="K139" s="75" t="s">
        <v>850</v>
      </c>
      <c r="L139" s="76">
        <v>44714</v>
      </c>
      <c r="M139" s="77">
        <f t="shared" ca="1" si="3"/>
        <v>45954</v>
      </c>
      <c r="N139" s="74" t="str">
        <f>_xlfn.IFNA(VLOOKUP(db_emp[[#This Row],[ID_DIV]],[1]!db_dpt[[Code_dpt]:[Departement]],2,0),"-")</f>
        <v>Engineering</v>
      </c>
      <c r="O139" s="74" t="str">
        <f>_xlfn.IFNA(VLOOKUP(db_emp[[#This Row],[ID_SDP]],[1]!db_div[[Code_div]:[Division]],2,0),"-")</f>
        <v>Civil</v>
      </c>
      <c r="P139" s="74" t="str">
        <f>_xlfn.IFNA(VLOOKUP(db_emp[[#This Row],[Code_lvl]],[1]!db_lvl[[#All],[ID_level]:[Leveling Name]],2,0),"-")</f>
        <v>Staff</v>
      </c>
      <c r="Q139" s="74" t="str">
        <f>_xlfn.IFNA(VLOOKUP(db_emp[[#This Row],[Code_site]],[1]!db_site[[ID_Site]:[Url_maps]],3,0),"-")</f>
        <v>Unit - MOI</v>
      </c>
      <c r="R1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220780,'Sobirin Nur Hidayat','ENG','CIVIL','Civil Staff','LV12','Mall &amp; Cinema','M02','Employee','2022-06-02','2025-10-24'</v>
      </c>
      <c r="S139" s="74">
        <f>db_emp[[#This Row],[NIP (UPDATE)]]</f>
        <v>220780</v>
      </c>
    </row>
    <row r="140" spans="2:19" hidden="1" x14ac:dyDescent="0.25">
      <c r="B140" s="75">
        <v>228</v>
      </c>
      <c r="C140" s="75">
        <v>231063</v>
      </c>
      <c r="D140" s="74" t="s">
        <v>1075</v>
      </c>
      <c r="E140" s="75" t="s">
        <v>911</v>
      </c>
      <c r="F140" s="75" t="s">
        <v>1071</v>
      </c>
      <c r="G140" s="74" t="s">
        <v>1072</v>
      </c>
      <c r="H140" s="75" t="s">
        <v>853</v>
      </c>
      <c r="I140" s="74" t="s">
        <v>849</v>
      </c>
      <c r="J140" s="75" t="s">
        <v>314</v>
      </c>
      <c r="K140" s="75" t="s">
        <v>850</v>
      </c>
      <c r="L140" s="76">
        <v>45110</v>
      </c>
      <c r="M140" s="77">
        <f t="shared" ca="1" si="3"/>
        <v>45954</v>
      </c>
      <c r="N140" s="74" t="str">
        <f>_xlfn.IFNA(VLOOKUP(db_emp[[#This Row],[ID_DIV]],[1]!db_dpt[[Code_dpt]:[Departement]],2,0),"-")</f>
        <v>Engineering</v>
      </c>
      <c r="O140" s="74" t="str">
        <f>_xlfn.IFNA(VLOOKUP(db_emp[[#This Row],[ID_SDP]],[1]!db_div[[Code_div]:[Division]],2,0),"-")</f>
        <v>Civil</v>
      </c>
      <c r="P140" s="74" t="str">
        <f>_xlfn.IFNA(VLOOKUP(db_emp[[#This Row],[Code_lvl]],[1]!db_lvl[[#All],[ID_level]:[Leveling Name]],2,0),"-")</f>
        <v>Staff</v>
      </c>
      <c r="Q140" s="74" t="str">
        <f>_xlfn.IFNA(VLOOKUP(db_emp[[#This Row],[Code_site]],[1]!db_site[[ID_Site]:[Url_maps]],3,0),"-")</f>
        <v>Unit - MOI</v>
      </c>
      <c r="R1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231063,'Joko Santoso','ENG','CIVIL','Civil Staff','LV12','Mall &amp; Cinema','M02','Employee','2023-07-03','2025-10-24'</v>
      </c>
      <c r="S140" s="74">
        <f>db_emp[[#This Row],[NIP (UPDATE)]]</f>
        <v>231063</v>
      </c>
    </row>
    <row r="141" spans="2:19" hidden="1" x14ac:dyDescent="0.25">
      <c r="B141" s="75">
        <v>241</v>
      </c>
      <c r="C141" s="75">
        <v>232316</v>
      </c>
      <c r="D141" s="74" t="s">
        <v>1076</v>
      </c>
      <c r="E141" s="75" t="s">
        <v>911</v>
      </c>
      <c r="F141" s="75" t="s">
        <v>1071</v>
      </c>
      <c r="G141" s="74" t="s">
        <v>1072</v>
      </c>
      <c r="H141" s="75" t="s">
        <v>853</v>
      </c>
      <c r="I141" s="74" t="s">
        <v>849</v>
      </c>
      <c r="J141" s="75" t="s">
        <v>314</v>
      </c>
      <c r="K141" s="75" t="s">
        <v>850</v>
      </c>
      <c r="L141" s="76">
        <v>45280</v>
      </c>
      <c r="M141" s="77">
        <f t="shared" ca="1" si="3"/>
        <v>45954</v>
      </c>
      <c r="N141" s="74" t="str">
        <f>_xlfn.IFNA(VLOOKUP(db_emp[[#This Row],[ID_DIV]],[1]!db_dpt[[Code_dpt]:[Departement]],2,0),"-")</f>
        <v>Engineering</v>
      </c>
      <c r="O141" s="74" t="str">
        <f>_xlfn.IFNA(VLOOKUP(db_emp[[#This Row],[ID_SDP]],[1]!db_div[[Code_div]:[Division]],2,0),"-")</f>
        <v>Civil</v>
      </c>
      <c r="P141" s="74" t="str">
        <f>_xlfn.IFNA(VLOOKUP(db_emp[[#This Row],[Code_lvl]],[1]!db_lvl[[#All],[ID_level]:[Leveling Name]],2,0),"-")</f>
        <v>Staff</v>
      </c>
      <c r="Q141" s="74" t="str">
        <f>_xlfn.IFNA(VLOOKUP(db_emp[[#This Row],[Code_site]],[1]!db_site[[ID_Site]:[Url_maps]],3,0),"-")</f>
        <v>Unit - MOI</v>
      </c>
      <c r="R1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232316,'Wahyu Bahrudin','ENG','CIVIL','Civil Staff','LV12','Mall &amp; Cinema','M02','Employee','2023-12-20','2025-10-24'</v>
      </c>
      <c r="S141" s="74">
        <f>db_emp[[#This Row],[NIP (UPDATE)]]</f>
        <v>232316</v>
      </c>
    </row>
    <row r="142" spans="2:19" hidden="1" x14ac:dyDescent="0.25">
      <c r="B142" s="75">
        <v>367</v>
      </c>
      <c r="C142" s="75">
        <v>102511</v>
      </c>
      <c r="D142" s="74" t="s">
        <v>1077</v>
      </c>
      <c r="E142" s="75" t="s">
        <v>911</v>
      </c>
      <c r="F142" s="75" t="s">
        <v>1071</v>
      </c>
      <c r="G142" s="74" t="s">
        <v>1072</v>
      </c>
      <c r="H142" s="75" t="s">
        <v>853</v>
      </c>
      <c r="I142" s="74" t="s">
        <v>486</v>
      </c>
      <c r="J142" s="75" t="s">
        <v>492</v>
      </c>
      <c r="K142" s="75" t="s">
        <v>903</v>
      </c>
      <c r="L142" s="76">
        <v>40196</v>
      </c>
      <c r="M142" s="77">
        <f t="shared" ca="1" si="3"/>
        <v>45954</v>
      </c>
      <c r="N142" s="74" t="str">
        <f>_xlfn.IFNA(VLOOKUP(db_emp[[#This Row],[ID_DIV]],[1]!db_dpt[[Code_dpt]:[Departement]],2,0),"-")</f>
        <v>Engineering</v>
      </c>
      <c r="O142" s="74" t="str">
        <f>_xlfn.IFNA(VLOOKUP(db_emp[[#This Row],[ID_SDP]],[1]!db_div[[Code_div]:[Division]],2,0),"-")</f>
        <v>Civil</v>
      </c>
      <c r="P142" s="74" t="str">
        <f>_xlfn.IFNA(VLOOKUP(db_emp[[#This Row],[Code_lvl]],[1]!db_lvl[[#All],[ID_level]:[Leveling Name]],2,0),"-")</f>
        <v>Staff</v>
      </c>
      <c r="Q142" s="74" t="str">
        <f>_xlfn.IFNA(VLOOKUP(db_emp[[#This Row],[Code_site]],[1]!db_site[[ID_Site]:[Url_maps]],3,0),"-")</f>
        <v>Unit - Hublife</v>
      </c>
      <c r="R1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102511,'Luhut Hermanto','ENG','CIVIL','Civil Staff','LV12','Mall','M05','Resign','2010-01-18','2025-10-24'</v>
      </c>
      <c r="S142" s="74">
        <f>db_emp[[#This Row],[NIP (UPDATE)]]</f>
        <v>102511</v>
      </c>
    </row>
    <row r="143" spans="2:19" hidden="1" x14ac:dyDescent="0.25">
      <c r="B143" s="75">
        <v>402</v>
      </c>
      <c r="C143" s="75">
        <v>220901</v>
      </c>
      <c r="D143" s="74" t="s">
        <v>1078</v>
      </c>
      <c r="E143" s="75" t="s">
        <v>911</v>
      </c>
      <c r="F143" s="75" t="s">
        <v>1071</v>
      </c>
      <c r="G143" s="74" t="s">
        <v>1072</v>
      </c>
      <c r="H143" s="75" t="s">
        <v>853</v>
      </c>
      <c r="I143" s="74" t="s">
        <v>849</v>
      </c>
      <c r="J143" s="75" t="s">
        <v>316</v>
      </c>
      <c r="K143" s="75" t="s">
        <v>850</v>
      </c>
      <c r="L143" s="76">
        <v>44739</v>
      </c>
      <c r="M143" s="77">
        <f t="shared" ca="1" si="3"/>
        <v>45954</v>
      </c>
      <c r="N143" s="74" t="str">
        <f>_xlfn.IFNA(VLOOKUP(db_emp[[#This Row],[ID_DIV]],[1]!db_dpt[[Code_dpt]:[Departement]],2,0),"-")</f>
        <v>Engineering</v>
      </c>
      <c r="O143" s="74" t="str">
        <f>_xlfn.IFNA(VLOOKUP(db_emp[[#This Row],[ID_SDP]],[1]!db_div[[Code_div]:[Division]],2,0),"-")</f>
        <v>Civil</v>
      </c>
      <c r="P143" s="74" t="str">
        <f>_xlfn.IFNA(VLOOKUP(db_emp[[#This Row],[Code_lvl]],[1]!db_lvl[[#All],[ID_level]:[Leveling Name]],2,0),"-")</f>
        <v>Staff</v>
      </c>
      <c r="Q143" s="74" t="str">
        <f>_xlfn.IFNA(VLOOKUP(db_emp[[#This Row],[Code_site]],[1]!db_site[[ID_Site]:[Url_maps]],3,0),"-")</f>
        <v>Unit - GGP</v>
      </c>
      <c r="R1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220901,'Rafif Sabastian','ENG','CIVIL','Civil Staff','LV12','Mall &amp; Cinema','M03','Employee','2022-06-27','2025-10-24'</v>
      </c>
      <c r="S143" s="74">
        <f>db_emp[[#This Row],[NIP (UPDATE)]]</f>
        <v>220901</v>
      </c>
    </row>
    <row r="144" spans="2:19" hidden="1" x14ac:dyDescent="0.25">
      <c r="B144" s="75">
        <v>415</v>
      </c>
      <c r="C144" s="75">
        <v>240889</v>
      </c>
      <c r="D144" s="74" t="s">
        <v>1079</v>
      </c>
      <c r="E144" s="75" t="s">
        <v>911</v>
      </c>
      <c r="F144" s="75" t="s">
        <v>1071</v>
      </c>
      <c r="G144" s="74" t="s">
        <v>1072</v>
      </c>
      <c r="H144" s="75" t="s">
        <v>853</v>
      </c>
      <c r="I144" s="74" t="s">
        <v>849</v>
      </c>
      <c r="J144" s="75" t="s">
        <v>316</v>
      </c>
      <c r="K144" s="75" t="s">
        <v>850</v>
      </c>
      <c r="L144" s="76">
        <v>45432</v>
      </c>
      <c r="M144" s="77">
        <f t="shared" ca="1" si="3"/>
        <v>45954</v>
      </c>
      <c r="N144" s="74" t="str">
        <f>_xlfn.IFNA(VLOOKUP(db_emp[[#This Row],[ID_DIV]],[1]!db_dpt[[Code_dpt]:[Departement]],2,0),"-")</f>
        <v>Engineering</v>
      </c>
      <c r="O144" s="74" t="str">
        <f>_xlfn.IFNA(VLOOKUP(db_emp[[#This Row],[ID_SDP]],[1]!db_div[[Code_div]:[Division]],2,0),"-")</f>
        <v>Civil</v>
      </c>
      <c r="P144" s="74" t="str">
        <f>_xlfn.IFNA(VLOOKUP(db_emp[[#This Row],[Code_lvl]],[1]!db_lvl[[#All],[ID_level]:[Leveling Name]],2,0),"-")</f>
        <v>Staff</v>
      </c>
      <c r="Q144" s="74" t="str">
        <f>_xlfn.IFNA(VLOOKUP(db_emp[[#This Row],[Code_site]],[1]!db_site[[ID_Site]:[Url_maps]],3,0),"-")</f>
        <v>Unit - GGP</v>
      </c>
      <c r="R1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240889,'Peri Suhardani','ENG','CIVIL','Civil Staff','LV12','Mall &amp; Cinema','M03','Employee','2024-05-20','2025-10-24'</v>
      </c>
      <c r="S144" s="74">
        <f>db_emp[[#This Row],[NIP (UPDATE)]]</f>
        <v>240889</v>
      </c>
    </row>
    <row r="145" spans="2:19" hidden="1" x14ac:dyDescent="0.25">
      <c r="B145" s="75">
        <v>432</v>
      </c>
      <c r="C145" s="75">
        <v>250359</v>
      </c>
      <c r="D145" s="74" t="s">
        <v>1080</v>
      </c>
      <c r="E145" s="75" t="s">
        <v>911</v>
      </c>
      <c r="F145" s="75" t="s">
        <v>1071</v>
      </c>
      <c r="G145" s="74" t="s">
        <v>1072</v>
      </c>
      <c r="H145" s="75" t="s">
        <v>853</v>
      </c>
      <c r="I145" s="74" t="s">
        <v>849</v>
      </c>
      <c r="J145" s="75" t="s">
        <v>316</v>
      </c>
      <c r="K145" s="75" t="s">
        <v>862</v>
      </c>
      <c r="L145" s="76">
        <v>45768</v>
      </c>
      <c r="M145" s="77">
        <f t="shared" ca="1" si="3"/>
        <v>45954</v>
      </c>
      <c r="N145" s="74" t="str">
        <f>_xlfn.IFNA(VLOOKUP(db_emp[[#This Row],[ID_DIV]],[1]!db_dpt[[Code_dpt]:[Departement]],2,0),"-")</f>
        <v>Engineering</v>
      </c>
      <c r="O145" s="74" t="str">
        <f>_xlfn.IFNA(VLOOKUP(db_emp[[#This Row],[ID_SDP]],[1]!db_div[[Code_div]:[Division]],2,0),"-")</f>
        <v>Civil</v>
      </c>
      <c r="P145" s="74" t="str">
        <f>_xlfn.IFNA(VLOOKUP(db_emp[[#This Row],[Code_lvl]],[1]!db_lvl[[#All],[ID_level]:[Leveling Name]],2,0),"-")</f>
        <v>Staff</v>
      </c>
      <c r="Q145" s="74" t="str">
        <f>_xlfn.IFNA(VLOOKUP(db_emp[[#This Row],[Code_site]],[1]!db_site[[ID_Site]:[Url_maps]],3,0),"-")</f>
        <v>Unit - GGP</v>
      </c>
      <c r="R1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250359,'Ariwibowo','ENG','CIVIL','Civil Staff','LV12','Mall &amp; Cinema','M03','Not Employee','2025-04-21','2025-10-24'</v>
      </c>
      <c r="S145" s="74">
        <f>db_emp[[#This Row],[NIP (UPDATE)]]</f>
        <v>250359</v>
      </c>
    </row>
    <row r="146" spans="2:19" hidden="1" x14ac:dyDescent="0.25">
      <c r="B146" s="75">
        <v>484</v>
      </c>
      <c r="C146" s="75">
        <v>241930</v>
      </c>
      <c r="D146" s="74" t="s">
        <v>1081</v>
      </c>
      <c r="E146" s="75" t="s">
        <v>911</v>
      </c>
      <c r="F146" s="75" t="s">
        <v>1071</v>
      </c>
      <c r="G146" s="74" t="s">
        <v>1072</v>
      </c>
      <c r="H146" s="75" t="s">
        <v>853</v>
      </c>
      <c r="I146" s="74" t="s">
        <v>849</v>
      </c>
      <c r="J146" s="75" t="s">
        <v>490</v>
      </c>
      <c r="K146" s="75" t="s">
        <v>862</v>
      </c>
      <c r="L146" s="76">
        <v>45593</v>
      </c>
      <c r="M146" s="77">
        <f t="shared" ca="1" si="3"/>
        <v>45954</v>
      </c>
      <c r="N146" s="74" t="str">
        <f>_xlfn.IFNA(VLOOKUP(db_emp[[#This Row],[ID_DIV]],[1]!db_dpt[[Code_dpt]:[Departement]],2,0),"-")</f>
        <v>Engineering</v>
      </c>
      <c r="O146" s="74" t="str">
        <f>_xlfn.IFNA(VLOOKUP(db_emp[[#This Row],[ID_SDP]],[1]!db_div[[Code_div]:[Division]],2,0),"-")</f>
        <v>Civil</v>
      </c>
      <c r="P146" s="74" t="str">
        <f>_xlfn.IFNA(VLOOKUP(db_emp[[#This Row],[Code_lvl]],[1]!db_lvl[[#All],[ID_level]:[Leveling Name]],2,0),"-")</f>
        <v>Staff</v>
      </c>
      <c r="Q146" s="74" t="str">
        <f>_xlfn.IFNA(VLOOKUP(db_emp[[#This Row],[Code_site]],[1]!db_site[[ID_Site]:[Url_maps]],3,0),"-")</f>
        <v>Unit - ASHTA</v>
      </c>
      <c r="R1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241930,'Herman  ','ENG','CIVIL','Civil Staff','LV12','Mall &amp; Cinema','M04','Not Employee','2024-10-28','2025-10-24'</v>
      </c>
      <c r="S146" s="74">
        <f>db_emp[[#This Row],[NIP (UPDATE)]]</f>
        <v>241930</v>
      </c>
    </row>
    <row r="147" spans="2:19" hidden="1" x14ac:dyDescent="0.25">
      <c r="B147" s="75">
        <v>320</v>
      </c>
      <c r="C147" s="75">
        <v>130947</v>
      </c>
      <c r="D147" s="74" t="s">
        <v>1082</v>
      </c>
      <c r="E147" s="75" t="s">
        <v>911</v>
      </c>
      <c r="F147" s="75" t="s">
        <v>1071</v>
      </c>
      <c r="G147" s="74" t="s">
        <v>1083</v>
      </c>
      <c r="H147" s="75" t="s">
        <v>870</v>
      </c>
      <c r="I147" s="74" t="s">
        <v>849</v>
      </c>
      <c r="J147" s="75" t="s">
        <v>484</v>
      </c>
      <c r="K147" s="75" t="s">
        <v>850</v>
      </c>
      <c r="L147" s="76">
        <v>41519</v>
      </c>
      <c r="M147" s="77">
        <f t="shared" ca="1" si="3"/>
        <v>45954</v>
      </c>
      <c r="N147" s="74" t="str">
        <f>_xlfn.IFNA(VLOOKUP(db_emp[[#This Row],[ID_DIV]],[1]!db_dpt[[Code_dpt]:[Departement]],2,0),"-")</f>
        <v>Engineering</v>
      </c>
      <c r="O147" s="74" t="str">
        <f>_xlfn.IFNA(VLOOKUP(db_emp[[#This Row],[ID_SDP]],[1]!db_div[[Code_div]:[Division]],2,0),"-")</f>
        <v>Civil</v>
      </c>
      <c r="P147" s="74" t="str">
        <f>_xlfn.IFNA(VLOOKUP(db_emp[[#This Row],[Code_lvl]],[1]!db_lvl[[#All],[ID_level]:[Leveling Name]],2,0),"-")</f>
        <v>Supervisor</v>
      </c>
      <c r="Q147" s="74" t="str">
        <f>_xlfn.IFNA(VLOOKUP(db_emp[[#This Row],[Code_site]],[1]!db_site[[ID_Site]:[Url_maps]],3,0),"-")</f>
        <v>Unit - PIK Avenue</v>
      </c>
      <c r="R1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130947,'Sabarudin.','ENG','CIVIL','Civil Supervisor','LV09','Mall &amp; Cinema','M01','Employee','2013-09-02','2025-10-24'</v>
      </c>
      <c r="S147" s="74">
        <f>db_emp[[#This Row],[NIP (UPDATE)]]</f>
        <v>130947</v>
      </c>
    </row>
    <row r="148" spans="2:19" hidden="1" x14ac:dyDescent="0.25">
      <c r="B148" s="75">
        <v>371</v>
      </c>
      <c r="C148" s="75">
        <v>240950</v>
      </c>
      <c r="D148" s="74" t="s">
        <v>1084</v>
      </c>
      <c r="E148" s="75" t="s">
        <v>911</v>
      </c>
      <c r="F148" s="75" t="s">
        <v>1071</v>
      </c>
      <c r="G148" s="74" t="s">
        <v>1083</v>
      </c>
      <c r="H148" s="75" t="s">
        <v>870</v>
      </c>
      <c r="I148" s="74" t="s">
        <v>486</v>
      </c>
      <c r="J148" s="75" t="s">
        <v>492</v>
      </c>
      <c r="K148" s="75" t="s">
        <v>850</v>
      </c>
      <c r="L148" s="76">
        <v>45446</v>
      </c>
      <c r="M148" s="77">
        <f t="shared" ca="1" si="3"/>
        <v>45954</v>
      </c>
      <c r="N148" s="74" t="str">
        <f>_xlfn.IFNA(VLOOKUP(db_emp[[#This Row],[ID_DIV]],[1]!db_dpt[[Code_dpt]:[Departement]],2,0),"-")</f>
        <v>Engineering</v>
      </c>
      <c r="O148" s="74" t="str">
        <f>_xlfn.IFNA(VLOOKUP(db_emp[[#This Row],[ID_SDP]],[1]!db_div[[Code_div]:[Division]],2,0),"-")</f>
        <v>Civil</v>
      </c>
      <c r="P148" s="74" t="str">
        <f>_xlfn.IFNA(VLOOKUP(db_emp[[#This Row],[Code_lvl]],[1]!db_lvl[[#All],[ID_level]:[Leveling Name]],2,0),"-")</f>
        <v>Supervisor</v>
      </c>
      <c r="Q148" s="74" t="str">
        <f>_xlfn.IFNA(VLOOKUP(db_emp[[#This Row],[Code_site]],[1]!db_site[[ID_Site]:[Url_maps]],3,0),"-")</f>
        <v>Unit - Hublife</v>
      </c>
      <c r="R1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240950,'Iskandar','ENG','CIVIL','Civil Supervisor','LV09','Mall','M05','Employee','2024-06-03','2025-10-24'</v>
      </c>
      <c r="S148" s="74">
        <f>db_emp[[#This Row],[NIP (UPDATE)]]</f>
        <v>240950</v>
      </c>
    </row>
    <row r="149" spans="2:19" hidden="1" x14ac:dyDescent="0.25">
      <c r="B149" s="75">
        <v>391</v>
      </c>
      <c r="C149" s="75">
        <v>131258</v>
      </c>
      <c r="D149" s="74" t="s">
        <v>1085</v>
      </c>
      <c r="E149" s="75" t="s">
        <v>911</v>
      </c>
      <c r="F149" s="75" t="s">
        <v>1071</v>
      </c>
      <c r="G149" s="74" t="s">
        <v>1083</v>
      </c>
      <c r="H149" s="75" t="s">
        <v>870</v>
      </c>
      <c r="I149" s="74" t="s">
        <v>849</v>
      </c>
      <c r="J149" s="75" t="s">
        <v>316</v>
      </c>
      <c r="K149" s="75" t="s">
        <v>850</v>
      </c>
      <c r="L149" s="76">
        <v>41589</v>
      </c>
      <c r="M149" s="77">
        <f t="shared" ca="1" si="3"/>
        <v>45954</v>
      </c>
      <c r="N149" s="74" t="str">
        <f>_xlfn.IFNA(VLOOKUP(db_emp[[#This Row],[ID_DIV]],[1]!db_dpt[[Code_dpt]:[Departement]],2,0),"-")</f>
        <v>Engineering</v>
      </c>
      <c r="O149" s="74" t="str">
        <f>_xlfn.IFNA(VLOOKUP(db_emp[[#This Row],[ID_SDP]],[1]!db_div[[Code_div]:[Division]],2,0),"-")</f>
        <v>Civil</v>
      </c>
      <c r="P149" s="74" t="str">
        <f>_xlfn.IFNA(VLOOKUP(db_emp[[#This Row],[Code_lvl]],[1]!db_lvl[[#All],[ID_level]:[Leveling Name]],2,0),"-")</f>
        <v>Supervisor</v>
      </c>
      <c r="Q149" s="74" t="str">
        <f>_xlfn.IFNA(VLOOKUP(db_emp[[#This Row],[Code_site]],[1]!db_site[[ID_Site]:[Url_maps]],3,0),"-")</f>
        <v>Unit - GGP</v>
      </c>
      <c r="R1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131258,'Supari.','ENG','CIVIL','Civil Supervisor','LV09','Mall &amp; Cinema','M03','Employee','2013-11-11','2025-10-24'</v>
      </c>
      <c r="S149" s="74">
        <f>db_emp[[#This Row],[NIP (UPDATE)]]</f>
        <v>131258</v>
      </c>
    </row>
    <row r="150" spans="2:19" hidden="1" x14ac:dyDescent="0.25">
      <c r="B150" s="75">
        <v>457</v>
      </c>
      <c r="C150" s="75">
        <v>210275</v>
      </c>
      <c r="D150" s="74" t="s">
        <v>1086</v>
      </c>
      <c r="E150" s="75" t="s">
        <v>911</v>
      </c>
      <c r="F150" s="75" t="s">
        <v>1071</v>
      </c>
      <c r="G150" s="74" t="s">
        <v>1083</v>
      </c>
      <c r="H150" s="75" t="s">
        <v>870</v>
      </c>
      <c r="I150" s="74" t="s">
        <v>849</v>
      </c>
      <c r="J150" s="75" t="s">
        <v>490</v>
      </c>
      <c r="K150" s="75" t="s">
        <v>850</v>
      </c>
      <c r="L150" s="76">
        <v>44312</v>
      </c>
      <c r="M150" s="77">
        <f t="shared" ca="1" si="3"/>
        <v>45954</v>
      </c>
      <c r="N150" s="74" t="str">
        <f>_xlfn.IFNA(VLOOKUP(db_emp[[#This Row],[ID_DIV]],[1]!db_dpt[[Code_dpt]:[Departement]],2,0),"-")</f>
        <v>Engineering</v>
      </c>
      <c r="O150" s="74" t="str">
        <f>_xlfn.IFNA(VLOOKUP(db_emp[[#This Row],[ID_SDP]],[1]!db_div[[Code_div]:[Division]],2,0),"-")</f>
        <v>Civil</v>
      </c>
      <c r="P150" s="74" t="str">
        <f>_xlfn.IFNA(VLOOKUP(db_emp[[#This Row],[Code_lvl]],[1]!db_lvl[[#All],[ID_level]:[Leveling Name]],2,0),"-")</f>
        <v>Supervisor</v>
      </c>
      <c r="Q150" s="74" t="str">
        <f>_xlfn.IFNA(VLOOKUP(db_emp[[#This Row],[Code_site]],[1]!db_site[[ID_Site]:[Url_maps]],3,0),"-")</f>
        <v>Unit - ASHTA</v>
      </c>
      <c r="R1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210275,'Nur Firmansyah ST','ENG','CIVIL','Civil Supervisor','LV09','Mall &amp; Cinema','M04','Employee','2021-04-26','2025-10-24'</v>
      </c>
      <c r="S150" s="74">
        <f>db_emp[[#This Row],[NIP (UPDATE)]]</f>
        <v>210275</v>
      </c>
    </row>
    <row r="151" spans="2:19" hidden="1" x14ac:dyDescent="0.25">
      <c r="B151" s="75">
        <v>609</v>
      </c>
      <c r="C151" s="75">
        <v>232188</v>
      </c>
      <c r="D151" s="74" t="s">
        <v>1087</v>
      </c>
      <c r="E151" s="75" t="s">
        <v>1088</v>
      </c>
      <c r="F151" s="75" t="s">
        <v>1089</v>
      </c>
      <c r="G151" s="74" t="s">
        <v>1090</v>
      </c>
      <c r="H151" s="75" t="s">
        <v>870</v>
      </c>
      <c r="I151" s="74" t="s">
        <v>864</v>
      </c>
      <c r="J151" s="75" t="s">
        <v>433</v>
      </c>
      <c r="K151" s="75" t="s">
        <v>850</v>
      </c>
      <c r="L151" s="76">
        <v>45670</v>
      </c>
      <c r="M151" s="77">
        <f t="shared" ca="1" si="3"/>
        <v>45954</v>
      </c>
      <c r="N151" s="74" t="str">
        <f>_xlfn.IFNA(VLOOKUP(db_emp[[#This Row],[ID_DIV]],[1]!db_dpt[[Code_dpt]:[Departement]],2,0),"-")</f>
        <v>General Services</v>
      </c>
      <c r="O151" s="74" t="str">
        <f>_xlfn.IFNA(VLOOKUP(db_emp[[#This Row],[ID_SDP]],[1]!db_div[[Code_div]:[Division]],2,0),"-")</f>
        <v>Cleaning &amp; Landscape</v>
      </c>
      <c r="P151" s="74" t="str">
        <f>_xlfn.IFNA(VLOOKUP(db_emp[[#This Row],[Code_lvl]],[1]!db_lvl[[#All],[ID_level]:[Leveling Name]],2,0),"-")</f>
        <v>Supervisor</v>
      </c>
      <c r="Q151" s="74" t="str">
        <f>_xlfn.IFNA(VLOOKUP(db_emp[[#This Row],[Code_site]],[1]!db_site[[ID_Site]:[Url_maps]],3,0),"-")</f>
        <v>Unit - Taman Anggrek Residences</v>
      </c>
      <c r="R1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232188,'Viki Irawan','GSE','CLAND','Cleaning &amp; Landscape Supervisor','LV09','Corp. Supporting Property (POM)','A01','Employee','2025-01-13','2025-10-24'</v>
      </c>
      <c r="S151" s="74">
        <f>db_emp[[#This Row],[NIP (UPDATE)]]</f>
        <v>232188</v>
      </c>
    </row>
    <row r="152" spans="2:19" hidden="1" x14ac:dyDescent="0.25">
      <c r="B152" s="75">
        <v>610</v>
      </c>
      <c r="C152" s="75">
        <v>250106</v>
      </c>
      <c r="D152" s="74" t="s">
        <v>1091</v>
      </c>
      <c r="E152" s="75" t="s">
        <v>1088</v>
      </c>
      <c r="F152" s="75" t="s">
        <v>1089</v>
      </c>
      <c r="G152" s="74" t="s">
        <v>1090</v>
      </c>
      <c r="H152" s="75" t="s">
        <v>870</v>
      </c>
      <c r="I152" s="74" t="s">
        <v>864</v>
      </c>
      <c r="J152" s="75" t="s">
        <v>433</v>
      </c>
      <c r="K152" s="75" t="s">
        <v>850</v>
      </c>
      <c r="L152" s="76">
        <v>45691</v>
      </c>
      <c r="M152" s="77">
        <f t="shared" ca="1" si="3"/>
        <v>45954</v>
      </c>
      <c r="N152" s="74" t="str">
        <f>_xlfn.IFNA(VLOOKUP(db_emp[[#This Row],[ID_DIV]],[1]!db_dpt[[Code_dpt]:[Departement]],2,0),"-")</f>
        <v>General Services</v>
      </c>
      <c r="O152" s="74" t="str">
        <f>_xlfn.IFNA(VLOOKUP(db_emp[[#This Row],[ID_SDP]],[1]!db_div[[Code_div]:[Division]],2,0),"-")</f>
        <v>Cleaning &amp; Landscape</v>
      </c>
      <c r="P152" s="74" t="str">
        <f>_xlfn.IFNA(VLOOKUP(db_emp[[#This Row],[Code_lvl]],[1]!db_lvl[[#All],[ID_level]:[Leveling Name]],2,0),"-")</f>
        <v>Supervisor</v>
      </c>
      <c r="Q152" s="74" t="str">
        <f>_xlfn.IFNA(VLOOKUP(db_emp[[#This Row],[Code_site]],[1]!db_site[[ID_Site]:[Url_maps]],3,0),"-")</f>
        <v>Unit - Taman Anggrek Residences</v>
      </c>
      <c r="R1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250106,'Aceng Maptuh','GSE','CLAND','Cleaning &amp; Landscape Supervisor','LV09','Corp. Supporting Property (POM)','A01','Employee','2025-02-03','2025-10-24'</v>
      </c>
      <c r="S152" s="74">
        <f>db_emp[[#This Row],[NIP (UPDATE)]]</f>
        <v>250106</v>
      </c>
    </row>
    <row r="153" spans="2:19" hidden="1" x14ac:dyDescent="0.25">
      <c r="B153" s="75">
        <v>694</v>
      </c>
      <c r="C153" s="75">
        <v>231542</v>
      </c>
      <c r="D153" s="74" t="s">
        <v>1092</v>
      </c>
      <c r="E153" s="75" t="s">
        <v>916</v>
      </c>
      <c r="F153" s="75" t="s">
        <v>912</v>
      </c>
      <c r="G153" s="74" t="s">
        <v>1093</v>
      </c>
      <c r="H153" s="75" t="s">
        <v>853</v>
      </c>
      <c r="I153" s="74" t="s">
        <v>864</v>
      </c>
      <c r="J153" s="75" t="s">
        <v>501</v>
      </c>
      <c r="K153" s="75" t="s">
        <v>850</v>
      </c>
      <c r="L153" s="76"/>
      <c r="M153" s="77">
        <f t="shared" ca="1" si="3"/>
        <v>45954</v>
      </c>
      <c r="N153" s="74" t="str">
        <f>_xlfn.IFNA(VLOOKUP(db_emp[[#This Row],[ID_DIV]],[1]!db_dpt[[Code_dpt]:[Departement]],2,0),"-")</f>
        <v>Property Management</v>
      </c>
      <c r="O153" s="74" t="str">
        <f>_xlfn.IFNA(VLOOKUP(db_emp[[#This Row],[ID_SDP]],[1]!db_div[[Code_div]:[Division]],2,0),"-")</f>
        <v>Admin</v>
      </c>
      <c r="P153" s="74" t="str">
        <f>_xlfn.IFNA(VLOOKUP(db_emp[[#This Row],[Code_lvl]],[1]!db_lvl[[#All],[ID_level]:[Leveling Name]],2,0),"-")</f>
        <v>Staff</v>
      </c>
      <c r="Q153" s="74" t="str">
        <f>_xlfn.IFNA(VLOOKUP(db_emp[[#This Row],[Code_site]],[1]!db_site[[ID_Site]:[Url_maps]],3,0),"-")</f>
        <v>Unit - District 8</v>
      </c>
      <c r="R1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231542,'Adriana Nabila Setyawan','POM','ADMIN','Client Services Administration Staff','LV12','Corp. Supporting Property (POM)','OD8','Employee','1900-01-00','2025-10-24'</v>
      </c>
      <c r="S153" s="74">
        <f>db_emp[[#This Row],[NIP (UPDATE)]]</f>
        <v>231542</v>
      </c>
    </row>
    <row r="154" spans="2:19" hidden="1" x14ac:dyDescent="0.25">
      <c r="B154" s="75">
        <v>697</v>
      </c>
      <c r="C154" s="75">
        <v>231553</v>
      </c>
      <c r="D154" s="74" t="s">
        <v>1094</v>
      </c>
      <c r="E154" s="75" t="s">
        <v>916</v>
      </c>
      <c r="F154" s="75" t="s">
        <v>912</v>
      </c>
      <c r="G154" s="74" t="s">
        <v>1093</v>
      </c>
      <c r="H154" s="75" t="s">
        <v>853</v>
      </c>
      <c r="I154" s="74" t="s">
        <v>864</v>
      </c>
      <c r="J154" s="75" t="s">
        <v>501</v>
      </c>
      <c r="K154" s="75" t="s">
        <v>850</v>
      </c>
      <c r="L154" s="76"/>
      <c r="M154" s="77">
        <f t="shared" ca="1" si="3"/>
        <v>45954</v>
      </c>
      <c r="N154" s="74" t="str">
        <f>_xlfn.IFNA(VLOOKUP(db_emp[[#This Row],[ID_DIV]],[1]!db_dpt[[Code_dpt]:[Departement]],2,0),"-")</f>
        <v>Property Management</v>
      </c>
      <c r="O154" s="74" t="str">
        <f>_xlfn.IFNA(VLOOKUP(db_emp[[#This Row],[ID_SDP]],[1]!db_div[[Code_div]:[Division]],2,0),"-")</f>
        <v>Admin</v>
      </c>
      <c r="P154" s="74" t="str">
        <f>_xlfn.IFNA(VLOOKUP(db_emp[[#This Row],[Code_lvl]],[1]!db_lvl[[#All],[ID_level]:[Leveling Name]],2,0),"-")</f>
        <v>Staff</v>
      </c>
      <c r="Q154" s="74" t="str">
        <f>_xlfn.IFNA(VLOOKUP(db_emp[[#This Row],[Code_site]],[1]!db_site[[ID_Site]:[Url_maps]],3,0),"-")</f>
        <v>Unit - District 8</v>
      </c>
      <c r="R1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231553,'Crista Sarionalolita','POM','ADMIN','Client Services Administration Staff','LV12','Corp. Supporting Property (POM)','OD8','Employee','1900-01-00','2025-10-24'</v>
      </c>
      <c r="S154" s="74">
        <f>db_emp[[#This Row],[NIP (UPDATE)]]</f>
        <v>231553</v>
      </c>
    </row>
    <row r="155" spans="2:19" hidden="1" x14ac:dyDescent="0.25">
      <c r="B155" s="75">
        <v>670</v>
      </c>
      <c r="C155" s="75">
        <v>180838</v>
      </c>
      <c r="D155" s="74" t="s">
        <v>1095</v>
      </c>
      <c r="E155" s="75" t="s">
        <v>916</v>
      </c>
      <c r="F155" s="75" t="s">
        <v>1096</v>
      </c>
      <c r="G155" s="74" t="s">
        <v>1097</v>
      </c>
      <c r="H155" s="75" t="s">
        <v>953</v>
      </c>
      <c r="I155" s="74" t="s">
        <v>864</v>
      </c>
      <c r="J155" s="75" t="s">
        <v>501</v>
      </c>
      <c r="K155" s="75" t="s">
        <v>850</v>
      </c>
      <c r="L155" s="76"/>
      <c r="M155" s="77">
        <f t="shared" ca="1" si="3"/>
        <v>45954</v>
      </c>
      <c r="N155" s="74" t="str">
        <f>_xlfn.IFNA(VLOOKUP(db_emp[[#This Row],[ID_DIV]],[1]!db_dpt[[Code_dpt]:[Departement]],2,0),"-")</f>
        <v>Property Management</v>
      </c>
      <c r="O155" s="74" t="str">
        <f>_xlfn.IFNA(VLOOKUP(db_emp[[#This Row],[ID_SDP]],[1]!db_div[[Code_div]:[Division]],2,0),"-")</f>
        <v>Client Service</v>
      </c>
      <c r="P155" s="74" t="str">
        <f>_xlfn.IFNA(VLOOKUP(db_emp[[#This Row],[Code_lvl]],[1]!db_lvl[[#All],[ID_level]:[Leveling Name]],2,0),"-")</f>
        <v>Manager</v>
      </c>
      <c r="Q155" s="74" t="str">
        <f>_xlfn.IFNA(VLOOKUP(db_emp[[#This Row],[Code_site]],[1]!db_site[[ID_Site]:[Url_maps]],3,0),"-")</f>
        <v>Unit - District 8</v>
      </c>
      <c r="R1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180838,'Molyvia.','POM','CLNSV','Client Services Manager','LV05','Corp. Supporting Property (POM)','OD8','Employee','1900-01-00','2025-10-24'</v>
      </c>
      <c r="S155" s="74">
        <f>db_emp[[#This Row],[NIP (UPDATE)]]</f>
        <v>180838</v>
      </c>
    </row>
    <row r="156" spans="2:19" hidden="1" x14ac:dyDescent="0.25">
      <c r="B156" s="75">
        <v>672</v>
      </c>
      <c r="C156" s="75">
        <v>190761</v>
      </c>
      <c r="D156" s="74" t="s">
        <v>1098</v>
      </c>
      <c r="E156" s="75" t="s">
        <v>916</v>
      </c>
      <c r="F156" s="75" t="s">
        <v>1096</v>
      </c>
      <c r="G156" s="74" t="s">
        <v>1097</v>
      </c>
      <c r="H156" s="75" t="s">
        <v>953</v>
      </c>
      <c r="I156" s="74" t="s">
        <v>864</v>
      </c>
      <c r="J156" s="75" t="s">
        <v>501</v>
      </c>
      <c r="K156" s="75" t="s">
        <v>850</v>
      </c>
      <c r="L156" s="76"/>
      <c r="M156" s="77">
        <f t="shared" ca="1" si="3"/>
        <v>45954</v>
      </c>
      <c r="N156" s="74" t="str">
        <f>_xlfn.IFNA(VLOOKUP(db_emp[[#This Row],[ID_DIV]],[1]!db_dpt[[Code_dpt]:[Departement]],2,0),"-")</f>
        <v>Property Management</v>
      </c>
      <c r="O156" s="74" t="str">
        <f>_xlfn.IFNA(VLOOKUP(db_emp[[#This Row],[ID_SDP]],[1]!db_div[[Code_div]:[Division]],2,0),"-")</f>
        <v>Client Service</v>
      </c>
      <c r="P156" s="74" t="str">
        <f>_xlfn.IFNA(VLOOKUP(db_emp[[#This Row],[Code_lvl]],[1]!db_lvl[[#All],[ID_level]:[Leveling Name]],2,0),"-")</f>
        <v>Manager</v>
      </c>
      <c r="Q156" s="74" t="str">
        <f>_xlfn.IFNA(VLOOKUP(db_emp[[#This Row],[Code_site]],[1]!db_site[[ID_Site]:[Url_maps]],3,0),"-")</f>
        <v>Unit - District 8</v>
      </c>
      <c r="R1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190761,'Sheila Andriana','POM','CLNSV','Client Services Manager','LV05','Corp. Supporting Property (POM)','OD8','Employee','1900-01-00','2025-10-24'</v>
      </c>
      <c r="S156" s="74">
        <f>db_emp[[#This Row],[NIP (UPDATE)]]</f>
        <v>190761</v>
      </c>
    </row>
    <row r="157" spans="2:19" hidden="1" x14ac:dyDescent="0.25">
      <c r="B157" s="75">
        <v>767</v>
      </c>
      <c r="C157" s="75">
        <v>218847</v>
      </c>
      <c r="D157" s="74" t="s">
        <v>1099</v>
      </c>
      <c r="E157" s="75" t="s">
        <v>916</v>
      </c>
      <c r="F157" s="75" t="s">
        <v>1096</v>
      </c>
      <c r="G157" s="74" t="s">
        <v>1100</v>
      </c>
      <c r="H157" s="75" t="s">
        <v>853</v>
      </c>
      <c r="I157" s="74" t="s">
        <v>864</v>
      </c>
      <c r="J157" s="75" t="s">
        <v>501</v>
      </c>
      <c r="K157" s="75" t="s">
        <v>850</v>
      </c>
      <c r="L157" s="76"/>
      <c r="M157" s="77">
        <f t="shared" ca="1" si="3"/>
        <v>45954</v>
      </c>
      <c r="N157" s="74" t="str">
        <f>_xlfn.IFNA(VLOOKUP(db_emp[[#This Row],[ID_DIV]],[1]!db_dpt[[Code_dpt]:[Departement]],2,0),"-")</f>
        <v>Property Management</v>
      </c>
      <c r="O157" s="74" t="str">
        <f>_xlfn.IFNA(VLOOKUP(db_emp[[#This Row],[ID_SDP]],[1]!db_div[[Code_div]:[Division]],2,0),"-")</f>
        <v>Client Service</v>
      </c>
      <c r="P157" s="74" t="str">
        <f>_xlfn.IFNA(VLOOKUP(db_emp[[#This Row],[Code_lvl]],[1]!db_lvl[[#All],[ID_level]:[Leveling Name]],2,0),"-")</f>
        <v>Staff</v>
      </c>
      <c r="Q157" s="74" t="str">
        <f>_xlfn.IFNA(VLOOKUP(db_emp[[#This Row],[Code_site]],[1]!db_site[[ID_Site]:[Url_maps]],3,0),"-")</f>
        <v>Unit - District 8</v>
      </c>
      <c r="R1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218847,'Fanda','POM','CLNSV','Client Services Officer Staff','LV12','Corp. Supporting Property (POM)','OD8','Employee','1900-01-00','2025-10-24'</v>
      </c>
      <c r="S157" s="74">
        <f>db_emp[[#This Row],[NIP (UPDATE)]]</f>
        <v>218847</v>
      </c>
    </row>
    <row r="158" spans="2:19" hidden="1" x14ac:dyDescent="0.25">
      <c r="B158" s="75">
        <v>23</v>
      </c>
      <c r="C158" s="75">
        <v>101259</v>
      </c>
      <c r="D158" s="74" t="s">
        <v>1101</v>
      </c>
      <c r="E158" s="75" t="s">
        <v>845</v>
      </c>
      <c r="F158" s="75" t="s">
        <v>1102</v>
      </c>
      <c r="G158" s="74" t="s">
        <v>1103</v>
      </c>
      <c r="H158" s="75" t="s">
        <v>848</v>
      </c>
      <c r="I158" s="74" t="s">
        <v>849</v>
      </c>
      <c r="J158" s="75" t="s">
        <v>315</v>
      </c>
      <c r="K158" s="75" t="s">
        <v>850</v>
      </c>
      <c r="L158" s="76">
        <v>39188</v>
      </c>
      <c r="M158" s="77">
        <f t="shared" ca="1" si="3"/>
        <v>45954</v>
      </c>
      <c r="N158" s="74" t="str">
        <f>_xlfn.IFNA(VLOOKUP(db_emp[[#This Row],[ID_DIV]],[1]!db_dpt[[Code_dpt]:[Departement]],2,0),"-")</f>
        <v>Finance &amp; Accounting</v>
      </c>
      <c r="O158" s="74" t="str">
        <f>_xlfn.IFNA(VLOOKUP(db_emp[[#This Row],[ID_SDP]],[1]!db_div[[Code_div]:[Division]],2,0),"-")</f>
        <v>Collection</v>
      </c>
      <c r="P158" s="74" t="str">
        <f>_xlfn.IFNA(VLOOKUP(db_emp[[#This Row],[Code_lvl]],[1]!db_lvl[[#All],[ID_level]:[Leveling Name]],2,0),"-")</f>
        <v>Assistant Manager</v>
      </c>
      <c r="Q158" s="74" t="str">
        <f>_xlfn.IFNA(VLOOKUP(db_emp[[#This Row],[Code_site]],[1]!db_site[[ID_Site]:[Url_maps]],3,0),"-")</f>
        <v>Head Office - ASGO</v>
      </c>
      <c r="R1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101259,'Puryantiningsih.','FIN','COLCT','Collection Assistant Manager','LV07','Mall &amp; Cinema','O99','Employee','2007-04-16','2025-10-24'</v>
      </c>
      <c r="S158" s="74">
        <f>db_emp[[#This Row],[NIP (UPDATE)]]</f>
        <v>101259</v>
      </c>
    </row>
    <row r="159" spans="2:19" hidden="1" x14ac:dyDescent="0.25">
      <c r="B159" s="75">
        <v>13</v>
      </c>
      <c r="C159" s="75">
        <v>141206</v>
      </c>
      <c r="D159" s="74" t="s">
        <v>1104</v>
      </c>
      <c r="E159" s="75" t="s">
        <v>845</v>
      </c>
      <c r="F159" s="75" t="s">
        <v>1102</v>
      </c>
      <c r="G159" s="74" t="s">
        <v>1105</v>
      </c>
      <c r="H159" s="75" t="s">
        <v>853</v>
      </c>
      <c r="I159" s="74" t="s">
        <v>849</v>
      </c>
      <c r="J159" s="75" t="s">
        <v>315</v>
      </c>
      <c r="K159" s="75" t="s">
        <v>850</v>
      </c>
      <c r="L159" s="76">
        <v>41933</v>
      </c>
      <c r="M159" s="77">
        <f t="shared" ca="1" si="3"/>
        <v>45954</v>
      </c>
      <c r="N159" s="74" t="str">
        <f>_xlfn.IFNA(VLOOKUP(db_emp[[#This Row],[ID_DIV]],[1]!db_dpt[[Code_dpt]:[Departement]],2,0),"-")</f>
        <v>Finance &amp; Accounting</v>
      </c>
      <c r="O159" s="74" t="str">
        <f>_xlfn.IFNA(VLOOKUP(db_emp[[#This Row],[ID_SDP]],[1]!db_div[[Code_div]:[Division]],2,0),"-")</f>
        <v>Collection</v>
      </c>
      <c r="P159" s="74" t="str">
        <f>_xlfn.IFNA(VLOOKUP(db_emp[[#This Row],[Code_lvl]],[1]!db_lvl[[#All],[ID_level]:[Leveling Name]],2,0),"-")</f>
        <v>Staff</v>
      </c>
      <c r="Q159" s="74" t="str">
        <f>_xlfn.IFNA(VLOOKUP(db_emp[[#This Row],[Code_site]],[1]!db_site[[ID_Site]:[Url_maps]],3,0),"-")</f>
        <v>Head Office - ASGO</v>
      </c>
      <c r="R1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141206,'Herman.','FIN','COLCT','Collection Staff','LV12','Mall &amp; Cinema','O99','Employee','2014-10-21','2025-10-24'</v>
      </c>
      <c r="S159" s="74">
        <f>db_emp[[#This Row],[NIP (UPDATE)]]</f>
        <v>141206</v>
      </c>
    </row>
    <row r="160" spans="2:19" hidden="1" x14ac:dyDescent="0.25">
      <c r="B160" s="75">
        <v>15</v>
      </c>
      <c r="C160" s="75">
        <v>150924</v>
      </c>
      <c r="D160" s="74" t="s">
        <v>1106</v>
      </c>
      <c r="E160" s="75" t="s">
        <v>845</v>
      </c>
      <c r="F160" s="75" t="s">
        <v>1102</v>
      </c>
      <c r="G160" s="74" t="s">
        <v>1105</v>
      </c>
      <c r="H160" s="75" t="s">
        <v>853</v>
      </c>
      <c r="I160" s="74" t="s">
        <v>849</v>
      </c>
      <c r="J160" s="75" t="s">
        <v>315</v>
      </c>
      <c r="K160" s="75" t="s">
        <v>850</v>
      </c>
      <c r="L160" s="76">
        <v>42303</v>
      </c>
      <c r="M160" s="77">
        <f t="shared" ca="1" si="3"/>
        <v>45954</v>
      </c>
      <c r="N160" s="74" t="str">
        <f>_xlfn.IFNA(VLOOKUP(db_emp[[#This Row],[ID_DIV]],[1]!db_dpt[[Code_dpt]:[Departement]],2,0),"-")</f>
        <v>Finance &amp; Accounting</v>
      </c>
      <c r="O160" s="74" t="str">
        <f>_xlfn.IFNA(VLOOKUP(db_emp[[#This Row],[ID_SDP]],[1]!db_div[[Code_div]:[Division]],2,0),"-")</f>
        <v>Collection</v>
      </c>
      <c r="P160" s="74" t="str">
        <f>_xlfn.IFNA(VLOOKUP(db_emp[[#This Row],[Code_lvl]],[1]!db_lvl[[#All],[ID_level]:[Leveling Name]],2,0),"-")</f>
        <v>Staff</v>
      </c>
      <c r="Q160" s="74" t="str">
        <f>_xlfn.IFNA(VLOOKUP(db_emp[[#This Row],[Code_site]],[1]!db_site[[ID_Site]:[Url_maps]],3,0),"-")</f>
        <v>Head Office - ASGO</v>
      </c>
      <c r="R1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150924,'Darmawan Setianggono','FIN','COLCT','Collection Staff','LV12','Mall &amp; Cinema','O99','Employee','2015-10-26','2025-10-24'</v>
      </c>
      <c r="S160" s="74">
        <f>db_emp[[#This Row],[NIP (UPDATE)]]</f>
        <v>150924</v>
      </c>
    </row>
    <row r="161" spans="2:19" hidden="1" x14ac:dyDescent="0.25">
      <c r="B161" s="75">
        <v>16</v>
      </c>
      <c r="C161" s="75">
        <v>160673</v>
      </c>
      <c r="D161" s="74" t="s">
        <v>1107</v>
      </c>
      <c r="E161" s="75" t="s">
        <v>845</v>
      </c>
      <c r="F161" s="75" t="s">
        <v>1102</v>
      </c>
      <c r="G161" s="74" t="s">
        <v>1105</v>
      </c>
      <c r="H161" s="75" t="s">
        <v>853</v>
      </c>
      <c r="I161" s="74" t="s">
        <v>849</v>
      </c>
      <c r="J161" s="75" t="s">
        <v>315</v>
      </c>
      <c r="K161" s="75" t="s">
        <v>850</v>
      </c>
      <c r="L161" s="76">
        <v>42607</v>
      </c>
      <c r="M161" s="77">
        <f t="shared" ca="1" si="3"/>
        <v>45954</v>
      </c>
      <c r="N161" s="74" t="str">
        <f>_xlfn.IFNA(VLOOKUP(db_emp[[#This Row],[ID_DIV]],[1]!db_dpt[[Code_dpt]:[Departement]],2,0),"-")</f>
        <v>Finance &amp; Accounting</v>
      </c>
      <c r="O161" s="74" t="str">
        <f>_xlfn.IFNA(VLOOKUP(db_emp[[#This Row],[ID_SDP]],[1]!db_div[[Code_div]:[Division]],2,0),"-")</f>
        <v>Collection</v>
      </c>
      <c r="P161" s="74" t="str">
        <f>_xlfn.IFNA(VLOOKUP(db_emp[[#This Row],[Code_lvl]],[1]!db_lvl[[#All],[ID_level]:[Leveling Name]],2,0),"-")</f>
        <v>Staff</v>
      </c>
      <c r="Q161" s="74" t="str">
        <f>_xlfn.IFNA(VLOOKUP(db_emp[[#This Row],[Code_site]],[1]!db_site[[ID_Site]:[Url_maps]],3,0),"-")</f>
        <v>Head Office - ASGO</v>
      </c>
      <c r="R1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160673,'Ary Dwi Kurniawan','FIN','COLCT','Collection Staff','LV12','Mall &amp; Cinema','O99','Employee','2016-08-25','2025-10-24'</v>
      </c>
      <c r="S161" s="74">
        <f>db_emp[[#This Row],[NIP (UPDATE)]]</f>
        <v>160673</v>
      </c>
    </row>
    <row r="162" spans="2:19" hidden="1" x14ac:dyDescent="0.25">
      <c r="B162" s="75">
        <v>48</v>
      </c>
      <c r="C162" s="75">
        <v>210303</v>
      </c>
      <c r="D162" s="74" t="s">
        <v>1108</v>
      </c>
      <c r="E162" s="75" t="s">
        <v>845</v>
      </c>
      <c r="F162" s="75" t="s">
        <v>1102</v>
      </c>
      <c r="G162" s="74" t="s">
        <v>1105</v>
      </c>
      <c r="H162" s="75" t="s">
        <v>853</v>
      </c>
      <c r="I162" s="74" t="s">
        <v>849</v>
      </c>
      <c r="J162" s="75" t="s">
        <v>315</v>
      </c>
      <c r="K162" s="75" t="s">
        <v>850</v>
      </c>
      <c r="L162" s="76">
        <v>44319</v>
      </c>
      <c r="M162" s="77">
        <f t="shared" ca="1" si="3"/>
        <v>45954</v>
      </c>
      <c r="N162" s="74" t="str">
        <f>_xlfn.IFNA(VLOOKUP(db_emp[[#This Row],[ID_DIV]],[1]!db_dpt[[Code_dpt]:[Departement]],2,0),"-")</f>
        <v>Finance &amp; Accounting</v>
      </c>
      <c r="O162" s="74" t="str">
        <f>_xlfn.IFNA(VLOOKUP(db_emp[[#This Row],[ID_SDP]],[1]!db_div[[Code_div]:[Division]],2,0),"-")</f>
        <v>Collection</v>
      </c>
      <c r="P162" s="74" t="str">
        <f>_xlfn.IFNA(VLOOKUP(db_emp[[#This Row],[Code_lvl]],[1]!db_lvl[[#All],[ID_level]:[Leveling Name]],2,0),"-")</f>
        <v>Staff</v>
      </c>
      <c r="Q162" s="74" t="str">
        <f>_xlfn.IFNA(VLOOKUP(db_emp[[#This Row],[Code_site]],[1]!db_site[[ID_Site]:[Url_maps]],3,0),"-")</f>
        <v>Head Office - ASGO</v>
      </c>
      <c r="R1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210303,'Handy Yunanto','FIN','COLCT','Collection Staff','LV12','Mall &amp; Cinema','O99','Employee','2021-05-03','2025-10-24'</v>
      </c>
      <c r="S162" s="74">
        <f>db_emp[[#This Row],[NIP (UPDATE)]]</f>
        <v>210303</v>
      </c>
    </row>
    <row r="163" spans="2:19" hidden="1" x14ac:dyDescent="0.25">
      <c r="B163" s="75">
        <v>51</v>
      </c>
      <c r="C163" s="75">
        <v>190403</v>
      </c>
      <c r="D163" s="74" t="s">
        <v>1109</v>
      </c>
      <c r="E163" s="75" t="s">
        <v>845</v>
      </c>
      <c r="F163" s="75" t="s">
        <v>1102</v>
      </c>
      <c r="G163" s="74" t="s">
        <v>1105</v>
      </c>
      <c r="H163" s="75" t="s">
        <v>853</v>
      </c>
      <c r="I163" s="74" t="s">
        <v>849</v>
      </c>
      <c r="J163" s="75" t="s">
        <v>315</v>
      </c>
      <c r="K163" s="75" t="s">
        <v>850</v>
      </c>
      <c r="L163" s="76">
        <v>43584</v>
      </c>
      <c r="M163" s="77">
        <f t="shared" ca="1" si="3"/>
        <v>45954</v>
      </c>
      <c r="N163" s="74" t="str">
        <f>_xlfn.IFNA(VLOOKUP(db_emp[[#This Row],[ID_DIV]],[1]!db_dpt[[Code_dpt]:[Departement]],2,0),"-")</f>
        <v>Finance &amp; Accounting</v>
      </c>
      <c r="O163" s="74" t="str">
        <f>_xlfn.IFNA(VLOOKUP(db_emp[[#This Row],[ID_SDP]],[1]!db_div[[Code_div]:[Division]],2,0),"-")</f>
        <v>Collection</v>
      </c>
      <c r="P163" s="74" t="str">
        <f>_xlfn.IFNA(VLOOKUP(db_emp[[#This Row],[Code_lvl]],[1]!db_lvl[[#All],[ID_level]:[Leveling Name]],2,0),"-")</f>
        <v>Staff</v>
      </c>
      <c r="Q163" s="74" t="str">
        <f>_xlfn.IFNA(VLOOKUP(db_emp[[#This Row],[Code_site]],[1]!db_site[[ID_Site]:[Url_maps]],3,0),"-")</f>
        <v>Head Office - ASGO</v>
      </c>
      <c r="R1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190403,'Arie Priawan','FIN','COLCT','Collection Staff','LV12','Mall &amp; Cinema','O99','Employee','2019-04-29','2025-10-24'</v>
      </c>
      <c r="S163" s="74">
        <f>db_emp[[#This Row],[NIP (UPDATE)]]</f>
        <v>190403</v>
      </c>
    </row>
    <row r="164" spans="2:19" hidden="1" x14ac:dyDescent="0.25">
      <c r="B164" s="75">
        <v>59</v>
      </c>
      <c r="C164" s="75">
        <v>220143</v>
      </c>
      <c r="D164" s="74" t="s">
        <v>1110</v>
      </c>
      <c r="E164" s="75" t="s">
        <v>845</v>
      </c>
      <c r="F164" s="75" t="s">
        <v>1102</v>
      </c>
      <c r="G164" s="74" t="s">
        <v>1105</v>
      </c>
      <c r="H164" s="75" t="s">
        <v>853</v>
      </c>
      <c r="I164" s="74" t="s">
        <v>849</v>
      </c>
      <c r="J164" s="75" t="s">
        <v>315</v>
      </c>
      <c r="K164" s="75" t="s">
        <v>850</v>
      </c>
      <c r="L164" s="76">
        <v>44594</v>
      </c>
      <c r="M164" s="77">
        <f t="shared" ca="1" si="3"/>
        <v>45954</v>
      </c>
      <c r="N164" s="74" t="str">
        <f>_xlfn.IFNA(VLOOKUP(db_emp[[#This Row],[ID_DIV]],[1]!db_dpt[[Code_dpt]:[Departement]],2,0),"-")</f>
        <v>Finance &amp; Accounting</v>
      </c>
      <c r="O164" s="74" t="str">
        <f>_xlfn.IFNA(VLOOKUP(db_emp[[#This Row],[ID_SDP]],[1]!db_div[[Code_div]:[Division]],2,0),"-")</f>
        <v>Collection</v>
      </c>
      <c r="P164" s="74" t="str">
        <f>_xlfn.IFNA(VLOOKUP(db_emp[[#This Row],[Code_lvl]],[1]!db_lvl[[#All],[ID_level]:[Leveling Name]],2,0),"-")</f>
        <v>Staff</v>
      </c>
      <c r="Q164" s="74" t="str">
        <f>_xlfn.IFNA(VLOOKUP(db_emp[[#This Row],[Code_site]],[1]!db_site[[ID_Site]:[Url_maps]],3,0),"-")</f>
        <v>Head Office - ASGO</v>
      </c>
      <c r="R1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220143,'Wahyu Prananto','FIN','COLCT','Collection Staff','LV12','Mall &amp; Cinema','O99','Employee','2022-02-02','2025-10-24'</v>
      </c>
      <c r="S164" s="74">
        <f>db_emp[[#This Row],[NIP (UPDATE)]]</f>
        <v>220143</v>
      </c>
    </row>
    <row r="165" spans="2:19" hidden="1" x14ac:dyDescent="0.25">
      <c r="B165" s="75">
        <v>76</v>
      </c>
      <c r="C165" s="75">
        <v>221517</v>
      </c>
      <c r="D165" s="74" t="s">
        <v>1111</v>
      </c>
      <c r="E165" s="75" t="s">
        <v>845</v>
      </c>
      <c r="F165" s="75" t="s">
        <v>1102</v>
      </c>
      <c r="G165" s="74" t="s">
        <v>1105</v>
      </c>
      <c r="H165" s="75" t="s">
        <v>853</v>
      </c>
      <c r="I165" s="74" t="s">
        <v>849</v>
      </c>
      <c r="J165" s="75" t="s">
        <v>315</v>
      </c>
      <c r="K165" s="75" t="s">
        <v>850</v>
      </c>
      <c r="L165" s="76">
        <v>44844</v>
      </c>
      <c r="M165" s="77">
        <f t="shared" ca="1" si="3"/>
        <v>45954</v>
      </c>
      <c r="N165" s="74" t="str">
        <f>_xlfn.IFNA(VLOOKUP(db_emp[[#This Row],[ID_DIV]],[1]!db_dpt[[Code_dpt]:[Departement]],2,0),"-")</f>
        <v>Finance &amp; Accounting</v>
      </c>
      <c r="O165" s="74" t="str">
        <f>_xlfn.IFNA(VLOOKUP(db_emp[[#This Row],[ID_SDP]],[1]!db_div[[Code_div]:[Division]],2,0),"-")</f>
        <v>Collection</v>
      </c>
      <c r="P165" s="74" t="str">
        <f>_xlfn.IFNA(VLOOKUP(db_emp[[#This Row],[Code_lvl]],[1]!db_lvl[[#All],[ID_level]:[Leveling Name]],2,0),"-")</f>
        <v>Staff</v>
      </c>
      <c r="Q165" s="74" t="str">
        <f>_xlfn.IFNA(VLOOKUP(db_emp[[#This Row],[Code_site]],[1]!db_site[[ID_Site]:[Url_maps]],3,0),"-")</f>
        <v>Head Office - ASGO</v>
      </c>
      <c r="R1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221517,'Agus Harianto','FIN','COLCT','Collection Staff','LV12','Mall &amp; Cinema','O99','Employee','2022-10-10','2025-10-24'</v>
      </c>
      <c r="S165" s="74">
        <f>db_emp[[#This Row],[NIP (UPDATE)]]</f>
        <v>221517</v>
      </c>
    </row>
    <row r="166" spans="2:19" hidden="1" x14ac:dyDescent="0.25">
      <c r="B166" s="75">
        <v>114</v>
      </c>
      <c r="C166" s="75">
        <v>240011</v>
      </c>
      <c r="D166" s="74" t="s">
        <v>1112</v>
      </c>
      <c r="E166" s="75" t="s">
        <v>845</v>
      </c>
      <c r="F166" s="75" t="s">
        <v>1102</v>
      </c>
      <c r="G166" s="74" t="s">
        <v>1105</v>
      </c>
      <c r="H166" s="75" t="s">
        <v>853</v>
      </c>
      <c r="I166" s="74" t="s">
        <v>849</v>
      </c>
      <c r="J166" s="75" t="s">
        <v>315</v>
      </c>
      <c r="K166" s="75" t="s">
        <v>850</v>
      </c>
      <c r="L166" s="76">
        <v>45295</v>
      </c>
      <c r="M166" s="77">
        <f t="shared" ca="1" si="3"/>
        <v>45954</v>
      </c>
      <c r="N166" s="74" t="str">
        <f>_xlfn.IFNA(VLOOKUP(db_emp[[#This Row],[ID_DIV]],[1]!db_dpt[[Code_dpt]:[Departement]],2,0),"-")</f>
        <v>Finance &amp; Accounting</v>
      </c>
      <c r="O166" s="74" t="str">
        <f>_xlfn.IFNA(VLOOKUP(db_emp[[#This Row],[ID_SDP]],[1]!db_div[[Code_div]:[Division]],2,0),"-")</f>
        <v>Collection</v>
      </c>
      <c r="P166" s="74" t="str">
        <f>_xlfn.IFNA(VLOOKUP(db_emp[[#This Row],[Code_lvl]],[1]!db_lvl[[#All],[ID_level]:[Leveling Name]],2,0),"-")</f>
        <v>Staff</v>
      </c>
      <c r="Q166" s="74" t="str">
        <f>_xlfn.IFNA(VLOOKUP(db_emp[[#This Row],[Code_site]],[1]!db_site[[ID_Site]:[Url_maps]],3,0),"-")</f>
        <v>Head Office - ASGO</v>
      </c>
      <c r="R1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240011,'Fikri Ardiansyah','FIN','COLCT','Collection Staff','LV12','Mall &amp; Cinema','O99','Employee','2024-01-04','2025-10-24'</v>
      </c>
      <c r="S166" s="74">
        <f>db_emp[[#This Row],[NIP (UPDATE)]]</f>
        <v>240011</v>
      </c>
    </row>
    <row r="167" spans="2:19" hidden="1" x14ac:dyDescent="0.25">
      <c r="B167" s="75">
        <v>509</v>
      </c>
      <c r="C167" s="75">
        <v>231516</v>
      </c>
      <c r="D167" s="74" t="s">
        <v>1113</v>
      </c>
      <c r="E167" s="75" t="s">
        <v>845</v>
      </c>
      <c r="F167" s="75" t="s">
        <v>1102</v>
      </c>
      <c r="G167" s="74" t="s">
        <v>1105</v>
      </c>
      <c r="H167" s="75" t="s">
        <v>853</v>
      </c>
      <c r="I167" s="74" t="s">
        <v>864</v>
      </c>
      <c r="J167" s="75" t="s">
        <v>441</v>
      </c>
      <c r="K167" s="75" t="s">
        <v>850</v>
      </c>
      <c r="L167" s="76">
        <v>45173</v>
      </c>
      <c r="M167" s="77">
        <f t="shared" ca="1" si="3"/>
        <v>45954</v>
      </c>
      <c r="N167" s="74" t="str">
        <f>_xlfn.IFNA(VLOOKUP(db_emp[[#This Row],[ID_DIV]],[1]!db_dpt[[Code_dpt]:[Departement]],2,0),"-")</f>
        <v>Finance &amp; Accounting</v>
      </c>
      <c r="O167" s="74" t="str">
        <f>_xlfn.IFNA(VLOOKUP(db_emp[[#This Row],[ID_SDP]],[1]!db_div[[Code_div]:[Division]],2,0),"-")</f>
        <v>Collection</v>
      </c>
      <c r="P167" s="74" t="str">
        <f>_xlfn.IFNA(VLOOKUP(db_emp[[#This Row],[Code_lvl]],[1]!db_lvl[[#All],[ID_level]:[Leveling Name]],2,0),"-")</f>
        <v>Staff</v>
      </c>
      <c r="Q167" s="74" t="str">
        <f>_xlfn.IFNA(VLOOKUP(db_emp[[#This Row],[Code_site]],[1]!db_site[[ID_Site]:[Url_maps]],3,0),"-")</f>
        <v>Unit - Fatmawati City Center</v>
      </c>
      <c r="R1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231516,'Lisda Febriyanti','FIN','COLCT','Collection Staff','LV12','Corp. Supporting Property (POM)','A02','Employee','2023-09-04','2025-10-24'</v>
      </c>
      <c r="S167" s="74">
        <f>db_emp[[#This Row],[NIP (UPDATE)]]</f>
        <v>231516</v>
      </c>
    </row>
    <row r="168" spans="2:19" hidden="1" x14ac:dyDescent="0.25">
      <c r="B168" s="75">
        <v>602</v>
      </c>
      <c r="C168" s="75">
        <v>231498</v>
      </c>
      <c r="D168" s="74" t="s">
        <v>1114</v>
      </c>
      <c r="E168" s="75" t="s">
        <v>845</v>
      </c>
      <c r="F168" s="75" t="s">
        <v>1102</v>
      </c>
      <c r="G168" s="74" t="s">
        <v>1105</v>
      </c>
      <c r="H168" s="75" t="s">
        <v>885</v>
      </c>
      <c r="I168" s="74" t="s">
        <v>864</v>
      </c>
      <c r="J168" s="75" t="s">
        <v>433</v>
      </c>
      <c r="K168" s="75" t="s">
        <v>850</v>
      </c>
      <c r="L168" s="76">
        <v>43348</v>
      </c>
      <c r="M168" s="77">
        <f t="shared" ca="1" si="3"/>
        <v>45954</v>
      </c>
      <c r="N168" s="74" t="str">
        <f>_xlfn.IFNA(VLOOKUP(db_emp[[#This Row],[ID_DIV]],[1]!db_dpt[[Code_dpt]:[Departement]],2,0),"-")</f>
        <v>Finance &amp; Accounting</v>
      </c>
      <c r="O168" s="74" t="str">
        <f>_xlfn.IFNA(VLOOKUP(db_emp[[#This Row],[ID_SDP]],[1]!db_div[[Code_div]:[Division]],2,0),"-")</f>
        <v>Collection</v>
      </c>
      <c r="P168" s="74" t="str">
        <f>_xlfn.IFNA(VLOOKUP(db_emp[[#This Row],[Code_lvl]],[1]!db_lvl[[#All],[ID_level]:[Leveling Name]],2,0),"-")</f>
        <v>Senior Staff</v>
      </c>
      <c r="Q168" s="74" t="str">
        <f>_xlfn.IFNA(VLOOKUP(db_emp[[#This Row],[Code_site]],[1]!db_site[[ID_Site]:[Url_maps]],3,0),"-")</f>
        <v>Unit - Taman Anggrek Residences</v>
      </c>
      <c r="R1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231498,'Nabilla Rininta Puspita Tn','FIN','COLCT','Collection Staff','LV11','Corp. Supporting Property (POM)','A01','Employee','2018-09-05','2025-10-24'</v>
      </c>
      <c r="S168" s="74">
        <f>db_emp[[#This Row],[NIP (UPDATE)]]</f>
        <v>231498</v>
      </c>
    </row>
    <row r="169" spans="2:19" hidden="1" x14ac:dyDescent="0.25">
      <c r="B169" s="75">
        <v>605</v>
      </c>
      <c r="C169" s="75">
        <v>211003</v>
      </c>
      <c r="D169" s="74" t="s">
        <v>1115</v>
      </c>
      <c r="E169" s="75" t="s">
        <v>845</v>
      </c>
      <c r="F169" s="75" t="s">
        <v>1102</v>
      </c>
      <c r="G169" s="74" t="s">
        <v>1105</v>
      </c>
      <c r="H169" s="75" t="s">
        <v>853</v>
      </c>
      <c r="I169" s="74" t="s">
        <v>864</v>
      </c>
      <c r="J169" s="75" t="s">
        <v>433</v>
      </c>
      <c r="K169" s="75" t="s">
        <v>850</v>
      </c>
      <c r="L169" s="76">
        <v>44501</v>
      </c>
      <c r="M169" s="77">
        <f t="shared" ca="1" si="3"/>
        <v>45954</v>
      </c>
      <c r="N169" s="74" t="str">
        <f>_xlfn.IFNA(VLOOKUP(db_emp[[#This Row],[ID_DIV]],[1]!db_dpt[[Code_dpt]:[Departement]],2,0),"-")</f>
        <v>Finance &amp; Accounting</v>
      </c>
      <c r="O169" s="74" t="str">
        <f>_xlfn.IFNA(VLOOKUP(db_emp[[#This Row],[ID_SDP]],[1]!db_div[[Code_div]:[Division]],2,0),"-")</f>
        <v>Collection</v>
      </c>
      <c r="P169" s="74" t="str">
        <f>_xlfn.IFNA(VLOOKUP(db_emp[[#This Row],[Code_lvl]],[1]!db_lvl[[#All],[ID_level]:[Leveling Name]],2,0),"-")</f>
        <v>Staff</v>
      </c>
      <c r="Q169" s="74" t="str">
        <f>_xlfn.IFNA(VLOOKUP(db_emp[[#This Row],[Code_site]],[1]!db_site[[ID_Site]:[Url_maps]],3,0),"-")</f>
        <v>Unit - Taman Anggrek Residences</v>
      </c>
      <c r="R1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211003,'Dhenovhan.','FIN','COLCT','Collection Staff','LV12','Corp. Supporting Property (POM)','A01','Employee','2021-11-01','2025-10-24'</v>
      </c>
      <c r="S169" s="74">
        <f>db_emp[[#This Row],[NIP (UPDATE)]]</f>
        <v>211003</v>
      </c>
    </row>
    <row r="170" spans="2:19" hidden="1" x14ac:dyDescent="0.25">
      <c r="B170" s="75">
        <v>684</v>
      </c>
      <c r="C170" s="75">
        <v>230647</v>
      </c>
      <c r="D170" s="74" t="s">
        <v>1116</v>
      </c>
      <c r="E170" s="75" t="s">
        <v>845</v>
      </c>
      <c r="F170" s="75" t="s">
        <v>1102</v>
      </c>
      <c r="G170" s="74" t="s">
        <v>1105</v>
      </c>
      <c r="H170" s="75" t="s">
        <v>853</v>
      </c>
      <c r="I170" s="74" t="s">
        <v>864</v>
      </c>
      <c r="J170" s="75" t="s">
        <v>501</v>
      </c>
      <c r="K170" s="75" t="s">
        <v>850</v>
      </c>
      <c r="L170" s="76"/>
      <c r="M170" s="77">
        <f t="shared" ca="1" si="3"/>
        <v>45954</v>
      </c>
      <c r="N170" s="74" t="str">
        <f>_xlfn.IFNA(VLOOKUP(db_emp[[#This Row],[ID_DIV]],[1]!db_dpt[[Code_dpt]:[Departement]],2,0),"-")</f>
        <v>Finance &amp; Accounting</v>
      </c>
      <c r="O170" s="74" t="str">
        <f>_xlfn.IFNA(VLOOKUP(db_emp[[#This Row],[ID_SDP]],[1]!db_div[[Code_div]:[Division]],2,0),"-")</f>
        <v>Collection</v>
      </c>
      <c r="P170" s="74" t="str">
        <f>_xlfn.IFNA(VLOOKUP(db_emp[[#This Row],[Code_lvl]],[1]!db_lvl[[#All],[ID_level]:[Leveling Name]],2,0),"-")</f>
        <v>Staff</v>
      </c>
      <c r="Q170" s="74" t="str">
        <f>_xlfn.IFNA(VLOOKUP(db_emp[[#This Row],[Code_site]],[1]!db_site[[ID_Site]:[Url_maps]],3,0),"-")</f>
        <v>Unit - District 8</v>
      </c>
      <c r="R1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230647,'Dina Fitriana','FIN','COLCT','Collection Staff','LV12','Corp. Supporting Property (POM)','OD8','Employee','1900-01-00','2025-10-24'</v>
      </c>
      <c r="S170" s="74">
        <f>db_emp[[#This Row],[NIP (UPDATE)]]</f>
        <v>230647</v>
      </c>
    </row>
    <row r="171" spans="2:19" hidden="1" x14ac:dyDescent="0.25">
      <c r="B171" s="75">
        <v>710</v>
      </c>
      <c r="C171" s="75">
        <v>240440</v>
      </c>
      <c r="D171" s="74" t="s">
        <v>1117</v>
      </c>
      <c r="E171" s="75" t="s">
        <v>845</v>
      </c>
      <c r="F171" s="75" t="s">
        <v>1102</v>
      </c>
      <c r="G171" s="74" t="s">
        <v>1105</v>
      </c>
      <c r="H171" s="75" t="s">
        <v>853</v>
      </c>
      <c r="I171" s="74" t="s">
        <v>864</v>
      </c>
      <c r="J171" s="75" t="s">
        <v>501</v>
      </c>
      <c r="K171" s="75" t="s">
        <v>850</v>
      </c>
      <c r="L171" s="76"/>
      <c r="M171" s="77">
        <f t="shared" ca="1" si="3"/>
        <v>45954</v>
      </c>
      <c r="N171" s="74" t="str">
        <f>_xlfn.IFNA(VLOOKUP(db_emp[[#This Row],[ID_DIV]],[1]!db_dpt[[Code_dpt]:[Departement]],2,0),"-")</f>
        <v>Finance &amp; Accounting</v>
      </c>
      <c r="O171" s="74" t="str">
        <f>_xlfn.IFNA(VLOOKUP(db_emp[[#This Row],[ID_SDP]],[1]!db_div[[Code_div]:[Division]],2,0),"-")</f>
        <v>Collection</v>
      </c>
      <c r="P171" s="74" t="str">
        <f>_xlfn.IFNA(VLOOKUP(db_emp[[#This Row],[Code_lvl]],[1]!db_lvl[[#All],[ID_level]:[Leveling Name]],2,0),"-")</f>
        <v>Staff</v>
      </c>
      <c r="Q171" s="74" t="str">
        <f>_xlfn.IFNA(VLOOKUP(db_emp[[#This Row],[Code_site]],[1]!db_site[[ID_Site]:[Url_maps]],3,0),"-")</f>
        <v>Unit - District 8</v>
      </c>
      <c r="R1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240440,'Dian Ekawati','FIN','COLCT','Collection Staff','LV12','Corp. Supporting Property (POM)','OD8','Employee','1900-01-00','2025-10-24'</v>
      </c>
      <c r="S171" s="74">
        <f>db_emp[[#This Row],[NIP (UPDATE)]]</f>
        <v>240440</v>
      </c>
    </row>
    <row r="172" spans="2:19" hidden="1" x14ac:dyDescent="0.25">
      <c r="B172" s="75">
        <v>19</v>
      </c>
      <c r="C172" s="75">
        <v>190783</v>
      </c>
      <c r="D172" s="74" t="s">
        <v>1118</v>
      </c>
      <c r="E172" s="75" t="s">
        <v>845</v>
      </c>
      <c r="F172" s="75" t="s">
        <v>1102</v>
      </c>
      <c r="G172" s="74" t="s">
        <v>1119</v>
      </c>
      <c r="H172" s="75" t="s">
        <v>870</v>
      </c>
      <c r="I172" s="74" t="s">
        <v>849</v>
      </c>
      <c r="J172" s="75" t="s">
        <v>315</v>
      </c>
      <c r="K172" s="75" t="s">
        <v>850</v>
      </c>
      <c r="L172" s="76">
        <v>43710</v>
      </c>
      <c r="M172" s="77">
        <f t="shared" ca="1" si="3"/>
        <v>45954</v>
      </c>
      <c r="N172" s="74" t="str">
        <f>_xlfn.IFNA(VLOOKUP(db_emp[[#This Row],[ID_DIV]],[1]!db_dpt[[Code_dpt]:[Departement]],2,0),"-")</f>
        <v>Finance &amp; Accounting</v>
      </c>
      <c r="O172" s="74" t="str">
        <f>_xlfn.IFNA(VLOOKUP(db_emp[[#This Row],[ID_SDP]],[1]!db_div[[Code_div]:[Division]],2,0),"-")</f>
        <v>Collection</v>
      </c>
      <c r="P172" s="74" t="str">
        <f>_xlfn.IFNA(VLOOKUP(db_emp[[#This Row],[Code_lvl]],[1]!db_lvl[[#All],[ID_level]:[Leveling Name]],2,0),"-")</f>
        <v>Supervisor</v>
      </c>
      <c r="Q172" s="74" t="str">
        <f>_xlfn.IFNA(VLOOKUP(db_emp[[#This Row],[Code_site]],[1]!db_site[[ID_Site]:[Url_maps]],3,0),"-")</f>
        <v>Head Office - ASGO</v>
      </c>
      <c r="R1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190783,'Dustin Kumara','FIN','COLCT','Collection Supervisor','LV09','Mall &amp; Cinema','O99','Employee','2019-09-02','2025-10-24'</v>
      </c>
      <c r="S172" s="74">
        <f>db_emp[[#This Row],[NIP (UPDATE)]]</f>
        <v>190783</v>
      </c>
    </row>
    <row r="173" spans="2:19" hidden="1" x14ac:dyDescent="0.25">
      <c r="B173" s="75">
        <v>148</v>
      </c>
      <c r="C173" s="75">
        <v>241950</v>
      </c>
      <c r="D173" s="74" t="s">
        <v>1120</v>
      </c>
      <c r="E173" s="75" t="s">
        <v>927</v>
      </c>
      <c r="F173" s="75" t="s">
        <v>912</v>
      </c>
      <c r="G173" s="74" t="s">
        <v>1121</v>
      </c>
      <c r="H173" s="75" t="s">
        <v>853</v>
      </c>
      <c r="I173" s="74" t="s">
        <v>849</v>
      </c>
      <c r="J173" s="75" t="s">
        <v>315</v>
      </c>
      <c r="K173" s="75" t="s">
        <v>850</v>
      </c>
      <c r="L173" s="76">
        <v>45593</v>
      </c>
      <c r="M173" s="77">
        <f t="shared" ca="1" si="3"/>
        <v>45954</v>
      </c>
      <c r="N173" s="74" t="str">
        <f>_xlfn.IFNA(VLOOKUP(db_emp[[#This Row],[ID_DIV]],[1]!db_dpt[[Code_dpt]:[Departement]],2,0),"-")</f>
        <v>Center Experience</v>
      </c>
      <c r="O173" s="74" t="str">
        <f>_xlfn.IFNA(VLOOKUP(db_emp[[#This Row],[ID_SDP]],[1]!db_div[[Code_div]:[Division]],2,0),"-")</f>
        <v>Admin</v>
      </c>
      <c r="P173" s="74" t="str">
        <f>_xlfn.IFNA(VLOOKUP(db_emp[[#This Row],[Code_lvl]],[1]!db_lvl[[#All],[ID_level]:[Leveling Name]],2,0),"-")</f>
        <v>Staff</v>
      </c>
      <c r="Q173" s="74" t="str">
        <f>_xlfn.IFNA(VLOOKUP(db_emp[[#This Row],[Code_site]],[1]!db_site[[ID_Site]:[Url_maps]],3,0),"-")</f>
        <v>Head Office - ASGO</v>
      </c>
      <c r="R1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241950,'Ike Laorena Prilistia','CEX','ADMIN','Communication Coordinator Staff','LV12','Mall &amp; Cinema','O99','Employee','2024-10-28','2025-10-24'</v>
      </c>
      <c r="S173" s="74">
        <f>db_emp[[#This Row],[NIP (UPDATE)]]</f>
        <v>241950</v>
      </c>
    </row>
    <row r="174" spans="2:19" hidden="1" x14ac:dyDescent="0.25">
      <c r="B174" s="75">
        <v>27</v>
      </c>
      <c r="C174" s="75">
        <v>141051</v>
      </c>
      <c r="D174" s="74" t="s">
        <v>1122</v>
      </c>
      <c r="E174" s="75" t="s">
        <v>1123</v>
      </c>
      <c r="F174" s="75" t="s">
        <v>1124</v>
      </c>
      <c r="G174" s="74" t="s">
        <v>1125</v>
      </c>
      <c r="H174" s="75" t="s">
        <v>953</v>
      </c>
      <c r="I174" s="74" t="s">
        <v>856</v>
      </c>
      <c r="J174" s="75" t="s">
        <v>315</v>
      </c>
      <c r="K174" s="75" t="s">
        <v>850</v>
      </c>
      <c r="L174" s="76">
        <v>41904</v>
      </c>
      <c r="M174" s="77">
        <f t="shared" ca="1" si="3"/>
        <v>45954</v>
      </c>
      <c r="N174" s="74" t="str">
        <f>_xlfn.IFNA(VLOOKUP(db_emp[[#This Row],[ID_DIV]],[1]!db_dpt[[Code_dpt]:[Departement]],2,0),"-")</f>
        <v>HR &amp; GA</v>
      </c>
      <c r="O174" s="74" t="str">
        <f>_xlfn.IFNA(VLOOKUP(db_emp[[#This Row],[ID_SDP]],[1]!db_div[[Code_div]:[Division]],2,0),"-")</f>
        <v>Compensation &amp; Benefit</v>
      </c>
      <c r="P174" s="74" t="str">
        <f>_xlfn.IFNA(VLOOKUP(db_emp[[#This Row],[Code_lvl]],[1]!db_lvl[[#All],[ID_level]:[Leveling Name]],2,0),"-")</f>
        <v>Manager</v>
      </c>
      <c r="Q174" s="74" t="str">
        <f>_xlfn.IFNA(VLOOKUP(db_emp[[#This Row],[Code_site]],[1]!db_site[[ID_Site]:[Url_maps]],3,0),"-")</f>
        <v>Head Office - ASGO</v>
      </c>
      <c r="R1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141051,'Nia Veronika Gunawan','HRG','COMBN','Compensation &amp; Benefit Manager','LV05','HQ - All','O99','Employee','2014-09-22','2025-10-24'</v>
      </c>
      <c r="S174" s="74">
        <f>db_emp[[#This Row],[NIP (UPDATE)]]</f>
        <v>141051</v>
      </c>
    </row>
    <row r="175" spans="2:19" hidden="1" x14ac:dyDescent="0.25">
      <c r="B175" s="75">
        <v>134</v>
      </c>
      <c r="C175" s="75">
        <v>241537</v>
      </c>
      <c r="D175" s="74" t="s">
        <v>1126</v>
      </c>
      <c r="E175" s="75" t="s">
        <v>1123</v>
      </c>
      <c r="F175" s="75" t="s">
        <v>1124</v>
      </c>
      <c r="G175" s="74" t="s">
        <v>1127</v>
      </c>
      <c r="H175" s="75" t="s">
        <v>870</v>
      </c>
      <c r="I175" s="74" t="s">
        <v>856</v>
      </c>
      <c r="J175" s="75" t="s">
        <v>315</v>
      </c>
      <c r="K175" s="75" t="s">
        <v>903</v>
      </c>
      <c r="L175" s="76">
        <v>45530</v>
      </c>
      <c r="M175" s="77">
        <f t="shared" ca="1" si="3"/>
        <v>45954</v>
      </c>
      <c r="N175" s="74" t="str">
        <f>_xlfn.IFNA(VLOOKUP(db_emp[[#This Row],[ID_DIV]],[1]!db_dpt[[Code_dpt]:[Departement]],2,0),"-")</f>
        <v>HR &amp; GA</v>
      </c>
      <c r="O175" s="74" t="str">
        <f>_xlfn.IFNA(VLOOKUP(db_emp[[#This Row],[ID_SDP]],[1]!db_div[[Code_div]:[Division]],2,0),"-")</f>
        <v>Compensation &amp; Benefit</v>
      </c>
      <c r="P175" s="74" t="str">
        <f>_xlfn.IFNA(VLOOKUP(db_emp[[#This Row],[Code_lvl]],[1]!db_lvl[[#All],[ID_level]:[Leveling Name]],2,0),"-")</f>
        <v>Supervisor</v>
      </c>
      <c r="Q175" s="74" t="str">
        <f>_xlfn.IFNA(VLOOKUP(db_emp[[#This Row],[Code_site]],[1]!db_site[[ID_Site]:[Url_maps]],3,0),"-")</f>
        <v>Head Office - ASGO</v>
      </c>
      <c r="R1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241537,'Rista Elva Juanda','HRG','COMBN','Compensation &amp; Benefit Supervisor','LV09','HQ - All','O99','Resign','2024-08-26','2025-10-24'</v>
      </c>
      <c r="S175" s="74">
        <f>db_emp[[#This Row],[NIP (UPDATE)]]</f>
        <v>241537</v>
      </c>
    </row>
    <row r="176" spans="2:19" hidden="1" x14ac:dyDescent="0.25">
      <c r="B176" s="75">
        <v>677</v>
      </c>
      <c r="C176" s="75">
        <v>220424</v>
      </c>
      <c r="D176" s="74" t="s">
        <v>1128</v>
      </c>
      <c r="E176" s="75" t="s">
        <v>1036</v>
      </c>
      <c r="F176" s="75" t="s">
        <v>1037</v>
      </c>
      <c r="G176" s="74" t="s">
        <v>1129</v>
      </c>
      <c r="H176" s="75" t="s">
        <v>853</v>
      </c>
      <c r="I176" s="74" t="s">
        <v>864</v>
      </c>
      <c r="J176" s="75" t="s">
        <v>501</v>
      </c>
      <c r="K176" s="75" t="s">
        <v>850</v>
      </c>
      <c r="L176" s="76"/>
      <c r="M176" s="77">
        <f t="shared" ca="1" si="3"/>
        <v>45954</v>
      </c>
      <c r="N176" s="74" t="str">
        <f>_xlfn.IFNA(VLOOKUP(db_emp[[#This Row],[ID_DIV]],[1]!db_dpt[[Code_dpt]:[Departement]],2,0),"-")</f>
        <v>Tenant Relation</v>
      </c>
      <c r="O176" s="74" t="str">
        <f>_xlfn.IFNA(VLOOKUP(db_emp[[#This Row],[ID_SDP]],[1]!db_div[[Code_div]:[Division]],2,0),"-")</f>
        <v>Consierg</v>
      </c>
      <c r="P176" s="74" t="str">
        <f>_xlfn.IFNA(VLOOKUP(db_emp[[#This Row],[Code_lvl]],[1]!db_lvl[[#All],[ID_level]:[Leveling Name]],2,0),"-")</f>
        <v>Staff</v>
      </c>
      <c r="Q176" s="74" t="str">
        <f>_xlfn.IFNA(VLOOKUP(db_emp[[#This Row],[Code_site]],[1]!db_site[[ID_Site]:[Url_maps]],3,0),"-")</f>
        <v>Unit - District 8</v>
      </c>
      <c r="R1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220424,'Alfridus Tnesi','TRL','CONSI','Concierge Staff','LV12','Corp. Supporting Property (POM)','OD8','Employee','1900-01-00','2025-10-24'</v>
      </c>
      <c r="S176" s="74">
        <f>db_emp[[#This Row],[NIP (UPDATE)]]</f>
        <v>220424</v>
      </c>
    </row>
    <row r="177" spans="2:19" hidden="1" x14ac:dyDescent="0.25">
      <c r="B177" s="75">
        <v>738</v>
      </c>
      <c r="C177" s="75">
        <v>241257</v>
      </c>
      <c r="D177" s="74" t="s">
        <v>1130</v>
      </c>
      <c r="E177" s="75" t="s">
        <v>1036</v>
      </c>
      <c r="F177" s="75" t="s">
        <v>1037</v>
      </c>
      <c r="G177" s="74" t="s">
        <v>1131</v>
      </c>
      <c r="H177" s="75" t="s">
        <v>870</v>
      </c>
      <c r="I177" s="74" t="s">
        <v>864</v>
      </c>
      <c r="J177" s="75" t="s">
        <v>501</v>
      </c>
      <c r="K177" s="75" t="s">
        <v>850</v>
      </c>
      <c r="L177" s="76"/>
      <c r="M177" s="77">
        <f t="shared" ca="1" si="3"/>
        <v>45954</v>
      </c>
      <c r="N177" s="74" t="str">
        <f>_xlfn.IFNA(VLOOKUP(db_emp[[#This Row],[ID_DIV]],[1]!db_dpt[[Code_dpt]:[Departement]],2,0),"-")</f>
        <v>Tenant Relation</v>
      </c>
      <c r="O177" s="74" t="str">
        <f>_xlfn.IFNA(VLOOKUP(db_emp[[#This Row],[ID_SDP]],[1]!db_div[[Code_div]:[Division]],2,0),"-")</f>
        <v>Consierg</v>
      </c>
      <c r="P177" s="74" t="str">
        <f>_xlfn.IFNA(VLOOKUP(db_emp[[#This Row],[Code_lvl]],[1]!db_lvl[[#All],[ID_level]:[Leveling Name]],2,0),"-")</f>
        <v>Supervisor</v>
      </c>
      <c r="Q177" s="74" t="str">
        <f>_xlfn.IFNA(VLOOKUP(db_emp[[#This Row],[Code_site]],[1]!db_site[[ID_Site]:[Url_maps]],3,0),"-")</f>
        <v>Unit - District 8</v>
      </c>
      <c r="R1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241257,'Dani Prigandani','TRL','CONSI','Concierge Supervisor','LV09','Corp. Supporting Property (POM)','OD8','Employee','1900-01-00','2025-10-24'</v>
      </c>
      <c r="S177" s="74">
        <f>db_emp[[#This Row],[NIP (UPDATE)]]</f>
        <v>241257</v>
      </c>
    </row>
    <row r="178" spans="2:19" hidden="1" x14ac:dyDescent="0.25">
      <c r="B178" s="75">
        <v>309</v>
      </c>
      <c r="C178" s="75">
        <v>210065</v>
      </c>
      <c r="D178" s="74" t="s">
        <v>1132</v>
      </c>
      <c r="E178" s="75" t="s">
        <v>940</v>
      </c>
      <c r="F178" s="75" t="s">
        <v>1133</v>
      </c>
      <c r="G178" s="74" t="s">
        <v>1134</v>
      </c>
      <c r="H178" s="75" t="s">
        <v>848</v>
      </c>
      <c r="I178" s="74" t="s">
        <v>962</v>
      </c>
      <c r="J178" s="75" t="s">
        <v>484</v>
      </c>
      <c r="K178" s="75" t="s">
        <v>850</v>
      </c>
      <c r="L178" s="76">
        <v>44228</v>
      </c>
      <c r="M178" s="77">
        <f t="shared" ca="1" si="3"/>
        <v>45954</v>
      </c>
      <c r="N178" s="74" t="str">
        <f>_xlfn.IFNA(VLOOKUP(db_emp[[#This Row],[ID_DIV]],[1]!db_dpt[[Code_dpt]:[Departement]],2,0),"-")</f>
        <v>Digital Media &amp; Community</v>
      </c>
      <c r="O178" s="74" t="str">
        <f>_xlfn.IFNA(VLOOKUP(db_emp[[#This Row],[ID_SDP]],[1]!db_div[[Code_div]:[Division]],2,0),"-")</f>
        <v>Content Creator</v>
      </c>
      <c r="P178" s="74" t="str">
        <f>_xlfn.IFNA(VLOOKUP(db_emp[[#This Row],[Code_lvl]],[1]!db_lvl[[#All],[ID_level]:[Leveling Name]],2,0),"-")</f>
        <v>Assistant Manager</v>
      </c>
      <c r="Q178" s="74" t="str">
        <f>_xlfn.IFNA(VLOOKUP(db_emp[[#This Row],[Code_site]],[1]!db_site[[ID_Site]:[Url_maps]],3,0),"-")</f>
        <v>Unit - PIK Avenue</v>
      </c>
      <c r="R1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210065,'Noval Reza Noer','DMC','COCRE','Content Creator Assistant Manager','LV07','Mall &amp; Hotel','M01','Employee','2021-02-01','2025-10-24'</v>
      </c>
      <c r="S178" s="74">
        <f>db_emp[[#This Row],[NIP (UPDATE)]]</f>
        <v>210065</v>
      </c>
    </row>
    <row r="179" spans="2:19" hidden="1" x14ac:dyDescent="0.25">
      <c r="B179" s="75">
        <v>310</v>
      </c>
      <c r="C179" s="75">
        <v>221347</v>
      </c>
      <c r="D179" s="74" t="s">
        <v>1135</v>
      </c>
      <c r="E179" s="75" t="s">
        <v>940</v>
      </c>
      <c r="F179" s="75" t="s">
        <v>1133</v>
      </c>
      <c r="G179" s="74" t="s">
        <v>1136</v>
      </c>
      <c r="H179" s="75" t="s">
        <v>870</v>
      </c>
      <c r="I179" s="74" t="s">
        <v>962</v>
      </c>
      <c r="J179" s="75" t="s">
        <v>484</v>
      </c>
      <c r="K179" s="75" t="s">
        <v>850</v>
      </c>
      <c r="L179" s="76">
        <v>44816</v>
      </c>
      <c r="M179" s="77">
        <f t="shared" ca="1" si="3"/>
        <v>45954</v>
      </c>
      <c r="N179" s="74" t="str">
        <f>_xlfn.IFNA(VLOOKUP(db_emp[[#This Row],[ID_DIV]],[1]!db_dpt[[Code_dpt]:[Departement]],2,0),"-")</f>
        <v>Digital Media &amp; Community</v>
      </c>
      <c r="O179" s="74" t="str">
        <f>_xlfn.IFNA(VLOOKUP(db_emp[[#This Row],[ID_SDP]],[1]!db_div[[Code_div]:[Division]],2,0),"-")</f>
        <v>Content Creator</v>
      </c>
      <c r="P179" s="74" t="str">
        <f>_xlfn.IFNA(VLOOKUP(db_emp[[#This Row],[Code_lvl]],[1]!db_lvl[[#All],[ID_level]:[Leveling Name]],2,0),"-")</f>
        <v>Supervisor</v>
      </c>
      <c r="Q179" s="74" t="str">
        <f>_xlfn.IFNA(VLOOKUP(db_emp[[#This Row],[Code_site]],[1]!db_site[[ID_Site]:[Url_maps]],3,0),"-")</f>
        <v>Unit - PIK Avenue</v>
      </c>
      <c r="R1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221347,'Fansuri Ali Yafi','DMC','COCRE','Content Creator Supervisor','LV09','Mall &amp; Hotel','M01','Employee','2022-09-12','2025-10-24'</v>
      </c>
      <c r="S179" s="74">
        <f>db_emp[[#This Row],[NIP (UPDATE)]]</f>
        <v>221347</v>
      </c>
    </row>
    <row r="180" spans="2:19" hidden="1" x14ac:dyDescent="0.25">
      <c r="B180" s="75">
        <v>311</v>
      </c>
      <c r="C180" s="75">
        <v>170468</v>
      </c>
      <c r="D180" s="74" t="s">
        <v>1137</v>
      </c>
      <c r="E180" s="75" t="s">
        <v>940</v>
      </c>
      <c r="F180" s="75" t="s">
        <v>1133</v>
      </c>
      <c r="G180" s="74" t="s">
        <v>1136</v>
      </c>
      <c r="H180" s="75" t="s">
        <v>870</v>
      </c>
      <c r="I180" s="74" t="s">
        <v>962</v>
      </c>
      <c r="J180" s="75" t="s">
        <v>484</v>
      </c>
      <c r="K180" s="75" t="s">
        <v>850</v>
      </c>
      <c r="L180" s="76">
        <v>42870</v>
      </c>
      <c r="M180" s="77">
        <f t="shared" ca="1" si="3"/>
        <v>45954</v>
      </c>
      <c r="N180" s="74" t="str">
        <f>_xlfn.IFNA(VLOOKUP(db_emp[[#This Row],[ID_DIV]],[1]!db_dpt[[Code_dpt]:[Departement]],2,0),"-")</f>
        <v>Digital Media &amp; Community</v>
      </c>
      <c r="O180" s="74" t="str">
        <f>_xlfn.IFNA(VLOOKUP(db_emp[[#This Row],[ID_SDP]],[1]!db_div[[Code_div]:[Division]],2,0),"-")</f>
        <v>Content Creator</v>
      </c>
      <c r="P180" s="74" t="str">
        <f>_xlfn.IFNA(VLOOKUP(db_emp[[#This Row],[Code_lvl]],[1]!db_lvl[[#All],[ID_level]:[Leveling Name]],2,0),"-")</f>
        <v>Supervisor</v>
      </c>
      <c r="Q180" s="74" t="str">
        <f>_xlfn.IFNA(VLOOKUP(db_emp[[#This Row],[Code_site]],[1]!db_site[[ID_Site]:[Url_maps]],3,0),"-")</f>
        <v>Unit - PIK Avenue</v>
      </c>
      <c r="R1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170468,'Herlangga Friyono','DMC','COCRE','Content Creator Supervisor','LV09','Mall &amp; Hotel','M01','Employee','2017-05-15','2025-10-24'</v>
      </c>
      <c r="S180" s="74">
        <f>db_emp[[#This Row],[NIP (UPDATE)]]</f>
        <v>170468</v>
      </c>
    </row>
    <row r="181" spans="2:19" hidden="1" x14ac:dyDescent="0.25">
      <c r="B181" s="75">
        <v>336</v>
      </c>
      <c r="C181" s="75">
        <v>241406</v>
      </c>
      <c r="D181" s="74" t="s">
        <v>1138</v>
      </c>
      <c r="E181" s="75" t="s">
        <v>940</v>
      </c>
      <c r="F181" s="75" t="s">
        <v>1133</v>
      </c>
      <c r="G181" s="74" t="s">
        <v>1136</v>
      </c>
      <c r="H181" s="75" t="s">
        <v>870</v>
      </c>
      <c r="I181" s="74" t="s">
        <v>962</v>
      </c>
      <c r="J181" s="75" t="s">
        <v>484</v>
      </c>
      <c r="K181" s="75" t="s">
        <v>850</v>
      </c>
      <c r="L181" s="76">
        <v>45505</v>
      </c>
      <c r="M181" s="77">
        <f t="shared" ca="1" si="3"/>
        <v>45954</v>
      </c>
      <c r="N181" s="74" t="str">
        <f>_xlfn.IFNA(VLOOKUP(db_emp[[#This Row],[ID_DIV]],[1]!db_dpt[[Code_dpt]:[Departement]],2,0),"-")</f>
        <v>Digital Media &amp; Community</v>
      </c>
      <c r="O181" s="74" t="str">
        <f>_xlfn.IFNA(VLOOKUP(db_emp[[#This Row],[ID_SDP]],[1]!db_div[[Code_div]:[Division]],2,0),"-")</f>
        <v>Content Creator</v>
      </c>
      <c r="P181" s="74" t="str">
        <f>_xlfn.IFNA(VLOOKUP(db_emp[[#This Row],[Code_lvl]],[1]!db_lvl[[#All],[ID_level]:[Leveling Name]],2,0),"-")</f>
        <v>Supervisor</v>
      </c>
      <c r="Q181" s="74" t="str">
        <f>_xlfn.IFNA(VLOOKUP(db_emp[[#This Row],[Code_site]],[1]!db_site[[ID_Site]:[Url_maps]],3,0),"-")</f>
        <v>Unit - PIK Avenue</v>
      </c>
      <c r="R1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241406,'Anggi Anggara','DMC','COCRE','Content Creator Supervisor','LV09','Mall &amp; Hotel','M01','Employee','2024-08-01','2025-10-24'</v>
      </c>
      <c r="S181" s="74">
        <f>db_emp[[#This Row],[NIP (UPDATE)]]</f>
        <v>241406</v>
      </c>
    </row>
    <row r="182" spans="2:19" hidden="1" x14ac:dyDescent="0.25">
      <c r="B182" s="75">
        <v>84</v>
      </c>
      <c r="C182" s="75">
        <v>160397</v>
      </c>
      <c r="D182" s="74" t="s">
        <v>1139</v>
      </c>
      <c r="E182" s="75" t="s">
        <v>1123</v>
      </c>
      <c r="F182" s="75" t="s">
        <v>1140</v>
      </c>
      <c r="G182" s="74" t="s">
        <v>1141</v>
      </c>
      <c r="H182" s="75" t="s">
        <v>953</v>
      </c>
      <c r="I182" s="74" t="s">
        <v>856</v>
      </c>
      <c r="J182" s="75" t="s">
        <v>315</v>
      </c>
      <c r="K182" s="75" t="s">
        <v>850</v>
      </c>
      <c r="L182" s="76">
        <v>42492</v>
      </c>
      <c r="M182" s="77">
        <f t="shared" ca="1" si="3"/>
        <v>45954</v>
      </c>
      <c r="N182" s="74" t="str">
        <f>_xlfn.IFNA(VLOOKUP(db_emp[[#This Row],[ID_DIV]],[1]!db_dpt[[Code_dpt]:[Departement]],2,0),"-")</f>
        <v>HR &amp; GA</v>
      </c>
      <c r="O182" s="74" t="str">
        <f>_xlfn.IFNA(VLOOKUP(db_emp[[#This Row],[ID_SDP]],[1]!db_div[[Code_div]:[Division]],2,0),"-")</f>
        <v>Contract &amp; Payment Control</v>
      </c>
      <c r="P182" s="74" t="str">
        <f>_xlfn.IFNA(VLOOKUP(db_emp[[#This Row],[Code_lvl]],[1]!db_lvl[[#All],[ID_level]:[Leveling Name]],2,0),"-")</f>
        <v>Manager</v>
      </c>
      <c r="Q182" s="74" t="str">
        <f>_xlfn.IFNA(VLOOKUP(db_emp[[#This Row],[Code_site]],[1]!db_site[[ID_Site]:[Url_maps]],3,0),"-")</f>
        <v>Head Office - ASGO</v>
      </c>
      <c r="R1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160397,'Leny Koesnandar','HRG','COPAY','Contract &amp; Payment Control Manager','LV05','HQ - All','O99','Employee','2016-05-02','2025-10-24'</v>
      </c>
      <c r="S182" s="74">
        <f>db_emp[[#This Row],[NIP (UPDATE)]]</f>
        <v>160397</v>
      </c>
    </row>
    <row r="183" spans="2:19" hidden="1" x14ac:dyDescent="0.25">
      <c r="B183" s="75">
        <v>172</v>
      </c>
      <c r="C183" s="75">
        <v>101923</v>
      </c>
      <c r="D183" s="74" t="s">
        <v>1142</v>
      </c>
      <c r="E183" s="75" t="s">
        <v>911</v>
      </c>
      <c r="F183" s="75" t="s">
        <v>1143</v>
      </c>
      <c r="G183" s="74" t="s">
        <v>1144</v>
      </c>
      <c r="H183" s="75" t="s">
        <v>853</v>
      </c>
      <c r="I183" s="74" t="s">
        <v>849</v>
      </c>
      <c r="J183" s="75" t="s">
        <v>314</v>
      </c>
      <c r="K183" s="75" t="s">
        <v>850</v>
      </c>
      <c r="L183" s="76">
        <v>39766</v>
      </c>
      <c r="M183" s="77">
        <f t="shared" ca="1" si="3"/>
        <v>45954</v>
      </c>
      <c r="N183" s="74" t="str">
        <f>_xlfn.IFNA(VLOOKUP(db_emp[[#This Row],[ID_DIV]],[1]!db_dpt[[Code_dpt]:[Departement]],2,0),"-")</f>
        <v>Engineering</v>
      </c>
      <c r="O183" s="74" t="str">
        <f>_xlfn.IFNA(VLOOKUP(db_emp[[#This Row],[ID_SDP]],[1]!db_div[[Code_div]:[Division]],2,0),"-")</f>
        <v>Control Panel</v>
      </c>
      <c r="P183" s="74" t="str">
        <f>_xlfn.IFNA(VLOOKUP(db_emp[[#This Row],[Code_lvl]],[1]!db_lvl[[#All],[ID_level]:[Leveling Name]],2,0),"-")</f>
        <v>Staff</v>
      </c>
      <c r="Q183" s="74" t="str">
        <f>_xlfn.IFNA(VLOOKUP(db_emp[[#This Row],[Code_site]],[1]!db_site[[ID_Site]:[Url_maps]],3,0),"-")</f>
        <v>Unit - MOI</v>
      </c>
      <c r="R1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101923,'Achmad Fadli','ENG','CPANL','Control Panel Staff','LV12','Mall &amp; Cinema','M02','Employee','2008-11-14','2025-10-24'</v>
      </c>
      <c r="S183" s="74">
        <f>db_emp[[#This Row],[NIP (UPDATE)]]</f>
        <v>101923</v>
      </c>
    </row>
    <row r="184" spans="2:19" hidden="1" x14ac:dyDescent="0.25">
      <c r="B184" s="75">
        <v>176</v>
      </c>
      <c r="C184" s="75">
        <v>130125</v>
      </c>
      <c r="D184" s="74" t="s">
        <v>1145</v>
      </c>
      <c r="E184" s="75" t="s">
        <v>911</v>
      </c>
      <c r="F184" s="75" t="s">
        <v>1143</v>
      </c>
      <c r="G184" s="74" t="s">
        <v>1144</v>
      </c>
      <c r="H184" s="75" t="s">
        <v>853</v>
      </c>
      <c r="I184" s="74" t="s">
        <v>849</v>
      </c>
      <c r="J184" s="75" t="s">
        <v>314</v>
      </c>
      <c r="K184" s="75" t="s">
        <v>850</v>
      </c>
      <c r="L184" s="76">
        <v>41306</v>
      </c>
      <c r="M184" s="77">
        <f t="shared" ca="1" si="3"/>
        <v>45954</v>
      </c>
      <c r="N184" s="74" t="str">
        <f>_xlfn.IFNA(VLOOKUP(db_emp[[#This Row],[ID_DIV]],[1]!db_dpt[[Code_dpt]:[Departement]],2,0),"-")</f>
        <v>Engineering</v>
      </c>
      <c r="O184" s="74" t="str">
        <f>_xlfn.IFNA(VLOOKUP(db_emp[[#This Row],[ID_SDP]],[1]!db_div[[Code_div]:[Division]],2,0),"-")</f>
        <v>Control Panel</v>
      </c>
      <c r="P184" s="74" t="str">
        <f>_xlfn.IFNA(VLOOKUP(db_emp[[#This Row],[Code_lvl]],[1]!db_lvl[[#All],[ID_level]:[Leveling Name]],2,0),"-")</f>
        <v>Staff</v>
      </c>
      <c r="Q184" s="74" t="str">
        <f>_xlfn.IFNA(VLOOKUP(db_emp[[#This Row],[Code_site]],[1]!db_site[[ID_Site]:[Url_maps]],3,0),"-")</f>
        <v>Unit - MOI</v>
      </c>
      <c r="R1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130125,'Sudrajat Bayu Setiawan','ENG','CPANL','Control Panel Staff','LV12','Mall &amp; Cinema','M02','Employee','2013-02-01','2025-10-24'</v>
      </c>
      <c r="S184" s="74">
        <f>db_emp[[#This Row],[NIP (UPDATE)]]</f>
        <v>130125</v>
      </c>
    </row>
    <row r="185" spans="2:19" hidden="1" x14ac:dyDescent="0.25">
      <c r="B185" s="75">
        <v>182</v>
      </c>
      <c r="C185" s="75">
        <v>101787</v>
      </c>
      <c r="D185" s="74" t="s">
        <v>1146</v>
      </c>
      <c r="E185" s="75" t="s">
        <v>911</v>
      </c>
      <c r="F185" s="75" t="s">
        <v>1143</v>
      </c>
      <c r="G185" s="74" t="s">
        <v>1144</v>
      </c>
      <c r="H185" s="75" t="s">
        <v>885</v>
      </c>
      <c r="I185" s="74" t="s">
        <v>849</v>
      </c>
      <c r="J185" s="75" t="s">
        <v>314</v>
      </c>
      <c r="K185" s="75" t="s">
        <v>850</v>
      </c>
      <c r="L185" s="76">
        <v>39676</v>
      </c>
      <c r="M185" s="77">
        <f t="shared" ca="1" si="3"/>
        <v>45954</v>
      </c>
      <c r="N185" s="74" t="str">
        <f>_xlfn.IFNA(VLOOKUP(db_emp[[#This Row],[ID_DIV]],[1]!db_dpt[[Code_dpt]:[Departement]],2,0),"-")</f>
        <v>Engineering</v>
      </c>
      <c r="O185" s="74" t="str">
        <f>_xlfn.IFNA(VLOOKUP(db_emp[[#This Row],[ID_SDP]],[1]!db_div[[Code_div]:[Division]],2,0),"-")</f>
        <v>Control Panel</v>
      </c>
      <c r="P185" s="74" t="str">
        <f>_xlfn.IFNA(VLOOKUP(db_emp[[#This Row],[Code_lvl]],[1]!db_lvl[[#All],[ID_level]:[Leveling Name]],2,0),"-")</f>
        <v>Senior Staff</v>
      </c>
      <c r="Q185" s="74" t="str">
        <f>_xlfn.IFNA(VLOOKUP(db_emp[[#This Row],[Code_site]],[1]!db_site[[ID_Site]:[Url_maps]],3,0),"-")</f>
        <v>Unit - MOI</v>
      </c>
      <c r="R1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101787,'Yusfirmansyah.','ENG','CPANL','Control Panel Staff','LV11','Mall &amp; Cinema','M02','Employee','2008-08-16','2025-10-24'</v>
      </c>
      <c r="S185" s="74">
        <f>db_emp[[#This Row],[NIP (UPDATE)]]</f>
        <v>101787</v>
      </c>
    </row>
    <row r="186" spans="2:19" hidden="1" x14ac:dyDescent="0.25">
      <c r="B186" s="75">
        <v>214</v>
      </c>
      <c r="C186" s="75">
        <v>220472</v>
      </c>
      <c r="D186" s="74" t="s">
        <v>1147</v>
      </c>
      <c r="E186" s="75" t="s">
        <v>911</v>
      </c>
      <c r="F186" s="75" t="s">
        <v>1143</v>
      </c>
      <c r="G186" s="74" t="s">
        <v>1144</v>
      </c>
      <c r="H186" s="75" t="s">
        <v>853</v>
      </c>
      <c r="I186" s="74" t="s">
        <v>849</v>
      </c>
      <c r="J186" s="75" t="s">
        <v>314</v>
      </c>
      <c r="K186" s="75" t="s">
        <v>850</v>
      </c>
      <c r="L186" s="76">
        <v>44652</v>
      </c>
      <c r="M186" s="77">
        <f t="shared" ca="1" si="3"/>
        <v>45954</v>
      </c>
      <c r="N186" s="74" t="str">
        <f>_xlfn.IFNA(VLOOKUP(db_emp[[#This Row],[ID_DIV]],[1]!db_dpt[[Code_dpt]:[Departement]],2,0),"-")</f>
        <v>Engineering</v>
      </c>
      <c r="O186" s="74" t="str">
        <f>_xlfn.IFNA(VLOOKUP(db_emp[[#This Row],[ID_SDP]],[1]!db_div[[Code_div]:[Division]],2,0),"-")</f>
        <v>Control Panel</v>
      </c>
      <c r="P186" s="74" t="str">
        <f>_xlfn.IFNA(VLOOKUP(db_emp[[#This Row],[Code_lvl]],[1]!db_lvl[[#All],[ID_level]:[Leveling Name]],2,0),"-")</f>
        <v>Staff</v>
      </c>
      <c r="Q186" s="74" t="str">
        <f>_xlfn.IFNA(VLOOKUP(db_emp[[#This Row],[Code_site]],[1]!db_site[[ID_Site]:[Url_maps]],3,0),"-")</f>
        <v>Unit - MOI</v>
      </c>
      <c r="R1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220472,'Diki Sobari','ENG','CPANL','Control Panel Staff','LV12','Mall &amp; Cinema','M02','Employee','2022-04-01','2025-10-24'</v>
      </c>
      <c r="S186" s="74">
        <f>db_emp[[#This Row],[NIP (UPDATE)]]</f>
        <v>220472</v>
      </c>
    </row>
    <row r="187" spans="2:19" hidden="1" x14ac:dyDescent="0.25">
      <c r="B187" s="75">
        <v>242</v>
      </c>
      <c r="C187" s="75">
        <v>231949</v>
      </c>
      <c r="D187" s="74" t="s">
        <v>1148</v>
      </c>
      <c r="E187" s="75" t="s">
        <v>911</v>
      </c>
      <c r="F187" s="75" t="s">
        <v>1143</v>
      </c>
      <c r="G187" s="74" t="s">
        <v>1144</v>
      </c>
      <c r="H187" s="75" t="s">
        <v>853</v>
      </c>
      <c r="I187" s="74" t="s">
        <v>849</v>
      </c>
      <c r="J187" s="75" t="s">
        <v>314</v>
      </c>
      <c r="K187" s="75" t="s">
        <v>850</v>
      </c>
      <c r="L187" s="76">
        <v>43374</v>
      </c>
      <c r="M187" s="77">
        <f t="shared" ca="1" si="3"/>
        <v>45954</v>
      </c>
      <c r="N187" s="74" t="str">
        <f>_xlfn.IFNA(VLOOKUP(db_emp[[#This Row],[ID_DIV]],[1]!db_dpt[[Code_dpt]:[Departement]],2,0),"-")</f>
        <v>Engineering</v>
      </c>
      <c r="O187" s="74" t="str">
        <f>_xlfn.IFNA(VLOOKUP(db_emp[[#This Row],[ID_SDP]],[1]!db_div[[Code_div]:[Division]],2,0),"-")</f>
        <v>Control Panel</v>
      </c>
      <c r="P187" s="74" t="str">
        <f>_xlfn.IFNA(VLOOKUP(db_emp[[#This Row],[Code_lvl]],[1]!db_lvl[[#All],[ID_level]:[Leveling Name]],2,0),"-")</f>
        <v>Staff</v>
      </c>
      <c r="Q187" s="74" t="str">
        <f>_xlfn.IFNA(VLOOKUP(db_emp[[#This Row],[Code_site]],[1]!db_site[[ID_Site]:[Url_maps]],3,0),"-")</f>
        <v>Unit - MOI</v>
      </c>
      <c r="R1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231949,'Kurniawan Abdul Latif','ENG','CPANL','Control Panel Staff','LV12','Mall &amp; Cinema','M02','Employee','2018-10-01','2025-10-24'</v>
      </c>
      <c r="S187" s="74">
        <f>db_emp[[#This Row],[NIP (UPDATE)]]</f>
        <v>231949</v>
      </c>
    </row>
    <row r="188" spans="2:19" hidden="1" x14ac:dyDescent="0.25">
      <c r="B188" s="75">
        <v>268</v>
      </c>
      <c r="C188" s="75">
        <v>241995</v>
      </c>
      <c r="D188" s="74" t="s">
        <v>1149</v>
      </c>
      <c r="E188" s="75" t="s">
        <v>911</v>
      </c>
      <c r="F188" s="75" t="s">
        <v>1143</v>
      </c>
      <c r="G188" s="74" t="s">
        <v>1144</v>
      </c>
      <c r="H188" s="75" t="s">
        <v>853</v>
      </c>
      <c r="I188" s="74" t="s">
        <v>849</v>
      </c>
      <c r="J188" s="75" t="s">
        <v>314</v>
      </c>
      <c r="K188" s="75" t="s">
        <v>850</v>
      </c>
      <c r="L188" s="76">
        <v>45600</v>
      </c>
      <c r="M188" s="77">
        <f t="shared" ca="1" si="3"/>
        <v>45954</v>
      </c>
      <c r="N188" s="74" t="str">
        <f>_xlfn.IFNA(VLOOKUP(db_emp[[#This Row],[ID_DIV]],[1]!db_dpt[[Code_dpt]:[Departement]],2,0),"-")</f>
        <v>Engineering</v>
      </c>
      <c r="O188" s="74" t="str">
        <f>_xlfn.IFNA(VLOOKUP(db_emp[[#This Row],[ID_SDP]],[1]!db_div[[Code_div]:[Division]],2,0),"-")</f>
        <v>Control Panel</v>
      </c>
      <c r="P188" s="74" t="str">
        <f>_xlfn.IFNA(VLOOKUP(db_emp[[#This Row],[Code_lvl]],[1]!db_lvl[[#All],[ID_level]:[Leveling Name]],2,0),"-")</f>
        <v>Staff</v>
      </c>
      <c r="Q188" s="74" t="str">
        <f>_xlfn.IFNA(VLOOKUP(db_emp[[#This Row],[Code_site]],[1]!db_site[[ID_Site]:[Url_maps]],3,0),"-")</f>
        <v>Unit - MOI</v>
      </c>
      <c r="R1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241995,'Wiwih Winata','ENG','CPANL','Control Panel Staff','LV12','Mall &amp; Cinema','M02','Employee','2024-11-04','2025-10-24'</v>
      </c>
      <c r="S188" s="74">
        <f>db_emp[[#This Row],[NIP (UPDATE)]]</f>
        <v>241995</v>
      </c>
    </row>
    <row r="189" spans="2:19" hidden="1" x14ac:dyDescent="0.25">
      <c r="B189" s="75">
        <v>323</v>
      </c>
      <c r="C189" s="75">
        <v>160664</v>
      </c>
      <c r="D189" s="74" t="s">
        <v>1150</v>
      </c>
      <c r="E189" s="75" t="s">
        <v>911</v>
      </c>
      <c r="F189" s="75" t="s">
        <v>1143</v>
      </c>
      <c r="G189" s="74" t="s">
        <v>1144</v>
      </c>
      <c r="H189" s="75" t="s">
        <v>853</v>
      </c>
      <c r="I189" s="74" t="s">
        <v>849</v>
      </c>
      <c r="J189" s="75" t="s">
        <v>484</v>
      </c>
      <c r="K189" s="75" t="s">
        <v>850</v>
      </c>
      <c r="L189" s="76">
        <v>42606</v>
      </c>
      <c r="M189" s="77">
        <f t="shared" ref="M189:M205" ca="1" si="4">TODAY()+1</f>
        <v>45954</v>
      </c>
      <c r="N189" s="74" t="str">
        <f>_xlfn.IFNA(VLOOKUP(db_emp[[#This Row],[ID_DIV]],[1]!db_dpt[[Code_dpt]:[Departement]],2,0),"-")</f>
        <v>Engineering</v>
      </c>
      <c r="O189" s="74" t="str">
        <f>_xlfn.IFNA(VLOOKUP(db_emp[[#This Row],[ID_SDP]],[1]!db_div[[Code_div]:[Division]],2,0),"-")</f>
        <v>Control Panel</v>
      </c>
      <c r="P189" s="74" t="str">
        <f>_xlfn.IFNA(VLOOKUP(db_emp[[#This Row],[Code_lvl]],[1]!db_lvl[[#All],[ID_level]:[Leveling Name]],2,0),"-")</f>
        <v>Staff</v>
      </c>
      <c r="Q189" s="74" t="str">
        <f>_xlfn.IFNA(VLOOKUP(db_emp[[#This Row],[Code_site]],[1]!db_site[[ID_Site]:[Url_maps]],3,0),"-")</f>
        <v>Unit - PIK Avenue</v>
      </c>
      <c r="R1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160664,'Reymond Manuputty','ENG','CPANL','Control Panel Staff','LV12','Mall &amp; Cinema','M01','Employee','2016-08-24','2025-10-24'</v>
      </c>
      <c r="S189" s="74">
        <f>db_emp[[#This Row],[NIP (UPDATE)]]</f>
        <v>160664</v>
      </c>
    </row>
    <row r="190" spans="2:19" hidden="1" x14ac:dyDescent="0.25">
      <c r="B190" s="75">
        <v>329</v>
      </c>
      <c r="C190" s="75">
        <v>200011</v>
      </c>
      <c r="D190" s="74" t="s">
        <v>1151</v>
      </c>
      <c r="E190" s="75" t="s">
        <v>911</v>
      </c>
      <c r="F190" s="75" t="s">
        <v>1143</v>
      </c>
      <c r="G190" s="74" t="s">
        <v>1144</v>
      </c>
      <c r="H190" s="75" t="s">
        <v>885</v>
      </c>
      <c r="I190" s="74" t="s">
        <v>849</v>
      </c>
      <c r="J190" s="75" t="s">
        <v>484</v>
      </c>
      <c r="K190" s="75" t="s">
        <v>850</v>
      </c>
      <c r="L190" s="76">
        <v>43832</v>
      </c>
      <c r="M190" s="77">
        <f t="shared" ca="1" si="4"/>
        <v>45954</v>
      </c>
      <c r="N190" s="74" t="str">
        <f>_xlfn.IFNA(VLOOKUP(db_emp[[#This Row],[ID_DIV]],[1]!db_dpt[[Code_dpt]:[Departement]],2,0),"-")</f>
        <v>Engineering</v>
      </c>
      <c r="O190" s="74" t="str">
        <f>_xlfn.IFNA(VLOOKUP(db_emp[[#This Row],[ID_SDP]],[1]!db_div[[Code_div]:[Division]],2,0),"-")</f>
        <v>Control Panel</v>
      </c>
      <c r="P190" s="74" t="str">
        <f>_xlfn.IFNA(VLOOKUP(db_emp[[#This Row],[Code_lvl]],[1]!db_lvl[[#All],[ID_level]:[Leveling Name]],2,0),"-")</f>
        <v>Senior Staff</v>
      </c>
      <c r="Q190" s="74" t="str">
        <f>_xlfn.IFNA(VLOOKUP(db_emp[[#This Row],[Code_site]],[1]!db_site[[ID_Site]:[Url_maps]],3,0),"-")</f>
        <v>Unit - PIK Avenue</v>
      </c>
      <c r="R1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200011,'Efendi Saputro','ENG','CPANL','Control Panel Staff','LV11','Mall &amp; Cinema','M01','Employee','2020-01-02','2025-10-24'</v>
      </c>
      <c r="S190" s="74">
        <f>db_emp[[#This Row],[NIP (UPDATE)]]</f>
        <v>200011</v>
      </c>
    </row>
    <row r="191" spans="2:19" hidden="1" x14ac:dyDescent="0.25">
      <c r="B191" s="75">
        <v>384</v>
      </c>
      <c r="C191" s="75">
        <v>130896</v>
      </c>
      <c r="D191" s="74" t="s">
        <v>1152</v>
      </c>
      <c r="E191" s="75" t="s">
        <v>911</v>
      </c>
      <c r="F191" s="75" t="s">
        <v>1143</v>
      </c>
      <c r="G191" s="74" t="s">
        <v>1144</v>
      </c>
      <c r="H191" s="75" t="s">
        <v>853</v>
      </c>
      <c r="I191" s="74" t="s">
        <v>849</v>
      </c>
      <c r="J191" s="75" t="s">
        <v>316</v>
      </c>
      <c r="K191" s="75" t="s">
        <v>850</v>
      </c>
      <c r="L191" s="76">
        <v>41509</v>
      </c>
      <c r="M191" s="77">
        <f t="shared" ca="1" si="4"/>
        <v>45954</v>
      </c>
      <c r="N191" s="74" t="str">
        <f>_xlfn.IFNA(VLOOKUP(db_emp[[#This Row],[ID_DIV]],[1]!db_dpt[[Code_dpt]:[Departement]],2,0),"-")</f>
        <v>Engineering</v>
      </c>
      <c r="O191" s="74" t="str">
        <f>_xlfn.IFNA(VLOOKUP(db_emp[[#This Row],[ID_SDP]],[1]!db_div[[Code_div]:[Division]],2,0),"-")</f>
        <v>Control Panel</v>
      </c>
      <c r="P191" s="74" t="str">
        <f>_xlfn.IFNA(VLOOKUP(db_emp[[#This Row],[Code_lvl]],[1]!db_lvl[[#All],[ID_level]:[Leveling Name]],2,0),"-")</f>
        <v>Staff</v>
      </c>
      <c r="Q191" s="74" t="str">
        <f>_xlfn.IFNA(VLOOKUP(db_emp[[#This Row],[Code_site]],[1]!db_site[[ID_Site]:[Url_maps]],3,0),"-")</f>
        <v>Unit - GGP</v>
      </c>
      <c r="R1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130896,'Asparih.','ENG','CPANL','Control Panel Staff','LV12','Mall &amp; Cinema','M03','Employee','2013-08-23','2025-10-24'</v>
      </c>
      <c r="S191" s="74">
        <f>db_emp[[#This Row],[NIP (UPDATE)]]</f>
        <v>130896</v>
      </c>
    </row>
    <row r="192" spans="2:19" hidden="1" x14ac:dyDescent="0.25">
      <c r="B192" s="75">
        <v>385</v>
      </c>
      <c r="C192" s="75">
        <v>130938</v>
      </c>
      <c r="D192" s="74" t="s">
        <v>1153</v>
      </c>
      <c r="E192" s="75" t="s">
        <v>911</v>
      </c>
      <c r="F192" s="75" t="s">
        <v>1143</v>
      </c>
      <c r="G192" s="74" t="s">
        <v>1144</v>
      </c>
      <c r="H192" s="75" t="s">
        <v>853</v>
      </c>
      <c r="I192" s="74" t="s">
        <v>849</v>
      </c>
      <c r="J192" s="75" t="s">
        <v>316</v>
      </c>
      <c r="K192" s="75" t="s">
        <v>850</v>
      </c>
      <c r="L192" s="76">
        <v>41519</v>
      </c>
      <c r="M192" s="77">
        <f t="shared" ca="1" si="4"/>
        <v>45954</v>
      </c>
      <c r="N192" s="74" t="str">
        <f>_xlfn.IFNA(VLOOKUP(db_emp[[#This Row],[ID_DIV]],[1]!db_dpt[[Code_dpt]:[Departement]],2,0),"-")</f>
        <v>Engineering</v>
      </c>
      <c r="O192" s="74" t="str">
        <f>_xlfn.IFNA(VLOOKUP(db_emp[[#This Row],[ID_SDP]],[1]!db_div[[Code_div]:[Division]],2,0),"-")</f>
        <v>Control Panel</v>
      </c>
      <c r="P192" s="74" t="str">
        <f>_xlfn.IFNA(VLOOKUP(db_emp[[#This Row],[Code_lvl]],[1]!db_lvl[[#All],[ID_level]:[Leveling Name]],2,0),"-")</f>
        <v>Staff</v>
      </c>
      <c r="Q192" s="74" t="str">
        <f>_xlfn.IFNA(VLOOKUP(db_emp[[#This Row],[Code_site]],[1]!db_site[[ID_Site]:[Url_maps]],3,0),"-")</f>
        <v>Unit - GGP</v>
      </c>
      <c r="R1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130938,'M. Zainu Rohman','ENG','CPANL','Control Panel Staff','LV12','Mall &amp; Cinema','M03','Employee','2013-09-02','2025-10-24'</v>
      </c>
      <c r="S192" s="74">
        <f>db_emp[[#This Row],[NIP (UPDATE)]]</f>
        <v>130938</v>
      </c>
    </row>
    <row r="193" spans="2:19" hidden="1" x14ac:dyDescent="0.25">
      <c r="B193" s="75">
        <v>414</v>
      </c>
      <c r="C193" s="75">
        <v>240802</v>
      </c>
      <c r="D193" s="74" t="s">
        <v>1154</v>
      </c>
      <c r="E193" s="75" t="s">
        <v>911</v>
      </c>
      <c r="F193" s="75" t="s">
        <v>1143</v>
      </c>
      <c r="G193" s="74" t="s">
        <v>1144</v>
      </c>
      <c r="H193" s="75" t="s">
        <v>853</v>
      </c>
      <c r="I193" s="74" t="s">
        <v>849</v>
      </c>
      <c r="J193" s="75" t="s">
        <v>316</v>
      </c>
      <c r="K193" s="75" t="s">
        <v>850</v>
      </c>
      <c r="L193" s="76">
        <v>45414</v>
      </c>
      <c r="M193" s="77">
        <f t="shared" ca="1" si="4"/>
        <v>45954</v>
      </c>
      <c r="N193" s="74" t="str">
        <f>_xlfn.IFNA(VLOOKUP(db_emp[[#This Row],[ID_DIV]],[1]!db_dpt[[Code_dpt]:[Departement]],2,0),"-")</f>
        <v>Engineering</v>
      </c>
      <c r="O193" s="74" t="str">
        <f>_xlfn.IFNA(VLOOKUP(db_emp[[#This Row],[ID_SDP]],[1]!db_div[[Code_div]:[Division]],2,0),"-")</f>
        <v>Control Panel</v>
      </c>
      <c r="P193" s="74" t="str">
        <f>_xlfn.IFNA(VLOOKUP(db_emp[[#This Row],[Code_lvl]],[1]!db_lvl[[#All],[ID_level]:[Leveling Name]],2,0),"-")</f>
        <v>Staff</v>
      </c>
      <c r="Q193" s="74" t="str">
        <f>_xlfn.IFNA(VLOOKUP(db_emp[[#This Row],[Code_site]],[1]!db_site[[ID_Site]:[Url_maps]],3,0),"-")</f>
        <v>Unit - GGP</v>
      </c>
      <c r="R1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240802,'Amien Ramadhan Ruswal','ENG','CPANL','Control Panel Staff','LV12','Mall &amp; Cinema','M03','Employee','2024-05-02','2025-10-24'</v>
      </c>
      <c r="S193" s="74">
        <f>db_emp[[#This Row],[NIP (UPDATE)]]</f>
        <v>240802</v>
      </c>
    </row>
    <row r="194" spans="2:19" hidden="1" x14ac:dyDescent="0.25">
      <c r="B194" s="75">
        <v>422</v>
      </c>
      <c r="C194" s="75">
        <v>241271</v>
      </c>
      <c r="D194" s="74" t="s">
        <v>1155</v>
      </c>
      <c r="E194" s="75" t="s">
        <v>911</v>
      </c>
      <c r="F194" s="75" t="s">
        <v>1143</v>
      </c>
      <c r="G194" s="74" t="s">
        <v>1144</v>
      </c>
      <c r="H194" s="75" t="s">
        <v>853</v>
      </c>
      <c r="I194" s="74" t="s">
        <v>849</v>
      </c>
      <c r="J194" s="75" t="s">
        <v>316</v>
      </c>
      <c r="K194" s="75" t="s">
        <v>850</v>
      </c>
      <c r="L194" s="76">
        <v>45488</v>
      </c>
      <c r="M194" s="77">
        <f t="shared" ca="1" si="4"/>
        <v>45954</v>
      </c>
      <c r="N194" s="74" t="str">
        <f>_xlfn.IFNA(VLOOKUP(db_emp[[#This Row],[ID_DIV]],[1]!db_dpt[[Code_dpt]:[Departement]],2,0),"-")</f>
        <v>Engineering</v>
      </c>
      <c r="O194" s="74" t="str">
        <f>_xlfn.IFNA(VLOOKUP(db_emp[[#This Row],[ID_SDP]],[1]!db_div[[Code_div]:[Division]],2,0),"-")</f>
        <v>Control Panel</v>
      </c>
      <c r="P194" s="74" t="str">
        <f>_xlfn.IFNA(VLOOKUP(db_emp[[#This Row],[Code_lvl]],[1]!db_lvl[[#All],[ID_level]:[Leveling Name]],2,0),"-")</f>
        <v>Staff</v>
      </c>
      <c r="Q194" s="74" t="str">
        <f>_xlfn.IFNA(VLOOKUP(db_emp[[#This Row],[Code_site]],[1]!db_site[[ID_Site]:[Url_maps]],3,0),"-")</f>
        <v>Unit - GGP</v>
      </c>
      <c r="R1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241271,'Achmad Nur Amin','ENG','CPANL','Control Panel Staff','LV12','Mall &amp; Cinema','M03','Employee','2024-07-15','2025-10-24'</v>
      </c>
      <c r="S194" s="74">
        <f>db_emp[[#This Row],[NIP (UPDATE)]]</f>
        <v>241271</v>
      </c>
    </row>
    <row r="195" spans="2:19" hidden="1" x14ac:dyDescent="0.25">
      <c r="B195" s="75">
        <v>181</v>
      </c>
      <c r="C195" s="75">
        <v>101773</v>
      </c>
      <c r="D195" s="74" t="s">
        <v>1156</v>
      </c>
      <c r="E195" s="75" t="s">
        <v>911</v>
      </c>
      <c r="F195" s="75" t="s">
        <v>1143</v>
      </c>
      <c r="G195" s="74" t="s">
        <v>1157</v>
      </c>
      <c r="H195" s="75" t="s">
        <v>870</v>
      </c>
      <c r="I195" s="74" t="s">
        <v>849</v>
      </c>
      <c r="J195" s="75" t="s">
        <v>314</v>
      </c>
      <c r="K195" s="75" t="s">
        <v>850</v>
      </c>
      <c r="L195" s="76">
        <v>39664</v>
      </c>
      <c r="M195" s="77">
        <f t="shared" ca="1" si="4"/>
        <v>45954</v>
      </c>
      <c r="N195" s="74" t="str">
        <f>_xlfn.IFNA(VLOOKUP(db_emp[[#This Row],[ID_DIV]],[1]!db_dpt[[Code_dpt]:[Departement]],2,0),"-")</f>
        <v>Engineering</v>
      </c>
      <c r="O195" s="74" t="str">
        <f>_xlfn.IFNA(VLOOKUP(db_emp[[#This Row],[ID_SDP]],[1]!db_div[[Code_div]:[Division]],2,0),"-")</f>
        <v>Control Panel</v>
      </c>
      <c r="P195" s="74" t="str">
        <f>_xlfn.IFNA(VLOOKUP(db_emp[[#This Row],[Code_lvl]],[1]!db_lvl[[#All],[ID_level]:[Leveling Name]],2,0),"-")</f>
        <v>Supervisor</v>
      </c>
      <c r="Q195" s="74" t="str">
        <f>_xlfn.IFNA(VLOOKUP(db_emp[[#This Row],[Code_site]],[1]!db_site[[ID_Site]:[Url_maps]],3,0),"-")</f>
        <v>Unit - MOI</v>
      </c>
      <c r="R1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101773,'Waryani.','ENG','CPANL','Control Panel Supervisor','LV09','Mall &amp; Cinema','M02','Employee','2008-08-04','2025-10-24'</v>
      </c>
      <c r="S195" s="74">
        <f>db_emp[[#This Row],[NIP (UPDATE)]]</f>
        <v>101773</v>
      </c>
    </row>
    <row r="196" spans="2:19" hidden="1" x14ac:dyDescent="0.25">
      <c r="B196" s="75">
        <v>77</v>
      </c>
      <c r="C196" s="75">
        <v>221818</v>
      </c>
      <c r="D196" s="74" t="s">
        <v>1158</v>
      </c>
      <c r="E196" s="75" t="s">
        <v>1159</v>
      </c>
      <c r="F196" s="75" t="s">
        <v>971</v>
      </c>
      <c r="G196" s="74" t="s">
        <v>1160</v>
      </c>
      <c r="H196" s="75" t="s">
        <v>973</v>
      </c>
      <c r="I196" s="74" t="s">
        <v>856</v>
      </c>
      <c r="J196" s="75" t="s">
        <v>315</v>
      </c>
      <c r="K196" s="75" t="s">
        <v>850</v>
      </c>
      <c r="L196" s="76">
        <v>44928</v>
      </c>
      <c r="M196" s="77">
        <f t="shared" ca="1" si="4"/>
        <v>45954</v>
      </c>
      <c r="N196" s="74" t="str">
        <f>_xlfn.IFNA(VLOOKUP(db_emp[[#This Row],[ID_DIV]],[1]!db_dpt[[Code_dpt]:[Departement]],2,0),"-")</f>
        <v>Corporate Communication &amp; Affairs</v>
      </c>
      <c r="O196" s="74" t="str">
        <f>_xlfn.IFNA(VLOOKUP(db_emp[[#This Row],[ID_SDP]],[1]!db_div[[Code_div]:[Division]],2,0),"-")</f>
        <v>General Head Departement</v>
      </c>
      <c r="P196" s="74" t="str">
        <f>_xlfn.IFNA(VLOOKUP(db_emp[[#This Row],[Code_lvl]],[1]!db_lvl[[#All],[ID_level]:[Leveling Name]],2,0),"-")</f>
        <v>General Manager</v>
      </c>
      <c r="Q196" s="74" t="str">
        <f>_xlfn.IFNA(VLOOKUP(db_emp[[#This Row],[Code_site]],[1]!db_site[[ID_Site]:[Url_maps]],3,0),"-")</f>
        <v>Head Office - ASGO</v>
      </c>
      <c r="R1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221818,'Troy Fridatama','CCA','GNRAL','Corporate Communication &amp; Affair Deputy General Manager','LV02','HQ - All','O99','Employee','2023-01-02','2025-10-24'</v>
      </c>
      <c r="S196" s="74">
        <f>db_emp[[#This Row],[NIP (UPDATE)]]</f>
        <v>221818</v>
      </c>
    </row>
    <row r="197" spans="2:19" hidden="1" x14ac:dyDescent="0.25">
      <c r="B197" s="75">
        <v>54</v>
      </c>
      <c r="C197" s="75">
        <v>211017</v>
      </c>
      <c r="D197" s="74" t="s">
        <v>1161</v>
      </c>
      <c r="E197" s="75" t="s">
        <v>845</v>
      </c>
      <c r="F197" s="75" t="s">
        <v>1162</v>
      </c>
      <c r="G197" s="74" t="s">
        <v>1163</v>
      </c>
      <c r="H197" s="75" t="s">
        <v>973</v>
      </c>
      <c r="I197" s="74" t="s">
        <v>856</v>
      </c>
      <c r="J197" s="75" t="s">
        <v>315</v>
      </c>
      <c r="K197" s="75" t="s">
        <v>850</v>
      </c>
      <c r="L197" s="76">
        <v>44501</v>
      </c>
      <c r="M197" s="77">
        <f t="shared" ca="1" si="4"/>
        <v>45954</v>
      </c>
      <c r="N197" s="74" t="str">
        <f>_xlfn.IFNA(VLOOKUP(db_emp[[#This Row],[ID_DIV]],[1]!db_dpt[[Code_dpt]:[Departement]],2,0),"-")</f>
        <v>Finance &amp; Accounting</v>
      </c>
      <c r="O197" s="74" t="str">
        <f>_xlfn.IFNA(VLOOKUP(db_emp[[#This Row],[ID_SDP]],[1]!db_div[[Code_div]:[Division]],2,0),"-")</f>
        <v>Corporate Consolidation, Reporting &amp; Analysis</v>
      </c>
      <c r="P197" s="74" t="str">
        <f>_xlfn.IFNA(VLOOKUP(db_emp[[#This Row],[Code_lvl]],[1]!db_lvl[[#All],[ID_level]:[Leveling Name]],2,0),"-")</f>
        <v>General Manager</v>
      </c>
      <c r="Q197" s="74" t="str">
        <f>_xlfn.IFNA(VLOOKUP(db_emp[[#This Row],[Code_site]],[1]!db_site[[ID_Site]:[Url_maps]],3,0),"-")</f>
        <v>Head Office - ASGO</v>
      </c>
      <c r="R1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211017,'Jamarlen Ricky Nelwan','FIN','CORAS','Corporate Consolidation, Reporting &amp; Analysis General Manager','LV02','HQ - All','O99','Employee','2021-11-01','2025-10-24'</v>
      </c>
      <c r="S197" s="74">
        <f>db_emp[[#This Row],[NIP (UPDATE)]]</f>
        <v>211017</v>
      </c>
    </row>
    <row r="198" spans="2:19" hidden="1" x14ac:dyDescent="0.25">
      <c r="B198" s="75">
        <v>127</v>
      </c>
      <c r="C198" s="75">
        <v>241278</v>
      </c>
      <c r="D198" s="74" t="s">
        <v>1164</v>
      </c>
      <c r="E198" s="75" t="s">
        <v>845</v>
      </c>
      <c r="F198" s="75" t="s">
        <v>1162</v>
      </c>
      <c r="G198" s="74" t="s">
        <v>1165</v>
      </c>
      <c r="H198" s="75" t="s">
        <v>968</v>
      </c>
      <c r="I198" s="74" t="s">
        <v>856</v>
      </c>
      <c r="J198" s="75" t="s">
        <v>315</v>
      </c>
      <c r="K198" s="75" t="s">
        <v>850</v>
      </c>
      <c r="L198" s="76">
        <v>45488</v>
      </c>
      <c r="M198" s="77">
        <f t="shared" ca="1" si="4"/>
        <v>45954</v>
      </c>
      <c r="N198" s="74" t="str">
        <f>_xlfn.IFNA(VLOOKUP(db_emp[[#This Row],[ID_DIV]],[1]!db_dpt[[Code_dpt]:[Departement]],2,0),"-")</f>
        <v>Finance &amp; Accounting</v>
      </c>
      <c r="O198" s="74" t="str">
        <f>_xlfn.IFNA(VLOOKUP(db_emp[[#This Row],[ID_SDP]],[1]!db_div[[Code_div]:[Division]],2,0),"-")</f>
        <v>Corporate Consolidation, Reporting &amp; Analysis</v>
      </c>
      <c r="P198" s="74" t="str">
        <f>_xlfn.IFNA(VLOOKUP(db_emp[[#This Row],[Code_lvl]],[1]!db_lvl[[#All],[ID_level]:[Leveling Name]],2,0),"-")</f>
        <v>Senior Manager</v>
      </c>
      <c r="Q198" s="74" t="str">
        <f>_xlfn.IFNA(VLOOKUP(db_emp[[#This Row],[Code_site]],[1]!db_site[[ID_Site]:[Url_maps]],3,0),"-")</f>
        <v>Head Office - ASGO</v>
      </c>
      <c r="R1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241278,'Rizka Fajri Irson','FIN','CORAS','Corporate Finance Senior Manager','LV04','HQ - All','O99','Employee','2024-07-15','2025-10-24'</v>
      </c>
      <c r="S198" s="74">
        <f>db_emp[[#This Row],[NIP (UPDATE)]]</f>
        <v>241278</v>
      </c>
    </row>
    <row r="199" spans="2:19" hidden="1" x14ac:dyDescent="0.25">
      <c r="B199" s="75">
        <v>41</v>
      </c>
      <c r="C199" s="75">
        <v>170179</v>
      </c>
      <c r="D199" s="74" t="s">
        <v>1166</v>
      </c>
      <c r="E199" s="75" t="s">
        <v>920</v>
      </c>
      <c r="F199" s="75" t="s">
        <v>971</v>
      </c>
      <c r="G199" s="74" t="s">
        <v>1167</v>
      </c>
      <c r="H199" s="75" t="s">
        <v>953</v>
      </c>
      <c r="I199" s="74" t="s">
        <v>849</v>
      </c>
      <c r="J199" s="75" t="s">
        <v>315</v>
      </c>
      <c r="K199" s="75" t="s">
        <v>850</v>
      </c>
      <c r="L199" s="76">
        <v>42795</v>
      </c>
      <c r="M199" s="77">
        <f t="shared" ca="1" si="4"/>
        <v>45954</v>
      </c>
      <c r="N199" s="74" t="str">
        <f>_xlfn.IFNA(VLOOKUP(db_emp[[#This Row],[ID_DIV]],[1]!db_dpt[[Code_dpt]:[Departement]],2,0),"-")</f>
        <v>Leasing</v>
      </c>
      <c r="O199" s="74" t="str">
        <f>_xlfn.IFNA(VLOOKUP(db_emp[[#This Row],[ID_SDP]],[1]!db_div[[Code_div]:[Division]],2,0),"-")</f>
        <v>General Head Departement</v>
      </c>
      <c r="P199" s="74" t="str">
        <f>_xlfn.IFNA(VLOOKUP(db_emp[[#This Row],[Code_lvl]],[1]!db_lvl[[#All],[ID_level]:[Leveling Name]],2,0),"-")</f>
        <v>Manager</v>
      </c>
      <c r="Q199" s="74" t="str">
        <f>_xlfn.IFNA(VLOOKUP(db_emp[[#This Row],[Code_site]],[1]!db_site[[ID_Site]:[Url_maps]],3,0),"-")</f>
        <v>Head Office - ASGO</v>
      </c>
      <c r="R1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170179,'Evalia Arisyanti Daw','LEA','GNRAL','Data Depository Manager','LV05','Mall &amp; Cinema','O99','Employee','2017-03-01','2025-10-24'</v>
      </c>
      <c r="S199" s="74">
        <f>db_emp[[#This Row],[NIP (UPDATE)]]</f>
        <v>170179</v>
      </c>
    </row>
    <row r="200" spans="2:19" hidden="1" x14ac:dyDescent="0.25">
      <c r="B200" s="75">
        <v>246</v>
      </c>
      <c r="C200" s="75">
        <v>240829</v>
      </c>
      <c r="D200" s="74" t="s">
        <v>1168</v>
      </c>
      <c r="E200" s="75" t="s">
        <v>1018</v>
      </c>
      <c r="F200" s="75" t="s">
        <v>971</v>
      </c>
      <c r="G200" s="74" t="s">
        <v>1169</v>
      </c>
      <c r="H200" s="75" t="s">
        <v>953</v>
      </c>
      <c r="I200" s="74" t="s">
        <v>849</v>
      </c>
      <c r="J200" s="75" t="s">
        <v>314</v>
      </c>
      <c r="K200" s="75" t="s">
        <v>850</v>
      </c>
      <c r="L200" s="76">
        <v>45415</v>
      </c>
      <c r="M200" s="77">
        <f t="shared" ca="1" si="4"/>
        <v>45954</v>
      </c>
      <c r="N200" s="74" t="str">
        <f>_xlfn.IFNA(VLOOKUP(db_emp[[#This Row],[ID_DIV]],[1]!db_dpt[[Code_dpt]:[Departement]],2,0),"-")</f>
        <v>Operational</v>
      </c>
      <c r="O200" s="74" t="str">
        <f>_xlfn.IFNA(VLOOKUP(db_emp[[#This Row],[ID_SDP]],[1]!db_div[[Code_div]:[Division]],2,0),"-")</f>
        <v>General Head Departement</v>
      </c>
      <c r="P200" s="74" t="str">
        <f>_xlfn.IFNA(VLOOKUP(db_emp[[#This Row],[Code_lvl]],[1]!db_lvl[[#All],[ID_level]:[Leveling Name]],2,0),"-")</f>
        <v>Manager</v>
      </c>
      <c r="Q200" s="74" t="str">
        <f>_xlfn.IFNA(VLOOKUP(db_emp[[#This Row],[Code_site]],[1]!db_site[[ID_Site]:[Url_maps]],3,0),"-")</f>
        <v>Unit - MOI</v>
      </c>
      <c r="R2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240829,'Wahyudin','OPR','GNRAL','Deputy Operation Mall Manager','LV05','Mall &amp; Cinema','M02','Employee','2024-05-03','2025-10-24'</v>
      </c>
      <c r="S200" s="74">
        <f>db_emp[[#This Row],[NIP (UPDATE)]]</f>
        <v>240829</v>
      </c>
    </row>
    <row r="201" spans="2:19" hidden="1" x14ac:dyDescent="0.25">
      <c r="B201" s="75">
        <v>313</v>
      </c>
      <c r="C201" s="75">
        <v>160967</v>
      </c>
      <c r="D201" s="74" t="s">
        <v>1170</v>
      </c>
      <c r="E201" s="75" t="s">
        <v>1018</v>
      </c>
      <c r="F201" s="75" t="s">
        <v>971</v>
      </c>
      <c r="G201" s="74" t="s">
        <v>1169</v>
      </c>
      <c r="H201" s="75" t="s">
        <v>953</v>
      </c>
      <c r="I201" s="74" t="s">
        <v>849</v>
      </c>
      <c r="J201" s="75" t="s">
        <v>484</v>
      </c>
      <c r="K201" s="75" t="s">
        <v>850</v>
      </c>
      <c r="L201" s="76">
        <v>42712</v>
      </c>
      <c r="M201" s="77">
        <f t="shared" ca="1" si="4"/>
        <v>45954</v>
      </c>
      <c r="N201" s="74" t="str">
        <f>_xlfn.IFNA(VLOOKUP(db_emp[[#This Row],[ID_DIV]],[1]!db_dpt[[Code_dpt]:[Departement]],2,0),"-")</f>
        <v>Operational</v>
      </c>
      <c r="O201" s="74" t="str">
        <f>_xlfn.IFNA(VLOOKUP(db_emp[[#This Row],[ID_SDP]],[1]!db_div[[Code_div]:[Division]],2,0),"-")</f>
        <v>General Head Departement</v>
      </c>
      <c r="P201" s="74" t="str">
        <f>_xlfn.IFNA(VLOOKUP(db_emp[[#This Row],[Code_lvl]],[1]!db_lvl[[#All],[ID_level]:[Leveling Name]],2,0),"-")</f>
        <v>Manager</v>
      </c>
      <c r="Q201" s="74" t="str">
        <f>_xlfn.IFNA(VLOOKUP(db_emp[[#This Row],[Code_site]],[1]!db_site[[ID_Site]:[Url_maps]],3,0),"-")</f>
        <v>Unit - PIK Avenue</v>
      </c>
      <c r="R2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160967,'Teddy Fajar Agung','OPR','GNRAL','Deputy Operation Mall Manager','LV05','Mall &amp; Cinema','M01','Employee','2016-12-08','2025-10-24'</v>
      </c>
      <c r="S201" s="74">
        <f>db_emp[[#This Row],[NIP (UPDATE)]]</f>
        <v>160967</v>
      </c>
    </row>
    <row r="202" spans="2:19" hidden="1" x14ac:dyDescent="0.25">
      <c r="B202" s="75">
        <v>418</v>
      </c>
      <c r="C202" s="75">
        <v>240996</v>
      </c>
      <c r="D202" s="74" t="s">
        <v>1171</v>
      </c>
      <c r="E202" s="75" t="s">
        <v>1018</v>
      </c>
      <c r="F202" s="75" t="s">
        <v>971</v>
      </c>
      <c r="G202" s="74" t="s">
        <v>1169</v>
      </c>
      <c r="H202" s="75" t="s">
        <v>953</v>
      </c>
      <c r="I202" s="74" t="s">
        <v>849</v>
      </c>
      <c r="J202" s="75" t="s">
        <v>316</v>
      </c>
      <c r="K202" s="75" t="s">
        <v>850</v>
      </c>
      <c r="L202" s="76">
        <v>45454</v>
      </c>
      <c r="M202" s="77">
        <f t="shared" ca="1" si="4"/>
        <v>45954</v>
      </c>
      <c r="N202" s="74" t="str">
        <f>_xlfn.IFNA(VLOOKUP(db_emp[[#This Row],[ID_DIV]],[1]!db_dpt[[Code_dpt]:[Departement]],2,0),"-")</f>
        <v>Operational</v>
      </c>
      <c r="O202" s="74" t="str">
        <f>_xlfn.IFNA(VLOOKUP(db_emp[[#This Row],[ID_SDP]],[1]!db_div[[Code_div]:[Division]],2,0),"-")</f>
        <v>General Head Departement</v>
      </c>
      <c r="P202" s="74" t="str">
        <f>_xlfn.IFNA(VLOOKUP(db_emp[[#This Row],[Code_lvl]],[1]!db_lvl[[#All],[ID_level]:[Leveling Name]],2,0),"-")</f>
        <v>Manager</v>
      </c>
      <c r="Q202" s="74" t="str">
        <f>_xlfn.IFNA(VLOOKUP(db_emp[[#This Row],[Code_site]],[1]!db_site[[ID_Site]:[Url_maps]],3,0),"-")</f>
        <v>Unit - GGP</v>
      </c>
      <c r="R2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240996,'Mira Agustini','OPR','GNRAL','Deputy Operation Mall Manager','LV05','Mall &amp; Cinema','M03','Employee','2024-06-11','2025-10-24'</v>
      </c>
      <c r="S202" s="74">
        <f>db_emp[[#This Row],[NIP (UPDATE)]]</f>
        <v>240996</v>
      </c>
    </row>
    <row r="203" spans="2:19" hidden="1" x14ac:dyDescent="0.25">
      <c r="B203" s="75">
        <v>482</v>
      </c>
      <c r="C203" s="75">
        <v>200038</v>
      </c>
      <c r="D203" s="74" t="s">
        <v>1172</v>
      </c>
      <c r="E203" s="75" t="s">
        <v>1018</v>
      </c>
      <c r="F203" s="75" t="s">
        <v>971</v>
      </c>
      <c r="G203" s="74" t="s">
        <v>1169</v>
      </c>
      <c r="H203" s="75" t="s">
        <v>1173</v>
      </c>
      <c r="I203" s="74" t="s">
        <v>849</v>
      </c>
      <c r="J203" s="75" t="s">
        <v>490</v>
      </c>
      <c r="K203" s="75" t="s">
        <v>850</v>
      </c>
      <c r="L203" s="76">
        <v>43836</v>
      </c>
      <c r="M203" s="77">
        <f t="shared" ca="1" si="4"/>
        <v>45954</v>
      </c>
      <c r="N203" s="74" t="str">
        <f>_xlfn.IFNA(VLOOKUP(db_emp[[#This Row],[ID_DIV]],[1]!db_dpt[[Code_dpt]:[Departement]],2,0),"-")</f>
        <v>Operational</v>
      </c>
      <c r="O203" s="74" t="str">
        <f>_xlfn.IFNA(VLOOKUP(db_emp[[#This Row],[ID_SDP]],[1]!db_div[[Code_div]:[Division]],2,0),"-")</f>
        <v>General Head Departement</v>
      </c>
      <c r="P203" s="74" t="str">
        <f>_xlfn.IFNA(VLOOKUP(db_emp[[#This Row],[Code_lvl]],[1]!db_lvl[[#All],[ID_level]:[Leveling Name]],2,0),"-")</f>
        <v>Deputy  Manager</v>
      </c>
      <c r="Q203" s="74" t="str">
        <f>_xlfn.IFNA(VLOOKUP(db_emp[[#This Row],[Code_site]],[1]!db_site[[ID_Site]:[Url_maps]],3,0),"-")</f>
        <v>Unit - ASHTA</v>
      </c>
      <c r="R2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200038,'Pedri Septian Halim','OPR','GNRAL','Deputy Operation Mall Manager','LV06','Mall &amp; Cinema','M04','Employee','2020-01-06','2025-10-24'</v>
      </c>
      <c r="S203" s="74">
        <f>db_emp[[#This Row],[NIP (UPDATE)]]</f>
        <v>200038</v>
      </c>
    </row>
    <row r="204" spans="2:19" hidden="1" x14ac:dyDescent="0.25">
      <c r="B204" s="75">
        <v>764</v>
      </c>
      <c r="C204" s="75">
        <v>250434</v>
      </c>
      <c r="D204" s="74" t="s">
        <v>1174</v>
      </c>
      <c r="E204" s="75" t="s">
        <v>970</v>
      </c>
      <c r="F204" s="75" t="s">
        <v>1175</v>
      </c>
      <c r="G204" s="74" t="s">
        <v>1176</v>
      </c>
      <c r="H204" s="75" t="s">
        <v>1177</v>
      </c>
      <c r="I204" s="74" t="s">
        <v>864</v>
      </c>
      <c r="J204" s="75" t="s">
        <v>501</v>
      </c>
      <c r="K204" s="75" t="s">
        <v>850</v>
      </c>
      <c r="L204" s="76"/>
      <c r="M204" s="77">
        <f t="shared" ca="1" si="4"/>
        <v>45954</v>
      </c>
      <c r="N204" s="74" t="str">
        <f>_xlfn.IFNA(VLOOKUP(db_emp[[#This Row],[ID_DIV]],[1]!db_dpt[[Code_dpt]:[Departement]],2,0),"-")</f>
        <v>Management</v>
      </c>
      <c r="O204" s="74" t="str">
        <f>_xlfn.IFNA(VLOOKUP(db_emp[[#This Row],[ID_SDP]],[1]!db_div[[Code_div]:[Division]],2,0),"-")</f>
        <v>Top level</v>
      </c>
      <c r="P204" s="74" t="str">
        <f>_xlfn.IFNA(VLOOKUP(db_emp[[#This Row],[Code_lvl]],[1]!db_lvl[[#All],[ID_level]:[Leveling Name]],2,0),"-")</f>
        <v>Director</v>
      </c>
      <c r="Q204" s="74" t="str">
        <f>_xlfn.IFNA(VLOOKUP(db_emp[[#This Row],[Code_site]],[1]!db_site[[ID_Site]:[Url_maps]],3,0),"-")</f>
        <v>Unit - District 8</v>
      </c>
      <c r="R2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250434,'Djoko Harjono','MNG','CLVEL','Developer Director','LV01','Corp. Supporting Property (POM)','OD8','Employee','1900-01-00','2025-10-24'</v>
      </c>
      <c r="S204" s="74">
        <f>db_emp[[#This Row],[NIP (UPDATE)]]</f>
        <v>250434</v>
      </c>
    </row>
    <row r="205" spans="2:19" hidden="1" x14ac:dyDescent="0.25">
      <c r="B205" s="75">
        <v>197</v>
      </c>
      <c r="C205" s="75">
        <v>230846</v>
      </c>
      <c r="D205" s="74" t="s">
        <v>1178</v>
      </c>
      <c r="E205" s="75" t="s">
        <v>920</v>
      </c>
      <c r="F205" s="75" t="s">
        <v>1179</v>
      </c>
      <c r="G205" s="74" t="s">
        <v>1180</v>
      </c>
      <c r="H205" s="75" t="s">
        <v>853</v>
      </c>
      <c r="I205" s="74" t="s">
        <v>849</v>
      </c>
      <c r="J205" s="75" t="s">
        <v>314</v>
      </c>
      <c r="K205" s="75" t="s">
        <v>850</v>
      </c>
      <c r="L205" s="76">
        <v>43157</v>
      </c>
      <c r="M205" s="77">
        <f t="shared" ca="1" si="4"/>
        <v>45954</v>
      </c>
      <c r="N205" s="74" t="str">
        <f>_xlfn.IFNA(VLOOKUP(db_emp[[#This Row],[ID_DIV]],[1]!db_dpt[[Code_dpt]:[Departement]],2,0),"-")</f>
        <v>Leasing</v>
      </c>
      <c r="O205" s="74" t="str">
        <f>_xlfn.IFNA(VLOOKUP(db_emp[[#This Row],[ID_SDP]],[1]!db_div[[Code_div]:[Division]],2,0),"-")</f>
        <v>Drafter</v>
      </c>
      <c r="P205" s="74" t="str">
        <f>_xlfn.IFNA(VLOOKUP(db_emp[[#This Row],[Code_lvl]],[1]!db_lvl[[#All],[ID_level]:[Leveling Name]],2,0),"-")</f>
        <v>Staff</v>
      </c>
      <c r="Q205" s="74" t="str">
        <f>_xlfn.IFNA(VLOOKUP(db_emp[[#This Row],[Code_site]],[1]!db_site[[ID_Site]:[Url_maps]],3,0),"-")</f>
        <v>Unit - MOI</v>
      </c>
      <c r="R2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230846,'Sidha Primanda','LEA','DRFTR','Drafter Staff','LV12','Mall &amp; Cinema','M02','Employee','2018-02-26','2025-10-24'</v>
      </c>
      <c r="S205" s="74">
        <f>db_emp[[#This Row],[NIP (UPDATE)]]</f>
        <v>230846</v>
      </c>
    </row>
    <row r="206" spans="2:19" hidden="1" x14ac:dyDescent="0.25">
      <c r="B206" s="75">
        <v>596</v>
      </c>
      <c r="C206" s="75">
        <v>241431</v>
      </c>
      <c r="D206" s="74" t="s">
        <v>1181</v>
      </c>
      <c r="E206" s="75" t="s">
        <v>911</v>
      </c>
      <c r="F206" s="75" t="s">
        <v>1179</v>
      </c>
      <c r="G206" s="74" t="s">
        <v>1180</v>
      </c>
      <c r="H206" s="75" t="s">
        <v>853</v>
      </c>
      <c r="I206" s="74" t="s">
        <v>864</v>
      </c>
      <c r="J206" s="75" t="s">
        <v>433</v>
      </c>
      <c r="K206" s="75" t="s">
        <v>903</v>
      </c>
      <c r="L206" s="76">
        <v>45509</v>
      </c>
      <c r="M206" s="77">
        <v>45865</v>
      </c>
      <c r="N206" s="74" t="str">
        <f>_xlfn.IFNA(VLOOKUP(db_emp[[#This Row],[ID_DIV]],[1]!db_dpt[[Code_dpt]:[Departement]],2,0),"-")</f>
        <v>Engineering</v>
      </c>
      <c r="O206" s="74" t="str">
        <f>_xlfn.IFNA(VLOOKUP(db_emp[[#This Row],[ID_SDP]],[1]!db_div[[Code_div]:[Division]],2,0),"-")</f>
        <v>Drafter</v>
      </c>
      <c r="P206" s="74" t="str">
        <f>_xlfn.IFNA(VLOOKUP(db_emp[[#This Row],[Code_lvl]],[1]!db_lvl[[#All],[ID_level]:[Leveling Name]],2,0),"-")</f>
        <v>Staff</v>
      </c>
      <c r="Q206" s="74" t="str">
        <f>_xlfn.IFNA(VLOOKUP(db_emp[[#This Row],[Code_site]],[1]!db_site[[ID_Site]:[Url_maps]],3,0),"-")</f>
        <v>Unit - Taman Anggrek Residences</v>
      </c>
      <c r="R206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241431,'Puja Restu Panggesang','ENG','DRFTR','Drafter Staff','LV12','Corp. Supporting Property (POM)','A01','Resign','2024-08-05','2025-07-27'</v>
      </c>
      <c r="S206" s="74">
        <f>db_emp[[#This Row],[NIP (UPDATE)]]</f>
        <v>241431</v>
      </c>
    </row>
    <row r="207" spans="2:19" hidden="1" x14ac:dyDescent="0.25">
      <c r="B207" s="75">
        <v>171</v>
      </c>
      <c r="C207" s="75">
        <v>230813</v>
      </c>
      <c r="D207" s="74" t="s">
        <v>1182</v>
      </c>
      <c r="E207" s="75" t="s">
        <v>911</v>
      </c>
      <c r="F207" s="75" t="s">
        <v>1183</v>
      </c>
      <c r="G207" s="74" t="s">
        <v>1184</v>
      </c>
      <c r="H207" s="75" t="s">
        <v>853</v>
      </c>
      <c r="I207" s="74" t="s">
        <v>849</v>
      </c>
      <c r="J207" s="75" t="s">
        <v>314</v>
      </c>
      <c r="K207" s="75" t="s">
        <v>850</v>
      </c>
      <c r="L207" s="76">
        <v>42768</v>
      </c>
      <c r="M207" s="77">
        <f t="shared" ref="M207:M229" ca="1" si="5">TODAY()+1</f>
        <v>45954</v>
      </c>
      <c r="N207" s="74" t="str">
        <f>_xlfn.IFNA(VLOOKUP(db_emp[[#This Row],[ID_DIV]],[1]!db_dpt[[Code_dpt]:[Departement]],2,0),"-")</f>
        <v>Engineering</v>
      </c>
      <c r="O207" s="74" t="str">
        <f>_xlfn.IFNA(VLOOKUP(db_emp[[#This Row],[ID_SDP]],[1]!db_div[[Code_div]:[Division]],2,0),"-")</f>
        <v>Electrical</v>
      </c>
      <c r="P207" s="74" t="str">
        <f>_xlfn.IFNA(VLOOKUP(db_emp[[#This Row],[Code_lvl]],[1]!db_lvl[[#All],[ID_level]:[Leveling Name]],2,0),"-")</f>
        <v>Staff</v>
      </c>
      <c r="Q207" s="74" t="str">
        <f>_xlfn.IFNA(VLOOKUP(db_emp[[#This Row],[Code_site]],[1]!db_site[[ID_Site]:[Url_maps]],3,0),"-")</f>
        <v>Unit - MOI</v>
      </c>
      <c r="R2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230813,'Yanuarsah Priyanto','ENG','ELECT','Electrical Staff','LV12','Mall &amp; Cinema','M02','Employee','2017-02-02','2025-10-24'</v>
      </c>
      <c r="S207" s="74">
        <f>db_emp[[#This Row],[NIP (UPDATE)]]</f>
        <v>230813</v>
      </c>
    </row>
    <row r="208" spans="2:19" hidden="1" x14ac:dyDescent="0.25">
      <c r="B208" s="75">
        <v>173</v>
      </c>
      <c r="C208" s="75">
        <v>110651</v>
      </c>
      <c r="D208" s="74" t="s">
        <v>1185</v>
      </c>
      <c r="E208" s="75" t="s">
        <v>911</v>
      </c>
      <c r="F208" s="75" t="s">
        <v>1183</v>
      </c>
      <c r="G208" s="74" t="s">
        <v>1184</v>
      </c>
      <c r="H208" s="75" t="s">
        <v>853</v>
      </c>
      <c r="I208" s="74" t="s">
        <v>849</v>
      </c>
      <c r="J208" s="75" t="s">
        <v>314</v>
      </c>
      <c r="K208" s="75" t="s">
        <v>850</v>
      </c>
      <c r="L208" s="76">
        <v>40749</v>
      </c>
      <c r="M208" s="77">
        <f t="shared" ca="1" si="5"/>
        <v>45954</v>
      </c>
      <c r="N208" s="74" t="str">
        <f>_xlfn.IFNA(VLOOKUP(db_emp[[#This Row],[ID_DIV]],[1]!db_dpt[[Code_dpt]:[Departement]],2,0),"-")</f>
        <v>Engineering</v>
      </c>
      <c r="O208" s="74" t="str">
        <f>_xlfn.IFNA(VLOOKUP(db_emp[[#This Row],[ID_SDP]],[1]!db_div[[Code_div]:[Division]],2,0),"-")</f>
        <v>Electrical</v>
      </c>
      <c r="P208" s="74" t="str">
        <f>_xlfn.IFNA(VLOOKUP(db_emp[[#This Row],[Code_lvl]],[1]!db_lvl[[#All],[ID_level]:[Leveling Name]],2,0),"-")</f>
        <v>Staff</v>
      </c>
      <c r="Q208" s="74" t="str">
        <f>_xlfn.IFNA(VLOOKUP(db_emp[[#This Row],[Code_site]],[1]!db_site[[ID_Site]:[Url_maps]],3,0),"-")</f>
        <v>Unit - MOI</v>
      </c>
      <c r="R2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110651,'Joni Supriyanto','ENG','ELECT','Electrical Staff','LV12','Mall &amp; Cinema','M02','Employee','2011-07-25','2025-10-24'</v>
      </c>
      <c r="S208" s="74">
        <f>db_emp[[#This Row],[NIP (UPDATE)]]</f>
        <v>110651</v>
      </c>
    </row>
    <row r="209" spans="2:19" hidden="1" x14ac:dyDescent="0.25">
      <c r="B209" s="75">
        <v>174</v>
      </c>
      <c r="C209" s="75">
        <v>110583</v>
      </c>
      <c r="D209" s="74" t="s">
        <v>1186</v>
      </c>
      <c r="E209" s="75" t="s">
        <v>911</v>
      </c>
      <c r="F209" s="75" t="s">
        <v>1183</v>
      </c>
      <c r="G209" s="74" t="s">
        <v>1184</v>
      </c>
      <c r="H209" s="75" t="s">
        <v>853</v>
      </c>
      <c r="I209" s="74" t="s">
        <v>849</v>
      </c>
      <c r="J209" s="75" t="s">
        <v>314</v>
      </c>
      <c r="K209" s="75" t="s">
        <v>850</v>
      </c>
      <c r="L209" s="76">
        <v>40725</v>
      </c>
      <c r="M209" s="77">
        <f t="shared" ca="1" si="5"/>
        <v>45954</v>
      </c>
      <c r="N209" s="74" t="str">
        <f>_xlfn.IFNA(VLOOKUP(db_emp[[#This Row],[ID_DIV]],[1]!db_dpt[[Code_dpt]:[Departement]],2,0),"-")</f>
        <v>Engineering</v>
      </c>
      <c r="O209" s="74" t="str">
        <f>_xlfn.IFNA(VLOOKUP(db_emp[[#This Row],[ID_SDP]],[1]!db_div[[Code_div]:[Division]],2,0),"-")</f>
        <v>Electrical</v>
      </c>
      <c r="P209" s="74" t="str">
        <f>_xlfn.IFNA(VLOOKUP(db_emp[[#This Row],[Code_lvl]],[1]!db_lvl[[#All],[ID_level]:[Leveling Name]],2,0),"-")</f>
        <v>Staff</v>
      </c>
      <c r="Q209" s="74" t="str">
        <f>_xlfn.IFNA(VLOOKUP(db_emp[[#This Row],[Code_site]],[1]!db_site[[ID_Site]:[Url_maps]],3,0),"-")</f>
        <v>Unit - MOI</v>
      </c>
      <c r="R2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110583,'Devo Prihantino','ENG','ELECT','Electrical Staff','LV12','Mall &amp; Cinema','M02','Employee','2011-07-01','2025-10-24'</v>
      </c>
      <c r="S209" s="74">
        <f>db_emp[[#This Row],[NIP (UPDATE)]]</f>
        <v>110583</v>
      </c>
    </row>
    <row r="210" spans="2:19" hidden="1" x14ac:dyDescent="0.25">
      <c r="B210" s="75">
        <v>175</v>
      </c>
      <c r="C210" s="75">
        <v>120425</v>
      </c>
      <c r="D210" s="74" t="s">
        <v>1187</v>
      </c>
      <c r="E210" s="75" t="s">
        <v>911</v>
      </c>
      <c r="F210" s="75" t="s">
        <v>1183</v>
      </c>
      <c r="G210" s="74" t="s">
        <v>1184</v>
      </c>
      <c r="H210" s="75" t="s">
        <v>853</v>
      </c>
      <c r="I210" s="74" t="s">
        <v>849</v>
      </c>
      <c r="J210" s="75" t="s">
        <v>314</v>
      </c>
      <c r="K210" s="75" t="s">
        <v>850</v>
      </c>
      <c r="L210" s="76">
        <v>41015</v>
      </c>
      <c r="M210" s="77">
        <f t="shared" ca="1" si="5"/>
        <v>45954</v>
      </c>
      <c r="N210" s="74" t="str">
        <f>_xlfn.IFNA(VLOOKUP(db_emp[[#This Row],[ID_DIV]],[1]!db_dpt[[Code_dpt]:[Departement]],2,0),"-")</f>
        <v>Engineering</v>
      </c>
      <c r="O210" s="74" t="str">
        <f>_xlfn.IFNA(VLOOKUP(db_emp[[#This Row],[ID_SDP]],[1]!db_div[[Code_div]:[Division]],2,0),"-")</f>
        <v>Electrical</v>
      </c>
      <c r="P210" s="74" t="str">
        <f>_xlfn.IFNA(VLOOKUP(db_emp[[#This Row],[Code_lvl]],[1]!db_lvl[[#All],[ID_level]:[Leveling Name]],2,0),"-")</f>
        <v>Staff</v>
      </c>
      <c r="Q210" s="74" t="str">
        <f>_xlfn.IFNA(VLOOKUP(db_emp[[#This Row],[Code_site]],[1]!db_site[[ID_Site]:[Url_maps]],3,0),"-")</f>
        <v>Unit - MOI</v>
      </c>
      <c r="R2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120425,'Dasmo.','ENG','ELECT','Electrical Staff','LV12','Mall &amp; Cinema','M02','Employee','2012-04-16','2025-10-24'</v>
      </c>
      <c r="S210" s="74">
        <f>db_emp[[#This Row],[NIP (UPDATE)]]</f>
        <v>120425</v>
      </c>
    </row>
    <row r="211" spans="2:19" hidden="1" x14ac:dyDescent="0.25">
      <c r="B211" s="75">
        <v>224</v>
      </c>
      <c r="C211" s="75">
        <v>221337</v>
      </c>
      <c r="D211" s="74" t="s">
        <v>1188</v>
      </c>
      <c r="E211" s="75" t="s">
        <v>911</v>
      </c>
      <c r="F211" s="75" t="s">
        <v>1183</v>
      </c>
      <c r="G211" s="74" t="s">
        <v>1184</v>
      </c>
      <c r="H211" s="75" t="s">
        <v>853</v>
      </c>
      <c r="I211" s="74" t="s">
        <v>849</v>
      </c>
      <c r="J211" s="75" t="s">
        <v>314</v>
      </c>
      <c r="K211" s="75" t="s">
        <v>850</v>
      </c>
      <c r="L211" s="76">
        <v>44809</v>
      </c>
      <c r="M211" s="77">
        <f t="shared" ca="1" si="5"/>
        <v>45954</v>
      </c>
      <c r="N211" s="74" t="str">
        <f>_xlfn.IFNA(VLOOKUP(db_emp[[#This Row],[ID_DIV]],[1]!db_dpt[[Code_dpt]:[Departement]],2,0),"-")</f>
        <v>Engineering</v>
      </c>
      <c r="O211" s="74" t="str">
        <f>_xlfn.IFNA(VLOOKUP(db_emp[[#This Row],[ID_SDP]],[1]!db_div[[Code_div]:[Division]],2,0),"-")</f>
        <v>Electrical</v>
      </c>
      <c r="P211" s="74" t="str">
        <f>_xlfn.IFNA(VLOOKUP(db_emp[[#This Row],[Code_lvl]],[1]!db_lvl[[#All],[ID_level]:[Leveling Name]],2,0),"-")</f>
        <v>Staff</v>
      </c>
      <c r="Q211" s="74" t="str">
        <f>_xlfn.IFNA(VLOOKUP(db_emp[[#This Row],[Code_site]],[1]!db_site[[ID_Site]:[Url_maps]],3,0),"-")</f>
        <v>Unit - MOI</v>
      </c>
      <c r="R2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221337,'Agus Topan','ENG','ELECT','Electrical Staff','LV12','Mall &amp; Cinema','M02','Employee','2022-09-05','2025-10-24'</v>
      </c>
      <c r="S211" s="74">
        <f>db_emp[[#This Row],[NIP (UPDATE)]]</f>
        <v>221337</v>
      </c>
    </row>
    <row r="212" spans="2:19" hidden="1" x14ac:dyDescent="0.25">
      <c r="B212" s="75">
        <v>256</v>
      </c>
      <c r="C212" s="75">
        <v>241508</v>
      </c>
      <c r="D212" s="74" t="s">
        <v>1189</v>
      </c>
      <c r="E212" s="75" t="s">
        <v>911</v>
      </c>
      <c r="F212" s="75" t="s">
        <v>1183</v>
      </c>
      <c r="G212" s="74" t="s">
        <v>1184</v>
      </c>
      <c r="H212" s="75" t="s">
        <v>853</v>
      </c>
      <c r="I212" s="74" t="s">
        <v>849</v>
      </c>
      <c r="J212" s="75" t="s">
        <v>314</v>
      </c>
      <c r="K212" s="75" t="s">
        <v>850</v>
      </c>
      <c r="L212" s="76">
        <v>45523</v>
      </c>
      <c r="M212" s="77">
        <f t="shared" ca="1" si="5"/>
        <v>45954</v>
      </c>
      <c r="N212" s="74" t="str">
        <f>_xlfn.IFNA(VLOOKUP(db_emp[[#This Row],[ID_DIV]],[1]!db_dpt[[Code_dpt]:[Departement]],2,0),"-")</f>
        <v>Engineering</v>
      </c>
      <c r="O212" s="74" t="str">
        <f>_xlfn.IFNA(VLOOKUP(db_emp[[#This Row],[ID_SDP]],[1]!db_div[[Code_div]:[Division]],2,0),"-")</f>
        <v>Electrical</v>
      </c>
      <c r="P212" s="74" t="str">
        <f>_xlfn.IFNA(VLOOKUP(db_emp[[#This Row],[Code_lvl]],[1]!db_lvl[[#All],[ID_level]:[Leveling Name]],2,0),"-")</f>
        <v>Staff</v>
      </c>
      <c r="Q212" s="74" t="str">
        <f>_xlfn.IFNA(VLOOKUP(db_emp[[#This Row],[Code_site]],[1]!db_site[[ID_Site]:[Url_maps]],3,0),"-")</f>
        <v>Unit - MOI</v>
      </c>
      <c r="R2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241508,'Vino Rianto','ENG','ELECT','Electrical Staff','LV12','Mall &amp; Cinema','M02','Employee','2024-08-19','2025-10-24'</v>
      </c>
      <c r="S212" s="74">
        <f>db_emp[[#This Row],[NIP (UPDATE)]]</f>
        <v>241508</v>
      </c>
    </row>
    <row r="213" spans="2:19" hidden="1" x14ac:dyDescent="0.25">
      <c r="B213" s="75">
        <v>265</v>
      </c>
      <c r="C213" s="75">
        <v>241871</v>
      </c>
      <c r="D213" s="74" t="s">
        <v>1190</v>
      </c>
      <c r="E213" s="75" t="s">
        <v>911</v>
      </c>
      <c r="F213" s="75" t="s">
        <v>1183</v>
      </c>
      <c r="G213" s="74" t="s">
        <v>1184</v>
      </c>
      <c r="H213" s="75" t="s">
        <v>853</v>
      </c>
      <c r="I213" s="74" t="s">
        <v>849</v>
      </c>
      <c r="J213" s="75" t="s">
        <v>314</v>
      </c>
      <c r="K213" s="75" t="s">
        <v>850</v>
      </c>
      <c r="L213" s="76">
        <v>45582</v>
      </c>
      <c r="M213" s="77">
        <f t="shared" ca="1" si="5"/>
        <v>45954</v>
      </c>
      <c r="N213" s="74" t="str">
        <f>_xlfn.IFNA(VLOOKUP(db_emp[[#This Row],[ID_DIV]],[1]!db_dpt[[Code_dpt]:[Departement]],2,0),"-")</f>
        <v>Engineering</v>
      </c>
      <c r="O213" s="74" t="str">
        <f>_xlfn.IFNA(VLOOKUP(db_emp[[#This Row],[ID_SDP]],[1]!db_div[[Code_div]:[Division]],2,0),"-")</f>
        <v>Electrical</v>
      </c>
      <c r="P213" s="74" t="str">
        <f>_xlfn.IFNA(VLOOKUP(db_emp[[#This Row],[Code_lvl]],[1]!db_lvl[[#All],[ID_level]:[Leveling Name]],2,0),"-")</f>
        <v>Staff</v>
      </c>
      <c r="Q213" s="74" t="str">
        <f>_xlfn.IFNA(VLOOKUP(db_emp[[#This Row],[Code_site]],[1]!db_site[[ID_Site]:[Url_maps]],3,0),"-")</f>
        <v>Unit - MOI</v>
      </c>
      <c r="R2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241871,'Martin Abdulah','ENG','ELECT','Electrical Staff','LV12','Mall &amp; Cinema','M02','Employee','2024-10-17','2025-10-24'</v>
      </c>
      <c r="S213" s="74">
        <f>db_emp[[#This Row],[NIP (UPDATE)]]</f>
        <v>241871</v>
      </c>
    </row>
    <row r="214" spans="2:19" hidden="1" x14ac:dyDescent="0.25">
      <c r="B214" s="75">
        <v>282</v>
      </c>
      <c r="C214" s="75">
        <v>250381</v>
      </c>
      <c r="D214" s="74" t="s">
        <v>1191</v>
      </c>
      <c r="E214" s="75" t="s">
        <v>911</v>
      </c>
      <c r="F214" s="75" t="s">
        <v>1183</v>
      </c>
      <c r="G214" s="74" t="s">
        <v>1184</v>
      </c>
      <c r="H214" s="75" t="s">
        <v>853</v>
      </c>
      <c r="I214" s="74" t="s">
        <v>849</v>
      </c>
      <c r="J214" s="75" t="s">
        <v>314</v>
      </c>
      <c r="K214" s="75" t="s">
        <v>862</v>
      </c>
      <c r="L214" s="76">
        <v>45775</v>
      </c>
      <c r="M214" s="77">
        <f t="shared" ca="1" si="5"/>
        <v>45954</v>
      </c>
      <c r="N214" s="74" t="str">
        <f>_xlfn.IFNA(VLOOKUP(db_emp[[#This Row],[ID_DIV]],[1]!db_dpt[[Code_dpt]:[Departement]],2,0),"-")</f>
        <v>Engineering</v>
      </c>
      <c r="O214" s="74" t="str">
        <f>_xlfn.IFNA(VLOOKUP(db_emp[[#This Row],[ID_SDP]],[1]!db_div[[Code_div]:[Division]],2,0),"-")</f>
        <v>Electrical</v>
      </c>
      <c r="P214" s="74" t="str">
        <f>_xlfn.IFNA(VLOOKUP(db_emp[[#This Row],[Code_lvl]],[1]!db_lvl[[#All],[ID_level]:[Leveling Name]],2,0),"-")</f>
        <v>Staff</v>
      </c>
      <c r="Q214" s="74" t="str">
        <f>_xlfn.IFNA(VLOOKUP(db_emp[[#This Row],[Code_site]],[1]!db_site[[ID_Site]:[Url_maps]],3,0),"-")</f>
        <v>Unit - MOI</v>
      </c>
      <c r="R2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250381,'Muhammad Fikri Fadilah','ENG','ELECT','Electrical Staff','LV12','Mall &amp; Cinema','M02','Not Employee','2025-04-28','2025-10-24'</v>
      </c>
      <c r="S214" s="74">
        <f>db_emp[[#This Row],[NIP (UPDATE)]]</f>
        <v>250381</v>
      </c>
    </row>
    <row r="215" spans="2:19" hidden="1" x14ac:dyDescent="0.25">
      <c r="B215" s="75">
        <v>326</v>
      </c>
      <c r="C215" s="75">
        <v>221477</v>
      </c>
      <c r="D215" s="74" t="s">
        <v>1192</v>
      </c>
      <c r="E215" s="75" t="s">
        <v>911</v>
      </c>
      <c r="F215" s="75" t="s">
        <v>1183</v>
      </c>
      <c r="G215" s="74" t="s">
        <v>1184</v>
      </c>
      <c r="H215" s="75" t="s">
        <v>853</v>
      </c>
      <c r="I215" s="74" t="s">
        <v>849</v>
      </c>
      <c r="J215" s="75" t="s">
        <v>484</v>
      </c>
      <c r="K215" s="75" t="s">
        <v>850</v>
      </c>
      <c r="L215" s="76">
        <v>44834</v>
      </c>
      <c r="M215" s="77">
        <f t="shared" ca="1" si="5"/>
        <v>45954</v>
      </c>
      <c r="N215" s="74" t="str">
        <f>_xlfn.IFNA(VLOOKUP(db_emp[[#This Row],[ID_DIV]],[1]!db_dpt[[Code_dpt]:[Departement]],2,0),"-")</f>
        <v>Engineering</v>
      </c>
      <c r="O215" s="74" t="str">
        <f>_xlfn.IFNA(VLOOKUP(db_emp[[#This Row],[ID_SDP]],[1]!db_div[[Code_div]:[Division]],2,0),"-")</f>
        <v>Electrical</v>
      </c>
      <c r="P215" s="74" t="str">
        <f>_xlfn.IFNA(VLOOKUP(db_emp[[#This Row],[Code_lvl]],[1]!db_lvl[[#All],[ID_level]:[Leveling Name]],2,0),"-")</f>
        <v>Staff</v>
      </c>
      <c r="Q215" s="74" t="str">
        <f>_xlfn.IFNA(VLOOKUP(db_emp[[#This Row],[Code_site]],[1]!db_site[[ID_Site]:[Url_maps]],3,0),"-")</f>
        <v>Unit - PIK Avenue</v>
      </c>
      <c r="R2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221477,'Aditya Rafi Muhamad','ENG','ELECT','Electrical Staff','LV12','Mall &amp; Cinema','M01','Employee','2022-09-30','2025-10-24'</v>
      </c>
      <c r="S215" s="74">
        <f>db_emp[[#This Row],[NIP (UPDATE)]]</f>
        <v>221477</v>
      </c>
    </row>
    <row r="216" spans="2:19" hidden="1" x14ac:dyDescent="0.25">
      <c r="B216" s="75">
        <v>327</v>
      </c>
      <c r="C216" s="75">
        <v>221482</v>
      </c>
      <c r="D216" s="74" t="s">
        <v>1193</v>
      </c>
      <c r="E216" s="75" t="s">
        <v>911</v>
      </c>
      <c r="F216" s="75" t="s">
        <v>1183</v>
      </c>
      <c r="G216" s="74" t="s">
        <v>1184</v>
      </c>
      <c r="H216" s="75" t="s">
        <v>853</v>
      </c>
      <c r="I216" s="74" t="s">
        <v>849</v>
      </c>
      <c r="J216" s="75" t="s">
        <v>484</v>
      </c>
      <c r="K216" s="75" t="s">
        <v>850</v>
      </c>
      <c r="L216" s="76">
        <v>44834</v>
      </c>
      <c r="M216" s="77">
        <f t="shared" ca="1" si="5"/>
        <v>45954</v>
      </c>
      <c r="N216" s="74" t="str">
        <f>_xlfn.IFNA(VLOOKUP(db_emp[[#This Row],[ID_DIV]],[1]!db_dpt[[Code_dpt]:[Departement]],2,0),"-")</f>
        <v>Engineering</v>
      </c>
      <c r="O216" s="74" t="str">
        <f>_xlfn.IFNA(VLOOKUP(db_emp[[#This Row],[ID_SDP]],[1]!db_div[[Code_div]:[Division]],2,0),"-")</f>
        <v>Electrical</v>
      </c>
      <c r="P216" s="74" t="str">
        <f>_xlfn.IFNA(VLOOKUP(db_emp[[#This Row],[Code_lvl]],[1]!db_lvl[[#All],[ID_level]:[Leveling Name]],2,0),"-")</f>
        <v>Staff</v>
      </c>
      <c r="Q216" s="74" t="str">
        <f>_xlfn.IFNA(VLOOKUP(db_emp[[#This Row],[Code_site]],[1]!db_site[[ID_Site]:[Url_maps]],3,0),"-")</f>
        <v>Unit - PIK Avenue</v>
      </c>
      <c r="R2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221482,'Jajuli','ENG','ELECT','Electrical Staff','LV12','Mall &amp; Cinema','M01','Employee','2022-09-30','2025-10-24'</v>
      </c>
      <c r="S216" s="74">
        <f>db_emp[[#This Row],[NIP (UPDATE)]]</f>
        <v>221482</v>
      </c>
    </row>
    <row r="217" spans="2:19" hidden="1" x14ac:dyDescent="0.25">
      <c r="B217" s="75">
        <v>331</v>
      </c>
      <c r="C217" s="75">
        <v>240949</v>
      </c>
      <c r="D217" s="74" t="s">
        <v>1194</v>
      </c>
      <c r="E217" s="75" t="s">
        <v>911</v>
      </c>
      <c r="F217" s="75" t="s">
        <v>1183</v>
      </c>
      <c r="G217" s="74" t="s">
        <v>1184</v>
      </c>
      <c r="H217" s="75" t="s">
        <v>853</v>
      </c>
      <c r="I217" s="74" t="s">
        <v>849</v>
      </c>
      <c r="J217" s="75" t="s">
        <v>484</v>
      </c>
      <c r="K217" s="75" t="s">
        <v>850</v>
      </c>
      <c r="L217" s="76">
        <v>45446</v>
      </c>
      <c r="M217" s="77">
        <f t="shared" ca="1" si="5"/>
        <v>45954</v>
      </c>
      <c r="N217" s="74" t="str">
        <f>_xlfn.IFNA(VLOOKUP(db_emp[[#This Row],[ID_DIV]],[1]!db_dpt[[Code_dpt]:[Departement]],2,0),"-")</f>
        <v>Engineering</v>
      </c>
      <c r="O217" s="74" t="str">
        <f>_xlfn.IFNA(VLOOKUP(db_emp[[#This Row],[ID_SDP]],[1]!db_div[[Code_div]:[Division]],2,0),"-")</f>
        <v>Electrical</v>
      </c>
      <c r="P217" s="74" t="str">
        <f>_xlfn.IFNA(VLOOKUP(db_emp[[#This Row],[Code_lvl]],[1]!db_lvl[[#All],[ID_level]:[Leveling Name]],2,0),"-")</f>
        <v>Staff</v>
      </c>
      <c r="Q217" s="74" t="str">
        <f>_xlfn.IFNA(VLOOKUP(db_emp[[#This Row],[Code_site]],[1]!db_site[[ID_Site]:[Url_maps]],3,0),"-")</f>
        <v>Unit - PIK Avenue</v>
      </c>
      <c r="R2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240949,'Rangga Palastawa','ENG','ELECT','Electrical Staff','LV12','Mall &amp; Cinema','M01','Employee','2024-06-03','2025-10-24'</v>
      </c>
      <c r="S217" s="74">
        <f>db_emp[[#This Row],[NIP (UPDATE)]]</f>
        <v>240949</v>
      </c>
    </row>
    <row r="218" spans="2:19" hidden="1" x14ac:dyDescent="0.25">
      <c r="B218" s="75">
        <v>352</v>
      </c>
      <c r="C218" s="75">
        <v>250366</v>
      </c>
      <c r="D218" s="74" t="s">
        <v>1195</v>
      </c>
      <c r="E218" s="75" t="s">
        <v>911</v>
      </c>
      <c r="F218" s="75" t="s">
        <v>1183</v>
      </c>
      <c r="G218" s="74" t="s">
        <v>1184</v>
      </c>
      <c r="H218" s="75" t="s">
        <v>853</v>
      </c>
      <c r="I218" s="74" t="s">
        <v>849</v>
      </c>
      <c r="J218" s="75" t="s">
        <v>484</v>
      </c>
      <c r="K218" s="75" t="s">
        <v>862</v>
      </c>
      <c r="L218" s="76">
        <v>45775</v>
      </c>
      <c r="M218" s="77">
        <f t="shared" ca="1" si="5"/>
        <v>45954</v>
      </c>
      <c r="N218" s="74" t="str">
        <f>_xlfn.IFNA(VLOOKUP(db_emp[[#This Row],[ID_DIV]],[1]!db_dpt[[Code_dpt]:[Departement]],2,0),"-")</f>
        <v>Engineering</v>
      </c>
      <c r="O218" s="74" t="str">
        <f>_xlfn.IFNA(VLOOKUP(db_emp[[#This Row],[ID_SDP]],[1]!db_div[[Code_div]:[Division]],2,0),"-")</f>
        <v>Electrical</v>
      </c>
      <c r="P218" s="74" t="str">
        <f>_xlfn.IFNA(VLOOKUP(db_emp[[#This Row],[Code_lvl]],[1]!db_lvl[[#All],[ID_level]:[Leveling Name]],2,0),"-")</f>
        <v>Staff</v>
      </c>
      <c r="Q218" s="74" t="str">
        <f>_xlfn.IFNA(VLOOKUP(db_emp[[#This Row],[Code_site]],[1]!db_site[[ID_Site]:[Url_maps]],3,0),"-")</f>
        <v>Unit - PIK Avenue</v>
      </c>
      <c r="R2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250366,'Regil Yanwar Fadilah','ENG','ELECT','Electrical Staff','LV12','Mall &amp; Cinema','M01','Not Employee','2025-04-28','2025-10-24'</v>
      </c>
      <c r="S218" s="74">
        <f>db_emp[[#This Row],[NIP (UPDATE)]]</f>
        <v>250366</v>
      </c>
    </row>
    <row r="219" spans="2:19" hidden="1" x14ac:dyDescent="0.25">
      <c r="B219" s="75">
        <v>389</v>
      </c>
      <c r="C219" s="75">
        <v>150197</v>
      </c>
      <c r="D219" s="74" t="s">
        <v>1196</v>
      </c>
      <c r="E219" s="75" t="s">
        <v>911</v>
      </c>
      <c r="F219" s="75" t="s">
        <v>1183</v>
      </c>
      <c r="G219" s="74" t="s">
        <v>1184</v>
      </c>
      <c r="H219" s="75" t="s">
        <v>853</v>
      </c>
      <c r="I219" s="74" t="s">
        <v>849</v>
      </c>
      <c r="J219" s="75" t="s">
        <v>316</v>
      </c>
      <c r="K219" s="75" t="s">
        <v>850</v>
      </c>
      <c r="L219" s="76">
        <v>42051</v>
      </c>
      <c r="M219" s="77">
        <f t="shared" ca="1" si="5"/>
        <v>45954</v>
      </c>
      <c r="N219" s="74" t="str">
        <f>_xlfn.IFNA(VLOOKUP(db_emp[[#This Row],[ID_DIV]],[1]!db_dpt[[Code_dpt]:[Departement]],2,0),"-")</f>
        <v>Engineering</v>
      </c>
      <c r="O219" s="74" t="str">
        <f>_xlfn.IFNA(VLOOKUP(db_emp[[#This Row],[ID_SDP]],[1]!db_div[[Code_div]:[Division]],2,0),"-")</f>
        <v>Electrical</v>
      </c>
      <c r="P219" s="74" t="str">
        <f>_xlfn.IFNA(VLOOKUP(db_emp[[#This Row],[Code_lvl]],[1]!db_lvl[[#All],[ID_level]:[Leveling Name]],2,0),"-")</f>
        <v>Staff</v>
      </c>
      <c r="Q219" s="74" t="str">
        <f>_xlfn.IFNA(VLOOKUP(db_emp[[#This Row],[Code_site]],[1]!db_site[[ID_Site]:[Url_maps]],3,0),"-")</f>
        <v>Unit - GGP</v>
      </c>
      <c r="R2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150197,'Taryanto.','ENG','ELECT','Electrical Staff','LV12','Mall &amp; Cinema','M03','Employee','2015-02-16','2025-10-24'</v>
      </c>
      <c r="S219" s="74">
        <f>db_emp[[#This Row],[NIP (UPDATE)]]</f>
        <v>150197</v>
      </c>
    </row>
    <row r="220" spans="2:19" hidden="1" x14ac:dyDescent="0.25">
      <c r="B220" s="75">
        <v>393</v>
      </c>
      <c r="C220" s="75">
        <v>230705</v>
      </c>
      <c r="D220" s="74" t="s">
        <v>1197</v>
      </c>
      <c r="E220" s="75" t="s">
        <v>911</v>
      </c>
      <c r="F220" s="75" t="s">
        <v>1183</v>
      </c>
      <c r="G220" s="74" t="s">
        <v>1184</v>
      </c>
      <c r="H220" s="75" t="s">
        <v>853</v>
      </c>
      <c r="I220" s="74" t="s">
        <v>849</v>
      </c>
      <c r="J220" s="75" t="s">
        <v>316</v>
      </c>
      <c r="K220" s="75" t="s">
        <v>850</v>
      </c>
      <c r="L220" s="76">
        <v>42464</v>
      </c>
      <c r="M220" s="77">
        <f t="shared" ca="1" si="5"/>
        <v>45954</v>
      </c>
      <c r="N220" s="74" t="str">
        <f>_xlfn.IFNA(VLOOKUP(db_emp[[#This Row],[ID_DIV]],[1]!db_dpt[[Code_dpt]:[Departement]],2,0),"-")</f>
        <v>Engineering</v>
      </c>
      <c r="O220" s="74" t="str">
        <f>_xlfn.IFNA(VLOOKUP(db_emp[[#This Row],[ID_SDP]],[1]!db_div[[Code_div]:[Division]],2,0),"-")</f>
        <v>Electrical</v>
      </c>
      <c r="P220" s="74" t="str">
        <f>_xlfn.IFNA(VLOOKUP(db_emp[[#This Row],[Code_lvl]],[1]!db_lvl[[#All],[ID_level]:[Leveling Name]],2,0),"-")</f>
        <v>Staff</v>
      </c>
      <c r="Q220" s="74" t="str">
        <f>_xlfn.IFNA(VLOOKUP(db_emp[[#This Row],[Code_site]],[1]!db_site[[ID_Site]:[Url_maps]],3,0),"-")</f>
        <v>Unit - GGP</v>
      </c>
      <c r="R2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230705,'Heru Mustofa','ENG','ELECT','Electrical Staff','LV12','Mall &amp; Cinema','M03','Employee','2016-04-04','2025-10-24'</v>
      </c>
      <c r="S220" s="74">
        <f>db_emp[[#This Row],[NIP (UPDATE)]]</f>
        <v>230705</v>
      </c>
    </row>
    <row r="221" spans="2:19" hidden="1" x14ac:dyDescent="0.25">
      <c r="B221" s="75">
        <v>423</v>
      </c>
      <c r="C221" s="75">
        <v>241321</v>
      </c>
      <c r="D221" s="74" t="s">
        <v>1198</v>
      </c>
      <c r="E221" s="75" t="s">
        <v>911</v>
      </c>
      <c r="F221" s="75" t="s">
        <v>1183</v>
      </c>
      <c r="G221" s="74" t="s">
        <v>1184</v>
      </c>
      <c r="H221" s="75" t="s">
        <v>853</v>
      </c>
      <c r="I221" s="74" t="s">
        <v>849</v>
      </c>
      <c r="J221" s="75" t="s">
        <v>316</v>
      </c>
      <c r="K221" s="75" t="s">
        <v>850</v>
      </c>
      <c r="L221" s="76">
        <v>45495</v>
      </c>
      <c r="M221" s="77">
        <f t="shared" ca="1" si="5"/>
        <v>45954</v>
      </c>
      <c r="N221" s="74" t="str">
        <f>_xlfn.IFNA(VLOOKUP(db_emp[[#This Row],[ID_DIV]],[1]!db_dpt[[Code_dpt]:[Departement]],2,0),"-")</f>
        <v>Engineering</v>
      </c>
      <c r="O221" s="74" t="str">
        <f>_xlfn.IFNA(VLOOKUP(db_emp[[#This Row],[ID_SDP]],[1]!db_div[[Code_div]:[Division]],2,0),"-")</f>
        <v>Electrical</v>
      </c>
      <c r="P221" s="74" t="str">
        <f>_xlfn.IFNA(VLOOKUP(db_emp[[#This Row],[Code_lvl]],[1]!db_lvl[[#All],[ID_level]:[Leveling Name]],2,0),"-")</f>
        <v>Staff</v>
      </c>
      <c r="Q221" s="74" t="str">
        <f>_xlfn.IFNA(VLOOKUP(db_emp[[#This Row],[Code_site]],[1]!db_site[[ID_Site]:[Url_maps]],3,0),"-")</f>
        <v>Unit - GGP</v>
      </c>
      <c r="R2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241321,'Dhea Kurniawan','ENG','ELECT','Electrical Staff','LV12','Mall &amp; Cinema','M03','Employee','2024-07-22','2025-10-24'</v>
      </c>
      <c r="S221" s="74">
        <f>db_emp[[#This Row],[NIP (UPDATE)]]</f>
        <v>241321</v>
      </c>
    </row>
    <row r="222" spans="2:19" hidden="1" x14ac:dyDescent="0.25">
      <c r="B222" s="75">
        <v>454</v>
      </c>
      <c r="C222" s="75">
        <v>220382</v>
      </c>
      <c r="D222" s="74" t="s">
        <v>1199</v>
      </c>
      <c r="E222" s="75" t="s">
        <v>911</v>
      </c>
      <c r="F222" s="75" t="s">
        <v>1183</v>
      </c>
      <c r="G222" s="74" t="s">
        <v>1184</v>
      </c>
      <c r="H222" s="75" t="s">
        <v>853</v>
      </c>
      <c r="I222" s="74" t="s">
        <v>849</v>
      </c>
      <c r="J222" s="75" t="s">
        <v>490</v>
      </c>
      <c r="K222" s="75" t="s">
        <v>850</v>
      </c>
      <c r="L222" s="76">
        <v>44643</v>
      </c>
      <c r="M222" s="77">
        <f t="shared" ca="1" si="5"/>
        <v>45954</v>
      </c>
      <c r="N222" s="74" t="str">
        <f>_xlfn.IFNA(VLOOKUP(db_emp[[#This Row],[ID_DIV]],[1]!db_dpt[[Code_dpt]:[Departement]],2,0),"-")</f>
        <v>Engineering</v>
      </c>
      <c r="O222" s="74" t="str">
        <f>_xlfn.IFNA(VLOOKUP(db_emp[[#This Row],[ID_SDP]],[1]!db_div[[Code_div]:[Division]],2,0),"-")</f>
        <v>Electrical</v>
      </c>
      <c r="P222" s="74" t="str">
        <f>_xlfn.IFNA(VLOOKUP(db_emp[[#This Row],[Code_lvl]],[1]!db_lvl[[#All],[ID_level]:[Leveling Name]],2,0),"-")</f>
        <v>Staff</v>
      </c>
      <c r="Q222" s="74" t="str">
        <f>_xlfn.IFNA(VLOOKUP(db_emp[[#This Row],[Code_site]],[1]!db_site[[ID_Site]:[Url_maps]],3,0),"-")</f>
        <v>Unit - ASHTA</v>
      </c>
      <c r="R2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220382,'M. Ade Syaputra','ENG','ELECT','Electrical Staff','LV12','Mall &amp; Cinema','M04','Employee','2022-03-23','2025-10-24'</v>
      </c>
      <c r="S222" s="74">
        <f>db_emp[[#This Row],[NIP (UPDATE)]]</f>
        <v>220382</v>
      </c>
    </row>
    <row r="223" spans="2:19" hidden="1" x14ac:dyDescent="0.25">
      <c r="B223" s="75">
        <v>459</v>
      </c>
      <c r="C223" s="75">
        <v>220505</v>
      </c>
      <c r="D223" s="74" t="s">
        <v>1200</v>
      </c>
      <c r="E223" s="75" t="s">
        <v>911</v>
      </c>
      <c r="F223" s="75" t="s">
        <v>1183</v>
      </c>
      <c r="G223" s="74" t="s">
        <v>1184</v>
      </c>
      <c r="H223" s="75" t="s">
        <v>853</v>
      </c>
      <c r="I223" s="74" t="s">
        <v>849</v>
      </c>
      <c r="J223" s="75" t="s">
        <v>490</v>
      </c>
      <c r="K223" s="75" t="s">
        <v>850</v>
      </c>
      <c r="L223" s="76">
        <v>44655</v>
      </c>
      <c r="M223" s="77">
        <f t="shared" ca="1" si="5"/>
        <v>45954</v>
      </c>
      <c r="N223" s="74" t="str">
        <f>_xlfn.IFNA(VLOOKUP(db_emp[[#This Row],[ID_DIV]],[1]!db_dpt[[Code_dpt]:[Departement]],2,0),"-")</f>
        <v>Engineering</v>
      </c>
      <c r="O223" s="74" t="str">
        <f>_xlfn.IFNA(VLOOKUP(db_emp[[#This Row],[ID_SDP]],[1]!db_div[[Code_div]:[Division]],2,0),"-")</f>
        <v>Electrical</v>
      </c>
      <c r="P223" s="74" t="str">
        <f>_xlfn.IFNA(VLOOKUP(db_emp[[#This Row],[Code_lvl]],[1]!db_lvl[[#All],[ID_level]:[Leveling Name]],2,0),"-")</f>
        <v>Staff</v>
      </c>
      <c r="Q223" s="74" t="str">
        <f>_xlfn.IFNA(VLOOKUP(db_emp[[#This Row],[Code_site]],[1]!db_site[[ID_Site]:[Url_maps]],3,0),"-")</f>
        <v>Unit - ASHTA</v>
      </c>
      <c r="R2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220505,'Ponco Hastoro','ENG','ELECT','Electrical Staff','LV12','Mall &amp; Cinema','M04','Employee','2022-04-04','2025-10-24'</v>
      </c>
      <c r="S223" s="74">
        <f>db_emp[[#This Row],[NIP (UPDATE)]]</f>
        <v>220505</v>
      </c>
    </row>
    <row r="224" spans="2:19" hidden="1" x14ac:dyDescent="0.25">
      <c r="B224" s="75">
        <v>369</v>
      </c>
      <c r="C224" s="75">
        <v>220481</v>
      </c>
      <c r="D224" s="74" t="s">
        <v>1201</v>
      </c>
      <c r="E224" s="75" t="s">
        <v>911</v>
      </c>
      <c r="F224" s="75" t="s">
        <v>1183</v>
      </c>
      <c r="G224" s="74" t="s">
        <v>1202</v>
      </c>
      <c r="H224" s="75" t="s">
        <v>870</v>
      </c>
      <c r="I224" s="74" t="s">
        <v>486</v>
      </c>
      <c r="J224" s="75" t="s">
        <v>492</v>
      </c>
      <c r="K224" s="75" t="s">
        <v>850</v>
      </c>
      <c r="L224" s="76">
        <v>44652</v>
      </c>
      <c r="M224" s="77">
        <f t="shared" ca="1" si="5"/>
        <v>45954</v>
      </c>
      <c r="N224" s="74" t="str">
        <f>_xlfn.IFNA(VLOOKUP(db_emp[[#This Row],[ID_DIV]],[1]!db_dpt[[Code_dpt]:[Departement]],2,0),"-")</f>
        <v>Engineering</v>
      </c>
      <c r="O224" s="74" t="str">
        <f>_xlfn.IFNA(VLOOKUP(db_emp[[#This Row],[ID_SDP]],[1]!db_div[[Code_div]:[Division]],2,0),"-")</f>
        <v>Electrical</v>
      </c>
      <c r="P224" s="74" t="str">
        <f>_xlfn.IFNA(VLOOKUP(db_emp[[#This Row],[Code_lvl]],[1]!db_lvl[[#All],[ID_level]:[Leveling Name]],2,0),"-")</f>
        <v>Supervisor</v>
      </c>
      <c r="Q224" s="74" t="str">
        <f>_xlfn.IFNA(VLOOKUP(db_emp[[#This Row],[Code_site]],[1]!db_site[[ID_Site]:[Url_maps]],3,0),"-")</f>
        <v>Unit - Hublife</v>
      </c>
      <c r="R2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220481,'Susanto Ardhi Sari','ENG','ELECT','Electrical Supervisor','LV09','Mall','M05','Employee','2022-04-01','2025-10-24'</v>
      </c>
      <c r="S224" s="74">
        <f>db_emp[[#This Row],[NIP (UPDATE)]]</f>
        <v>220481</v>
      </c>
    </row>
    <row r="225" spans="2:19" hidden="1" x14ac:dyDescent="0.25">
      <c r="B225" s="75">
        <v>426</v>
      </c>
      <c r="C225" s="75">
        <v>241540</v>
      </c>
      <c r="D225" s="74" t="s">
        <v>1203</v>
      </c>
      <c r="E225" s="75" t="s">
        <v>911</v>
      </c>
      <c r="F225" s="75" t="s">
        <v>1183</v>
      </c>
      <c r="G225" s="74" t="s">
        <v>1202</v>
      </c>
      <c r="H225" s="75" t="s">
        <v>870</v>
      </c>
      <c r="I225" s="74" t="s">
        <v>849</v>
      </c>
      <c r="J225" s="75" t="s">
        <v>316</v>
      </c>
      <c r="K225" s="75" t="s">
        <v>850</v>
      </c>
      <c r="L225" s="76">
        <v>45530</v>
      </c>
      <c r="M225" s="77">
        <f t="shared" ca="1" si="5"/>
        <v>45954</v>
      </c>
      <c r="N225" s="74" t="str">
        <f>_xlfn.IFNA(VLOOKUP(db_emp[[#This Row],[ID_DIV]],[1]!db_dpt[[Code_dpt]:[Departement]],2,0),"-")</f>
        <v>Engineering</v>
      </c>
      <c r="O225" s="74" t="str">
        <f>_xlfn.IFNA(VLOOKUP(db_emp[[#This Row],[ID_SDP]],[1]!db_div[[Code_div]:[Division]],2,0),"-")</f>
        <v>Electrical</v>
      </c>
      <c r="P225" s="74" t="str">
        <f>_xlfn.IFNA(VLOOKUP(db_emp[[#This Row],[Code_lvl]],[1]!db_lvl[[#All],[ID_level]:[Leveling Name]],2,0),"-")</f>
        <v>Supervisor</v>
      </c>
      <c r="Q225" s="74" t="str">
        <f>_xlfn.IFNA(VLOOKUP(db_emp[[#This Row],[Code_site]],[1]!db_site[[ID_Site]:[Url_maps]],3,0),"-")</f>
        <v>Unit - GGP</v>
      </c>
      <c r="R2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241540,'Kristiyanto','ENG','ELECT','Electrical Supervisor','LV09','Mall &amp; Cinema','M03','Employee','2024-08-26','2025-10-24'</v>
      </c>
      <c r="S225" s="74">
        <f>db_emp[[#This Row],[NIP (UPDATE)]]</f>
        <v>241540</v>
      </c>
    </row>
    <row r="226" spans="2:19" hidden="1" x14ac:dyDescent="0.25">
      <c r="B226" s="75">
        <v>458</v>
      </c>
      <c r="C226" s="75">
        <v>130983</v>
      </c>
      <c r="D226" s="74" t="s">
        <v>1204</v>
      </c>
      <c r="E226" s="75" t="s">
        <v>911</v>
      </c>
      <c r="F226" s="75" t="s">
        <v>1183</v>
      </c>
      <c r="G226" s="74" t="s">
        <v>1202</v>
      </c>
      <c r="H226" s="75" t="s">
        <v>870</v>
      </c>
      <c r="I226" s="74" t="s">
        <v>849</v>
      </c>
      <c r="J226" s="75" t="s">
        <v>490</v>
      </c>
      <c r="K226" s="75" t="s">
        <v>850</v>
      </c>
      <c r="L226" s="76">
        <v>41533</v>
      </c>
      <c r="M226" s="77">
        <f t="shared" ca="1" si="5"/>
        <v>45954</v>
      </c>
      <c r="N226" s="74" t="str">
        <f>_xlfn.IFNA(VLOOKUP(db_emp[[#This Row],[ID_DIV]],[1]!db_dpt[[Code_dpt]:[Departement]],2,0),"-")</f>
        <v>Engineering</v>
      </c>
      <c r="O226" s="74" t="str">
        <f>_xlfn.IFNA(VLOOKUP(db_emp[[#This Row],[ID_SDP]],[1]!db_div[[Code_div]:[Division]],2,0),"-")</f>
        <v>Electrical</v>
      </c>
      <c r="P226" s="74" t="str">
        <f>_xlfn.IFNA(VLOOKUP(db_emp[[#This Row],[Code_lvl]],[1]!db_lvl[[#All],[ID_level]:[Leveling Name]],2,0),"-")</f>
        <v>Supervisor</v>
      </c>
      <c r="Q226" s="74" t="str">
        <f>_xlfn.IFNA(VLOOKUP(db_emp[[#This Row],[Code_site]],[1]!db_site[[ID_Site]:[Url_maps]],3,0),"-")</f>
        <v>Unit - ASHTA</v>
      </c>
      <c r="R2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130983,'Nurudin','ENG','ELECT','Electrical Supervisor','LV09','Mall &amp; Cinema','M04','Employee','2013-09-16','2025-10-24'</v>
      </c>
      <c r="S226" s="74">
        <f>db_emp[[#This Row],[NIP (UPDATE)]]</f>
        <v>130983</v>
      </c>
    </row>
    <row r="227" spans="2:19" hidden="1" x14ac:dyDescent="0.25">
      <c r="B227" s="75">
        <v>749</v>
      </c>
      <c r="C227" s="75">
        <v>242006</v>
      </c>
      <c r="D227" s="74" t="s">
        <v>1205</v>
      </c>
      <c r="E227" s="75" t="s">
        <v>1206</v>
      </c>
      <c r="F227" s="75" t="s">
        <v>1207</v>
      </c>
      <c r="G227" s="74" t="s">
        <v>1208</v>
      </c>
      <c r="H227" s="75" t="s">
        <v>853</v>
      </c>
      <c r="I227" s="74" t="s">
        <v>864</v>
      </c>
      <c r="J227" s="75" t="s">
        <v>501</v>
      </c>
      <c r="K227" s="75" t="s">
        <v>850</v>
      </c>
      <c r="L227" s="76"/>
      <c r="M227" s="77">
        <f t="shared" ca="1" si="5"/>
        <v>45954</v>
      </c>
      <c r="N227" s="74" t="str">
        <f>_xlfn.IFNA(VLOOKUP(db_emp[[#This Row],[ID_DIV]],[1]!db_dpt[[Code_dpt]:[Departement]],2,0),"-")</f>
        <v>-</v>
      </c>
      <c r="O227" s="74" t="str">
        <f>_xlfn.IFNA(VLOOKUP(db_emp[[#This Row],[ID_SDP]],[1]!db_div[[Code_div]:[Division]],2,0),"-")</f>
        <v>-</v>
      </c>
      <c r="P227" s="74" t="str">
        <f>_xlfn.IFNA(VLOOKUP(db_emp[[#This Row],[Code_lvl]],[1]!db_lvl[[#All],[ID_level]:[Leveling Name]],2,0),"-")</f>
        <v>Staff</v>
      </c>
      <c r="Q227" s="74" t="str">
        <f>_xlfn.IFNA(VLOOKUP(db_emp[[#This Row],[Code_site]],[1]!db_site[[ID_Site]:[Url_maps]],3,0),"-")</f>
        <v>Unit - District 8</v>
      </c>
      <c r="R2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242006,'Husein.','ELC','ELPMT','Electronic Preventive Maintenance Technician','LV12','Corp. Supporting Property (POM)','OD8','Employee','1900-01-00','2025-10-24'</v>
      </c>
      <c r="S227" s="74">
        <f>db_emp[[#This Row],[NIP (UPDATE)]]</f>
        <v>242006</v>
      </c>
    </row>
    <row r="228" spans="2:19" hidden="1" x14ac:dyDescent="0.25">
      <c r="B228" s="75">
        <v>750</v>
      </c>
      <c r="C228" s="75">
        <v>242007</v>
      </c>
      <c r="D228" s="74" t="s">
        <v>1209</v>
      </c>
      <c r="E228" s="75" t="s">
        <v>1206</v>
      </c>
      <c r="F228" s="75" t="s">
        <v>1207</v>
      </c>
      <c r="G228" s="74" t="s">
        <v>1208</v>
      </c>
      <c r="H228" s="75" t="s">
        <v>853</v>
      </c>
      <c r="I228" s="74" t="s">
        <v>864</v>
      </c>
      <c r="J228" s="75" t="s">
        <v>501</v>
      </c>
      <c r="K228" s="75" t="s">
        <v>850</v>
      </c>
      <c r="L228" s="76"/>
      <c r="M228" s="77">
        <f t="shared" ca="1" si="5"/>
        <v>45954</v>
      </c>
      <c r="N228" s="74" t="str">
        <f>_xlfn.IFNA(VLOOKUP(db_emp[[#This Row],[ID_DIV]],[1]!db_dpt[[Code_dpt]:[Departement]],2,0),"-")</f>
        <v>-</v>
      </c>
      <c r="O228" s="74" t="str">
        <f>_xlfn.IFNA(VLOOKUP(db_emp[[#This Row],[ID_SDP]],[1]!db_div[[Code_div]:[Division]],2,0),"-")</f>
        <v>-</v>
      </c>
      <c r="P228" s="74" t="str">
        <f>_xlfn.IFNA(VLOOKUP(db_emp[[#This Row],[Code_lvl]],[1]!db_lvl[[#All],[ID_level]:[Leveling Name]],2,0),"-")</f>
        <v>Staff</v>
      </c>
      <c r="Q228" s="74" t="str">
        <f>_xlfn.IFNA(VLOOKUP(db_emp[[#This Row],[Code_site]],[1]!db_site[[ID_Site]:[Url_maps]],3,0),"-")</f>
        <v>Unit - District 8</v>
      </c>
      <c r="R2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242007,'Arfansyah Abdi','ELC','ELPMT','Electronic Preventive Maintenance Technician','LV12','Corp. Supporting Property (POM)','OD8','Employee','1900-01-00','2025-10-24'</v>
      </c>
      <c r="S228" s="74">
        <f>db_emp[[#This Row],[NIP (UPDATE)]]</f>
        <v>242007</v>
      </c>
    </row>
    <row r="229" spans="2:19" hidden="1" x14ac:dyDescent="0.25">
      <c r="B229" s="75">
        <v>752</v>
      </c>
      <c r="C229" s="75">
        <v>242029</v>
      </c>
      <c r="D229" s="74" t="s">
        <v>1210</v>
      </c>
      <c r="E229" s="75" t="s">
        <v>1206</v>
      </c>
      <c r="F229" s="75" t="s">
        <v>1207</v>
      </c>
      <c r="G229" s="74" t="s">
        <v>1208</v>
      </c>
      <c r="H229" s="75" t="s">
        <v>853</v>
      </c>
      <c r="I229" s="74" t="s">
        <v>864</v>
      </c>
      <c r="J229" s="75" t="s">
        <v>501</v>
      </c>
      <c r="K229" s="75" t="s">
        <v>850</v>
      </c>
      <c r="L229" s="76"/>
      <c r="M229" s="77">
        <f t="shared" ca="1" si="5"/>
        <v>45954</v>
      </c>
      <c r="N229" s="74" t="str">
        <f>_xlfn.IFNA(VLOOKUP(db_emp[[#This Row],[ID_DIV]],[1]!db_dpt[[Code_dpt]:[Departement]],2,0),"-")</f>
        <v>-</v>
      </c>
      <c r="O229" s="74" t="str">
        <f>_xlfn.IFNA(VLOOKUP(db_emp[[#This Row],[ID_SDP]],[1]!db_div[[Code_div]:[Division]],2,0),"-")</f>
        <v>-</v>
      </c>
      <c r="P229" s="74" t="str">
        <f>_xlfn.IFNA(VLOOKUP(db_emp[[#This Row],[Code_lvl]],[1]!db_lvl[[#All],[ID_level]:[Leveling Name]],2,0),"-")</f>
        <v>Staff</v>
      </c>
      <c r="Q229" s="74" t="str">
        <f>_xlfn.IFNA(VLOOKUP(db_emp[[#This Row],[Code_site]],[1]!db_site[[ID_Site]:[Url_maps]],3,0),"-")</f>
        <v>Unit - District 8</v>
      </c>
      <c r="R2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242029,'Wardoyo.','ELC','ELPMT','Electronic Preventive Maintenance Technician','LV12','Corp. Supporting Property (POM)','OD8','Employee','1900-01-00','2025-10-24'</v>
      </c>
      <c r="S229" s="74">
        <f>db_emp[[#This Row],[NIP (UPDATE)]]</f>
        <v>242029</v>
      </c>
    </row>
    <row r="230" spans="2:19" hidden="1" x14ac:dyDescent="0.25">
      <c r="B230" s="75">
        <v>155</v>
      </c>
      <c r="C230" s="75">
        <v>250190</v>
      </c>
      <c r="D230" s="74" t="s">
        <v>1211</v>
      </c>
      <c r="E230" s="75" t="s">
        <v>1123</v>
      </c>
      <c r="F230" s="75" t="s">
        <v>1212</v>
      </c>
      <c r="G230" s="74" t="s">
        <v>1213</v>
      </c>
      <c r="H230" s="75" t="s">
        <v>853</v>
      </c>
      <c r="I230" s="74" t="s">
        <v>856</v>
      </c>
      <c r="J230" s="75" t="s">
        <v>315</v>
      </c>
      <c r="K230" s="75" t="s">
        <v>903</v>
      </c>
      <c r="L230" s="76">
        <v>45712</v>
      </c>
      <c r="M230" s="77">
        <v>45869</v>
      </c>
      <c r="N230" s="74" t="str">
        <f>_xlfn.IFNA(VLOOKUP(db_emp[[#This Row],[ID_DIV]],[1]!db_dpt[[Code_dpt]:[Departement]],2,0),"-")</f>
        <v>HR &amp; GA</v>
      </c>
      <c r="O230" s="74" t="str">
        <f>_xlfn.IFNA(VLOOKUP(db_emp[[#This Row],[ID_SDP]],[1]!db_div[[Code_div]:[Division]],2,0),"-")</f>
        <v>Employer Branding</v>
      </c>
      <c r="P230" s="74" t="str">
        <f>_xlfn.IFNA(VLOOKUP(db_emp[[#This Row],[Code_lvl]],[1]!db_lvl[[#All],[ID_level]:[Leveling Name]],2,0),"-")</f>
        <v>Staff</v>
      </c>
      <c r="Q230" s="74" t="str">
        <f>_xlfn.IFNA(VLOOKUP(db_emp[[#This Row],[Code_site]],[1]!db_site[[ID_Site]:[Url_maps]],3,0),"-")</f>
        <v>Head Office - ASGO</v>
      </c>
      <c r="R230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250190,'Claudia Renatta','HRG','EMPBR','Employer Branding Staff','LV12','HQ - All','O99','Resign','2025-02-24','2025-07-31'</v>
      </c>
      <c r="S230" s="74">
        <f>db_emp[[#This Row],[NIP (UPDATE)]]</f>
        <v>250190</v>
      </c>
    </row>
    <row r="231" spans="2:19" hidden="1" x14ac:dyDescent="0.25">
      <c r="B231" s="75">
        <v>646</v>
      </c>
      <c r="C231" s="75">
        <v>250394</v>
      </c>
      <c r="D231" s="74" t="s">
        <v>1214</v>
      </c>
      <c r="E231" s="75" t="s">
        <v>911</v>
      </c>
      <c r="F231" s="75" t="s">
        <v>912</v>
      </c>
      <c r="G231" s="74" t="s">
        <v>1215</v>
      </c>
      <c r="H231" s="75" t="s">
        <v>853</v>
      </c>
      <c r="I231" s="74" t="s">
        <v>486</v>
      </c>
      <c r="J231" s="75" t="s">
        <v>496</v>
      </c>
      <c r="K231" s="75" t="s">
        <v>862</v>
      </c>
      <c r="L231" s="76"/>
      <c r="M231" s="77">
        <f t="shared" ref="M231:M246" ca="1" si="6">TODAY()+1</f>
        <v>45954</v>
      </c>
      <c r="N231" s="74" t="str">
        <f>_xlfn.IFNA(VLOOKUP(db_emp[[#This Row],[ID_DIV]],[1]!db_dpt[[Code_dpt]:[Departement]],2,0),"-")</f>
        <v>Engineering</v>
      </c>
      <c r="O231" s="74" t="str">
        <f>_xlfn.IFNA(VLOOKUP(db_emp[[#This Row],[ID_SDP]],[1]!db_div[[Code_div]:[Division]],2,0),"-")</f>
        <v>Admin</v>
      </c>
      <c r="P231" s="74" t="str">
        <f>_xlfn.IFNA(VLOOKUP(db_emp[[#This Row],[Code_lvl]],[1]!db_lvl[[#All],[ID_level]:[Leveling Name]],2,0),"-")</f>
        <v>Staff</v>
      </c>
      <c r="Q231" s="74" t="str">
        <f>_xlfn.IFNA(VLOOKUP(db_emp[[#This Row],[Code_site]],[1]!db_site[[ID_Site]:[Url_maps]],3,0),"-")</f>
        <v>Unit - Menara Jakarta</v>
      </c>
      <c r="R2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250394,'Safira Firdy','ENG','ADMIN','Engineering Administration','LV12','Mall','M06','Not Employee','1900-01-00','2025-10-24'</v>
      </c>
      <c r="S231" s="74">
        <f>db_emp[[#This Row],[NIP (UPDATE)]]</f>
        <v>250394</v>
      </c>
    </row>
    <row r="232" spans="2:19" hidden="1" x14ac:dyDescent="0.25">
      <c r="B232" s="75">
        <v>216</v>
      </c>
      <c r="C232" s="75">
        <v>220528</v>
      </c>
      <c r="D232" s="74" t="s">
        <v>1216</v>
      </c>
      <c r="E232" s="75" t="s">
        <v>911</v>
      </c>
      <c r="F232" s="75" t="s">
        <v>912</v>
      </c>
      <c r="G232" s="74" t="s">
        <v>1217</v>
      </c>
      <c r="H232" s="75" t="s">
        <v>853</v>
      </c>
      <c r="I232" s="74" t="s">
        <v>849</v>
      </c>
      <c r="J232" s="75" t="s">
        <v>314</v>
      </c>
      <c r="K232" s="75" t="s">
        <v>850</v>
      </c>
      <c r="L232" s="76">
        <v>44658</v>
      </c>
      <c r="M232" s="77">
        <f t="shared" ca="1" si="6"/>
        <v>45954</v>
      </c>
      <c r="N232" s="74" t="str">
        <f>_xlfn.IFNA(VLOOKUP(db_emp[[#This Row],[ID_DIV]],[1]!db_dpt[[Code_dpt]:[Departement]],2,0),"-")</f>
        <v>Engineering</v>
      </c>
      <c r="O232" s="74" t="str">
        <f>_xlfn.IFNA(VLOOKUP(db_emp[[#This Row],[ID_SDP]],[1]!db_div[[Code_div]:[Division]],2,0),"-")</f>
        <v>Admin</v>
      </c>
      <c r="P232" s="74" t="str">
        <f>_xlfn.IFNA(VLOOKUP(db_emp[[#This Row],[Code_lvl]],[1]!db_lvl[[#All],[ID_level]:[Leveling Name]],2,0),"-")</f>
        <v>Staff</v>
      </c>
      <c r="Q232" s="74" t="str">
        <f>_xlfn.IFNA(VLOOKUP(db_emp[[#This Row],[Code_site]],[1]!db_site[[ID_Site]:[Url_maps]],3,0),"-")</f>
        <v>Unit - MOI</v>
      </c>
      <c r="R2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220528,'Susantias Pambayun','ENG','ADMIN','Engineering Administration Staff','LV12','Mall &amp; Cinema','M02','Employee','2022-04-07','2025-10-24'</v>
      </c>
      <c r="S232" s="74">
        <f>db_emp[[#This Row],[NIP (UPDATE)]]</f>
        <v>220528</v>
      </c>
    </row>
    <row r="233" spans="2:19" hidden="1" x14ac:dyDescent="0.25">
      <c r="B233" s="75">
        <v>344</v>
      </c>
      <c r="C233" s="75">
        <v>242145</v>
      </c>
      <c r="D233" s="74" t="s">
        <v>1218</v>
      </c>
      <c r="E233" s="75" t="s">
        <v>911</v>
      </c>
      <c r="F233" s="75" t="s">
        <v>912</v>
      </c>
      <c r="G233" s="74" t="s">
        <v>1217</v>
      </c>
      <c r="H233" s="75" t="s">
        <v>853</v>
      </c>
      <c r="I233" s="74" t="s">
        <v>849</v>
      </c>
      <c r="J233" s="75" t="s">
        <v>484</v>
      </c>
      <c r="K233" s="75" t="s">
        <v>850</v>
      </c>
      <c r="L233" s="76">
        <v>45628</v>
      </c>
      <c r="M233" s="77">
        <f t="shared" ca="1" si="6"/>
        <v>45954</v>
      </c>
      <c r="N233" s="74" t="str">
        <f>_xlfn.IFNA(VLOOKUP(db_emp[[#This Row],[ID_DIV]],[1]!db_dpt[[Code_dpt]:[Departement]],2,0),"-")</f>
        <v>Engineering</v>
      </c>
      <c r="O233" s="74" t="str">
        <f>_xlfn.IFNA(VLOOKUP(db_emp[[#This Row],[ID_SDP]],[1]!db_div[[Code_div]:[Division]],2,0),"-")</f>
        <v>Admin</v>
      </c>
      <c r="P233" s="74" t="str">
        <f>_xlfn.IFNA(VLOOKUP(db_emp[[#This Row],[Code_lvl]],[1]!db_lvl[[#All],[ID_level]:[Leveling Name]],2,0),"-")</f>
        <v>Staff</v>
      </c>
      <c r="Q233" s="74" t="str">
        <f>_xlfn.IFNA(VLOOKUP(db_emp[[#This Row],[Code_site]],[1]!db_site[[ID_Site]:[Url_maps]],3,0),"-")</f>
        <v>Unit - PIK Avenue</v>
      </c>
      <c r="R2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242145,'Dwi Indah Wulandari','ENG','ADMIN','Engineering Administration Staff','LV12','Mall &amp; Cinema','M01','Employee','2024-12-02','2025-10-24'</v>
      </c>
      <c r="S233" s="74">
        <f>db_emp[[#This Row],[NIP (UPDATE)]]</f>
        <v>242145</v>
      </c>
    </row>
    <row r="234" spans="2:19" hidden="1" x14ac:dyDescent="0.25">
      <c r="B234" s="75">
        <v>373</v>
      </c>
      <c r="C234" s="75">
        <v>241509</v>
      </c>
      <c r="D234" s="74" t="s">
        <v>1219</v>
      </c>
      <c r="E234" s="75" t="s">
        <v>911</v>
      </c>
      <c r="F234" s="75" t="s">
        <v>912</v>
      </c>
      <c r="G234" s="74" t="s">
        <v>1217</v>
      </c>
      <c r="H234" s="75" t="s">
        <v>853</v>
      </c>
      <c r="I234" s="74" t="s">
        <v>486</v>
      </c>
      <c r="J234" s="75" t="s">
        <v>492</v>
      </c>
      <c r="K234" s="75" t="s">
        <v>850</v>
      </c>
      <c r="L234" s="76">
        <v>45523</v>
      </c>
      <c r="M234" s="77">
        <f t="shared" ca="1" si="6"/>
        <v>45954</v>
      </c>
      <c r="N234" s="74" t="str">
        <f>_xlfn.IFNA(VLOOKUP(db_emp[[#This Row],[ID_DIV]],[1]!db_dpt[[Code_dpt]:[Departement]],2,0),"-")</f>
        <v>Engineering</v>
      </c>
      <c r="O234" s="74" t="str">
        <f>_xlfn.IFNA(VLOOKUP(db_emp[[#This Row],[ID_SDP]],[1]!db_div[[Code_div]:[Division]],2,0),"-")</f>
        <v>Admin</v>
      </c>
      <c r="P234" s="74" t="str">
        <f>_xlfn.IFNA(VLOOKUP(db_emp[[#This Row],[Code_lvl]],[1]!db_lvl[[#All],[ID_level]:[Leveling Name]],2,0),"-")</f>
        <v>Staff</v>
      </c>
      <c r="Q234" s="74" t="str">
        <f>_xlfn.IFNA(VLOOKUP(db_emp[[#This Row],[Code_site]],[1]!db_site[[ID_Site]:[Url_maps]],3,0),"-")</f>
        <v>Unit - Hublife</v>
      </c>
      <c r="R2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241509,'Clara Keisya Haningtyas','ENG','ADMIN','Engineering Administration Staff','LV12','Mall','M05','Employee','2024-08-19','2025-10-24'</v>
      </c>
      <c r="S234" s="74">
        <f>db_emp[[#This Row],[NIP (UPDATE)]]</f>
        <v>241509</v>
      </c>
    </row>
    <row r="235" spans="2:19" hidden="1" x14ac:dyDescent="0.25">
      <c r="B235" s="75">
        <v>476</v>
      </c>
      <c r="C235" s="75">
        <v>241270</v>
      </c>
      <c r="D235" s="74" t="s">
        <v>1220</v>
      </c>
      <c r="E235" s="75" t="s">
        <v>911</v>
      </c>
      <c r="F235" s="75" t="s">
        <v>912</v>
      </c>
      <c r="G235" s="74" t="s">
        <v>1217</v>
      </c>
      <c r="H235" s="75" t="s">
        <v>853</v>
      </c>
      <c r="I235" s="74" t="s">
        <v>849</v>
      </c>
      <c r="J235" s="75" t="s">
        <v>490</v>
      </c>
      <c r="K235" s="75" t="s">
        <v>850</v>
      </c>
      <c r="L235" s="76">
        <v>45488</v>
      </c>
      <c r="M235" s="77">
        <f t="shared" ca="1" si="6"/>
        <v>45954</v>
      </c>
      <c r="N235" s="74" t="str">
        <f>_xlfn.IFNA(VLOOKUP(db_emp[[#This Row],[ID_DIV]],[1]!db_dpt[[Code_dpt]:[Departement]],2,0),"-")</f>
        <v>Engineering</v>
      </c>
      <c r="O235" s="74" t="str">
        <f>_xlfn.IFNA(VLOOKUP(db_emp[[#This Row],[ID_SDP]],[1]!db_div[[Code_div]:[Division]],2,0),"-")</f>
        <v>Admin</v>
      </c>
      <c r="P235" s="74" t="str">
        <f>_xlfn.IFNA(VLOOKUP(db_emp[[#This Row],[Code_lvl]],[1]!db_lvl[[#All],[ID_level]:[Leveling Name]],2,0),"-")</f>
        <v>Staff</v>
      </c>
      <c r="Q235" s="74" t="str">
        <f>_xlfn.IFNA(VLOOKUP(db_emp[[#This Row],[Code_site]],[1]!db_site[[ID_Site]:[Url_maps]],3,0),"-")</f>
        <v>Unit - ASHTA</v>
      </c>
      <c r="R2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241270,'Andrew Aryansyah','ENG','ADMIN','Engineering Administration Staff','LV12','Mall &amp; Cinema','M04','Employee','2024-07-15','2025-10-24'</v>
      </c>
      <c r="S235" s="74">
        <f>db_emp[[#This Row],[NIP (UPDATE)]]</f>
        <v>241270</v>
      </c>
    </row>
    <row r="236" spans="2:19" hidden="1" x14ac:dyDescent="0.25">
      <c r="B236" s="75">
        <v>493</v>
      </c>
      <c r="C236" s="75">
        <v>231688</v>
      </c>
      <c r="D236" s="74" t="s">
        <v>1221</v>
      </c>
      <c r="E236" s="75" t="s">
        <v>911</v>
      </c>
      <c r="F236" s="75" t="s">
        <v>912</v>
      </c>
      <c r="G236" s="74" t="s">
        <v>1217</v>
      </c>
      <c r="H236" s="75" t="s">
        <v>853</v>
      </c>
      <c r="I236" s="74" t="s">
        <v>864</v>
      </c>
      <c r="J236" s="75" t="s">
        <v>441</v>
      </c>
      <c r="K236" s="75" t="s">
        <v>850</v>
      </c>
      <c r="L236" s="76">
        <v>45194</v>
      </c>
      <c r="M236" s="77">
        <f t="shared" ca="1" si="6"/>
        <v>45954</v>
      </c>
      <c r="N236" s="74" t="str">
        <f>_xlfn.IFNA(VLOOKUP(db_emp[[#This Row],[ID_DIV]],[1]!db_dpt[[Code_dpt]:[Departement]],2,0),"-")</f>
        <v>Engineering</v>
      </c>
      <c r="O236" s="74" t="str">
        <f>_xlfn.IFNA(VLOOKUP(db_emp[[#This Row],[ID_SDP]],[1]!db_div[[Code_div]:[Division]],2,0),"-")</f>
        <v>Admin</v>
      </c>
      <c r="P236" s="74" t="str">
        <f>_xlfn.IFNA(VLOOKUP(db_emp[[#This Row],[Code_lvl]],[1]!db_lvl[[#All],[ID_level]:[Leveling Name]],2,0),"-")</f>
        <v>Staff</v>
      </c>
      <c r="Q236" s="74" t="str">
        <f>_xlfn.IFNA(VLOOKUP(db_emp[[#This Row],[Code_site]],[1]!db_site[[ID_Site]:[Url_maps]],3,0),"-")</f>
        <v>Unit - Fatmawati City Center</v>
      </c>
      <c r="R2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231688,'Sheila Sisilia Warninda','ENG','ADMIN','Engineering Administration Staff','LV12','Corp. Supporting Property (POM)','A02','Employee','2023-09-25','2025-10-24'</v>
      </c>
      <c r="S236" s="74">
        <f>db_emp[[#This Row],[NIP (UPDATE)]]</f>
        <v>231688</v>
      </c>
    </row>
    <row r="237" spans="2:19" hidden="1" x14ac:dyDescent="0.25">
      <c r="B237" s="75">
        <v>524</v>
      </c>
      <c r="C237" s="75">
        <v>230449</v>
      </c>
      <c r="D237" s="74" t="s">
        <v>1222</v>
      </c>
      <c r="E237" s="75" t="s">
        <v>911</v>
      </c>
      <c r="F237" s="75" t="s">
        <v>912</v>
      </c>
      <c r="G237" s="74" t="s">
        <v>1217</v>
      </c>
      <c r="H237" s="75" t="s">
        <v>853</v>
      </c>
      <c r="I237" s="74" t="s">
        <v>864</v>
      </c>
      <c r="J237" s="75" t="s">
        <v>446</v>
      </c>
      <c r="K237" s="75" t="s">
        <v>850</v>
      </c>
      <c r="L237" s="76">
        <v>45026</v>
      </c>
      <c r="M237" s="77">
        <f t="shared" ca="1" si="6"/>
        <v>45954</v>
      </c>
      <c r="N237" s="74" t="str">
        <f>_xlfn.IFNA(VLOOKUP(db_emp[[#This Row],[ID_DIV]],[1]!db_dpt[[Code_dpt]:[Departement]],2,0),"-")</f>
        <v>Engineering</v>
      </c>
      <c r="O237" s="74" t="str">
        <f>_xlfn.IFNA(VLOOKUP(db_emp[[#This Row],[ID_SDP]],[1]!db_div[[Code_div]:[Division]],2,0),"-")</f>
        <v>Admin</v>
      </c>
      <c r="P237" s="74" t="str">
        <f>_xlfn.IFNA(VLOOKUP(db_emp[[#This Row],[Code_lvl]],[1]!db_lvl[[#All],[ID_level]:[Leveling Name]],2,0),"-")</f>
        <v>Staff</v>
      </c>
      <c r="Q237" s="74" t="str">
        <f>_xlfn.IFNA(VLOOKUP(db_emp[[#This Row],[Code_site]],[1]!db_site[[ID_Site]:[Url_maps]],3,0),"-")</f>
        <v>Unit - Menara Jakarta POM</v>
      </c>
      <c r="R2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230449,'Elsa Salsa Fadhillah','ENG','ADMIN','Engineering Administration Staff','LV12','Corp. Supporting Property (POM)','A03','Employee','2023-04-10','2025-10-24'</v>
      </c>
      <c r="S237" s="74">
        <f>db_emp[[#This Row],[NIP (UPDATE)]]</f>
        <v>230449</v>
      </c>
    </row>
    <row r="238" spans="2:19" hidden="1" x14ac:dyDescent="0.25">
      <c r="B238" s="75">
        <v>667</v>
      </c>
      <c r="C238" s="75">
        <v>180600</v>
      </c>
      <c r="D238" s="74" t="s">
        <v>1223</v>
      </c>
      <c r="E238" s="75" t="s">
        <v>911</v>
      </c>
      <c r="F238" s="75" t="s">
        <v>912</v>
      </c>
      <c r="G238" s="74" t="s">
        <v>1217</v>
      </c>
      <c r="H238" s="75" t="s">
        <v>853</v>
      </c>
      <c r="I238" s="74" t="s">
        <v>864</v>
      </c>
      <c r="J238" s="75" t="s">
        <v>501</v>
      </c>
      <c r="K238" s="75" t="s">
        <v>850</v>
      </c>
      <c r="L238" s="76"/>
      <c r="M238" s="77">
        <f t="shared" ca="1" si="6"/>
        <v>45954</v>
      </c>
      <c r="N238" s="74" t="str">
        <f>_xlfn.IFNA(VLOOKUP(db_emp[[#This Row],[ID_DIV]],[1]!db_dpt[[Code_dpt]:[Departement]],2,0),"-")</f>
        <v>Engineering</v>
      </c>
      <c r="O238" s="74" t="str">
        <f>_xlfn.IFNA(VLOOKUP(db_emp[[#This Row],[ID_SDP]],[1]!db_div[[Code_div]:[Division]],2,0),"-")</f>
        <v>Admin</v>
      </c>
      <c r="P238" s="74" t="str">
        <f>_xlfn.IFNA(VLOOKUP(db_emp[[#This Row],[Code_lvl]],[1]!db_lvl[[#All],[ID_level]:[Leveling Name]],2,0),"-")</f>
        <v>Staff</v>
      </c>
      <c r="Q238" s="74" t="str">
        <f>_xlfn.IFNA(VLOOKUP(db_emp[[#This Row],[Code_site]],[1]!db_site[[ID_Site]:[Url_maps]],3,0),"-")</f>
        <v>Unit - District 8</v>
      </c>
      <c r="R2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180600,'Sri Mulyani','ENG','ADMIN','Engineering Administration Staff','LV12','Corp. Supporting Property (POM)','OD8','Employee','1900-01-00','2025-10-24'</v>
      </c>
      <c r="S238" s="74">
        <f>db_emp[[#This Row],[NIP (UPDATE)]]</f>
        <v>180600</v>
      </c>
    </row>
    <row r="239" spans="2:19" hidden="1" x14ac:dyDescent="0.25">
      <c r="B239" s="75">
        <v>741</v>
      </c>
      <c r="C239" s="75">
        <v>241383</v>
      </c>
      <c r="D239" s="74" t="s">
        <v>1224</v>
      </c>
      <c r="E239" s="75" t="s">
        <v>911</v>
      </c>
      <c r="F239" s="75" t="s">
        <v>912</v>
      </c>
      <c r="G239" s="74" t="s">
        <v>1217</v>
      </c>
      <c r="H239" s="75" t="s">
        <v>853</v>
      </c>
      <c r="I239" s="74" t="s">
        <v>864</v>
      </c>
      <c r="J239" s="75" t="s">
        <v>501</v>
      </c>
      <c r="K239" s="75" t="s">
        <v>903</v>
      </c>
      <c r="L239" s="76"/>
      <c r="M239" s="77">
        <f t="shared" ca="1" si="6"/>
        <v>45954</v>
      </c>
      <c r="N239" s="74" t="str">
        <f>_xlfn.IFNA(VLOOKUP(db_emp[[#This Row],[ID_DIV]],[1]!db_dpt[[Code_dpt]:[Departement]],2,0),"-")</f>
        <v>Engineering</v>
      </c>
      <c r="O239" s="74" t="str">
        <f>_xlfn.IFNA(VLOOKUP(db_emp[[#This Row],[ID_SDP]],[1]!db_div[[Code_div]:[Division]],2,0),"-")</f>
        <v>Admin</v>
      </c>
      <c r="P239" s="74" t="str">
        <f>_xlfn.IFNA(VLOOKUP(db_emp[[#This Row],[Code_lvl]],[1]!db_lvl[[#All],[ID_level]:[Leveling Name]],2,0),"-")</f>
        <v>Staff</v>
      </c>
      <c r="Q239" s="74" t="str">
        <f>_xlfn.IFNA(VLOOKUP(db_emp[[#This Row],[Code_site]],[1]!db_site[[ID_Site]:[Url_maps]],3,0),"-")</f>
        <v>Unit - District 8</v>
      </c>
      <c r="R2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241383,'Tuti Fitrianasari','ENG','ADMIN','Engineering Administration Staff','LV12','Corp. Supporting Property (POM)','OD8','Resign','1900-01-00','2025-10-24'</v>
      </c>
      <c r="S239" s="74">
        <f>db_emp[[#This Row],[NIP (UPDATE)]]</f>
        <v>241383</v>
      </c>
    </row>
    <row r="240" spans="2:19" hidden="1" x14ac:dyDescent="0.25">
      <c r="B240" s="75">
        <v>591</v>
      </c>
      <c r="C240" s="75">
        <v>210474</v>
      </c>
      <c r="D240" s="74" t="s">
        <v>1225</v>
      </c>
      <c r="E240" s="75" t="s">
        <v>911</v>
      </c>
      <c r="F240" s="75" t="s">
        <v>912</v>
      </c>
      <c r="G240" s="74" t="s">
        <v>1226</v>
      </c>
      <c r="H240" s="75" t="s">
        <v>853</v>
      </c>
      <c r="I240" s="74" t="s">
        <v>864</v>
      </c>
      <c r="J240" s="75" t="s">
        <v>433</v>
      </c>
      <c r="K240" s="75" t="s">
        <v>850</v>
      </c>
      <c r="L240" s="76">
        <v>44378</v>
      </c>
      <c r="M240" s="77">
        <f t="shared" ca="1" si="6"/>
        <v>45954</v>
      </c>
      <c r="N240" s="74" t="str">
        <f>_xlfn.IFNA(VLOOKUP(db_emp[[#This Row],[ID_DIV]],[1]!db_dpt[[Code_dpt]:[Departement]],2,0),"-")</f>
        <v>Engineering</v>
      </c>
      <c r="O240" s="74" t="str">
        <f>_xlfn.IFNA(VLOOKUP(db_emp[[#This Row],[ID_SDP]],[1]!db_div[[Code_div]:[Division]],2,0),"-")</f>
        <v>Admin</v>
      </c>
      <c r="P240" s="74" t="str">
        <f>_xlfn.IFNA(VLOOKUP(db_emp[[#This Row],[Code_lvl]],[1]!db_lvl[[#All],[ID_level]:[Leveling Name]],2,0),"-")</f>
        <v>Staff</v>
      </c>
      <c r="Q240" s="74" t="str">
        <f>_xlfn.IFNA(VLOOKUP(db_emp[[#This Row],[Code_site]],[1]!db_site[[ID_Site]:[Url_maps]],3,0),"-")</f>
        <v>Unit - Taman Anggrek Residences</v>
      </c>
      <c r="R2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210474,'R. Roro Iska Arina Sari','ENG','ADMIN','Engineering Administration Staff ','LV12','Corp. Supporting Property (POM)','A01','Employee','2021-07-01','2025-10-24'</v>
      </c>
      <c r="S240" s="74">
        <f>db_emp[[#This Row],[NIP (UPDATE)]]</f>
        <v>210474</v>
      </c>
    </row>
    <row r="241" spans="2:19" hidden="1" x14ac:dyDescent="0.25">
      <c r="B241" s="75">
        <v>248</v>
      </c>
      <c r="C241" s="75">
        <v>240805</v>
      </c>
      <c r="D241" s="74" t="s">
        <v>1227</v>
      </c>
      <c r="E241" s="75" t="s">
        <v>911</v>
      </c>
      <c r="F241" s="75" t="s">
        <v>971</v>
      </c>
      <c r="G241" s="74" t="s">
        <v>1228</v>
      </c>
      <c r="H241" s="75" t="s">
        <v>848</v>
      </c>
      <c r="I241" s="74" t="s">
        <v>849</v>
      </c>
      <c r="J241" s="75" t="s">
        <v>314</v>
      </c>
      <c r="K241" s="75" t="s">
        <v>850</v>
      </c>
      <c r="L241" s="76">
        <v>45414</v>
      </c>
      <c r="M241" s="77">
        <f t="shared" ca="1" si="6"/>
        <v>45954</v>
      </c>
      <c r="N241" s="74" t="str">
        <f>_xlfn.IFNA(VLOOKUP(db_emp[[#This Row],[ID_DIV]],[1]!db_dpt[[Code_dpt]:[Departement]],2,0),"-")</f>
        <v>Engineering</v>
      </c>
      <c r="O241" s="74" t="str">
        <f>_xlfn.IFNA(VLOOKUP(db_emp[[#This Row],[ID_SDP]],[1]!db_div[[Code_div]:[Division]],2,0),"-")</f>
        <v>General Head Departement</v>
      </c>
      <c r="P241" s="74" t="str">
        <f>_xlfn.IFNA(VLOOKUP(db_emp[[#This Row],[Code_lvl]],[1]!db_lvl[[#All],[ID_level]:[Leveling Name]],2,0),"-")</f>
        <v>Assistant Manager</v>
      </c>
      <c r="Q241" s="74" t="str">
        <f>_xlfn.IFNA(VLOOKUP(db_emp[[#This Row],[Code_site]],[1]!db_site[[ID_Site]:[Url_maps]],3,0),"-")</f>
        <v>Unit - MOI</v>
      </c>
      <c r="R2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240805,'Surono.','ENG','GNRAL','Engineering Assistant Manager','LV07','Mall &amp; Cinema','M02','Employee','2024-05-02','2025-10-24'</v>
      </c>
      <c r="S241" s="74">
        <f>db_emp[[#This Row],[NIP (UPDATE)]]</f>
        <v>240805</v>
      </c>
    </row>
    <row r="242" spans="2:19" hidden="1" x14ac:dyDescent="0.25">
      <c r="B242" s="75">
        <v>428</v>
      </c>
      <c r="C242" s="75">
        <v>241818</v>
      </c>
      <c r="D242" s="74" t="s">
        <v>1229</v>
      </c>
      <c r="E242" s="75" t="s">
        <v>911</v>
      </c>
      <c r="F242" s="75" t="s">
        <v>971</v>
      </c>
      <c r="G242" s="74" t="s">
        <v>1228</v>
      </c>
      <c r="H242" s="75" t="s">
        <v>848</v>
      </c>
      <c r="I242" s="74" t="s">
        <v>849</v>
      </c>
      <c r="J242" s="75" t="s">
        <v>316</v>
      </c>
      <c r="K242" s="75" t="s">
        <v>862</v>
      </c>
      <c r="L242" s="76">
        <v>45572</v>
      </c>
      <c r="M242" s="77">
        <f t="shared" ca="1" si="6"/>
        <v>45954</v>
      </c>
      <c r="N242" s="74" t="str">
        <f>_xlfn.IFNA(VLOOKUP(db_emp[[#This Row],[ID_DIV]],[1]!db_dpt[[Code_dpt]:[Departement]],2,0),"-")</f>
        <v>Engineering</v>
      </c>
      <c r="O242" s="74" t="str">
        <f>_xlfn.IFNA(VLOOKUP(db_emp[[#This Row],[ID_SDP]],[1]!db_div[[Code_div]:[Division]],2,0),"-")</f>
        <v>General Head Departement</v>
      </c>
      <c r="P242" s="74" t="str">
        <f>_xlfn.IFNA(VLOOKUP(db_emp[[#This Row],[Code_lvl]],[1]!db_lvl[[#All],[ID_level]:[Leveling Name]],2,0),"-")</f>
        <v>Assistant Manager</v>
      </c>
      <c r="Q242" s="74" t="str">
        <f>_xlfn.IFNA(VLOOKUP(db_emp[[#This Row],[Code_site]],[1]!db_site[[ID_Site]:[Url_maps]],3,0),"-")</f>
        <v>Unit - GGP</v>
      </c>
      <c r="R2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241818,'Rudi Jatnika ','ENG','GNRAL','Engineering Assistant Manager','LV07','Mall &amp; Cinema','M03','Not Employee','2024-10-07','2025-10-24'</v>
      </c>
      <c r="S242" s="74">
        <f>db_emp[[#This Row],[NIP (UPDATE)]]</f>
        <v>241818</v>
      </c>
    </row>
    <row r="243" spans="2:19" hidden="1" x14ac:dyDescent="0.25">
      <c r="B243" s="75">
        <v>491</v>
      </c>
      <c r="C243" s="75">
        <v>232345</v>
      </c>
      <c r="D243" s="74" t="s">
        <v>1230</v>
      </c>
      <c r="E243" s="75" t="s">
        <v>911</v>
      </c>
      <c r="F243" s="75" t="s">
        <v>971</v>
      </c>
      <c r="G243" s="74" t="s">
        <v>1228</v>
      </c>
      <c r="H243" s="75" t="s">
        <v>848</v>
      </c>
      <c r="I243" s="74" t="s">
        <v>864</v>
      </c>
      <c r="J243" s="75" t="s">
        <v>441</v>
      </c>
      <c r="K243" s="75" t="s">
        <v>850</v>
      </c>
      <c r="L243" s="76">
        <v>42317</v>
      </c>
      <c r="M243" s="77">
        <f t="shared" ca="1" si="6"/>
        <v>45954</v>
      </c>
      <c r="N243" s="74" t="str">
        <f>_xlfn.IFNA(VLOOKUP(db_emp[[#This Row],[ID_DIV]],[1]!db_dpt[[Code_dpt]:[Departement]],2,0),"-")</f>
        <v>Engineering</v>
      </c>
      <c r="O243" s="74" t="str">
        <f>_xlfn.IFNA(VLOOKUP(db_emp[[#This Row],[ID_SDP]],[1]!db_div[[Code_div]:[Division]],2,0),"-")</f>
        <v>General Head Departement</v>
      </c>
      <c r="P243" s="74" t="str">
        <f>_xlfn.IFNA(VLOOKUP(db_emp[[#This Row],[Code_lvl]],[1]!db_lvl[[#All],[ID_level]:[Leveling Name]],2,0),"-")</f>
        <v>Assistant Manager</v>
      </c>
      <c r="Q243" s="74" t="str">
        <f>_xlfn.IFNA(VLOOKUP(db_emp[[#This Row],[Code_site]],[1]!db_site[[ID_Site]:[Url_maps]],3,0),"-")</f>
        <v>Unit - Fatmawati City Center</v>
      </c>
      <c r="R2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232345,'I Nyoman Nurita','ENG','GNRAL','Engineering Assistant Manager','LV07','Corp. Supporting Property (POM)','A02','Employee','2015-11-09','2025-10-24'</v>
      </c>
      <c r="S243" s="74">
        <f>db_emp[[#This Row],[NIP (UPDATE)]]</f>
        <v>232345</v>
      </c>
    </row>
    <row r="244" spans="2:19" hidden="1" x14ac:dyDescent="0.25">
      <c r="B244" s="75">
        <v>523</v>
      </c>
      <c r="C244" s="75">
        <v>221807</v>
      </c>
      <c r="D244" s="74" t="s">
        <v>1231</v>
      </c>
      <c r="E244" s="75" t="s">
        <v>911</v>
      </c>
      <c r="F244" s="75" t="s">
        <v>971</v>
      </c>
      <c r="G244" s="74" t="s">
        <v>1228</v>
      </c>
      <c r="H244" s="75" t="s">
        <v>848</v>
      </c>
      <c r="I244" s="74" t="s">
        <v>864</v>
      </c>
      <c r="J244" s="75" t="s">
        <v>446</v>
      </c>
      <c r="K244" s="75" t="s">
        <v>850</v>
      </c>
      <c r="L244" s="76">
        <v>44909</v>
      </c>
      <c r="M244" s="77">
        <f t="shared" ca="1" si="6"/>
        <v>45954</v>
      </c>
      <c r="N244" s="74" t="str">
        <f>_xlfn.IFNA(VLOOKUP(db_emp[[#This Row],[ID_DIV]],[1]!db_dpt[[Code_dpt]:[Departement]],2,0),"-")</f>
        <v>Engineering</v>
      </c>
      <c r="O244" s="74" t="str">
        <f>_xlfn.IFNA(VLOOKUP(db_emp[[#This Row],[ID_SDP]],[1]!db_div[[Code_div]:[Division]],2,0),"-")</f>
        <v>General Head Departement</v>
      </c>
      <c r="P244" s="74" t="str">
        <f>_xlfn.IFNA(VLOOKUP(db_emp[[#This Row],[Code_lvl]],[1]!db_lvl[[#All],[ID_level]:[Leveling Name]],2,0),"-")</f>
        <v>Assistant Manager</v>
      </c>
      <c r="Q244" s="74" t="str">
        <f>_xlfn.IFNA(VLOOKUP(db_emp[[#This Row],[Code_site]],[1]!db_site[[ID_Site]:[Url_maps]],3,0),"-")</f>
        <v>Unit - Menara Jakarta POM</v>
      </c>
      <c r="R2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221807,'Zaki Aulia','ENG','GNRAL','Engineering Assistant Manager','LV07','Corp. Supporting Property (POM)','A03','Employee','2022-12-14','2025-10-24'</v>
      </c>
      <c r="S244" s="74">
        <f>db_emp[[#This Row],[NIP (UPDATE)]]</f>
        <v>221807</v>
      </c>
    </row>
    <row r="245" spans="2:19" hidden="1" x14ac:dyDescent="0.25">
      <c r="B245" s="75">
        <v>559</v>
      </c>
      <c r="C245" s="75">
        <v>240084</v>
      </c>
      <c r="D245" s="74" t="s">
        <v>1232</v>
      </c>
      <c r="E245" s="75" t="s">
        <v>911</v>
      </c>
      <c r="F245" s="75" t="s">
        <v>971</v>
      </c>
      <c r="G245" s="74" t="s">
        <v>1228</v>
      </c>
      <c r="H245" s="75" t="s">
        <v>848</v>
      </c>
      <c r="I245" s="74" t="s">
        <v>864</v>
      </c>
      <c r="J245" s="75" t="s">
        <v>433</v>
      </c>
      <c r="K245" s="75" t="s">
        <v>850</v>
      </c>
      <c r="L245" s="76">
        <v>43497</v>
      </c>
      <c r="M245" s="77">
        <f t="shared" ca="1" si="6"/>
        <v>45954</v>
      </c>
      <c r="N245" s="74" t="str">
        <f>_xlfn.IFNA(VLOOKUP(db_emp[[#This Row],[ID_DIV]],[1]!db_dpt[[Code_dpt]:[Departement]],2,0),"-")</f>
        <v>Engineering</v>
      </c>
      <c r="O245" s="74" t="str">
        <f>_xlfn.IFNA(VLOOKUP(db_emp[[#This Row],[ID_SDP]],[1]!db_div[[Code_div]:[Division]],2,0),"-")</f>
        <v>General Head Departement</v>
      </c>
      <c r="P245" s="74" t="str">
        <f>_xlfn.IFNA(VLOOKUP(db_emp[[#This Row],[Code_lvl]],[1]!db_lvl[[#All],[ID_level]:[Leveling Name]],2,0),"-")</f>
        <v>Assistant Manager</v>
      </c>
      <c r="Q245" s="74" t="str">
        <f>_xlfn.IFNA(VLOOKUP(db_emp[[#This Row],[Code_site]],[1]!db_site[[ID_Site]:[Url_maps]],3,0),"-")</f>
        <v>Unit - Taman Anggrek Residences</v>
      </c>
      <c r="R2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240084,'Alexander Leonidas O','ENG','GNRAL','Engineering Assistant Manager','LV07','Corp. Supporting Property (POM)','A01','Employee','2019-02-01','2025-10-24'</v>
      </c>
      <c r="S245" s="74">
        <f>db_emp[[#This Row],[NIP (UPDATE)]]</f>
        <v>240084</v>
      </c>
    </row>
    <row r="246" spans="2:19" hidden="1" x14ac:dyDescent="0.25">
      <c r="B246" s="75">
        <v>728</v>
      </c>
      <c r="C246" s="75">
        <v>240625</v>
      </c>
      <c r="D246" s="74" t="s">
        <v>1233</v>
      </c>
      <c r="E246" s="75" t="s">
        <v>911</v>
      </c>
      <c r="F246" s="75" t="s">
        <v>971</v>
      </c>
      <c r="G246" s="74" t="s">
        <v>1228</v>
      </c>
      <c r="H246" s="75" t="s">
        <v>848</v>
      </c>
      <c r="I246" s="74" t="s">
        <v>864</v>
      </c>
      <c r="J246" s="75" t="s">
        <v>501</v>
      </c>
      <c r="K246" s="75" t="s">
        <v>850</v>
      </c>
      <c r="L246" s="76"/>
      <c r="M246" s="77">
        <f t="shared" ca="1" si="6"/>
        <v>45954</v>
      </c>
      <c r="N246" s="74" t="str">
        <f>_xlfn.IFNA(VLOOKUP(db_emp[[#This Row],[ID_DIV]],[1]!db_dpt[[Code_dpt]:[Departement]],2,0),"-")</f>
        <v>Engineering</v>
      </c>
      <c r="O246" s="74" t="str">
        <f>_xlfn.IFNA(VLOOKUP(db_emp[[#This Row],[ID_SDP]],[1]!db_div[[Code_div]:[Division]],2,0),"-")</f>
        <v>General Head Departement</v>
      </c>
      <c r="P246" s="74" t="str">
        <f>_xlfn.IFNA(VLOOKUP(db_emp[[#This Row],[Code_lvl]],[1]!db_lvl[[#All],[ID_level]:[Leveling Name]],2,0),"-")</f>
        <v>Assistant Manager</v>
      </c>
      <c r="Q246" s="74" t="str">
        <f>_xlfn.IFNA(VLOOKUP(db_emp[[#This Row],[Code_site]],[1]!db_site[[ID_Site]:[Url_maps]],3,0),"-")</f>
        <v>Unit - District 8</v>
      </c>
      <c r="R2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240625,'Yusrizal','ENG','GNRAL','Engineering Assistant Manager','LV07','Corp. Supporting Property (POM)','OD8','Employee','1900-01-00','2025-10-24'</v>
      </c>
      <c r="S246" s="74">
        <f>db_emp[[#This Row],[NIP (UPDATE)]]</f>
        <v>240625</v>
      </c>
    </row>
    <row r="247" spans="2:19" hidden="1" x14ac:dyDescent="0.25">
      <c r="B247" s="75">
        <v>746</v>
      </c>
      <c r="C247" s="75">
        <v>241832</v>
      </c>
      <c r="D247" s="74" t="s">
        <v>1234</v>
      </c>
      <c r="E247" s="75" t="s">
        <v>911</v>
      </c>
      <c r="F247" s="75" t="s">
        <v>971</v>
      </c>
      <c r="G247" s="74" t="s">
        <v>1228</v>
      </c>
      <c r="H247" s="75" t="s">
        <v>848</v>
      </c>
      <c r="I247" s="74" t="s">
        <v>864</v>
      </c>
      <c r="J247" s="75" t="s">
        <v>501</v>
      </c>
      <c r="K247" s="75" t="s">
        <v>903</v>
      </c>
      <c r="L247" s="76"/>
      <c r="M247" s="77">
        <v>45881</v>
      </c>
      <c r="N247" s="74" t="str">
        <f>_xlfn.IFNA(VLOOKUP(db_emp[[#This Row],[ID_DIV]],[1]!db_dpt[[Code_dpt]:[Departement]],2,0),"-")</f>
        <v>Engineering</v>
      </c>
      <c r="O247" s="74" t="str">
        <f>_xlfn.IFNA(VLOOKUP(db_emp[[#This Row],[ID_SDP]],[1]!db_div[[Code_div]:[Division]],2,0),"-")</f>
        <v>General Head Departement</v>
      </c>
      <c r="P247" s="74" t="str">
        <f>_xlfn.IFNA(VLOOKUP(db_emp[[#This Row],[Code_lvl]],[1]!db_lvl[[#All],[ID_level]:[Leveling Name]],2,0),"-")</f>
        <v>Assistant Manager</v>
      </c>
      <c r="Q247" s="74" t="str">
        <f>_xlfn.IFNA(VLOOKUP(db_emp[[#This Row],[Code_site]],[1]!db_site[[ID_Site]:[Url_maps]],3,0),"-")</f>
        <v>Unit - District 8</v>
      </c>
      <c r="R247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241832,'Suyatno.','ENG','GNRAL','Engineering Assistant Manager','LV07','Corp. Supporting Property (POM)','OD8','Resign','1900-01-00','2025-08-12'</v>
      </c>
      <c r="S247" s="74">
        <f>db_emp[[#This Row],[NIP (UPDATE)]]</f>
        <v>241832</v>
      </c>
    </row>
    <row r="248" spans="2:19" hidden="1" x14ac:dyDescent="0.25">
      <c r="B248" s="75">
        <v>96</v>
      </c>
      <c r="C248" s="75">
        <v>231711</v>
      </c>
      <c r="D248" s="74" t="s">
        <v>1235</v>
      </c>
      <c r="E248" s="75" t="s">
        <v>970</v>
      </c>
      <c r="F248" s="75" t="s">
        <v>1175</v>
      </c>
      <c r="G248" s="74" t="s">
        <v>1236</v>
      </c>
      <c r="H248" s="75" t="s">
        <v>1177</v>
      </c>
      <c r="I248" s="74" t="s">
        <v>856</v>
      </c>
      <c r="J248" s="75" t="s">
        <v>315</v>
      </c>
      <c r="K248" s="75" t="s">
        <v>850</v>
      </c>
      <c r="L248" s="76">
        <v>45201</v>
      </c>
      <c r="M248" s="77">
        <f t="shared" ref="M248:M284" ca="1" si="7">TODAY()+1</f>
        <v>45954</v>
      </c>
      <c r="N248" s="74" t="str">
        <f>_xlfn.IFNA(VLOOKUP(db_emp[[#This Row],[ID_DIV]],[1]!db_dpt[[Code_dpt]:[Departement]],2,0),"-")</f>
        <v>Management</v>
      </c>
      <c r="O248" s="74" t="str">
        <f>_xlfn.IFNA(VLOOKUP(db_emp[[#This Row],[ID_SDP]],[1]!db_div[[Code_div]:[Division]],2,0),"-")</f>
        <v>Top level</v>
      </c>
      <c r="P248" s="74" t="str">
        <f>_xlfn.IFNA(VLOOKUP(db_emp[[#This Row],[Code_lvl]],[1]!db_lvl[[#All],[ID_level]:[Leveling Name]],2,0),"-")</f>
        <v>Director</v>
      </c>
      <c r="Q248" s="74" t="str">
        <f>_xlfn.IFNA(VLOOKUP(db_emp[[#This Row],[Code_site]],[1]!db_site[[ID_Site]:[Url_maps]],3,0),"-")</f>
        <v>Head Office - ASGO</v>
      </c>
      <c r="R2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231711,'Gunawan Bahri','MNG','CLVEL','Engineering Director','LV01','HQ - All','O99','Employee','2023-10-02','2025-10-24'</v>
      </c>
      <c r="S248" s="74">
        <f>db_emp[[#This Row],[NIP (UPDATE)]]</f>
        <v>231711</v>
      </c>
    </row>
    <row r="249" spans="2:19" hidden="1" x14ac:dyDescent="0.25">
      <c r="B249" s="75">
        <v>231</v>
      </c>
      <c r="C249" s="75">
        <v>231501</v>
      </c>
      <c r="D249" s="74" t="s">
        <v>1237</v>
      </c>
      <c r="E249" s="75" t="s">
        <v>911</v>
      </c>
      <c r="F249" s="75" t="s">
        <v>971</v>
      </c>
      <c r="G249" s="74" t="s">
        <v>1238</v>
      </c>
      <c r="H249" s="75" t="s">
        <v>953</v>
      </c>
      <c r="I249" s="74" t="s">
        <v>849</v>
      </c>
      <c r="J249" s="75" t="s">
        <v>314</v>
      </c>
      <c r="K249" s="75" t="s">
        <v>850</v>
      </c>
      <c r="L249" s="76">
        <v>45170</v>
      </c>
      <c r="M249" s="77">
        <f t="shared" ca="1" si="7"/>
        <v>45954</v>
      </c>
      <c r="N249" s="74" t="str">
        <f>_xlfn.IFNA(VLOOKUP(db_emp[[#This Row],[ID_DIV]],[1]!db_dpt[[Code_dpt]:[Departement]],2,0),"-")</f>
        <v>Engineering</v>
      </c>
      <c r="O249" s="74" t="str">
        <f>_xlfn.IFNA(VLOOKUP(db_emp[[#This Row],[ID_SDP]],[1]!db_div[[Code_div]:[Division]],2,0),"-")</f>
        <v>General Head Departement</v>
      </c>
      <c r="P249" s="74" t="str">
        <f>_xlfn.IFNA(VLOOKUP(db_emp[[#This Row],[Code_lvl]],[1]!db_lvl[[#All],[ID_level]:[Leveling Name]],2,0),"-")</f>
        <v>Manager</v>
      </c>
      <c r="Q249" s="74" t="str">
        <f>_xlfn.IFNA(VLOOKUP(db_emp[[#This Row],[Code_site]],[1]!db_site[[ID_Site]:[Url_maps]],3,0),"-")</f>
        <v>Unit - MOI</v>
      </c>
      <c r="R2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231501,'Djefri Lengkoan','ENG','GNRAL','Engineering Manager','LV05','Mall &amp; Cinema','M02','Employee','2023-09-01','2025-10-24'</v>
      </c>
      <c r="S249" s="74">
        <f>db_emp[[#This Row],[NIP (UPDATE)]]</f>
        <v>231501</v>
      </c>
    </row>
    <row r="250" spans="2:19" hidden="1" x14ac:dyDescent="0.25">
      <c r="B250" s="75">
        <v>319</v>
      </c>
      <c r="C250" s="75">
        <v>232157</v>
      </c>
      <c r="D250" s="74" t="s">
        <v>1239</v>
      </c>
      <c r="E250" s="75" t="s">
        <v>911</v>
      </c>
      <c r="F250" s="75" t="s">
        <v>971</v>
      </c>
      <c r="G250" s="74" t="s">
        <v>1238</v>
      </c>
      <c r="H250" s="75" t="s">
        <v>953</v>
      </c>
      <c r="I250" s="74" t="s">
        <v>849</v>
      </c>
      <c r="J250" s="75" t="s">
        <v>484</v>
      </c>
      <c r="K250" s="75" t="s">
        <v>850</v>
      </c>
      <c r="L250" s="76">
        <v>45257</v>
      </c>
      <c r="M250" s="77">
        <f t="shared" ca="1" si="7"/>
        <v>45954</v>
      </c>
      <c r="N250" s="74" t="str">
        <f>_xlfn.IFNA(VLOOKUP(db_emp[[#This Row],[ID_DIV]],[1]!db_dpt[[Code_dpt]:[Departement]],2,0),"-")</f>
        <v>Engineering</v>
      </c>
      <c r="O250" s="74" t="str">
        <f>_xlfn.IFNA(VLOOKUP(db_emp[[#This Row],[ID_SDP]],[1]!db_div[[Code_div]:[Division]],2,0),"-")</f>
        <v>General Head Departement</v>
      </c>
      <c r="P250" s="74" t="str">
        <f>_xlfn.IFNA(VLOOKUP(db_emp[[#This Row],[Code_lvl]],[1]!db_lvl[[#All],[ID_level]:[Leveling Name]],2,0),"-")</f>
        <v>Manager</v>
      </c>
      <c r="Q250" s="74" t="str">
        <f>_xlfn.IFNA(VLOOKUP(db_emp[[#This Row],[Code_site]],[1]!db_site[[ID_Site]:[Url_maps]],3,0),"-")</f>
        <v>Unit - PIK Avenue</v>
      </c>
      <c r="R2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232157,'Nurcahyo Setyo Utomo','ENG','GNRAL','Engineering Manager','LV05','Mall &amp; Cinema','M01','Employee','2023-11-27','2025-10-24'</v>
      </c>
      <c r="S250" s="74">
        <f>db_emp[[#This Row],[NIP (UPDATE)]]</f>
        <v>232157</v>
      </c>
    </row>
    <row r="251" spans="2:19" hidden="1" x14ac:dyDescent="0.25">
      <c r="B251" s="75">
        <v>441</v>
      </c>
      <c r="C251" s="75">
        <v>250293</v>
      </c>
      <c r="D251" s="74" t="s">
        <v>1240</v>
      </c>
      <c r="E251" s="75" t="s">
        <v>911</v>
      </c>
      <c r="F251" s="75" t="s">
        <v>971</v>
      </c>
      <c r="G251" s="74" t="s">
        <v>1238</v>
      </c>
      <c r="H251" s="75" t="s">
        <v>953</v>
      </c>
      <c r="I251" s="74" t="s">
        <v>962</v>
      </c>
      <c r="J251" s="75" t="s">
        <v>496</v>
      </c>
      <c r="K251" s="75" t="s">
        <v>862</v>
      </c>
      <c r="L251" s="76">
        <v>45742</v>
      </c>
      <c r="M251" s="77">
        <f t="shared" ca="1" si="7"/>
        <v>45954</v>
      </c>
      <c r="N251" s="74" t="str">
        <f>_xlfn.IFNA(VLOOKUP(db_emp[[#This Row],[ID_DIV]],[1]!db_dpt[[Code_dpt]:[Departement]],2,0),"-")</f>
        <v>Engineering</v>
      </c>
      <c r="O251" s="74" t="str">
        <f>_xlfn.IFNA(VLOOKUP(db_emp[[#This Row],[ID_SDP]],[1]!db_div[[Code_div]:[Division]],2,0),"-")</f>
        <v>General Head Departement</v>
      </c>
      <c r="P251" s="74" t="str">
        <f>_xlfn.IFNA(VLOOKUP(db_emp[[#This Row],[Code_lvl]],[1]!db_lvl[[#All],[ID_level]:[Leveling Name]],2,0),"-")</f>
        <v>Manager</v>
      </c>
      <c r="Q251" s="74" t="str">
        <f>_xlfn.IFNA(VLOOKUP(db_emp[[#This Row],[Code_site]],[1]!db_site[[ID_Site]:[Url_maps]],3,0),"-")</f>
        <v>Unit - Menara Jakarta</v>
      </c>
      <c r="R2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250293,'Ruslan.','ENG','GNRAL','Engineering Manager','LV05','Mall &amp; Hotel','M06','Not Employee','2025-03-26','2025-10-24'</v>
      </c>
      <c r="S251" s="74">
        <f>db_emp[[#This Row],[NIP (UPDATE)]]</f>
        <v>250293</v>
      </c>
    </row>
    <row r="252" spans="2:19" hidden="1" x14ac:dyDescent="0.25">
      <c r="B252" s="75">
        <v>724</v>
      </c>
      <c r="C252" s="75">
        <v>240469</v>
      </c>
      <c r="D252" s="74" t="s">
        <v>1241</v>
      </c>
      <c r="E252" s="75" t="s">
        <v>911</v>
      </c>
      <c r="F252" s="75" t="s">
        <v>1242</v>
      </c>
      <c r="G252" s="74" t="s">
        <v>1243</v>
      </c>
      <c r="H252" s="75" t="s">
        <v>853</v>
      </c>
      <c r="I252" s="74" t="s">
        <v>864</v>
      </c>
      <c r="J252" s="75" t="s">
        <v>501</v>
      </c>
      <c r="K252" s="75" t="s">
        <v>850</v>
      </c>
      <c r="L252" s="76"/>
      <c r="M252" s="77">
        <f t="shared" ca="1" si="7"/>
        <v>45954</v>
      </c>
      <c r="N252" s="74" t="str">
        <f>_xlfn.IFNA(VLOOKUP(db_emp[[#This Row],[ID_DIV]],[1]!db_dpt[[Code_dpt]:[Departement]],2,0),"-")</f>
        <v>Engineering</v>
      </c>
      <c r="O252" s="74" t="str">
        <f>_xlfn.IFNA(VLOOKUP(db_emp[[#This Row],[ID_SDP]],[1]!db_div[[Code_div]:[Division]],2,0),"-")</f>
        <v>HVAC</v>
      </c>
      <c r="P252" s="74" t="str">
        <f>_xlfn.IFNA(VLOOKUP(db_emp[[#This Row],[Code_lvl]],[1]!db_lvl[[#All],[ID_level]:[Leveling Name]],2,0),"-")</f>
        <v>Staff</v>
      </c>
      <c r="Q252" s="74" t="str">
        <f>_xlfn.IFNA(VLOOKUP(db_emp[[#This Row],[Code_site]],[1]!db_site[[ID_Site]:[Url_maps]],3,0),"-")</f>
        <v>Unit - District 8</v>
      </c>
      <c r="R2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240469,'Sopan Sugiri','ENG','HVACE','Engineering Preventive Hvac Staff','LV12','Corp. Supporting Property (POM)','OD8','Employee','1900-01-00','2025-10-24'</v>
      </c>
      <c r="S252" s="74">
        <f>db_emp[[#This Row],[NIP (UPDATE)]]</f>
        <v>240469</v>
      </c>
    </row>
    <row r="253" spans="2:19" hidden="1" x14ac:dyDescent="0.25">
      <c r="B253" s="75">
        <v>730</v>
      </c>
      <c r="C253" s="75">
        <v>240716</v>
      </c>
      <c r="D253" s="74" t="s">
        <v>1244</v>
      </c>
      <c r="E253" s="75" t="s">
        <v>911</v>
      </c>
      <c r="F253" s="75" t="s">
        <v>1242</v>
      </c>
      <c r="G253" s="74" t="s">
        <v>1243</v>
      </c>
      <c r="H253" s="75" t="s">
        <v>853</v>
      </c>
      <c r="I253" s="74" t="s">
        <v>864</v>
      </c>
      <c r="J253" s="75" t="s">
        <v>501</v>
      </c>
      <c r="K253" s="75" t="s">
        <v>850</v>
      </c>
      <c r="L253" s="76"/>
      <c r="M253" s="77">
        <f t="shared" ca="1" si="7"/>
        <v>45954</v>
      </c>
      <c r="N253" s="74" t="str">
        <f>_xlfn.IFNA(VLOOKUP(db_emp[[#This Row],[ID_DIV]],[1]!db_dpt[[Code_dpt]:[Departement]],2,0),"-")</f>
        <v>Engineering</v>
      </c>
      <c r="O253" s="74" t="str">
        <f>_xlfn.IFNA(VLOOKUP(db_emp[[#This Row],[ID_SDP]],[1]!db_div[[Code_div]:[Division]],2,0),"-")</f>
        <v>HVAC</v>
      </c>
      <c r="P253" s="74" t="str">
        <f>_xlfn.IFNA(VLOOKUP(db_emp[[#This Row],[Code_lvl]],[1]!db_lvl[[#All],[ID_level]:[Leveling Name]],2,0),"-")</f>
        <v>Staff</v>
      </c>
      <c r="Q253" s="74" t="str">
        <f>_xlfn.IFNA(VLOOKUP(db_emp[[#This Row],[Code_site]],[1]!db_site[[ID_Site]:[Url_maps]],3,0),"-")</f>
        <v>Unit - District 8</v>
      </c>
      <c r="R2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240716,'Rahmat.','ENG','HVACE','Engineering Preventive Hvac Staff','LV12','Corp. Supporting Property (POM)','OD8','Employee','1900-01-00','2025-10-24'</v>
      </c>
      <c r="S253" s="74">
        <f>db_emp[[#This Row],[NIP (UPDATE)]]</f>
        <v>240716</v>
      </c>
    </row>
    <row r="254" spans="2:19" hidden="1" x14ac:dyDescent="0.25">
      <c r="B254" s="75">
        <v>658</v>
      </c>
      <c r="C254" s="75">
        <v>171061</v>
      </c>
      <c r="D254" s="74" t="s">
        <v>1245</v>
      </c>
      <c r="E254" s="75" t="s">
        <v>911</v>
      </c>
      <c r="F254" s="75" t="s">
        <v>1246</v>
      </c>
      <c r="G254" s="74" t="s">
        <v>1247</v>
      </c>
      <c r="H254" s="75" t="s">
        <v>853</v>
      </c>
      <c r="I254" s="74" t="s">
        <v>864</v>
      </c>
      <c r="J254" s="75" t="s">
        <v>501</v>
      </c>
      <c r="K254" s="75" t="s">
        <v>850</v>
      </c>
      <c r="L254" s="76"/>
      <c r="M254" s="77">
        <f t="shared" ca="1" si="7"/>
        <v>45954</v>
      </c>
      <c r="N254" s="74" t="str">
        <f>_xlfn.IFNA(VLOOKUP(db_emp[[#This Row],[ID_DIV]],[1]!db_dpt[[Code_dpt]:[Departement]],2,0),"-")</f>
        <v>Engineering</v>
      </c>
      <c r="O254" s="74" t="str">
        <f>_xlfn.IFNA(VLOOKUP(db_emp[[#This Row],[ID_SDP]],[1]!db_div[[Code_div]:[Division]],2,0),"-")</f>
        <v>Plumbing</v>
      </c>
      <c r="P254" s="74" t="str">
        <f>_xlfn.IFNA(VLOOKUP(db_emp[[#This Row],[Code_lvl]],[1]!db_lvl[[#All],[ID_level]:[Leveling Name]],2,0),"-")</f>
        <v>Staff</v>
      </c>
      <c r="Q254" s="74" t="str">
        <f>_xlfn.IFNA(VLOOKUP(db_emp[[#This Row],[Code_site]],[1]!db_site[[ID_Site]:[Url_maps]],3,0),"-")</f>
        <v>Unit - District 8</v>
      </c>
      <c r="R2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171061,'Rudi Butar Butar','ENG','PLUMB','Engineering Preventive Plumbing Staff','LV12','Corp. Supporting Property (POM)','OD8','Employee','1900-01-00','2025-10-24'</v>
      </c>
      <c r="S254" s="74">
        <f>db_emp[[#This Row],[NIP (UPDATE)]]</f>
        <v>171061</v>
      </c>
    </row>
    <row r="255" spans="2:19" hidden="1" x14ac:dyDescent="0.25">
      <c r="B255" s="75">
        <v>722</v>
      </c>
      <c r="C255" s="75">
        <v>240467</v>
      </c>
      <c r="D255" s="74" t="s">
        <v>1248</v>
      </c>
      <c r="E255" s="75" t="s">
        <v>911</v>
      </c>
      <c r="F255" s="75" t="s">
        <v>1246</v>
      </c>
      <c r="G255" s="74" t="s">
        <v>1247</v>
      </c>
      <c r="H255" s="75" t="s">
        <v>853</v>
      </c>
      <c r="I255" s="74" t="s">
        <v>864</v>
      </c>
      <c r="J255" s="75" t="s">
        <v>501</v>
      </c>
      <c r="K255" s="75" t="s">
        <v>850</v>
      </c>
      <c r="L255" s="76"/>
      <c r="M255" s="77">
        <f t="shared" ca="1" si="7"/>
        <v>45954</v>
      </c>
      <c r="N255" s="74" t="str">
        <f>_xlfn.IFNA(VLOOKUP(db_emp[[#This Row],[ID_DIV]],[1]!db_dpt[[Code_dpt]:[Departement]],2,0),"-")</f>
        <v>Engineering</v>
      </c>
      <c r="O255" s="74" t="str">
        <f>_xlfn.IFNA(VLOOKUP(db_emp[[#This Row],[ID_SDP]],[1]!db_div[[Code_div]:[Division]],2,0),"-")</f>
        <v>Plumbing</v>
      </c>
      <c r="P255" s="74" t="str">
        <f>_xlfn.IFNA(VLOOKUP(db_emp[[#This Row],[Code_lvl]],[1]!db_lvl[[#All],[ID_level]:[Leveling Name]],2,0),"-")</f>
        <v>Staff</v>
      </c>
      <c r="Q255" s="74" t="str">
        <f>_xlfn.IFNA(VLOOKUP(db_emp[[#This Row],[Code_site]],[1]!db_site[[ID_Site]:[Url_maps]],3,0),"-")</f>
        <v>Unit - District 8</v>
      </c>
      <c r="R2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240467,'Ade Dian Saputra','ENG','PLUMB','Engineering Preventive Plumbing Staff','LV12','Corp. Supporting Property (POM)','OD8','Employee','1900-01-00','2025-10-24'</v>
      </c>
      <c r="S255" s="74">
        <f>db_emp[[#This Row],[NIP (UPDATE)]]</f>
        <v>240467</v>
      </c>
    </row>
    <row r="256" spans="2:19" hidden="1" x14ac:dyDescent="0.25">
      <c r="B256" s="75">
        <v>666</v>
      </c>
      <c r="C256" s="75">
        <v>180515</v>
      </c>
      <c r="D256" s="74" t="s">
        <v>1249</v>
      </c>
      <c r="E256" s="75" t="s">
        <v>911</v>
      </c>
      <c r="F256" s="75" t="s">
        <v>971</v>
      </c>
      <c r="G256" s="74" t="s">
        <v>1250</v>
      </c>
      <c r="H256" s="75" t="s">
        <v>870</v>
      </c>
      <c r="I256" s="74" t="s">
        <v>864</v>
      </c>
      <c r="J256" s="75" t="s">
        <v>501</v>
      </c>
      <c r="K256" s="75" t="s">
        <v>850</v>
      </c>
      <c r="L256" s="76"/>
      <c r="M256" s="77">
        <f t="shared" ca="1" si="7"/>
        <v>45954</v>
      </c>
      <c r="N256" s="74" t="str">
        <f>_xlfn.IFNA(VLOOKUP(db_emp[[#This Row],[ID_DIV]],[1]!db_dpt[[Code_dpt]:[Departement]],2,0),"-")</f>
        <v>Engineering</v>
      </c>
      <c r="O256" s="74" t="str">
        <f>_xlfn.IFNA(VLOOKUP(db_emp[[#This Row],[ID_SDP]],[1]!db_div[[Code_div]:[Division]],2,0),"-")</f>
        <v>General Head Departement</v>
      </c>
      <c r="P256" s="74" t="str">
        <f>_xlfn.IFNA(VLOOKUP(db_emp[[#This Row],[Code_lvl]],[1]!db_lvl[[#All],[ID_level]:[Leveling Name]],2,0),"-")</f>
        <v>Supervisor</v>
      </c>
      <c r="Q256" s="74" t="str">
        <f>_xlfn.IFNA(VLOOKUP(db_emp[[#This Row],[Code_site]],[1]!db_site[[ID_Site]:[Url_maps]],3,0),"-")</f>
        <v>Unit - District 8</v>
      </c>
      <c r="R2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180515,'Sriyanto.','ENG','GNRAL','Engineering Preventive Supervisor','LV09','Corp. Supporting Property (POM)','OD8','Employee','1900-01-00','2025-10-24'</v>
      </c>
      <c r="S256" s="74">
        <f>db_emp[[#This Row],[NIP (UPDATE)]]</f>
        <v>180515</v>
      </c>
    </row>
    <row r="257" spans="2:19" hidden="1" x14ac:dyDescent="0.25">
      <c r="B257" s="75">
        <v>654</v>
      </c>
      <c r="C257" s="75">
        <v>170343</v>
      </c>
      <c r="D257" s="74" t="s">
        <v>1251</v>
      </c>
      <c r="E257" s="75" t="s">
        <v>911</v>
      </c>
      <c r="F257" s="75" t="s">
        <v>971</v>
      </c>
      <c r="G257" s="74" t="s">
        <v>1252</v>
      </c>
      <c r="H257" s="75" t="s">
        <v>853</v>
      </c>
      <c r="I257" s="74" t="s">
        <v>864</v>
      </c>
      <c r="J257" s="75" t="s">
        <v>501</v>
      </c>
      <c r="K257" s="75" t="s">
        <v>850</v>
      </c>
      <c r="L257" s="76"/>
      <c r="M257" s="77">
        <f t="shared" ca="1" si="7"/>
        <v>45954</v>
      </c>
      <c r="N257" s="74" t="str">
        <f>_xlfn.IFNA(VLOOKUP(db_emp[[#This Row],[ID_DIV]],[1]!db_dpt[[Code_dpt]:[Departement]],2,0),"-")</f>
        <v>Engineering</v>
      </c>
      <c r="O257" s="74" t="str">
        <f>_xlfn.IFNA(VLOOKUP(db_emp[[#This Row],[ID_SDP]],[1]!db_div[[Code_div]:[Division]],2,0),"-")</f>
        <v>General Head Departement</v>
      </c>
      <c r="P257" s="74" t="str">
        <f>_xlfn.IFNA(VLOOKUP(db_emp[[#This Row],[Code_lvl]],[1]!db_lvl[[#All],[ID_level]:[Leveling Name]],2,0),"-")</f>
        <v>Staff</v>
      </c>
      <c r="Q257" s="74" t="str">
        <f>_xlfn.IFNA(VLOOKUP(db_emp[[#This Row],[Code_site]],[1]!db_site[[ID_Site]:[Url_maps]],3,0),"-")</f>
        <v>Unit - District 8</v>
      </c>
      <c r="R2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170343,'Ridho Khoirudin','ENG','GNRAL','Engineering Shift Leader Staff','LV12','Corp. Supporting Property (POM)','OD8','Employee','1900-01-00','2025-10-24'</v>
      </c>
      <c r="S257" s="74">
        <f>db_emp[[#This Row],[NIP (UPDATE)]]</f>
        <v>170343</v>
      </c>
    </row>
    <row r="258" spans="2:19" hidden="1" x14ac:dyDescent="0.25">
      <c r="B258" s="75">
        <v>495</v>
      </c>
      <c r="C258" s="75">
        <v>230381</v>
      </c>
      <c r="D258" s="74" t="s">
        <v>1253</v>
      </c>
      <c r="E258" s="75" t="s">
        <v>911</v>
      </c>
      <c r="F258" s="75" t="s">
        <v>971</v>
      </c>
      <c r="G258" s="74" t="s">
        <v>1254</v>
      </c>
      <c r="H258" s="75" t="s">
        <v>853</v>
      </c>
      <c r="I258" s="74" t="s">
        <v>864</v>
      </c>
      <c r="J258" s="75" t="s">
        <v>441</v>
      </c>
      <c r="K258" s="75" t="s">
        <v>850</v>
      </c>
      <c r="L258" s="76">
        <v>45012</v>
      </c>
      <c r="M258" s="77">
        <f t="shared" ca="1" si="7"/>
        <v>45954</v>
      </c>
      <c r="N258" s="74" t="str">
        <f>_xlfn.IFNA(VLOOKUP(db_emp[[#This Row],[ID_DIV]],[1]!db_dpt[[Code_dpt]:[Departement]],2,0),"-")</f>
        <v>Engineering</v>
      </c>
      <c r="O258" s="74" t="str">
        <f>_xlfn.IFNA(VLOOKUP(db_emp[[#This Row],[ID_SDP]],[1]!db_div[[Code_div]:[Division]],2,0),"-")</f>
        <v>General Head Departement</v>
      </c>
      <c r="P258" s="74" t="str">
        <f>_xlfn.IFNA(VLOOKUP(db_emp[[#This Row],[Code_lvl]],[1]!db_lvl[[#All],[ID_level]:[Leveling Name]],2,0),"-")</f>
        <v>Staff</v>
      </c>
      <c r="Q258" s="74" t="str">
        <f>_xlfn.IFNA(VLOOKUP(db_emp[[#This Row],[Code_site]],[1]!db_site[[ID_Site]:[Url_maps]],3,0),"-")</f>
        <v>Unit - Fatmawati City Center</v>
      </c>
      <c r="R2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230381,'Moch Yudi Gozali','ENG','GNRAL','Engineering Staff','LV12','Corp. Supporting Property (POM)','A02','Employee','2023-03-27','2025-10-24'</v>
      </c>
      <c r="S258" s="74">
        <f>db_emp[[#This Row],[NIP (UPDATE)]]</f>
        <v>230381</v>
      </c>
    </row>
    <row r="259" spans="2:19" hidden="1" x14ac:dyDescent="0.25">
      <c r="B259" s="75">
        <v>496</v>
      </c>
      <c r="C259" s="75">
        <v>230655</v>
      </c>
      <c r="D259" s="74" t="s">
        <v>1255</v>
      </c>
      <c r="E259" s="75" t="s">
        <v>911</v>
      </c>
      <c r="F259" s="75" t="s">
        <v>971</v>
      </c>
      <c r="G259" s="74" t="s">
        <v>1254</v>
      </c>
      <c r="H259" s="75" t="s">
        <v>853</v>
      </c>
      <c r="I259" s="74" t="s">
        <v>864</v>
      </c>
      <c r="J259" s="75" t="s">
        <v>441</v>
      </c>
      <c r="K259" s="75" t="s">
        <v>850</v>
      </c>
      <c r="L259" s="76">
        <v>45061</v>
      </c>
      <c r="M259" s="77">
        <f t="shared" ca="1" si="7"/>
        <v>45954</v>
      </c>
      <c r="N259" s="74" t="str">
        <f>_xlfn.IFNA(VLOOKUP(db_emp[[#This Row],[ID_DIV]],[1]!db_dpt[[Code_dpt]:[Departement]],2,0),"-")</f>
        <v>Engineering</v>
      </c>
      <c r="O259" s="74" t="str">
        <f>_xlfn.IFNA(VLOOKUP(db_emp[[#This Row],[ID_SDP]],[1]!db_div[[Code_div]:[Division]],2,0),"-")</f>
        <v>General Head Departement</v>
      </c>
      <c r="P259" s="74" t="str">
        <f>_xlfn.IFNA(VLOOKUP(db_emp[[#This Row],[Code_lvl]],[1]!db_lvl[[#All],[ID_level]:[Leveling Name]],2,0),"-")</f>
        <v>Staff</v>
      </c>
      <c r="Q259" s="74" t="str">
        <f>_xlfn.IFNA(VLOOKUP(db_emp[[#This Row],[Code_site]],[1]!db_site[[ID_Site]:[Url_maps]],3,0),"-")</f>
        <v>Unit - Fatmawati City Center</v>
      </c>
      <c r="R2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230655,'Imam Fauzi','ENG','GNRAL','Engineering Staff','LV12','Corp. Supporting Property (POM)','A02','Employee','2023-05-15','2025-10-24'</v>
      </c>
      <c r="S259" s="74">
        <f>db_emp[[#This Row],[NIP (UPDATE)]]</f>
        <v>230655</v>
      </c>
    </row>
    <row r="260" spans="2:19" hidden="1" x14ac:dyDescent="0.25">
      <c r="B260" s="75">
        <v>497</v>
      </c>
      <c r="C260" s="75">
        <v>230656</v>
      </c>
      <c r="D260" s="74" t="s">
        <v>1256</v>
      </c>
      <c r="E260" s="75" t="s">
        <v>911</v>
      </c>
      <c r="F260" s="75" t="s">
        <v>971</v>
      </c>
      <c r="G260" s="74" t="s">
        <v>1254</v>
      </c>
      <c r="H260" s="75" t="s">
        <v>853</v>
      </c>
      <c r="I260" s="74" t="s">
        <v>864</v>
      </c>
      <c r="J260" s="75" t="s">
        <v>441</v>
      </c>
      <c r="K260" s="75" t="s">
        <v>903</v>
      </c>
      <c r="L260" s="76">
        <v>45061</v>
      </c>
      <c r="M260" s="77">
        <f t="shared" ca="1" si="7"/>
        <v>45954</v>
      </c>
      <c r="N260" s="74" t="str">
        <f>_xlfn.IFNA(VLOOKUP(db_emp[[#This Row],[ID_DIV]],[1]!db_dpt[[Code_dpt]:[Departement]],2,0),"-")</f>
        <v>Engineering</v>
      </c>
      <c r="O260" s="74" t="str">
        <f>_xlfn.IFNA(VLOOKUP(db_emp[[#This Row],[ID_SDP]],[1]!db_div[[Code_div]:[Division]],2,0),"-")</f>
        <v>General Head Departement</v>
      </c>
      <c r="P260" s="74" t="str">
        <f>_xlfn.IFNA(VLOOKUP(db_emp[[#This Row],[Code_lvl]],[1]!db_lvl[[#All],[ID_level]:[Leveling Name]],2,0),"-")</f>
        <v>Staff</v>
      </c>
      <c r="Q260" s="74" t="str">
        <f>_xlfn.IFNA(VLOOKUP(db_emp[[#This Row],[Code_site]],[1]!db_site[[ID_Site]:[Url_maps]],3,0),"-")</f>
        <v>Unit - Fatmawati City Center</v>
      </c>
      <c r="R2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230656,'Yusniar Syawalludin','ENG','GNRAL','Engineering Staff','LV12','Corp. Supporting Property (POM)','A02','Resign','2023-05-15','2025-10-24'</v>
      </c>
      <c r="S260" s="74">
        <f>db_emp[[#This Row],[NIP (UPDATE)]]</f>
        <v>230656</v>
      </c>
    </row>
    <row r="261" spans="2:19" hidden="1" x14ac:dyDescent="0.25">
      <c r="B261" s="75">
        <v>498</v>
      </c>
      <c r="C261" s="75">
        <v>230658</v>
      </c>
      <c r="D261" s="74" t="s">
        <v>1257</v>
      </c>
      <c r="E261" s="75" t="s">
        <v>911</v>
      </c>
      <c r="F261" s="75" t="s">
        <v>971</v>
      </c>
      <c r="G261" s="74" t="s">
        <v>1254</v>
      </c>
      <c r="H261" s="75" t="s">
        <v>853</v>
      </c>
      <c r="I261" s="74" t="s">
        <v>864</v>
      </c>
      <c r="J261" s="75" t="s">
        <v>441</v>
      </c>
      <c r="K261" s="75" t="s">
        <v>850</v>
      </c>
      <c r="L261" s="76">
        <v>45061</v>
      </c>
      <c r="M261" s="77">
        <f t="shared" ca="1" si="7"/>
        <v>45954</v>
      </c>
      <c r="N261" s="74" t="str">
        <f>_xlfn.IFNA(VLOOKUP(db_emp[[#This Row],[ID_DIV]],[1]!db_dpt[[Code_dpt]:[Departement]],2,0),"-")</f>
        <v>Engineering</v>
      </c>
      <c r="O261" s="74" t="str">
        <f>_xlfn.IFNA(VLOOKUP(db_emp[[#This Row],[ID_SDP]],[1]!db_div[[Code_div]:[Division]],2,0),"-")</f>
        <v>General Head Departement</v>
      </c>
      <c r="P261" s="74" t="str">
        <f>_xlfn.IFNA(VLOOKUP(db_emp[[#This Row],[Code_lvl]],[1]!db_lvl[[#All],[ID_level]:[Leveling Name]],2,0),"-")</f>
        <v>Staff</v>
      </c>
      <c r="Q261" s="74" t="str">
        <f>_xlfn.IFNA(VLOOKUP(db_emp[[#This Row],[Code_site]],[1]!db_site[[ID_Site]:[Url_maps]],3,0),"-")</f>
        <v>Unit - Fatmawati City Center</v>
      </c>
      <c r="R2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230658,'Muhamad Adrian','ENG','GNRAL','Engineering Staff','LV12','Corp. Supporting Property (POM)','A02','Employee','2023-05-15','2025-10-24'</v>
      </c>
      <c r="S261" s="74">
        <f>db_emp[[#This Row],[NIP (UPDATE)]]</f>
        <v>230658</v>
      </c>
    </row>
    <row r="262" spans="2:19" hidden="1" x14ac:dyDescent="0.25">
      <c r="B262" s="75">
        <v>499</v>
      </c>
      <c r="C262" s="75">
        <v>230799</v>
      </c>
      <c r="D262" s="74" t="s">
        <v>1258</v>
      </c>
      <c r="E262" s="75" t="s">
        <v>911</v>
      </c>
      <c r="F262" s="75" t="s">
        <v>971</v>
      </c>
      <c r="G262" s="74" t="s">
        <v>1254</v>
      </c>
      <c r="H262" s="75" t="s">
        <v>885</v>
      </c>
      <c r="I262" s="74" t="s">
        <v>864</v>
      </c>
      <c r="J262" s="75" t="s">
        <v>441</v>
      </c>
      <c r="K262" s="75" t="s">
        <v>850</v>
      </c>
      <c r="L262" s="76">
        <v>45084</v>
      </c>
      <c r="M262" s="77">
        <f t="shared" ca="1" si="7"/>
        <v>45954</v>
      </c>
      <c r="N262" s="74" t="str">
        <f>_xlfn.IFNA(VLOOKUP(db_emp[[#This Row],[ID_DIV]],[1]!db_dpt[[Code_dpt]:[Departement]],2,0),"-")</f>
        <v>Engineering</v>
      </c>
      <c r="O262" s="74" t="str">
        <f>_xlfn.IFNA(VLOOKUP(db_emp[[#This Row],[ID_SDP]],[1]!db_div[[Code_div]:[Division]],2,0),"-")</f>
        <v>General Head Departement</v>
      </c>
      <c r="P262" s="74" t="str">
        <f>_xlfn.IFNA(VLOOKUP(db_emp[[#This Row],[Code_lvl]],[1]!db_lvl[[#All],[ID_level]:[Leveling Name]],2,0),"-")</f>
        <v>Senior Staff</v>
      </c>
      <c r="Q262" s="74" t="str">
        <f>_xlfn.IFNA(VLOOKUP(db_emp[[#This Row],[Code_site]],[1]!db_site[[ID_Site]:[Url_maps]],3,0),"-")</f>
        <v>Unit - Fatmawati City Center</v>
      </c>
      <c r="R2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230799,'Sugeng Riyadi','ENG','GNRAL','Engineering Staff','LV11','Corp. Supporting Property (POM)','A02','Employee','2023-06-07','2025-10-24'</v>
      </c>
      <c r="S262" s="74">
        <f>db_emp[[#This Row],[NIP (UPDATE)]]</f>
        <v>230799</v>
      </c>
    </row>
    <row r="263" spans="2:19" hidden="1" x14ac:dyDescent="0.25">
      <c r="B263" s="75">
        <v>500</v>
      </c>
      <c r="C263" s="75">
        <v>230276</v>
      </c>
      <c r="D263" s="74" t="s">
        <v>1259</v>
      </c>
      <c r="E263" s="75" t="s">
        <v>911</v>
      </c>
      <c r="F263" s="75" t="s">
        <v>971</v>
      </c>
      <c r="G263" s="74" t="s">
        <v>1254</v>
      </c>
      <c r="H263" s="75" t="s">
        <v>885</v>
      </c>
      <c r="I263" s="74" t="s">
        <v>864</v>
      </c>
      <c r="J263" s="75" t="s">
        <v>441</v>
      </c>
      <c r="K263" s="75" t="s">
        <v>850</v>
      </c>
      <c r="L263" s="76">
        <v>44993</v>
      </c>
      <c r="M263" s="77">
        <f t="shared" ca="1" si="7"/>
        <v>45954</v>
      </c>
      <c r="N263" s="74" t="str">
        <f>_xlfn.IFNA(VLOOKUP(db_emp[[#This Row],[ID_DIV]],[1]!db_dpt[[Code_dpt]:[Departement]],2,0),"-")</f>
        <v>Engineering</v>
      </c>
      <c r="O263" s="74" t="str">
        <f>_xlfn.IFNA(VLOOKUP(db_emp[[#This Row],[ID_SDP]],[1]!db_div[[Code_div]:[Division]],2,0),"-")</f>
        <v>General Head Departement</v>
      </c>
      <c r="P263" s="74" t="str">
        <f>_xlfn.IFNA(VLOOKUP(db_emp[[#This Row],[Code_lvl]],[1]!db_lvl[[#All],[ID_level]:[Leveling Name]],2,0),"-")</f>
        <v>Senior Staff</v>
      </c>
      <c r="Q263" s="74" t="str">
        <f>_xlfn.IFNA(VLOOKUP(db_emp[[#This Row],[Code_site]],[1]!db_site[[ID_Site]:[Url_maps]],3,0),"-")</f>
        <v>Unit - Fatmawati City Center</v>
      </c>
      <c r="R2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230276,'Reza Azdian','ENG','GNRAL','Engineering Staff','LV11','Corp. Supporting Property (POM)','A02','Employee','2023-03-08','2025-10-24'</v>
      </c>
      <c r="S263" s="74">
        <f>db_emp[[#This Row],[NIP (UPDATE)]]</f>
        <v>230276</v>
      </c>
    </row>
    <row r="264" spans="2:19" hidden="1" x14ac:dyDescent="0.25">
      <c r="B264" s="75">
        <v>501</v>
      </c>
      <c r="C264" s="75">
        <v>231689</v>
      </c>
      <c r="D264" s="74" t="s">
        <v>1260</v>
      </c>
      <c r="E264" s="75" t="s">
        <v>911</v>
      </c>
      <c r="F264" s="75" t="s">
        <v>971</v>
      </c>
      <c r="G264" s="74" t="s">
        <v>1254</v>
      </c>
      <c r="H264" s="75" t="s">
        <v>853</v>
      </c>
      <c r="I264" s="74" t="s">
        <v>864</v>
      </c>
      <c r="J264" s="75" t="s">
        <v>441</v>
      </c>
      <c r="K264" s="75" t="s">
        <v>850</v>
      </c>
      <c r="L264" s="76">
        <v>45194</v>
      </c>
      <c r="M264" s="77">
        <f t="shared" ca="1" si="7"/>
        <v>45954</v>
      </c>
      <c r="N264" s="74" t="str">
        <f>_xlfn.IFNA(VLOOKUP(db_emp[[#This Row],[ID_DIV]],[1]!db_dpt[[Code_dpt]:[Departement]],2,0),"-")</f>
        <v>Engineering</v>
      </c>
      <c r="O264" s="74" t="str">
        <f>_xlfn.IFNA(VLOOKUP(db_emp[[#This Row],[ID_SDP]],[1]!db_div[[Code_div]:[Division]],2,0),"-")</f>
        <v>General Head Departement</v>
      </c>
      <c r="P264" s="74" t="str">
        <f>_xlfn.IFNA(VLOOKUP(db_emp[[#This Row],[Code_lvl]],[1]!db_lvl[[#All],[ID_level]:[Leveling Name]],2,0),"-")</f>
        <v>Staff</v>
      </c>
      <c r="Q264" s="74" t="str">
        <f>_xlfn.IFNA(VLOOKUP(db_emp[[#This Row],[Code_site]],[1]!db_site[[ID_Site]:[Url_maps]],3,0),"-")</f>
        <v>Unit - Fatmawati City Center</v>
      </c>
      <c r="R2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231689,'Angga Bagusrizky Abdillah','ENG','GNRAL','Engineering Staff','LV12','Corp. Supporting Property (POM)','A02','Employee','2023-09-25','2025-10-24'</v>
      </c>
      <c r="S264" s="74">
        <f>db_emp[[#This Row],[NIP (UPDATE)]]</f>
        <v>231689</v>
      </c>
    </row>
    <row r="265" spans="2:19" hidden="1" x14ac:dyDescent="0.25">
      <c r="B265" s="75">
        <v>502</v>
      </c>
      <c r="C265" s="75">
        <v>231724</v>
      </c>
      <c r="D265" s="74" t="s">
        <v>1261</v>
      </c>
      <c r="E265" s="75" t="s">
        <v>911</v>
      </c>
      <c r="F265" s="75" t="s">
        <v>971</v>
      </c>
      <c r="G265" s="74" t="s">
        <v>1254</v>
      </c>
      <c r="H265" s="75" t="s">
        <v>853</v>
      </c>
      <c r="I265" s="74" t="s">
        <v>864</v>
      </c>
      <c r="J265" s="75" t="s">
        <v>441</v>
      </c>
      <c r="K265" s="75" t="s">
        <v>903</v>
      </c>
      <c r="L265" s="76">
        <v>45201</v>
      </c>
      <c r="M265" s="77">
        <f t="shared" ca="1" si="7"/>
        <v>45954</v>
      </c>
      <c r="N265" s="74" t="str">
        <f>_xlfn.IFNA(VLOOKUP(db_emp[[#This Row],[ID_DIV]],[1]!db_dpt[[Code_dpt]:[Departement]],2,0),"-")</f>
        <v>Engineering</v>
      </c>
      <c r="O265" s="74" t="str">
        <f>_xlfn.IFNA(VLOOKUP(db_emp[[#This Row],[ID_SDP]],[1]!db_div[[Code_div]:[Division]],2,0),"-")</f>
        <v>General Head Departement</v>
      </c>
      <c r="P265" s="74" t="str">
        <f>_xlfn.IFNA(VLOOKUP(db_emp[[#This Row],[Code_lvl]],[1]!db_lvl[[#All],[ID_level]:[Leveling Name]],2,0),"-")</f>
        <v>Staff</v>
      </c>
      <c r="Q265" s="74" t="str">
        <f>_xlfn.IFNA(VLOOKUP(db_emp[[#This Row],[Code_site]],[1]!db_site[[ID_Site]:[Url_maps]],3,0),"-")</f>
        <v>Unit - Fatmawati City Center</v>
      </c>
      <c r="R2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231724,'Nanang Bimasuka','ENG','GNRAL','Engineering Staff','LV12','Corp. Supporting Property (POM)','A02','Resign','2023-10-02','2025-10-24'</v>
      </c>
      <c r="S265" s="74">
        <f>db_emp[[#This Row],[NIP (UPDATE)]]</f>
        <v>231724</v>
      </c>
    </row>
    <row r="266" spans="2:19" hidden="1" x14ac:dyDescent="0.25">
      <c r="B266" s="75">
        <v>512</v>
      </c>
      <c r="C266" s="75">
        <v>241052</v>
      </c>
      <c r="D266" s="74" t="s">
        <v>1262</v>
      </c>
      <c r="E266" s="75" t="s">
        <v>911</v>
      </c>
      <c r="F266" s="75" t="s">
        <v>971</v>
      </c>
      <c r="G266" s="74" t="s">
        <v>1254</v>
      </c>
      <c r="H266" s="75" t="s">
        <v>885</v>
      </c>
      <c r="I266" s="74" t="s">
        <v>864</v>
      </c>
      <c r="J266" s="75" t="s">
        <v>441</v>
      </c>
      <c r="K266" s="75" t="s">
        <v>850</v>
      </c>
      <c r="L266" s="76">
        <v>45462</v>
      </c>
      <c r="M266" s="77">
        <f t="shared" ca="1" si="7"/>
        <v>45954</v>
      </c>
      <c r="N266" s="74" t="str">
        <f>_xlfn.IFNA(VLOOKUP(db_emp[[#This Row],[ID_DIV]],[1]!db_dpt[[Code_dpt]:[Departement]],2,0),"-")</f>
        <v>Engineering</v>
      </c>
      <c r="O266" s="74" t="str">
        <f>_xlfn.IFNA(VLOOKUP(db_emp[[#This Row],[ID_SDP]],[1]!db_div[[Code_div]:[Division]],2,0),"-")</f>
        <v>General Head Departement</v>
      </c>
      <c r="P266" s="74" t="str">
        <f>_xlfn.IFNA(VLOOKUP(db_emp[[#This Row],[Code_lvl]],[1]!db_lvl[[#All],[ID_level]:[Leveling Name]],2,0),"-")</f>
        <v>Senior Staff</v>
      </c>
      <c r="Q266" s="74" t="str">
        <f>_xlfn.IFNA(VLOOKUP(db_emp[[#This Row],[Code_site]],[1]!db_site[[ID_Site]:[Url_maps]],3,0),"-")</f>
        <v>Unit - Fatmawati City Center</v>
      </c>
      <c r="R2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241052,'Andhika Ilham Rizaldi','ENG','GNRAL','Engineering Staff','LV11','Corp. Supporting Property (POM)','A02','Employee','2024-06-19','2025-10-24'</v>
      </c>
      <c r="S266" s="74">
        <f>db_emp[[#This Row],[NIP (UPDATE)]]</f>
        <v>241052</v>
      </c>
    </row>
    <row r="267" spans="2:19" hidden="1" x14ac:dyDescent="0.25">
      <c r="B267" s="75">
        <v>517</v>
      </c>
      <c r="C267" s="75">
        <v>102514</v>
      </c>
      <c r="D267" s="74" t="s">
        <v>1263</v>
      </c>
      <c r="E267" s="75" t="s">
        <v>911</v>
      </c>
      <c r="F267" s="75" t="s">
        <v>971</v>
      </c>
      <c r="G267" s="74" t="s">
        <v>1254</v>
      </c>
      <c r="H267" s="75" t="s">
        <v>885</v>
      </c>
      <c r="I267" s="74" t="s">
        <v>864</v>
      </c>
      <c r="J267" s="75" t="s">
        <v>441</v>
      </c>
      <c r="K267" s="75" t="s">
        <v>903</v>
      </c>
      <c r="L267" s="76">
        <v>40196</v>
      </c>
      <c r="M267" s="77">
        <f t="shared" ca="1" si="7"/>
        <v>45954</v>
      </c>
      <c r="N267" s="74" t="str">
        <f>_xlfn.IFNA(VLOOKUP(db_emp[[#This Row],[ID_DIV]],[1]!db_dpt[[Code_dpt]:[Departement]],2,0),"-")</f>
        <v>Engineering</v>
      </c>
      <c r="O267" s="74" t="str">
        <f>_xlfn.IFNA(VLOOKUP(db_emp[[#This Row],[ID_SDP]],[1]!db_div[[Code_div]:[Division]],2,0),"-")</f>
        <v>General Head Departement</v>
      </c>
      <c r="P267" s="74" t="str">
        <f>_xlfn.IFNA(VLOOKUP(db_emp[[#This Row],[Code_lvl]],[1]!db_lvl[[#All],[ID_level]:[Leveling Name]],2,0),"-")</f>
        <v>Senior Staff</v>
      </c>
      <c r="Q267" s="74" t="str">
        <f>_xlfn.IFNA(VLOOKUP(db_emp[[#This Row],[Code_site]],[1]!db_site[[ID_Site]:[Url_maps]],3,0),"-")</f>
        <v>Unit - Fatmawati City Center</v>
      </c>
      <c r="R2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102514,'Tommy Valentino','ENG','GNRAL','Engineering Staff','LV11','Corp. Supporting Property (POM)','A02','Resign','2010-01-18','2025-10-24'</v>
      </c>
      <c r="S267" s="74">
        <f>db_emp[[#This Row],[NIP (UPDATE)]]</f>
        <v>102514</v>
      </c>
    </row>
    <row r="268" spans="2:19" hidden="1" x14ac:dyDescent="0.25">
      <c r="B268" s="75">
        <v>518</v>
      </c>
      <c r="C268" s="75">
        <v>110398</v>
      </c>
      <c r="D268" s="74" t="s">
        <v>1264</v>
      </c>
      <c r="E268" s="75" t="s">
        <v>911</v>
      </c>
      <c r="F268" s="75" t="s">
        <v>971</v>
      </c>
      <c r="G268" s="74" t="s">
        <v>1254</v>
      </c>
      <c r="H268" s="75" t="s">
        <v>853</v>
      </c>
      <c r="I268" s="74" t="s">
        <v>864</v>
      </c>
      <c r="J268" s="75" t="s">
        <v>441</v>
      </c>
      <c r="K268" s="75" t="s">
        <v>903</v>
      </c>
      <c r="L268" s="76">
        <v>40665</v>
      </c>
      <c r="M268" s="77">
        <f t="shared" ca="1" si="7"/>
        <v>45954</v>
      </c>
      <c r="N268" s="74" t="str">
        <f>_xlfn.IFNA(VLOOKUP(db_emp[[#This Row],[ID_DIV]],[1]!db_dpt[[Code_dpt]:[Departement]],2,0),"-")</f>
        <v>Engineering</v>
      </c>
      <c r="O268" s="74" t="str">
        <f>_xlfn.IFNA(VLOOKUP(db_emp[[#This Row],[ID_SDP]],[1]!db_div[[Code_div]:[Division]],2,0),"-")</f>
        <v>General Head Departement</v>
      </c>
      <c r="P268" s="74" t="str">
        <f>_xlfn.IFNA(VLOOKUP(db_emp[[#This Row],[Code_lvl]],[1]!db_lvl[[#All],[ID_level]:[Leveling Name]],2,0),"-")</f>
        <v>Staff</v>
      </c>
      <c r="Q268" s="74" t="str">
        <f>_xlfn.IFNA(VLOOKUP(db_emp[[#This Row],[Code_site]],[1]!db_site[[ID_Site]:[Url_maps]],3,0),"-")</f>
        <v>Unit - Fatmawati City Center</v>
      </c>
      <c r="R2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110398,'Ade Junaedi Wahab','ENG','GNRAL','Engineering Staff','LV12','Corp. Supporting Property (POM)','A02','Resign','2011-05-02','2025-10-24'</v>
      </c>
      <c r="S268" s="74">
        <f>db_emp[[#This Row],[NIP (UPDATE)]]</f>
        <v>110398</v>
      </c>
    </row>
    <row r="269" spans="2:19" hidden="1" x14ac:dyDescent="0.25">
      <c r="B269" s="75">
        <v>519</v>
      </c>
      <c r="C269" s="75">
        <v>241614</v>
      </c>
      <c r="D269" s="74" t="s">
        <v>1265</v>
      </c>
      <c r="E269" s="75" t="s">
        <v>911</v>
      </c>
      <c r="F269" s="75" t="s">
        <v>971</v>
      </c>
      <c r="G269" s="74" t="s">
        <v>1254</v>
      </c>
      <c r="H269" s="75" t="s">
        <v>853</v>
      </c>
      <c r="I269" s="74" t="s">
        <v>864</v>
      </c>
      <c r="J269" s="75" t="s">
        <v>441</v>
      </c>
      <c r="K269" s="75" t="s">
        <v>862</v>
      </c>
      <c r="L269" s="76">
        <v>45544</v>
      </c>
      <c r="M269" s="77">
        <f t="shared" ca="1" si="7"/>
        <v>45954</v>
      </c>
      <c r="N269" s="74" t="str">
        <f>_xlfn.IFNA(VLOOKUP(db_emp[[#This Row],[ID_DIV]],[1]!db_dpt[[Code_dpt]:[Departement]],2,0),"-")</f>
        <v>Engineering</v>
      </c>
      <c r="O269" s="74" t="str">
        <f>_xlfn.IFNA(VLOOKUP(db_emp[[#This Row],[ID_SDP]],[1]!db_div[[Code_div]:[Division]],2,0),"-")</f>
        <v>General Head Departement</v>
      </c>
      <c r="P269" s="74" t="str">
        <f>_xlfn.IFNA(VLOOKUP(db_emp[[#This Row],[Code_lvl]],[1]!db_lvl[[#All],[ID_level]:[Leveling Name]],2,0),"-")</f>
        <v>Staff</v>
      </c>
      <c r="Q269" s="74" t="str">
        <f>_xlfn.IFNA(VLOOKUP(db_emp[[#This Row],[Code_site]],[1]!db_site[[ID_Site]:[Url_maps]],3,0),"-")</f>
        <v>Unit - Fatmawati City Center</v>
      </c>
      <c r="R2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241614,'Beni Herwanto','ENG','GNRAL','Engineering Staff','LV12','Corp. Supporting Property (POM)','A02','Not Employee','2024-09-09','2025-10-24'</v>
      </c>
      <c r="S269" s="74">
        <f>db_emp[[#This Row],[NIP (UPDATE)]]</f>
        <v>241614</v>
      </c>
    </row>
    <row r="270" spans="2:19" hidden="1" x14ac:dyDescent="0.25">
      <c r="B270" s="75">
        <v>521</v>
      </c>
      <c r="C270" s="75">
        <v>241734</v>
      </c>
      <c r="D270" s="74" t="s">
        <v>1266</v>
      </c>
      <c r="E270" s="75" t="s">
        <v>911</v>
      </c>
      <c r="F270" s="75" t="s">
        <v>971</v>
      </c>
      <c r="G270" s="74" t="s">
        <v>1254</v>
      </c>
      <c r="H270" s="75" t="s">
        <v>853</v>
      </c>
      <c r="I270" s="74" t="s">
        <v>864</v>
      </c>
      <c r="J270" s="75" t="s">
        <v>441</v>
      </c>
      <c r="K270" s="75" t="s">
        <v>862</v>
      </c>
      <c r="L270" s="76">
        <v>45559</v>
      </c>
      <c r="M270" s="77">
        <f t="shared" ca="1" si="7"/>
        <v>45954</v>
      </c>
      <c r="N270" s="74" t="str">
        <f>_xlfn.IFNA(VLOOKUP(db_emp[[#This Row],[ID_DIV]],[1]!db_dpt[[Code_dpt]:[Departement]],2,0),"-")</f>
        <v>Engineering</v>
      </c>
      <c r="O270" s="74" t="str">
        <f>_xlfn.IFNA(VLOOKUP(db_emp[[#This Row],[ID_SDP]],[1]!db_div[[Code_div]:[Division]],2,0),"-")</f>
        <v>General Head Departement</v>
      </c>
      <c r="P270" s="74" t="str">
        <f>_xlfn.IFNA(VLOOKUP(db_emp[[#This Row],[Code_lvl]],[1]!db_lvl[[#All],[ID_level]:[Leveling Name]],2,0),"-")</f>
        <v>Staff</v>
      </c>
      <c r="Q270" s="74" t="str">
        <f>_xlfn.IFNA(VLOOKUP(db_emp[[#This Row],[Code_site]],[1]!db_site[[ID_Site]:[Url_maps]],3,0),"-")</f>
        <v>Unit - Fatmawati City Center</v>
      </c>
      <c r="R2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241734,'Jaenal Arifin','ENG','GNRAL','Engineering Staff','LV12','Corp. Supporting Property (POM)','A02','Not Employee','2024-09-24','2025-10-24'</v>
      </c>
      <c r="S270" s="74">
        <f>db_emp[[#This Row],[NIP (UPDATE)]]</f>
        <v>241734</v>
      </c>
    </row>
    <row r="271" spans="2:19" hidden="1" x14ac:dyDescent="0.25">
      <c r="B271" s="75">
        <v>527</v>
      </c>
      <c r="C271" s="75">
        <v>230353</v>
      </c>
      <c r="D271" s="74" t="s">
        <v>1267</v>
      </c>
      <c r="E271" s="75" t="s">
        <v>911</v>
      </c>
      <c r="F271" s="75" t="s">
        <v>971</v>
      </c>
      <c r="G271" s="74" t="s">
        <v>1254</v>
      </c>
      <c r="H271" s="75" t="s">
        <v>853</v>
      </c>
      <c r="I271" s="74" t="s">
        <v>864</v>
      </c>
      <c r="J271" s="75" t="s">
        <v>446</v>
      </c>
      <c r="K271" s="75" t="s">
        <v>850</v>
      </c>
      <c r="L271" s="76">
        <v>45008</v>
      </c>
      <c r="M271" s="77">
        <f t="shared" ca="1" si="7"/>
        <v>45954</v>
      </c>
      <c r="N271" s="74" t="str">
        <f>_xlfn.IFNA(VLOOKUP(db_emp[[#This Row],[ID_DIV]],[1]!db_dpt[[Code_dpt]:[Departement]],2,0),"-")</f>
        <v>Engineering</v>
      </c>
      <c r="O271" s="74" t="str">
        <f>_xlfn.IFNA(VLOOKUP(db_emp[[#This Row],[ID_SDP]],[1]!db_div[[Code_div]:[Division]],2,0),"-")</f>
        <v>General Head Departement</v>
      </c>
      <c r="P271" s="74" t="str">
        <f>_xlfn.IFNA(VLOOKUP(db_emp[[#This Row],[Code_lvl]],[1]!db_lvl[[#All],[ID_level]:[Leveling Name]],2,0),"-")</f>
        <v>Staff</v>
      </c>
      <c r="Q271" s="74" t="str">
        <f>_xlfn.IFNA(VLOOKUP(db_emp[[#This Row],[Code_site]],[1]!db_site[[ID_Site]:[Url_maps]],3,0),"-")</f>
        <v>Unit - Menara Jakarta POM</v>
      </c>
      <c r="R2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230353,'Budiarto','ENG','GNRAL','Engineering Staff','LV12','Corp. Supporting Property (POM)','A03','Employee','2023-03-23','2025-10-24'</v>
      </c>
      <c r="S271" s="74">
        <f>db_emp[[#This Row],[NIP (UPDATE)]]</f>
        <v>230353</v>
      </c>
    </row>
    <row r="272" spans="2:19" hidden="1" x14ac:dyDescent="0.25">
      <c r="B272" s="75">
        <v>528</v>
      </c>
      <c r="C272" s="75">
        <v>230404</v>
      </c>
      <c r="D272" s="74" t="s">
        <v>1268</v>
      </c>
      <c r="E272" s="75" t="s">
        <v>911</v>
      </c>
      <c r="F272" s="75" t="s">
        <v>971</v>
      </c>
      <c r="G272" s="74" t="s">
        <v>1254</v>
      </c>
      <c r="H272" s="75" t="s">
        <v>853</v>
      </c>
      <c r="I272" s="74" t="s">
        <v>864</v>
      </c>
      <c r="J272" s="75" t="s">
        <v>446</v>
      </c>
      <c r="K272" s="75" t="s">
        <v>850</v>
      </c>
      <c r="L272" s="76">
        <v>45019</v>
      </c>
      <c r="M272" s="77">
        <f t="shared" ca="1" si="7"/>
        <v>45954</v>
      </c>
      <c r="N272" s="74" t="str">
        <f>_xlfn.IFNA(VLOOKUP(db_emp[[#This Row],[ID_DIV]],[1]!db_dpt[[Code_dpt]:[Departement]],2,0),"-")</f>
        <v>Engineering</v>
      </c>
      <c r="O272" s="74" t="str">
        <f>_xlfn.IFNA(VLOOKUP(db_emp[[#This Row],[ID_SDP]],[1]!db_div[[Code_div]:[Division]],2,0),"-")</f>
        <v>General Head Departement</v>
      </c>
      <c r="P272" s="74" t="str">
        <f>_xlfn.IFNA(VLOOKUP(db_emp[[#This Row],[Code_lvl]],[1]!db_lvl[[#All],[ID_level]:[Leveling Name]],2,0),"-")</f>
        <v>Staff</v>
      </c>
      <c r="Q272" s="74" t="str">
        <f>_xlfn.IFNA(VLOOKUP(db_emp[[#This Row],[Code_site]],[1]!db_site[[ID_Site]:[Url_maps]],3,0),"-")</f>
        <v>Unit - Menara Jakarta POM</v>
      </c>
      <c r="R2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230404,'Arif Rahman Hakim','ENG','GNRAL','Engineering Staff','LV12','Corp. Supporting Property (POM)','A03','Employee','2023-04-03','2025-10-24'</v>
      </c>
      <c r="S272" s="74">
        <f>db_emp[[#This Row],[NIP (UPDATE)]]</f>
        <v>230404</v>
      </c>
    </row>
    <row r="273" spans="2:19" hidden="1" x14ac:dyDescent="0.25">
      <c r="B273" s="75">
        <v>529</v>
      </c>
      <c r="C273" s="75">
        <v>230402</v>
      </c>
      <c r="D273" s="74" t="s">
        <v>1269</v>
      </c>
      <c r="E273" s="75" t="s">
        <v>911</v>
      </c>
      <c r="F273" s="75" t="s">
        <v>971</v>
      </c>
      <c r="G273" s="74" t="s">
        <v>1254</v>
      </c>
      <c r="H273" s="75" t="s">
        <v>853</v>
      </c>
      <c r="I273" s="74" t="s">
        <v>864</v>
      </c>
      <c r="J273" s="75" t="s">
        <v>446</v>
      </c>
      <c r="K273" s="75" t="s">
        <v>850</v>
      </c>
      <c r="L273" s="76">
        <v>45019</v>
      </c>
      <c r="M273" s="77">
        <f t="shared" ca="1" si="7"/>
        <v>45954</v>
      </c>
      <c r="N273" s="74" t="str">
        <f>_xlfn.IFNA(VLOOKUP(db_emp[[#This Row],[ID_DIV]],[1]!db_dpt[[Code_dpt]:[Departement]],2,0),"-")</f>
        <v>Engineering</v>
      </c>
      <c r="O273" s="74" t="str">
        <f>_xlfn.IFNA(VLOOKUP(db_emp[[#This Row],[ID_SDP]],[1]!db_div[[Code_div]:[Division]],2,0),"-")</f>
        <v>General Head Departement</v>
      </c>
      <c r="P273" s="74" t="str">
        <f>_xlfn.IFNA(VLOOKUP(db_emp[[#This Row],[Code_lvl]],[1]!db_lvl[[#All],[ID_level]:[Leveling Name]],2,0),"-")</f>
        <v>Staff</v>
      </c>
      <c r="Q273" s="74" t="str">
        <f>_xlfn.IFNA(VLOOKUP(db_emp[[#This Row],[Code_site]],[1]!db_site[[ID_Site]:[Url_maps]],3,0),"-")</f>
        <v>Unit - Menara Jakarta POM</v>
      </c>
      <c r="R2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230402,'Haby Dilla Hady','ENG','GNRAL','Engineering Staff','LV12','Corp. Supporting Property (POM)','A03','Employee','2023-04-03','2025-10-24'</v>
      </c>
      <c r="S273" s="74">
        <f>db_emp[[#This Row],[NIP (UPDATE)]]</f>
        <v>230402</v>
      </c>
    </row>
    <row r="274" spans="2:19" hidden="1" x14ac:dyDescent="0.25">
      <c r="B274" s="75">
        <v>530</v>
      </c>
      <c r="C274" s="75">
        <v>230551</v>
      </c>
      <c r="D274" s="74" t="s">
        <v>1270</v>
      </c>
      <c r="E274" s="75" t="s">
        <v>911</v>
      </c>
      <c r="F274" s="75" t="s">
        <v>971</v>
      </c>
      <c r="G274" s="74" t="s">
        <v>1254</v>
      </c>
      <c r="H274" s="75" t="s">
        <v>885</v>
      </c>
      <c r="I274" s="74" t="s">
        <v>864</v>
      </c>
      <c r="J274" s="75" t="s">
        <v>446</v>
      </c>
      <c r="K274" s="75" t="s">
        <v>850</v>
      </c>
      <c r="L274" s="76">
        <v>45043</v>
      </c>
      <c r="M274" s="77">
        <f t="shared" ca="1" si="7"/>
        <v>45954</v>
      </c>
      <c r="N274" s="74" t="str">
        <f>_xlfn.IFNA(VLOOKUP(db_emp[[#This Row],[ID_DIV]],[1]!db_dpt[[Code_dpt]:[Departement]],2,0),"-")</f>
        <v>Engineering</v>
      </c>
      <c r="O274" s="74" t="str">
        <f>_xlfn.IFNA(VLOOKUP(db_emp[[#This Row],[ID_SDP]],[1]!db_div[[Code_div]:[Division]],2,0),"-")</f>
        <v>General Head Departement</v>
      </c>
      <c r="P274" s="74" t="str">
        <f>_xlfn.IFNA(VLOOKUP(db_emp[[#This Row],[Code_lvl]],[1]!db_lvl[[#All],[ID_level]:[Leveling Name]],2,0),"-")</f>
        <v>Senior Staff</v>
      </c>
      <c r="Q274" s="74" t="str">
        <f>_xlfn.IFNA(VLOOKUP(db_emp[[#This Row],[Code_site]],[1]!db_site[[ID_Site]:[Url_maps]],3,0),"-")</f>
        <v>Unit - Menara Jakarta POM</v>
      </c>
      <c r="R2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230551,'Mochamad Eko Junianto','ENG','GNRAL','Engineering Staff','LV11','Corp. Supporting Property (POM)','A03','Employee','2023-04-27','2025-10-24'</v>
      </c>
      <c r="S274" s="74">
        <f>db_emp[[#This Row],[NIP (UPDATE)]]</f>
        <v>230551</v>
      </c>
    </row>
    <row r="275" spans="2:19" hidden="1" x14ac:dyDescent="0.25">
      <c r="B275" s="75">
        <v>531</v>
      </c>
      <c r="C275" s="75">
        <v>230597</v>
      </c>
      <c r="D275" s="74" t="s">
        <v>1271</v>
      </c>
      <c r="E275" s="75" t="s">
        <v>911</v>
      </c>
      <c r="F275" s="75" t="s">
        <v>971</v>
      </c>
      <c r="G275" s="74" t="s">
        <v>1254</v>
      </c>
      <c r="H275" s="75" t="s">
        <v>885</v>
      </c>
      <c r="I275" s="74" t="s">
        <v>864</v>
      </c>
      <c r="J275" s="75" t="s">
        <v>446</v>
      </c>
      <c r="K275" s="75" t="s">
        <v>850</v>
      </c>
      <c r="L275" s="76">
        <v>45054</v>
      </c>
      <c r="M275" s="77">
        <f t="shared" ca="1" si="7"/>
        <v>45954</v>
      </c>
      <c r="N275" s="74" t="str">
        <f>_xlfn.IFNA(VLOOKUP(db_emp[[#This Row],[ID_DIV]],[1]!db_dpt[[Code_dpt]:[Departement]],2,0),"-")</f>
        <v>Engineering</v>
      </c>
      <c r="O275" s="74" t="str">
        <f>_xlfn.IFNA(VLOOKUP(db_emp[[#This Row],[ID_SDP]],[1]!db_div[[Code_div]:[Division]],2,0),"-")</f>
        <v>General Head Departement</v>
      </c>
      <c r="P275" s="74" t="str">
        <f>_xlfn.IFNA(VLOOKUP(db_emp[[#This Row],[Code_lvl]],[1]!db_lvl[[#All],[ID_level]:[Leveling Name]],2,0),"-")</f>
        <v>Senior Staff</v>
      </c>
      <c r="Q275" s="74" t="str">
        <f>_xlfn.IFNA(VLOOKUP(db_emp[[#This Row],[Code_site]],[1]!db_site[[ID_Site]:[Url_maps]],3,0),"-")</f>
        <v>Unit - Menara Jakarta POM</v>
      </c>
      <c r="R2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230597,'Iqbal Rivaldi','ENG','GNRAL','Engineering Staff','LV11','Corp. Supporting Property (POM)','A03','Employee','2023-05-08','2025-10-24'</v>
      </c>
      <c r="S275" s="74">
        <f>db_emp[[#This Row],[NIP (UPDATE)]]</f>
        <v>230597</v>
      </c>
    </row>
    <row r="276" spans="2:19" hidden="1" x14ac:dyDescent="0.25">
      <c r="B276" s="75">
        <v>532</v>
      </c>
      <c r="C276" s="75">
        <v>230654</v>
      </c>
      <c r="D276" s="74" t="s">
        <v>1272</v>
      </c>
      <c r="E276" s="75" t="s">
        <v>911</v>
      </c>
      <c r="F276" s="75" t="s">
        <v>971</v>
      </c>
      <c r="G276" s="74" t="s">
        <v>1254</v>
      </c>
      <c r="H276" s="75" t="s">
        <v>853</v>
      </c>
      <c r="I276" s="74" t="s">
        <v>864</v>
      </c>
      <c r="J276" s="75" t="s">
        <v>446</v>
      </c>
      <c r="K276" s="75" t="s">
        <v>850</v>
      </c>
      <c r="L276" s="76">
        <v>45061</v>
      </c>
      <c r="M276" s="77">
        <f t="shared" ca="1" si="7"/>
        <v>45954</v>
      </c>
      <c r="N276" s="74" t="str">
        <f>_xlfn.IFNA(VLOOKUP(db_emp[[#This Row],[ID_DIV]],[1]!db_dpt[[Code_dpt]:[Departement]],2,0),"-")</f>
        <v>Engineering</v>
      </c>
      <c r="O276" s="74" t="str">
        <f>_xlfn.IFNA(VLOOKUP(db_emp[[#This Row],[ID_SDP]],[1]!db_div[[Code_div]:[Division]],2,0),"-")</f>
        <v>General Head Departement</v>
      </c>
      <c r="P276" s="74" t="str">
        <f>_xlfn.IFNA(VLOOKUP(db_emp[[#This Row],[Code_lvl]],[1]!db_lvl[[#All],[ID_level]:[Leveling Name]],2,0),"-")</f>
        <v>Staff</v>
      </c>
      <c r="Q276" s="74" t="str">
        <f>_xlfn.IFNA(VLOOKUP(db_emp[[#This Row],[Code_site]],[1]!db_site[[ID_Site]:[Url_maps]],3,0),"-")</f>
        <v>Unit - Menara Jakarta POM</v>
      </c>
      <c r="R2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230654,'Rizky Yutio Pratama','ENG','GNRAL','Engineering Staff','LV12','Corp. Supporting Property (POM)','A03','Employee','2023-05-15','2025-10-24'</v>
      </c>
      <c r="S276" s="74">
        <f>db_emp[[#This Row],[NIP (UPDATE)]]</f>
        <v>230654</v>
      </c>
    </row>
    <row r="277" spans="2:19" hidden="1" x14ac:dyDescent="0.25">
      <c r="B277" s="75">
        <v>533</v>
      </c>
      <c r="C277" s="75">
        <v>230657</v>
      </c>
      <c r="D277" s="74" t="s">
        <v>1273</v>
      </c>
      <c r="E277" s="75" t="s">
        <v>911</v>
      </c>
      <c r="F277" s="75" t="s">
        <v>971</v>
      </c>
      <c r="G277" s="74" t="s">
        <v>1254</v>
      </c>
      <c r="H277" s="75" t="s">
        <v>853</v>
      </c>
      <c r="I277" s="74" t="s">
        <v>864</v>
      </c>
      <c r="J277" s="75" t="s">
        <v>446</v>
      </c>
      <c r="K277" s="75" t="s">
        <v>862</v>
      </c>
      <c r="L277" s="76">
        <v>45061</v>
      </c>
      <c r="M277" s="77">
        <f t="shared" ca="1" si="7"/>
        <v>45954</v>
      </c>
      <c r="N277" s="74" t="str">
        <f>_xlfn.IFNA(VLOOKUP(db_emp[[#This Row],[ID_DIV]],[1]!db_dpt[[Code_dpt]:[Departement]],2,0),"-")</f>
        <v>Engineering</v>
      </c>
      <c r="O277" s="74" t="str">
        <f>_xlfn.IFNA(VLOOKUP(db_emp[[#This Row],[ID_SDP]],[1]!db_div[[Code_div]:[Division]],2,0),"-")</f>
        <v>General Head Departement</v>
      </c>
      <c r="P277" s="74" t="str">
        <f>_xlfn.IFNA(VLOOKUP(db_emp[[#This Row],[Code_lvl]],[1]!db_lvl[[#All],[ID_level]:[Leveling Name]],2,0),"-")</f>
        <v>Staff</v>
      </c>
      <c r="Q277" s="74" t="str">
        <f>_xlfn.IFNA(VLOOKUP(db_emp[[#This Row],[Code_site]],[1]!db_site[[ID_Site]:[Url_maps]],3,0),"-")</f>
        <v>Unit - Menara Jakarta POM</v>
      </c>
      <c r="R2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230657,'Sony Novianto','ENG','GNRAL','Engineering Staff','LV12','Corp. Supporting Property (POM)','A03','Not Employee','2023-05-15','2025-10-24'</v>
      </c>
      <c r="S277" s="74">
        <f>db_emp[[#This Row],[NIP (UPDATE)]]</f>
        <v>230657</v>
      </c>
    </row>
    <row r="278" spans="2:19" hidden="1" x14ac:dyDescent="0.25">
      <c r="B278" s="75">
        <v>534</v>
      </c>
      <c r="C278" s="75">
        <v>240061</v>
      </c>
      <c r="D278" s="74" t="s">
        <v>1274</v>
      </c>
      <c r="E278" s="75" t="s">
        <v>911</v>
      </c>
      <c r="F278" s="75" t="s">
        <v>971</v>
      </c>
      <c r="G278" s="74" t="s">
        <v>1254</v>
      </c>
      <c r="H278" s="75" t="s">
        <v>853</v>
      </c>
      <c r="I278" s="74" t="s">
        <v>864</v>
      </c>
      <c r="J278" s="75" t="s">
        <v>446</v>
      </c>
      <c r="K278" s="75" t="s">
        <v>850</v>
      </c>
      <c r="L278" s="76">
        <v>45306</v>
      </c>
      <c r="M278" s="77">
        <f t="shared" ca="1" si="7"/>
        <v>45954</v>
      </c>
      <c r="N278" s="74" t="str">
        <f>_xlfn.IFNA(VLOOKUP(db_emp[[#This Row],[ID_DIV]],[1]!db_dpt[[Code_dpt]:[Departement]],2,0),"-")</f>
        <v>Engineering</v>
      </c>
      <c r="O278" s="74" t="str">
        <f>_xlfn.IFNA(VLOOKUP(db_emp[[#This Row],[ID_SDP]],[1]!db_div[[Code_div]:[Division]],2,0),"-")</f>
        <v>General Head Departement</v>
      </c>
      <c r="P278" s="74" t="str">
        <f>_xlfn.IFNA(VLOOKUP(db_emp[[#This Row],[Code_lvl]],[1]!db_lvl[[#All],[ID_level]:[Leveling Name]],2,0),"-")</f>
        <v>Staff</v>
      </c>
      <c r="Q278" s="74" t="str">
        <f>_xlfn.IFNA(VLOOKUP(db_emp[[#This Row],[Code_site]],[1]!db_site[[ID_Site]:[Url_maps]],3,0),"-")</f>
        <v>Unit - Menara Jakarta POM</v>
      </c>
      <c r="R2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240061,'Eka Aristianto','ENG','GNRAL','Engineering Staff','LV12','Corp. Supporting Property (POM)','A03','Employee','2024-01-15','2025-10-24'</v>
      </c>
      <c r="S278" s="74">
        <f>db_emp[[#This Row],[NIP (UPDATE)]]</f>
        <v>240061</v>
      </c>
    </row>
    <row r="279" spans="2:19" hidden="1" x14ac:dyDescent="0.25">
      <c r="B279" s="75">
        <v>535</v>
      </c>
      <c r="C279" s="75">
        <v>240274</v>
      </c>
      <c r="D279" s="74" t="s">
        <v>1275</v>
      </c>
      <c r="E279" s="75" t="s">
        <v>911</v>
      </c>
      <c r="F279" s="75" t="s">
        <v>971</v>
      </c>
      <c r="G279" s="74" t="s">
        <v>1254</v>
      </c>
      <c r="H279" s="75" t="s">
        <v>853</v>
      </c>
      <c r="I279" s="74" t="s">
        <v>864</v>
      </c>
      <c r="J279" s="75" t="s">
        <v>446</v>
      </c>
      <c r="K279" s="75" t="s">
        <v>850</v>
      </c>
      <c r="L279" s="76">
        <v>45334</v>
      </c>
      <c r="M279" s="77">
        <f t="shared" ca="1" si="7"/>
        <v>45954</v>
      </c>
      <c r="N279" s="74" t="str">
        <f>_xlfn.IFNA(VLOOKUP(db_emp[[#This Row],[ID_DIV]],[1]!db_dpt[[Code_dpt]:[Departement]],2,0),"-")</f>
        <v>Engineering</v>
      </c>
      <c r="O279" s="74" t="str">
        <f>_xlfn.IFNA(VLOOKUP(db_emp[[#This Row],[ID_SDP]],[1]!db_div[[Code_div]:[Division]],2,0),"-")</f>
        <v>General Head Departement</v>
      </c>
      <c r="P279" s="74" t="str">
        <f>_xlfn.IFNA(VLOOKUP(db_emp[[#This Row],[Code_lvl]],[1]!db_lvl[[#All],[ID_level]:[Leveling Name]],2,0),"-")</f>
        <v>Staff</v>
      </c>
      <c r="Q279" s="74" t="str">
        <f>_xlfn.IFNA(VLOOKUP(db_emp[[#This Row],[Code_site]],[1]!db_site[[ID_Site]:[Url_maps]],3,0),"-")</f>
        <v>Unit - Menara Jakarta POM</v>
      </c>
      <c r="R2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240274,'Adi Suryanto','ENG','GNRAL','Engineering Staff','LV12','Corp. Supporting Property (POM)','A03','Employee','2024-02-12','2025-10-24'</v>
      </c>
      <c r="S279" s="74">
        <f>db_emp[[#This Row],[NIP (UPDATE)]]</f>
        <v>240274</v>
      </c>
    </row>
    <row r="280" spans="2:19" hidden="1" x14ac:dyDescent="0.25">
      <c r="B280" s="75">
        <v>547</v>
      </c>
      <c r="C280" s="75">
        <v>240957</v>
      </c>
      <c r="D280" s="74" t="s">
        <v>1276</v>
      </c>
      <c r="E280" s="75" t="s">
        <v>911</v>
      </c>
      <c r="F280" s="75" t="s">
        <v>971</v>
      </c>
      <c r="G280" s="74" t="s">
        <v>1254</v>
      </c>
      <c r="H280" s="75" t="s">
        <v>853</v>
      </c>
      <c r="I280" s="74" t="s">
        <v>864</v>
      </c>
      <c r="J280" s="75" t="s">
        <v>446</v>
      </c>
      <c r="K280" s="75" t="s">
        <v>850</v>
      </c>
      <c r="L280" s="76">
        <v>45453</v>
      </c>
      <c r="M280" s="77">
        <f t="shared" ca="1" si="7"/>
        <v>45954</v>
      </c>
      <c r="N280" s="74" t="str">
        <f>_xlfn.IFNA(VLOOKUP(db_emp[[#This Row],[ID_DIV]],[1]!db_dpt[[Code_dpt]:[Departement]],2,0),"-")</f>
        <v>Engineering</v>
      </c>
      <c r="O280" s="74" t="str">
        <f>_xlfn.IFNA(VLOOKUP(db_emp[[#This Row],[ID_SDP]],[1]!db_div[[Code_div]:[Division]],2,0),"-")</f>
        <v>General Head Departement</v>
      </c>
      <c r="P280" s="74" t="str">
        <f>_xlfn.IFNA(VLOOKUP(db_emp[[#This Row],[Code_lvl]],[1]!db_lvl[[#All],[ID_level]:[Leveling Name]],2,0),"-")</f>
        <v>Staff</v>
      </c>
      <c r="Q280" s="74" t="str">
        <f>_xlfn.IFNA(VLOOKUP(db_emp[[#This Row],[Code_site]],[1]!db_site[[ID_Site]:[Url_maps]],3,0),"-")</f>
        <v>Unit - Menara Jakarta POM</v>
      </c>
      <c r="R2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240957,'Muhamad Helmi','ENG','GNRAL','Engineering Staff','LV12','Corp. Supporting Property (POM)','A03','Employee','2024-06-10','2025-10-24'</v>
      </c>
      <c r="S280" s="74">
        <f>db_emp[[#This Row],[NIP (UPDATE)]]</f>
        <v>240957</v>
      </c>
    </row>
    <row r="281" spans="2:19" hidden="1" x14ac:dyDescent="0.25">
      <c r="B281" s="75">
        <v>549</v>
      </c>
      <c r="C281" s="75">
        <v>101840</v>
      </c>
      <c r="D281" s="74" t="s">
        <v>1277</v>
      </c>
      <c r="E281" s="75" t="s">
        <v>911</v>
      </c>
      <c r="F281" s="75" t="s">
        <v>971</v>
      </c>
      <c r="G281" s="74" t="s">
        <v>1254</v>
      </c>
      <c r="H281" s="75" t="s">
        <v>853</v>
      </c>
      <c r="I281" s="74" t="s">
        <v>864</v>
      </c>
      <c r="J281" s="75" t="s">
        <v>446</v>
      </c>
      <c r="K281" s="75" t="s">
        <v>903</v>
      </c>
      <c r="L281" s="76">
        <v>39714</v>
      </c>
      <c r="M281" s="77">
        <f t="shared" ca="1" si="7"/>
        <v>45954</v>
      </c>
      <c r="N281" s="74" t="str">
        <f>_xlfn.IFNA(VLOOKUP(db_emp[[#This Row],[ID_DIV]],[1]!db_dpt[[Code_dpt]:[Departement]],2,0),"-")</f>
        <v>Engineering</v>
      </c>
      <c r="O281" s="74" t="str">
        <f>_xlfn.IFNA(VLOOKUP(db_emp[[#This Row],[ID_SDP]],[1]!db_div[[Code_div]:[Division]],2,0),"-")</f>
        <v>General Head Departement</v>
      </c>
      <c r="P281" s="74" t="str">
        <f>_xlfn.IFNA(VLOOKUP(db_emp[[#This Row],[Code_lvl]],[1]!db_lvl[[#All],[ID_level]:[Leveling Name]],2,0),"-")</f>
        <v>Staff</v>
      </c>
      <c r="Q281" s="74" t="str">
        <f>_xlfn.IFNA(VLOOKUP(db_emp[[#This Row],[Code_site]],[1]!db_site[[ID_Site]:[Url_maps]],3,0),"-")</f>
        <v>Unit - Menara Jakarta POM</v>
      </c>
      <c r="R2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101840,'Zulfikar Ahmad','ENG','GNRAL','Engineering Staff','LV12','Corp. Supporting Property (POM)','A03','Resign','2008-09-23','2025-10-24'</v>
      </c>
      <c r="S281" s="74">
        <f>db_emp[[#This Row],[NIP (UPDATE)]]</f>
        <v>101840</v>
      </c>
    </row>
    <row r="282" spans="2:19" hidden="1" x14ac:dyDescent="0.25">
      <c r="B282" s="75">
        <v>550</v>
      </c>
      <c r="C282" s="75">
        <v>103393</v>
      </c>
      <c r="D282" s="74" t="s">
        <v>1278</v>
      </c>
      <c r="E282" s="75" t="s">
        <v>911</v>
      </c>
      <c r="F282" s="75" t="s">
        <v>971</v>
      </c>
      <c r="G282" s="74" t="s">
        <v>1254</v>
      </c>
      <c r="H282" s="75" t="s">
        <v>885</v>
      </c>
      <c r="I282" s="74" t="s">
        <v>864</v>
      </c>
      <c r="J282" s="75" t="s">
        <v>446</v>
      </c>
      <c r="K282" s="75" t="s">
        <v>903</v>
      </c>
      <c r="L282" s="76">
        <v>40497</v>
      </c>
      <c r="M282" s="77">
        <f t="shared" ca="1" si="7"/>
        <v>45954</v>
      </c>
      <c r="N282" s="74" t="str">
        <f>_xlfn.IFNA(VLOOKUP(db_emp[[#This Row],[ID_DIV]],[1]!db_dpt[[Code_dpt]:[Departement]],2,0),"-")</f>
        <v>Engineering</v>
      </c>
      <c r="O282" s="74" t="str">
        <f>_xlfn.IFNA(VLOOKUP(db_emp[[#This Row],[ID_SDP]],[1]!db_div[[Code_div]:[Division]],2,0),"-")</f>
        <v>General Head Departement</v>
      </c>
      <c r="P282" s="74" t="str">
        <f>_xlfn.IFNA(VLOOKUP(db_emp[[#This Row],[Code_lvl]],[1]!db_lvl[[#All],[ID_level]:[Leveling Name]],2,0),"-")</f>
        <v>Senior Staff</v>
      </c>
      <c r="Q282" s="74" t="str">
        <f>_xlfn.IFNA(VLOOKUP(db_emp[[#This Row],[Code_site]],[1]!db_site[[ID_Site]:[Url_maps]],3,0),"-")</f>
        <v>Unit - Menara Jakarta POM</v>
      </c>
      <c r="R2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103393,'Mahfut Zen','ENG','GNRAL','Engineering Staff','LV11','Corp. Supporting Property (POM)','A03','Resign','2010-11-15','2025-10-24'</v>
      </c>
      <c r="S282" s="74">
        <f>db_emp[[#This Row],[NIP (UPDATE)]]</f>
        <v>103393</v>
      </c>
    </row>
    <row r="283" spans="2:19" hidden="1" x14ac:dyDescent="0.25">
      <c r="B283" s="75">
        <v>551</v>
      </c>
      <c r="C283" s="75">
        <v>241573</v>
      </c>
      <c r="D283" s="74" t="s">
        <v>1279</v>
      </c>
      <c r="E283" s="75" t="s">
        <v>911</v>
      </c>
      <c r="F283" s="75" t="s">
        <v>971</v>
      </c>
      <c r="G283" s="74" t="s">
        <v>1254</v>
      </c>
      <c r="H283" s="75" t="s">
        <v>853</v>
      </c>
      <c r="I283" s="74" t="s">
        <v>864</v>
      </c>
      <c r="J283" s="75" t="s">
        <v>446</v>
      </c>
      <c r="K283" s="75" t="s">
        <v>862</v>
      </c>
      <c r="L283" s="76">
        <v>45537</v>
      </c>
      <c r="M283" s="77">
        <f t="shared" ca="1" si="7"/>
        <v>45954</v>
      </c>
      <c r="N283" s="74" t="str">
        <f>_xlfn.IFNA(VLOOKUP(db_emp[[#This Row],[ID_DIV]],[1]!db_dpt[[Code_dpt]:[Departement]],2,0),"-")</f>
        <v>Engineering</v>
      </c>
      <c r="O283" s="74" t="str">
        <f>_xlfn.IFNA(VLOOKUP(db_emp[[#This Row],[ID_SDP]],[1]!db_div[[Code_div]:[Division]],2,0),"-")</f>
        <v>General Head Departement</v>
      </c>
      <c r="P283" s="74" t="str">
        <f>_xlfn.IFNA(VLOOKUP(db_emp[[#This Row],[Code_lvl]],[1]!db_lvl[[#All],[ID_level]:[Leveling Name]],2,0),"-")</f>
        <v>Staff</v>
      </c>
      <c r="Q283" s="74" t="str">
        <f>_xlfn.IFNA(VLOOKUP(db_emp[[#This Row],[Code_site]],[1]!db_site[[ID_Site]:[Url_maps]],3,0),"-")</f>
        <v>Unit - Menara Jakarta POM</v>
      </c>
      <c r="R2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241573,'Yudi Andriyani','ENG','GNRAL','Engineering Staff','LV12','Corp. Supporting Property (POM)','A03','Not Employee','2024-09-02','2025-10-24'</v>
      </c>
      <c r="S283" s="74">
        <f>db_emp[[#This Row],[NIP (UPDATE)]]</f>
        <v>241573</v>
      </c>
    </row>
    <row r="284" spans="2:19" hidden="1" x14ac:dyDescent="0.25">
      <c r="B284" s="75">
        <v>552</v>
      </c>
      <c r="C284" s="75">
        <v>241928</v>
      </c>
      <c r="D284" s="74" t="s">
        <v>1280</v>
      </c>
      <c r="E284" s="75" t="s">
        <v>911</v>
      </c>
      <c r="F284" s="75" t="s">
        <v>971</v>
      </c>
      <c r="G284" s="74" t="s">
        <v>1254</v>
      </c>
      <c r="H284" s="75" t="s">
        <v>885</v>
      </c>
      <c r="I284" s="74" t="s">
        <v>864</v>
      </c>
      <c r="J284" s="75" t="s">
        <v>446</v>
      </c>
      <c r="K284" s="75" t="s">
        <v>862</v>
      </c>
      <c r="L284" s="76">
        <v>45593</v>
      </c>
      <c r="M284" s="77">
        <f t="shared" ca="1" si="7"/>
        <v>45954</v>
      </c>
      <c r="N284" s="74" t="str">
        <f>_xlfn.IFNA(VLOOKUP(db_emp[[#This Row],[ID_DIV]],[1]!db_dpt[[Code_dpt]:[Departement]],2,0),"-")</f>
        <v>Engineering</v>
      </c>
      <c r="O284" s="74" t="str">
        <f>_xlfn.IFNA(VLOOKUP(db_emp[[#This Row],[ID_SDP]],[1]!db_div[[Code_div]:[Division]],2,0),"-")</f>
        <v>General Head Departement</v>
      </c>
      <c r="P284" s="74" t="str">
        <f>_xlfn.IFNA(VLOOKUP(db_emp[[#This Row],[Code_lvl]],[1]!db_lvl[[#All],[ID_level]:[Leveling Name]],2,0),"-")</f>
        <v>Senior Staff</v>
      </c>
      <c r="Q284" s="74" t="str">
        <f>_xlfn.IFNA(VLOOKUP(db_emp[[#This Row],[Code_site]],[1]!db_site[[ID_Site]:[Url_maps]],3,0),"-")</f>
        <v>Unit - Menara Jakarta POM</v>
      </c>
      <c r="R2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241928,'Malik Fajar Siauta','ENG','GNRAL','Engineering Staff','LV11','Corp. Supporting Property (POM)','A03','Not Employee','2024-10-28','2025-10-24'</v>
      </c>
      <c r="S284" s="74">
        <f>db_emp[[#This Row],[NIP (UPDATE)]]</f>
        <v>241928</v>
      </c>
    </row>
    <row r="285" spans="2:19" hidden="1" x14ac:dyDescent="0.25">
      <c r="B285" s="75">
        <v>553</v>
      </c>
      <c r="C285" s="75">
        <v>242070</v>
      </c>
      <c r="D285" s="74" t="s">
        <v>1281</v>
      </c>
      <c r="E285" s="75" t="s">
        <v>911</v>
      </c>
      <c r="F285" s="75" t="s">
        <v>971</v>
      </c>
      <c r="G285" s="74" t="s">
        <v>1254</v>
      </c>
      <c r="H285" s="75" t="s">
        <v>853</v>
      </c>
      <c r="I285" s="74" t="s">
        <v>864</v>
      </c>
      <c r="J285" s="75" t="s">
        <v>446</v>
      </c>
      <c r="K285" s="75" t="s">
        <v>903</v>
      </c>
      <c r="L285" s="76">
        <v>45614</v>
      </c>
      <c r="M285" s="77">
        <v>45851</v>
      </c>
      <c r="N285" s="74" t="str">
        <f>_xlfn.IFNA(VLOOKUP(db_emp[[#This Row],[ID_DIV]],[1]!db_dpt[[Code_dpt]:[Departement]],2,0),"-")</f>
        <v>Engineering</v>
      </c>
      <c r="O285" s="74" t="str">
        <f>_xlfn.IFNA(VLOOKUP(db_emp[[#This Row],[ID_SDP]],[1]!db_div[[Code_div]:[Division]],2,0),"-")</f>
        <v>General Head Departement</v>
      </c>
      <c r="P285" s="74" t="str">
        <f>_xlfn.IFNA(VLOOKUP(db_emp[[#This Row],[Code_lvl]],[1]!db_lvl[[#All],[ID_level]:[Leveling Name]],2,0),"-")</f>
        <v>Staff</v>
      </c>
      <c r="Q285" s="74" t="str">
        <f>_xlfn.IFNA(VLOOKUP(db_emp[[#This Row],[Code_site]],[1]!db_site[[ID_Site]:[Url_maps]],3,0),"-")</f>
        <v>Unit - Menara Jakarta POM</v>
      </c>
      <c r="R285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242070,'Yusep Kurniawan','ENG','GNRAL','Engineering Staff','LV12','Corp. Supporting Property (POM)','A03','Resign','2024-11-18','2025-07-13'</v>
      </c>
      <c r="S285" s="74">
        <f>db_emp[[#This Row],[NIP (UPDATE)]]</f>
        <v>242070</v>
      </c>
    </row>
    <row r="286" spans="2:19" hidden="1" x14ac:dyDescent="0.25">
      <c r="B286" s="75">
        <v>554</v>
      </c>
      <c r="C286" s="75">
        <v>242137</v>
      </c>
      <c r="D286" s="74" t="s">
        <v>1282</v>
      </c>
      <c r="E286" s="75" t="s">
        <v>911</v>
      </c>
      <c r="F286" s="75" t="s">
        <v>971</v>
      </c>
      <c r="G286" s="74" t="s">
        <v>1254</v>
      </c>
      <c r="H286" s="75" t="s">
        <v>853</v>
      </c>
      <c r="I286" s="74" t="s">
        <v>864</v>
      </c>
      <c r="J286" s="75" t="s">
        <v>446</v>
      </c>
      <c r="K286" s="75" t="s">
        <v>850</v>
      </c>
      <c r="L286" s="76">
        <v>45628</v>
      </c>
      <c r="M286" s="77">
        <f t="shared" ref="M286:M349" ca="1" si="8">TODAY()+1</f>
        <v>45954</v>
      </c>
      <c r="N286" s="74" t="str">
        <f>_xlfn.IFNA(VLOOKUP(db_emp[[#This Row],[ID_DIV]],[1]!db_dpt[[Code_dpt]:[Departement]],2,0),"-")</f>
        <v>Engineering</v>
      </c>
      <c r="O286" s="74" t="str">
        <f>_xlfn.IFNA(VLOOKUP(db_emp[[#This Row],[ID_SDP]],[1]!db_div[[Code_div]:[Division]],2,0),"-")</f>
        <v>General Head Departement</v>
      </c>
      <c r="P286" s="74" t="str">
        <f>_xlfn.IFNA(VLOOKUP(db_emp[[#This Row],[Code_lvl]],[1]!db_lvl[[#All],[ID_level]:[Leveling Name]],2,0),"-")</f>
        <v>Staff</v>
      </c>
      <c r="Q286" s="74" t="str">
        <f>_xlfn.IFNA(VLOOKUP(db_emp[[#This Row],[Code_site]],[1]!db_site[[ID_Site]:[Url_maps]],3,0),"-")</f>
        <v>Unit - Menara Jakarta POM</v>
      </c>
      <c r="R2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242137,'Adi Agus Riyanto','ENG','GNRAL','Engineering Staff','LV12','Corp. Supporting Property (POM)','A03','Employee','2024-12-02','2025-10-24'</v>
      </c>
      <c r="S286" s="74">
        <f>db_emp[[#This Row],[NIP (UPDATE)]]</f>
        <v>242137</v>
      </c>
    </row>
    <row r="287" spans="2:19" hidden="1" x14ac:dyDescent="0.25">
      <c r="B287" s="75">
        <v>555</v>
      </c>
      <c r="C287" s="75">
        <v>242265</v>
      </c>
      <c r="D287" s="74" t="s">
        <v>1283</v>
      </c>
      <c r="E287" s="75" t="s">
        <v>911</v>
      </c>
      <c r="F287" s="75" t="s">
        <v>971</v>
      </c>
      <c r="G287" s="74" t="s">
        <v>1254</v>
      </c>
      <c r="H287" s="75" t="s">
        <v>853</v>
      </c>
      <c r="I287" s="74" t="s">
        <v>864</v>
      </c>
      <c r="J287" s="75" t="s">
        <v>446</v>
      </c>
      <c r="K287" s="75" t="s">
        <v>862</v>
      </c>
      <c r="L287" s="76">
        <v>45649</v>
      </c>
      <c r="M287" s="77">
        <f t="shared" ca="1" si="8"/>
        <v>45954</v>
      </c>
      <c r="N287" s="74" t="str">
        <f>_xlfn.IFNA(VLOOKUP(db_emp[[#This Row],[ID_DIV]],[1]!db_dpt[[Code_dpt]:[Departement]],2,0),"-")</f>
        <v>Engineering</v>
      </c>
      <c r="O287" s="74" t="str">
        <f>_xlfn.IFNA(VLOOKUP(db_emp[[#This Row],[ID_SDP]],[1]!db_div[[Code_div]:[Division]],2,0),"-")</f>
        <v>General Head Departement</v>
      </c>
      <c r="P287" s="74" t="str">
        <f>_xlfn.IFNA(VLOOKUP(db_emp[[#This Row],[Code_lvl]],[1]!db_lvl[[#All],[ID_level]:[Leveling Name]],2,0),"-")</f>
        <v>Staff</v>
      </c>
      <c r="Q287" s="74" t="str">
        <f>_xlfn.IFNA(VLOOKUP(db_emp[[#This Row],[Code_site]],[1]!db_site[[ID_Site]:[Url_maps]],3,0),"-")</f>
        <v>Unit - Menara Jakarta POM</v>
      </c>
      <c r="R2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242265,'Koko Komarudin','ENG','GNRAL','Engineering Staff','LV12','Corp. Supporting Property (POM)','A03','Not Employee','2024-12-23','2025-10-24'</v>
      </c>
      <c r="S287" s="74">
        <f>db_emp[[#This Row],[NIP (UPDATE)]]</f>
        <v>242265</v>
      </c>
    </row>
    <row r="288" spans="2:19" hidden="1" x14ac:dyDescent="0.25">
      <c r="B288" s="75">
        <v>565</v>
      </c>
      <c r="C288" s="75">
        <v>180146</v>
      </c>
      <c r="D288" s="74" t="s">
        <v>1284</v>
      </c>
      <c r="E288" s="75" t="s">
        <v>911</v>
      </c>
      <c r="F288" s="75" t="s">
        <v>971</v>
      </c>
      <c r="G288" s="74" t="s">
        <v>1254</v>
      </c>
      <c r="H288" s="75" t="s">
        <v>853</v>
      </c>
      <c r="I288" s="74" t="s">
        <v>864</v>
      </c>
      <c r="J288" s="75" t="s">
        <v>433</v>
      </c>
      <c r="K288" s="75" t="s">
        <v>903</v>
      </c>
      <c r="L288" s="76">
        <v>43132</v>
      </c>
      <c r="M288" s="77">
        <f t="shared" ca="1" si="8"/>
        <v>45954</v>
      </c>
      <c r="N288" s="74" t="str">
        <f>_xlfn.IFNA(VLOOKUP(db_emp[[#This Row],[ID_DIV]],[1]!db_dpt[[Code_dpt]:[Departement]],2,0),"-")</f>
        <v>Engineering</v>
      </c>
      <c r="O288" s="74" t="str">
        <f>_xlfn.IFNA(VLOOKUP(db_emp[[#This Row],[ID_SDP]],[1]!db_div[[Code_div]:[Division]],2,0),"-")</f>
        <v>General Head Departement</v>
      </c>
      <c r="P288" s="74" t="str">
        <f>_xlfn.IFNA(VLOOKUP(db_emp[[#This Row],[Code_lvl]],[1]!db_lvl[[#All],[ID_level]:[Leveling Name]],2,0),"-")</f>
        <v>Staff</v>
      </c>
      <c r="Q288" s="74" t="str">
        <f>_xlfn.IFNA(VLOOKUP(db_emp[[#This Row],[Code_site]],[1]!db_site[[ID_Site]:[Url_maps]],3,0),"-")</f>
        <v>Unit - Taman Anggrek Residences</v>
      </c>
      <c r="R2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180146,'Ichsan Agus Setiawan','ENG','GNRAL','Engineering Staff','LV12','Corp. Supporting Property (POM)','A01','Resign','2018-02-01','2025-10-24'</v>
      </c>
      <c r="S288" s="74">
        <f>db_emp[[#This Row],[NIP (UPDATE)]]</f>
        <v>180146</v>
      </c>
    </row>
    <row r="289" spans="2:19" hidden="1" x14ac:dyDescent="0.25">
      <c r="B289" s="75">
        <v>566</v>
      </c>
      <c r="C289" s="75">
        <v>120979</v>
      </c>
      <c r="D289" s="74" t="s">
        <v>1285</v>
      </c>
      <c r="E289" s="75" t="s">
        <v>911</v>
      </c>
      <c r="F289" s="75" t="s">
        <v>971</v>
      </c>
      <c r="G289" s="74" t="s">
        <v>1254</v>
      </c>
      <c r="H289" s="75" t="s">
        <v>853</v>
      </c>
      <c r="I289" s="74" t="s">
        <v>864</v>
      </c>
      <c r="J289" s="75" t="s">
        <v>433</v>
      </c>
      <c r="K289" s="75" t="s">
        <v>903</v>
      </c>
      <c r="L289" s="76">
        <v>41155</v>
      </c>
      <c r="M289" s="77">
        <f t="shared" ca="1" si="8"/>
        <v>45954</v>
      </c>
      <c r="N289" s="74" t="str">
        <f>_xlfn.IFNA(VLOOKUP(db_emp[[#This Row],[ID_DIV]],[1]!db_dpt[[Code_dpt]:[Departement]],2,0),"-")</f>
        <v>Engineering</v>
      </c>
      <c r="O289" s="74" t="str">
        <f>_xlfn.IFNA(VLOOKUP(db_emp[[#This Row],[ID_SDP]],[1]!db_div[[Code_div]:[Division]],2,0),"-")</f>
        <v>General Head Departement</v>
      </c>
      <c r="P289" s="74" t="str">
        <f>_xlfn.IFNA(VLOOKUP(db_emp[[#This Row],[Code_lvl]],[1]!db_lvl[[#All],[ID_level]:[Leveling Name]],2,0),"-")</f>
        <v>Staff</v>
      </c>
      <c r="Q289" s="74" t="str">
        <f>_xlfn.IFNA(VLOOKUP(db_emp[[#This Row],[Code_site]],[1]!db_site[[ID_Site]:[Url_maps]],3,0),"-")</f>
        <v>Unit - Taman Anggrek Residences</v>
      </c>
      <c r="R2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120979,'Eko Puji Hartono','ENG','GNRAL','Engineering Staff','LV12','Corp. Supporting Property (POM)','A01','Resign','2012-09-03','2025-10-24'</v>
      </c>
      <c r="S289" s="74">
        <f>db_emp[[#This Row],[NIP (UPDATE)]]</f>
        <v>120979</v>
      </c>
    </row>
    <row r="290" spans="2:19" hidden="1" x14ac:dyDescent="0.25">
      <c r="B290" s="75">
        <v>567</v>
      </c>
      <c r="C290" s="75">
        <v>232002</v>
      </c>
      <c r="D290" s="74" t="s">
        <v>1286</v>
      </c>
      <c r="E290" s="75" t="s">
        <v>911</v>
      </c>
      <c r="F290" s="75" t="s">
        <v>971</v>
      </c>
      <c r="G290" s="74" t="s">
        <v>1254</v>
      </c>
      <c r="H290" s="75" t="s">
        <v>885</v>
      </c>
      <c r="I290" s="74" t="s">
        <v>864</v>
      </c>
      <c r="J290" s="75" t="s">
        <v>433</v>
      </c>
      <c r="K290" s="75" t="s">
        <v>850</v>
      </c>
      <c r="L290" s="76">
        <v>41414</v>
      </c>
      <c r="M290" s="77">
        <f t="shared" ca="1" si="8"/>
        <v>45954</v>
      </c>
      <c r="N290" s="74" t="str">
        <f>_xlfn.IFNA(VLOOKUP(db_emp[[#This Row],[ID_DIV]],[1]!db_dpt[[Code_dpt]:[Departement]],2,0),"-")</f>
        <v>Engineering</v>
      </c>
      <c r="O290" s="74" t="str">
        <f>_xlfn.IFNA(VLOOKUP(db_emp[[#This Row],[ID_SDP]],[1]!db_div[[Code_div]:[Division]],2,0),"-")</f>
        <v>General Head Departement</v>
      </c>
      <c r="P290" s="74" t="str">
        <f>_xlfn.IFNA(VLOOKUP(db_emp[[#This Row],[Code_lvl]],[1]!db_lvl[[#All],[ID_level]:[Leveling Name]],2,0),"-")</f>
        <v>Senior Staff</v>
      </c>
      <c r="Q290" s="74" t="str">
        <f>_xlfn.IFNA(VLOOKUP(db_emp[[#This Row],[Code_site]],[1]!db_site[[ID_Site]:[Url_maps]],3,0),"-")</f>
        <v>Unit - Taman Anggrek Residences</v>
      </c>
      <c r="R2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232002,'Baban Subandi','ENG','GNRAL','Engineering Staff','LV11','Corp. Supporting Property (POM)','A01','Employee','2013-05-20','2025-10-24'</v>
      </c>
      <c r="S290" s="74">
        <f>db_emp[[#This Row],[NIP (UPDATE)]]</f>
        <v>232002</v>
      </c>
    </row>
    <row r="291" spans="2:19" hidden="1" x14ac:dyDescent="0.25">
      <c r="B291" s="75">
        <v>568</v>
      </c>
      <c r="C291" s="75">
        <v>231466</v>
      </c>
      <c r="D291" s="74" t="s">
        <v>1287</v>
      </c>
      <c r="E291" s="75" t="s">
        <v>911</v>
      </c>
      <c r="F291" s="75" t="s">
        <v>971</v>
      </c>
      <c r="G291" s="74" t="s">
        <v>1254</v>
      </c>
      <c r="H291" s="75" t="s">
        <v>853</v>
      </c>
      <c r="I291" s="74" t="s">
        <v>864</v>
      </c>
      <c r="J291" s="75" t="s">
        <v>433</v>
      </c>
      <c r="K291" s="75" t="s">
        <v>850</v>
      </c>
      <c r="L291" s="76">
        <v>43164</v>
      </c>
      <c r="M291" s="77">
        <f t="shared" ca="1" si="8"/>
        <v>45954</v>
      </c>
      <c r="N291" s="74" t="str">
        <f>_xlfn.IFNA(VLOOKUP(db_emp[[#This Row],[ID_DIV]],[1]!db_dpt[[Code_dpt]:[Departement]],2,0),"-")</f>
        <v>Engineering</v>
      </c>
      <c r="O291" s="74" t="str">
        <f>_xlfn.IFNA(VLOOKUP(db_emp[[#This Row],[ID_SDP]],[1]!db_div[[Code_div]:[Division]],2,0),"-")</f>
        <v>General Head Departement</v>
      </c>
      <c r="P291" s="74" t="str">
        <f>_xlfn.IFNA(VLOOKUP(db_emp[[#This Row],[Code_lvl]],[1]!db_lvl[[#All],[ID_level]:[Leveling Name]],2,0),"-")</f>
        <v>Staff</v>
      </c>
      <c r="Q291" s="74" t="str">
        <f>_xlfn.IFNA(VLOOKUP(db_emp[[#This Row],[Code_site]],[1]!db_site[[ID_Site]:[Url_maps]],3,0),"-")</f>
        <v>Unit - Taman Anggrek Residences</v>
      </c>
      <c r="R2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231466,'Muhammad Tri Sumantri','ENG','GNRAL','Engineering Staff','LV12','Corp. Supporting Property (POM)','A01','Employee','2018-03-05','2025-10-24'</v>
      </c>
      <c r="S291" s="74">
        <f>db_emp[[#This Row],[NIP (UPDATE)]]</f>
        <v>231466</v>
      </c>
    </row>
    <row r="292" spans="2:19" hidden="1" x14ac:dyDescent="0.25">
      <c r="B292" s="75">
        <v>569</v>
      </c>
      <c r="C292" s="75">
        <v>231612</v>
      </c>
      <c r="D292" s="74" t="s">
        <v>1288</v>
      </c>
      <c r="E292" s="75" t="s">
        <v>911</v>
      </c>
      <c r="F292" s="75" t="s">
        <v>971</v>
      </c>
      <c r="G292" s="74" t="s">
        <v>1254</v>
      </c>
      <c r="H292" s="75" t="s">
        <v>853</v>
      </c>
      <c r="I292" s="74" t="s">
        <v>864</v>
      </c>
      <c r="J292" s="75" t="s">
        <v>433</v>
      </c>
      <c r="K292" s="75" t="s">
        <v>850</v>
      </c>
      <c r="L292" s="76">
        <v>43172</v>
      </c>
      <c r="M292" s="77">
        <f t="shared" ca="1" si="8"/>
        <v>45954</v>
      </c>
      <c r="N292" s="74" t="str">
        <f>_xlfn.IFNA(VLOOKUP(db_emp[[#This Row],[ID_DIV]],[1]!db_dpt[[Code_dpt]:[Departement]],2,0),"-")</f>
        <v>Engineering</v>
      </c>
      <c r="O292" s="74" t="str">
        <f>_xlfn.IFNA(VLOOKUP(db_emp[[#This Row],[ID_SDP]],[1]!db_div[[Code_div]:[Division]],2,0),"-")</f>
        <v>General Head Departement</v>
      </c>
      <c r="P292" s="74" t="str">
        <f>_xlfn.IFNA(VLOOKUP(db_emp[[#This Row],[Code_lvl]],[1]!db_lvl[[#All],[ID_level]:[Leveling Name]],2,0),"-")</f>
        <v>Staff</v>
      </c>
      <c r="Q292" s="74" t="str">
        <f>_xlfn.IFNA(VLOOKUP(db_emp[[#This Row],[Code_site]],[1]!db_site[[ID_Site]:[Url_maps]],3,0),"-")</f>
        <v>Unit - Taman Anggrek Residences</v>
      </c>
      <c r="R2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231612,'Mohammad Reza Pratama','ENG','GNRAL','Engineering Staff','LV12','Corp. Supporting Property (POM)','A01','Employee','2018-03-13','2025-10-24'</v>
      </c>
      <c r="S292" s="74">
        <f>db_emp[[#This Row],[NIP (UPDATE)]]</f>
        <v>231612</v>
      </c>
    </row>
    <row r="293" spans="2:19" hidden="1" x14ac:dyDescent="0.25">
      <c r="B293" s="75">
        <v>570</v>
      </c>
      <c r="C293" s="75">
        <v>231607</v>
      </c>
      <c r="D293" s="74" t="s">
        <v>1289</v>
      </c>
      <c r="E293" s="75" t="s">
        <v>911</v>
      </c>
      <c r="F293" s="75" t="s">
        <v>971</v>
      </c>
      <c r="G293" s="74" t="s">
        <v>1254</v>
      </c>
      <c r="H293" s="75" t="s">
        <v>853</v>
      </c>
      <c r="I293" s="74" t="s">
        <v>864</v>
      </c>
      <c r="J293" s="75" t="s">
        <v>433</v>
      </c>
      <c r="K293" s="75" t="s">
        <v>850</v>
      </c>
      <c r="L293" s="76">
        <v>43172</v>
      </c>
      <c r="M293" s="77">
        <f t="shared" ca="1" si="8"/>
        <v>45954</v>
      </c>
      <c r="N293" s="74" t="str">
        <f>_xlfn.IFNA(VLOOKUP(db_emp[[#This Row],[ID_DIV]],[1]!db_dpt[[Code_dpt]:[Departement]],2,0),"-")</f>
        <v>Engineering</v>
      </c>
      <c r="O293" s="74" t="str">
        <f>_xlfn.IFNA(VLOOKUP(db_emp[[#This Row],[ID_SDP]],[1]!db_div[[Code_div]:[Division]],2,0),"-")</f>
        <v>General Head Departement</v>
      </c>
      <c r="P293" s="74" t="str">
        <f>_xlfn.IFNA(VLOOKUP(db_emp[[#This Row],[Code_lvl]],[1]!db_lvl[[#All],[ID_level]:[Leveling Name]],2,0),"-")</f>
        <v>Staff</v>
      </c>
      <c r="Q293" s="74" t="str">
        <f>_xlfn.IFNA(VLOOKUP(db_emp[[#This Row],[Code_site]],[1]!db_site[[ID_Site]:[Url_maps]],3,0),"-")</f>
        <v>Unit - Taman Anggrek Residences</v>
      </c>
      <c r="R2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231607,'Ariz Kharisma','ENG','GNRAL','Engineering Staff','LV12','Corp. Supporting Property (POM)','A01','Employee','2018-03-13','2025-10-24'</v>
      </c>
      <c r="S293" s="74">
        <f>db_emp[[#This Row],[NIP (UPDATE)]]</f>
        <v>231607</v>
      </c>
    </row>
    <row r="294" spans="2:19" hidden="1" x14ac:dyDescent="0.25">
      <c r="B294" s="75">
        <v>571</v>
      </c>
      <c r="C294" s="75">
        <v>230650</v>
      </c>
      <c r="D294" s="74" t="s">
        <v>1290</v>
      </c>
      <c r="E294" s="75" t="s">
        <v>911</v>
      </c>
      <c r="F294" s="75" t="s">
        <v>971</v>
      </c>
      <c r="G294" s="74" t="s">
        <v>1254</v>
      </c>
      <c r="H294" s="75" t="s">
        <v>853</v>
      </c>
      <c r="I294" s="74" t="s">
        <v>864</v>
      </c>
      <c r="J294" s="75" t="s">
        <v>433</v>
      </c>
      <c r="K294" s="75" t="s">
        <v>850</v>
      </c>
      <c r="L294" s="76">
        <v>43276</v>
      </c>
      <c r="M294" s="77">
        <f t="shared" ca="1" si="8"/>
        <v>45954</v>
      </c>
      <c r="N294" s="74" t="str">
        <f>_xlfn.IFNA(VLOOKUP(db_emp[[#This Row],[ID_DIV]],[1]!db_dpt[[Code_dpt]:[Departement]],2,0),"-")</f>
        <v>Engineering</v>
      </c>
      <c r="O294" s="74" t="str">
        <f>_xlfn.IFNA(VLOOKUP(db_emp[[#This Row],[ID_SDP]],[1]!db_div[[Code_div]:[Division]],2,0),"-")</f>
        <v>General Head Departement</v>
      </c>
      <c r="P294" s="74" t="str">
        <f>_xlfn.IFNA(VLOOKUP(db_emp[[#This Row],[Code_lvl]],[1]!db_lvl[[#All],[ID_level]:[Leveling Name]],2,0),"-")</f>
        <v>Staff</v>
      </c>
      <c r="Q294" s="74" t="str">
        <f>_xlfn.IFNA(VLOOKUP(db_emp[[#This Row],[Code_site]],[1]!db_site[[ID_Site]:[Url_maps]],3,0),"-")</f>
        <v>Unit - Taman Anggrek Residences</v>
      </c>
      <c r="R2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230650,'Jefri Iya Hatta','ENG','GNRAL','Engineering Staff','LV12','Corp. Supporting Property (POM)','A01','Employee','2018-06-25','2025-10-24'</v>
      </c>
      <c r="S294" s="74">
        <f>db_emp[[#This Row],[NIP (UPDATE)]]</f>
        <v>230650</v>
      </c>
    </row>
    <row r="295" spans="2:19" hidden="1" x14ac:dyDescent="0.25">
      <c r="B295" s="75">
        <v>572</v>
      </c>
      <c r="C295" s="75">
        <v>231609</v>
      </c>
      <c r="D295" s="74" t="s">
        <v>1291</v>
      </c>
      <c r="E295" s="75" t="s">
        <v>911</v>
      </c>
      <c r="F295" s="75" t="s">
        <v>971</v>
      </c>
      <c r="G295" s="74" t="s">
        <v>1254</v>
      </c>
      <c r="H295" s="75" t="s">
        <v>853</v>
      </c>
      <c r="I295" s="74" t="s">
        <v>864</v>
      </c>
      <c r="J295" s="75" t="s">
        <v>433</v>
      </c>
      <c r="K295" s="75" t="s">
        <v>850</v>
      </c>
      <c r="L295" s="76">
        <v>43276</v>
      </c>
      <c r="M295" s="77">
        <f t="shared" ca="1" si="8"/>
        <v>45954</v>
      </c>
      <c r="N295" s="74" t="str">
        <f>_xlfn.IFNA(VLOOKUP(db_emp[[#This Row],[ID_DIV]],[1]!db_dpt[[Code_dpt]:[Departement]],2,0),"-")</f>
        <v>Engineering</v>
      </c>
      <c r="O295" s="74" t="str">
        <f>_xlfn.IFNA(VLOOKUP(db_emp[[#This Row],[ID_SDP]],[1]!db_div[[Code_div]:[Division]],2,0),"-")</f>
        <v>General Head Departement</v>
      </c>
      <c r="P295" s="74" t="str">
        <f>_xlfn.IFNA(VLOOKUP(db_emp[[#This Row],[Code_lvl]],[1]!db_lvl[[#All],[ID_level]:[Leveling Name]],2,0),"-")</f>
        <v>Staff</v>
      </c>
      <c r="Q295" s="74" t="str">
        <f>_xlfn.IFNA(VLOOKUP(db_emp[[#This Row],[Code_site]],[1]!db_site[[ID_Site]:[Url_maps]],3,0),"-")</f>
        <v>Unit - Taman Anggrek Residences</v>
      </c>
      <c r="R2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231609,'Iqbal Heriyanto','ENG','GNRAL','Engineering Staff','LV12','Corp. Supporting Property (POM)','A01','Employee','2018-06-25','2025-10-24'</v>
      </c>
      <c r="S295" s="74">
        <f>db_emp[[#This Row],[NIP (UPDATE)]]</f>
        <v>231609</v>
      </c>
    </row>
    <row r="296" spans="2:19" hidden="1" x14ac:dyDescent="0.25">
      <c r="B296" s="75">
        <v>573</v>
      </c>
      <c r="C296" s="75">
        <v>231613</v>
      </c>
      <c r="D296" s="74" t="s">
        <v>1292</v>
      </c>
      <c r="E296" s="75" t="s">
        <v>911</v>
      </c>
      <c r="F296" s="75" t="s">
        <v>971</v>
      </c>
      <c r="G296" s="74" t="s">
        <v>1254</v>
      </c>
      <c r="H296" s="75" t="s">
        <v>853</v>
      </c>
      <c r="I296" s="74" t="s">
        <v>864</v>
      </c>
      <c r="J296" s="75" t="s">
        <v>433</v>
      </c>
      <c r="K296" s="75" t="s">
        <v>850</v>
      </c>
      <c r="L296" s="76">
        <v>43283</v>
      </c>
      <c r="M296" s="77">
        <f t="shared" ca="1" si="8"/>
        <v>45954</v>
      </c>
      <c r="N296" s="74" t="str">
        <f>_xlfn.IFNA(VLOOKUP(db_emp[[#This Row],[ID_DIV]],[1]!db_dpt[[Code_dpt]:[Departement]],2,0),"-")</f>
        <v>Engineering</v>
      </c>
      <c r="O296" s="74" t="str">
        <f>_xlfn.IFNA(VLOOKUP(db_emp[[#This Row],[ID_SDP]],[1]!db_div[[Code_div]:[Division]],2,0),"-")</f>
        <v>General Head Departement</v>
      </c>
      <c r="P296" s="74" t="str">
        <f>_xlfn.IFNA(VLOOKUP(db_emp[[#This Row],[Code_lvl]],[1]!db_lvl[[#All],[ID_level]:[Leveling Name]],2,0),"-")</f>
        <v>Staff</v>
      </c>
      <c r="Q296" s="74" t="str">
        <f>_xlfn.IFNA(VLOOKUP(db_emp[[#This Row],[Code_site]],[1]!db_site[[ID_Site]:[Url_maps]],3,0),"-")</f>
        <v>Unit - Taman Anggrek Residences</v>
      </c>
      <c r="R2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231613,'Wahyu Saputra','ENG','GNRAL','Engineering Staff','LV12','Corp. Supporting Property (POM)','A01','Employee','2018-07-02','2025-10-24'</v>
      </c>
      <c r="S296" s="74">
        <f>db_emp[[#This Row],[NIP (UPDATE)]]</f>
        <v>231613</v>
      </c>
    </row>
    <row r="297" spans="2:19" hidden="1" x14ac:dyDescent="0.25">
      <c r="B297" s="75">
        <v>574</v>
      </c>
      <c r="C297" s="75">
        <v>231808</v>
      </c>
      <c r="D297" s="74" t="s">
        <v>1293</v>
      </c>
      <c r="E297" s="75" t="s">
        <v>911</v>
      </c>
      <c r="F297" s="75" t="s">
        <v>971</v>
      </c>
      <c r="G297" s="74" t="s">
        <v>1254</v>
      </c>
      <c r="H297" s="75" t="s">
        <v>853</v>
      </c>
      <c r="I297" s="74" t="s">
        <v>864</v>
      </c>
      <c r="J297" s="75" t="s">
        <v>433</v>
      </c>
      <c r="K297" s="75" t="s">
        <v>850</v>
      </c>
      <c r="L297" s="76">
        <v>43409</v>
      </c>
      <c r="M297" s="77">
        <f t="shared" ca="1" si="8"/>
        <v>45954</v>
      </c>
      <c r="N297" s="74" t="str">
        <f>_xlfn.IFNA(VLOOKUP(db_emp[[#This Row],[ID_DIV]],[1]!db_dpt[[Code_dpt]:[Departement]],2,0),"-")</f>
        <v>Engineering</v>
      </c>
      <c r="O297" s="74" t="str">
        <f>_xlfn.IFNA(VLOOKUP(db_emp[[#This Row],[ID_SDP]],[1]!db_div[[Code_div]:[Division]],2,0),"-")</f>
        <v>General Head Departement</v>
      </c>
      <c r="P297" s="74" t="str">
        <f>_xlfn.IFNA(VLOOKUP(db_emp[[#This Row],[Code_lvl]],[1]!db_lvl[[#All],[ID_level]:[Leveling Name]],2,0),"-")</f>
        <v>Staff</v>
      </c>
      <c r="Q297" s="74" t="str">
        <f>_xlfn.IFNA(VLOOKUP(db_emp[[#This Row],[Code_site]],[1]!db_site[[ID_Site]:[Url_maps]],3,0),"-")</f>
        <v>Unit - Taman Anggrek Residences</v>
      </c>
      <c r="R2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231808,'Tubagus Erwan Nurrahman','ENG','GNRAL','Engineering Staff','LV12','Corp. Supporting Property (POM)','A01','Employee','2018-11-05','2025-10-24'</v>
      </c>
      <c r="S297" s="74">
        <f>db_emp[[#This Row],[NIP (UPDATE)]]</f>
        <v>231808</v>
      </c>
    </row>
    <row r="298" spans="2:19" hidden="1" x14ac:dyDescent="0.25">
      <c r="B298" s="75">
        <v>575</v>
      </c>
      <c r="C298" s="75">
        <v>231020</v>
      </c>
      <c r="D298" s="74" t="s">
        <v>1294</v>
      </c>
      <c r="E298" s="75" t="s">
        <v>911</v>
      </c>
      <c r="F298" s="75" t="s">
        <v>971</v>
      </c>
      <c r="G298" s="74" t="s">
        <v>1254</v>
      </c>
      <c r="H298" s="75" t="s">
        <v>853</v>
      </c>
      <c r="I298" s="74" t="s">
        <v>864</v>
      </c>
      <c r="J298" s="75" t="s">
        <v>433</v>
      </c>
      <c r="K298" s="75" t="s">
        <v>850</v>
      </c>
      <c r="L298" s="76">
        <v>43409</v>
      </c>
      <c r="M298" s="77">
        <f t="shared" ca="1" si="8"/>
        <v>45954</v>
      </c>
      <c r="N298" s="74" t="str">
        <f>_xlfn.IFNA(VLOOKUP(db_emp[[#This Row],[ID_DIV]],[1]!db_dpt[[Code_dpt]:[Departement]],2,0),"-")</f>
        <v>Engineering</v>
      </c>
      <c r="O298" s="74" t="str">
        <f>_xlfn.IFNA(VLOOKUP(db_emp[[#This Row],[ID_SDP]],[1]!db_div[[Code_div]:[Division]],2,0),"-")</f>
        <v>General Head Departement</v>
      </c>
      <c r="P298" s="74" t="str">
        <f>_xlfn.IFNA(VLOOKUP(db_emp[[#This Row],[Code_lvl]],[1]!db_lvl[[#All],[ID_level]:[Leveling Name]],2,0),"-")</f>
        <v>Staff</v>
      </c>
      <c r="Q298" s="74" t="str">
        <f>_xlfn.IFNA(VLOOKUP(db_emp[[#This Row],[Code_site]],[1]!db_site[[ID_Site]:[Url_maps]],3,0),"-")</f>
        <v>Unit - Taman Anggrek Residences</v>
      </c>
      <c r="R2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231020,'Hidayat Apdila','ENG','GNRAL','Engineering Staff','LV12','Corp. Supporting Property (POM)','A01','Employee','2018-11-05','2025-10-24'</v>
      </c>
      <c r="S298" s="74">
        <f>db_emp[[#This Row],[NIP (UPDATE)]]</f>
        <v>231020</v>
      </c>
    </row>
    <row r="299" spans="2:19" hidden="1" x14ac:dyDescent="0.25">
      <c r="B299" s="75">
        <v>576</v>
      </c>
      <c r="C299" s="75">
        <v>240083</v>
      </c>
      <c r="D299" s="74" t="s">
        <v>1295</v>
      </c>
      <c r="E299" s="75" t="s">
        <v>911</v>
      </c>
      <c r="F299" s="75" t="s">
        <v>971</v>
      </c>
      <c r="G299" s="74" t="s">
        <v>1254</v>
      </c>
      <c r="H299" s="75" t="s">
        <v>853</v>
      </c>
      <c r="I299" s="74" t="s">
        <v>864</v>
      </c>
      <c r="J299" s="75" t="s">
        <v>433</v>
      </c>
      <c r="K299" s="75" t="s">
        <v>850</v>
      </c>
      <c r="L299" s="76">
        <v>43514</v>
      </c>
      <c r="M299" s="77">
        <f t="shared" ca="1" si="8"/>
        <v>45954</v>
      </c>
      <c r="N299" s="74" t="str">
        <f>_xlfn.IFNA(VLOOKUP(db_emp[[#This Row],[ID_DIV]],[1]!db_dpt[[Code_dpt]:[Departement]],2,0),"-")</f>
        <v>Engineering</v>
      </c>
      <c r="O299" s="74" t="str">
        <f>_xlfn.IFNA(VLOOKUP(db_emp[[#This Row],[ID_SDP]],[1]!db_div[[Code_div]:[Division]],2,0),"-")</f>
        <v>General Head Departement</v>
      </c>
      <c r="P299" s="74" t="str">
        <f>_xlfn.IFNA(VLOOKUP(db_emp[[#This Row],[Code_lvl]],[1]!db_lvl[[#All],[ID_level]:[Leveling Name]],2,0),"-")</f>
        <v>Staff</v>
      </c>
      <c r="Q299" s="74" t="str">
        <f>_xlfn.IFNA(VLOOKUP(db_emp[[#This Row],[Code_site]],[1]!db_site[[ID_Site]:[Url_maps]],3,0),"-")</f>
        <v>Unit - Taman Anggrek Residences</v>
      </c>
      <c r="R2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240083,'Solehudin.','ENG','GNRAL','Engineering Staff','LV12','Corp. Supporting Property (POM)','A01','Employee','2019-02-18','2025-10-24'</v>
      </c>
      <c r="S299" s="74">
        <f>db_emp[[#This Row],[NIP (UPDATE)]]</f>
        <v>240083</v>
      </c>
    </row>
    <row r="300" spans="2:19" hidden="1" x14ac:dyDescent="0.25">
      <c r="B300" s="75">
        <v>577</v>
      </c>
      <c r="C300" s="75">
        <v>232238</v>
      </c>
      <c r="D300" s="74" t="s">
        <v>1296</v>
      </c>
      <c r="E300" s="75" t="s">
        <v>911</v>
      </c>
      <c r="F300" s="75" t="s">
        <v>971</v>
      </c>
      <c r="G300" s="74" t="s">
        <v>1254</v>
      </c>
      <c r="H300" s="75" t="s">
        <v>853</v>
      </c>
      <c r="I300" s="74" t="s">
        <v>864</v>
      </c>
      <c r="J300" s="75" t="s">
        <v>433</v>
      </c>
      <c r="K300" s="75" t="s">
        <v>850</v>
      </c>
      <c r="L300" s="76">
        <v>43536</v>
      </c>
      <c r="M300" s="77">
        <f t="shared" ca="1" si="8"/>
        <v>45954</v>
      </c>
      <c r="N300" s="74" t="str">
        <f>_xlfn.IFNA(VLOOKUP(db_emp[[#This Row],[ID_DIV]],[1]!db_dpt[[Code_dpt]:[Departement]],2,0),"-")</f>
        <v>Engineering</v>
      </c>
      <c r="O300" s="74" t="str">
        <f>_xlfn.IFNA(VLOOKUP(db_emp[[#This Row],[ID_SDP]],[1]!db_div[[Code_div]:[Division]],2,0),"-")</f>
        <v>General Head Departement</v>
      </c>
      <c r="P300" s="74" t="str">
        <f>_xlfn.IFNA(VLOOKUP(db_emp[[#This Row],[Code_lvl]],[1]!db_lvl[[#All],[ID_level]:[Leveling Name]],2,0),"-")</f>
        <v>Staff</v>
      </c>
      <c r="Q300" s="74" t="str">
        <f>_xlfn.IFNA(VLOOKUP(db_emp[[#This Row],[Code_site]],[1]!db_site[[ID_Site]:[Url_maps]],3,0),"-")</f>
        <v>Unit - Taman Anggrek Residences</v>
      </c>
      <c r="R3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232238,'Nasrul Rovi','ENG','GNRAL','Engineering Staff','LV12','Corp. Supporting Property (POM)','A01','Employee','2019-03-12','2025-10-24'</v>
      </c>
      <c r="S300" s="74">
        <f>db_emp[[#This Row],[NIP (UPDATE)]]</f>
        <v>232238</v>
      </c>
    </row>
    <row r="301" spans="2:19" hidden="1" x14ac:dyDescent="0.25">
      <c r="B301" s="75">
        <v>578</v>
      </c>
      <c r="C301" s="75">
        <v>232199</v>
      </c>
      <c r="D301" s="74" t="s">
        <v>1297</v>
      </c>
      <c r="E301" s="75" t="s">
        <v>911</v>
      </c>
      <c r="F301" s="75" t="s">
        <v>971</v>
      </c>
      <c r="G301" s="74" t="s">
        <v>1254</v>
      </c>
      <c r="H301" s="75" t="s">
        <v>853</v>
      </c>
      <c r="I301" s="74" t="s">
        <v>864</v>
      </c>
      <c r="J301" s="75" t="s">
        <v>433</v>
      </c>
      <c r="K301" s="75" t="s">
        <v>850</v>
      </c>
      <c r="L301" s="76">
        <v>43542</v>
      </c>
      <c r="M301" s="77">
        <f t="shared" ca="1" si="8"/>
        <v>45954</v>
      </c>
      <c r="N301" s="74" t="str">
        <f>_xlfn.IFNA(VLOOKUP(db_emp[[#This Row],[ID_DIV]],[1]!db_dpt[[Code_dpt]:[Departement]],2,0),"-")</f>
        <v>Engineering</v>
      </c>
      <c r="O301" s="74" t="str">
        <f>_xlfn.IFNA(VLOOKUP(db_emp[[#This Row],[ID_SDP]],[1]!db_div[[Code_div]:[Division]],2,0),"-")</f>
        <v>General Head Departement</v>
      </c>
      <c r="P301" s="74" t="str">
        <f>_xlfn.IFNA(VLOOKUP(db_emp[[#This Row],[Code_lvl]],[1]!db_lvl[[#All],[ID_level]:[Leveling Name]],2,0),"-")</f>
        <v>Staff</v>
      </c>
      <c r="Q301" s="74" t="str">
        <f>_xlfn.IFNA(VLOOKUP(db_emp[[#This Row],[Code_site]],[1]!db_site[[ID_Site]:[Url_maps]],3,0),"-")</f>
        <v>Unit - Taman Anggrek Residences</v>
      </c>
      <c r="R3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232199,'Yusup.','ENG','GNRAL','Engineering Staff','LV12','Corp. Supporting Property (POM)','A01','Employee','2019-03-18','2025-10-24'</v>
      </c>
      <c r="S301" s="74">
        <f>db_emp[[#This Row],[NIP (UPDATE)]]</f>
        <v>232199</v>
      </c>
    </row>
    <row r="302" spans="2:19" hidden="1" x14ac:dyDescent="0.25">
      <c r="B302" s="75">
        <v>579</v>
      </c>
      <c r="C302" s="75">
        <v>240094</v>
      </c>
      <c r="D302" s="74" t="s">
        <v>1298</v>
      </c>
      <c r="E302" s="75" t="s">
        <v>911</v>
      </c>
      <c r="F302" s="75" t="s">
        <v>971</v>
      </c>
      <c r="G302" s="74" t="s">
        <v>1254</v>
      </c>
      <c r="H302" s="75" t="s">
        <v>853</v>
      </c>
      <c r="I302" s="74" t="s">
        <v>864</v>
      </c>
      <c r="J302" s="75" t="s">
        <v>433</v>
      </c>
      <c r="K302" s="75" t="s">
        <v>850</v>
      </c>
      <c r="L302" s="76">
        <v>43609</v>
      </c>
      <c r="M302" s="77">
        <f t="shared" ca="1" si="8"/>
        <v>45954</v>
      </c>
      <c r="N302" s="74" t="str">
        <f>_xlfn.IFNA(VLOOKUP(db_emp[[#This Row],[ID_DIV]],[1]!db_dpt[[Code_dpt]:[Departement]],2,0),"-")</f>
        <v>Engineering</v>
      </c>
      <c r="O302" s="74" t="str">
        <f>_xlfn.IFNA(VLOOKUP(db_emp[[#This Row],[ID_SDP]],[1]!db_div[[Code_div]:[Division]],2,0),"-")</f>
        <v>General Head Departement</v>
      </c>
      <c r="P302" s="74" t="str">
        <f>_xlfn.IFNA(VLOOKUP(db_emp[[#This Row],[Code_lvl]],[1]!db_lvl[[#All],[ID_level]:[Leveling Name]],2,0),"-")</f>
        <v>Staff</v>
      </c>
      <c r="Q302" s="74" t="str">
        <f>_xlfn.IFNA(VLOOKUP(db_emp[[#This Row],[Code_site]],[1]!db_site[[ID_Site]:[Url_maps]],3,0),"-")</f>
        <v>Unit - Taman Anggrek Residences</v>
      </c>
      <c r="R3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240094,'Warsa Wijaya','ENG','GNRAL','Engineering Staff','LV12','Corp. Supporting Property (POM)','A01','Employee','2019-05-24','2025-10-24'</v>
      </c>
      <c r="S302" s="74">
        <f>db_emp[[#This Row],[NIP (UPDATE)]]</f>
        <v>240094</v>
      </c>
    </row>
    <row r="303" spans="2:19" hidden="1" x14ac:dyDescent="0.25">
      <c r="B303" s="75">
        <v>580</v>
      </c>
      <c r="C303" s="75">
        <v>241673</v>
      </c>
      <c r="D303" s="74" t="s">
        <v>1299</v>
      </c>
      <c r="E303" s="75" t="s">
        <v>911</v>
      </c>
      <c r="F303" s="75" t="s">
        <v>971</v>
      </c>
      <c r="G303" s="74" t="s">
        <v>1254</v>
      </c>
      <c r="H303" s="75" t="s">
        <v>853</v>
      </c>
      <c r="I303" s="74" t="s">
        <v>864</v>
      </c>
      <c r="J303" s="75" t="s">
        <v>433</v>
      </c>
      <c r="K303" s="75" t="s">
        <v>850</v>
      </c>
      <c r="L303" s="76">
        <v>43633</v>
      </c>
      <c r="M303" s="77">
        <f t="shared" ca="1" si="8"/>
        <v>45954</v>
      </c>
      <c r="N303" s="74" t="str">
        <f>_xlfn.IFNA(VLOOKUP(db_emp[[#This Row],[ID_DIV]],[1]!db_dpt[[Code_dpt]:[Departement]],2,0),"-")</f>
        <v>Engineering</v>
      </c>
      <c r="O303" s="74" t="str">
        <f>_xlfn.IFNA(VLOOKUP(db_emp[[#This Row],[ID_SDP]],[1]!db_div[[Code_div]:[Division]],2,0),"-")</f>
        <v>General Head Departement</v>
      </c>
      <c r="P303" s="74" t="str">
        <f>_xlfn.IFNA(VLOOKUP(db_emp[[#This Row],[Code_lvl]],[1]!db_lvl[[#All],[ID_level]:[Leveling Name]],2,0),"-")</f>
        <v>Staff</v>
      </c>
      <c r="Q303" s="74" t="str">
        <f>_xlfn.IFNA(VLOOKUP(db_emp[[#This Row],[Code_site]],[1]!db_site[[ID_Site]:[Url_maps]],3,0),"-")</f>
        <v>Unit - Taman Anggrek Residences</v>
      </c>
      <c r="R3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241673,'Bambang Sunariyadi','ENG','GNRAL','Engineering Staff','LV12','Corp. Supporting Property (POM)','A01','Employee','2019-06-17','2025-10-24'</v>
      </c>
      <c r="S303" s="74">
        <f>db_emp[[#This Row],[NIP (UPDATE)]]</f>
        <v>241673</v>
      </c>
    </row>
    <row r="304" spans="2:19" hidden="1" x14ac:dyDescent="0.25">
      <c r="B304" s="75">
        <v>581</v>
      </c>
      <c r="C304" s="75">
        <v>250037</v>
      </c>
      <c r="D304" s="74" t="s">
        <v>1300</v>
      </c>
      <c r="E304" s="75" t="s">
        <v>911</v>
      </c>
      <c r="F304" s="75" t="s">
        <v>971</v>
      </c>
      <c r="G304" s="74" t="s">
        <v>1254</v>
      </c>
      <c r="H304" s="75" t="s">
        <v>853</v>
      </c>
      <c r="I304" s="74" t="s">
        <v>864</v>
      </c>
      <c r="J304" s="75" t="s">
        <v>433</v>
      </c>
      <c r="K304" s="75" t="s">
        <v>850</v>
      </c>
      <c r="L304" s="76">
        <v>43899</v>
      </c>
      <c r="M304" s="77">
        <f t="shared" ca="1" si="8"/>
        <v>45954</v>
      </c>
      <c r="N304" s="74" t="str">
        <f>_xlfn.IFNA(VLOOKUP(db_emp[[#This Row],[ID_DIV]],[1]!db_dpt[[Code_dpt]:[Departement]],2,0),"-")</f>
        <v>Engineering</v>
      </c>
      <c r="O304" s="74" t="str">
        <f>_xlfn.IFNA(VLOOKUP(db_emp[[#This Row],[ID_SDP]],[1]!db_div[[Code_div]:[Division]],2,0),"-")</f>
        <v>General Head Departement</v>
      </c>
      <c r="P304" s="74" t="str">
        <f>_xlfn.IFNA(VLOOKUP(db_emp[[#This Row],[Code_lvl]],[1]!db_lvl[[#All],[ID_level]:[Leveling Name]],2,0),"-")</f>
        <v>Staff</v>
      </c>
      <c r="Q304" s="74" t="str">
        <f>_xlfn.IFNA(VLOOKUP(db_emp[[#This Row],[Code_site]],[1]!db_site[[ID_Site]:[Url_maps]],3,0),"-")</f>
        <v>Unit - Taman Anggrek Residences</v>
      </c>
      <c r="R3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250037,'Demas Yosef Maulana','ENG','GNRAL','Engineering Staff','LV12','Corp. Supporting Property (POM)','A01','Employee','2020-03-09','2025-10-24'</v>
      </c>
      <c r="S304" s="74">
        <f>db_emp[[#This Row],[NIP (UPDATE)]]</f>
        <v>250037</v>
      </c>
    </row>
    <row r="305" spans="2:19" hidden="1" x14ac:dyDescent="0.25">
      <c r="B305" s="75">
        <v>582</v>
      </c>
      <c r="C305" s="75">
        <v>231608</v>
      </c>
      <c r="D305" s="74" t="s">
        <v>1301</v>
      </c>
      <c r="E305" s="75" t="s">
        <v>911</v>
      </c>
      <c r="F305" s="75" t="s">
        <v>971</v>
      </c>
      <c r="G305" s="74" t="s">
        <v>1254</v>
      </c>
      <c r="H305" s="75" t="s">
        <v>853</v>
      </c>
      <c r="I305" s="74" t="s">
        <v>864</v>
      </c>
      <c r="J305" s="75" t="s">
        <v>433</v>
      </c>
      <c r="K305" s="75" t="s">
        <v>850</v>
      </c>
      <c r="L305" s="76">
        <v>42606</v>
      </c>
      <c r="M305" s="77">
        <f t="shared" ca="1" si="8"/>
        <v>45954</v>
      </c>
      <c r="N305" s="74" t="str">
        <f>_xlfn.IFNA(VLOOKUP(db_emp[[#This Row],[ID_DIV]],[1]!db_dpt[[Code_dpt]:[Departement]],2,0),"-")</f>
        <v>Engineering</v>
      </c>
      <c r="O305" s="74" t="str">
        <f>_xlfn.IFNA(VLOOKUP(db_emp[[#This Row],[ID_SDP]],[1]!db_div[[Code_div]:[Division]],2,0),"-")</f>
        <v>General Head Departement</v>
      </c>
      <c r="P305" s="74" t="str">
        <f>_xlfn.IFNA(VLOOKUP(db_emp[[#This Row],[Code_lvl]],[1]!db_lvl[[#All],[ID_level]:[Leveling Name]],2,0),"-")</f>
        <v>Staff</v>
      </c>
      <c r="Q305" s="74" t="str">
        <f>_xlfn.IFNA(VLOOKUP(db_emp[[#This Row],[Code_site]],[1]!db_site[[ID_Site]:[Url_maps]],3,0),"-")</f>
        <v>Unit - Taman Anggrek Residences</v>
      </c>
      <c r="R3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231608,'Diwan.','ENG','GNRAL','Engineering Staff','LV12','Corp. Supporting Property (POM)','A01','Employee','2016-08-24','2025-10-24'</v>
      </c>
      <c r="S305" s="74">
        <f>db_emp[[#This Row],[NIP (UPDATE)]]</f>
        <v>231608</v>
      </c>
    </row>
    <row r="306" spans="2:19" hidden="1" x14ac:dyDescent="0.25">
      <c r="B306" s="75">
        <v>583</v>
      </c>
      <c r="C306" s="75">
        <v>242334</v>
      </c>
      <c r="D306" s="74" t="s">
        <v>1302</v>
      </c>
      <c r="E306" s="75" t="s">
        <v>911</v>
      </c>
      <c r="F306" s="75" t="s">
        <v>971</v>
      </c>
      <c r="G306" s="74" t="s">
        <v>1254</v>
      </c>
      <c r="H306" s="75" t="s">
        <v>853</v>
      </c>
      <c r="I306" s="74" t="s">
        <v>864</v>
      </c>
      <c r="J306" s="75" t="s">
        <v>433</v>
      </c>
      <c r="K306" s="75" t="s">
        <v>850</v>
      </c>
      <c r="L306" s="76">
        <v>43810</v>
      </c>
      <c r="M306" s="77">
        <f t="shared" ca="1" si="8"/>
        <v>45954</v>
      </c>
      <c r="N306" s="74" t="str">
        <f>_xlfn.IFNA(VLOOKUP(db_emp[[#This Row],[ID_DIV]],[1]!db_dpt[[Code_dpt]:[Departement]],2,0),"-")</f>
        <v>Engineering</v>
      </c>
      <c r="O306" s="74" t="str">
        <f>_xlfn.IFNA(VLOOKUP(db_emp[[#This Row],[ID_SDP]],[1]!db_div[[Code_div]:[Division]],2,0),"-")</f>
        <v>General Head Departement</v>
      </c>
      <c r="P306" s="74" t="str">
        <f>_xlfn.IFNA(VLOOKUP(db_emp[[#This Row],[Code_lvl]],[1]!db_lvl[[#All],[ID_level]:[Leveling Name]],2,0),"-")</f>
        <v>Staff</v>
      </c>
      <c r="Q306" s="74" t="str">
        <f>_xlfn.IFNA(VLOOKUP(db_emp[[#This Row],[Code_site]],[1]!db_site[[ID_Site]:[Url_maps]],3,0),"-")</f>
        <v>Unit - Taman Anggrek Residences</v>
      </c>
      <c r="R3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242334,'Deri Kurniawan','ENG','GNRAL','Engineering Staff','LV12','Corp. Supporting Property (POM)','A01','Employee','2019-12-11','2025-10-24'</v>
      </c>
      <c r="S306" s="74">
        <f>db_emp[[#This Row],[NIP (UPDATE)]]</f>
        <v>242334</v>
      </c>
    </row>
    <row r="307" spans="2:19" hidden="1" x14ac:dyDescent="0.25">
      <c r="B307" s="75">
        <v>584</v>
      </c>
      <c r="C307" s="75">
        <v>232003</v>
      </c>
      <c r="D307" s="74" t="s">
        <v>1303</v>
      </c>
      <c r="E307" s="75" t="s">
        <v>911</v>
      </c>
      <c r="F307" s="75" t="s">
        <v>971</v>
      </c>
      <c r="G307" s="74" t="s">
        <v>1254</v>
      </c>
      <c r="H307" s="75" t="s">
        <v>853</v>
      </c>
      <c r="I307" s="74" t="s">
        <v>864</v>
      </c>
      <c r="J307" s="75" t="s">
        <v>433</v>
      </c>
      <c r="K307" s="75" t="s">
        <v>850</v>
      </c>
      <c r="L307" s="76">
        <v>43430</v>
      </c>
      <c r="M307" s="77">
        <f t="shared" ca="1" si="8"/>
        <v>45954</v>
      </c>
      <c r="N307" s="74" t="str">
        <f>_xlfn.IFNA(VLOOKUP(db_emp[[#This Row],[ID_DIV]],[1]!db_dpt[[Code_dpt]:[Departement]],2,0),"-")</f>
        <v>Engineering</v>
      </c>
      <c r="O307" s="74" t="str">
        <f>_xlfn.IFNA(VLOOKUP(db_emp[[#This Row],[ID_SDP]],[1]!db_div[[Code_div]:[Division]],2,0),"-")</f>
        <v>General Head Departement</v>
      </c>
      <c r="P307" s="74" t="str">
        <f>_xlfn.IFNA(VLOOKUP(db_emp[[#This Row],[Code_lvl]],[1]!db_lvl[[#All],[ID_level]:[Leveling Name]],2,0),"-")</f>
        <v>Staff</v>
      </c>
      <c r="Q307" s="74" t="str">
        <f>_xlfn.IFNA(VLOOKUP(db_emp[[#This Row],[Code_site]],[1]!db_site[[ID_Site]:[Url_maps]],3,0),"-")</f>
        <v>Unit - Taman Anggrek Residences</v>
      </c>
      <c r="R3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232003,'Bayu Tri Hernowo','ENG','GNRAL','Engineering Staff','LV12','Corp. Supporting Property (POM)','A01','Employee','2018-11-26','2025-10-24'</v>
      </c>
      <c r="S307" s="74">
        <f>db_emp[[#This Row],[NIP (UPDATE)]]</f>
        <v>232003</v>
      </c>
    </row>
    <row r="308" spans="2:19" hidden="1" x14ac:dyDescent="0.25">
      <c r="B308" s="75">
        <v>585</v>
      </c>
      <c r="C308" s="75">
        <v>210239</v>
      </c>
      <c r="D308" s="74" t="s">
        <v>1304</v>
      </c>
      <c r="E308" s="75" t="s">
        <v>911</v>
      </c>
      <c r="F308" s="75" t="s">
        <v>971</v>
      </c>
      <c r="G308" s="74" t="s">
        <v>1254</v>
      </c>
      <c r="H308" s="75" t="s">
        <v>853</v>
      </c>
      <c r="I308" s="74" t="s">
        <v>864</v>
      </c>
      <c r="J308" s="75" t="s">
        <v>433</v>
      </c>
      <c r="K308" s="75" t="s">
        <v>850</v>
      </c>
      <c r="L308" s="76">
        <v>44312</v>
      </c>
      <c r="M308" s="77">
        <f t="shared" ca="1" si="8"/>
        <v>45954</v>
      </c>
      <c r="N308" s="74" t="str">
        <f>_xlfn.IFNA(VLOOKUP(db_emp[[#This Row],[ID_DIV]],[1]!db_dpt[[Code_dpt]:[Departement]],2,0),"-")</f>
        <v>Engineering</v>
      </c>
      <c r="O308" s="74" t="str">
        <f>_xlfn.IFNA(VLOOKUP(db_emp[[#This Row],[ID_SDP]],[1]!db_div[[Code_div]:[Division]],2,0),"-")</f>
        <v>General Head Departement</v>
      </c>
      <c r="P308" s="74" t="str">
        <f>_xlfn.IFNA(VLOOKUP(db_emp[[#This Row],[Code_lvl]],[1]!db_lvl[[#All],[ID_level]:[Leveling Name]],2,0),"-")</f>
        <v>Staff</v>
      </c>
      <c r="Q308" s="74" t="str">
        <f>_xlfn.IFNA(VLOOKUP(db_emp[[#This Row],[Code_site]],[1]!db_site[[ID_Site]:[Url_maps]],3,0),"-")</f>
        <v>Unit - Taman Anggrek Residences</v>
      </c>
      <c r="R3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210239,'Adit Allyas','ENG','GNRAL','Engineering Staff','LV12','Corp. Supporting Property (POM)','A01','Employee','2021-04-26','2025-10-24'</v>
      </c>
      <c r="S308" s="74">
        <f>db_emp[[#This Row],[NIP (UPDATE)]]</f>
        <v>210239</v>
      </c>
    </row>
    <row r="309" spans="2:19" hidden="1" x14ac:dyDescent="0.25">
      <c r="B309" s="75">
        <v>586</v>
      </c>
      <c r="C309" s="75">
        <v>210246</v>
      </c>
      <c r="D309" s="74" t="s">
        <v>1305</v>
      </c>
      <c r="E309" s="75" t="s">
        <v>911</v>
      </c>
      <c r="F309" s="75" t="s">
        <v>971</v>
      </c>
      <c r="G309" s="74" t="s">
        <v>1254</v>
      </c>
      <c r="H309" s="75" t="s">
        <v>853</v>
      </c>
      <c r="I309" s="74" t="s">
        <v>864</v>
      </c>
      <c r="J309" s="75" t="s">
        <v>433</v>
      </c>
      <c r="K309" s="75" t="s">
        <v>850</v>
      </c>
      <c r="L309" s="76">
        <v>44312</v>
      </c>
      <c r="M309" s="77">
        <f t="shared" ca="1" si="8"/>
        <v>45954</v>
      </c>
      <c r="N309" s="74" t="str">
        <f>_xlfn.IFNA(VLOOKUP(db_emp[[#This Row],[ID_DIV]],[1]!db_dpt[[Code_dpt]:[Departement]],2,0),"-")</f>
        <v>Engineering</v>
      </c>
      <c r="O309" s="74" t="str">
        <f>_xlfn.IFNA(VLOOKUP(db_emp[[#This Row],[ID_SDP]],[1]!db_div[[Code_div]:[Division]],2,0),"-")</f>
        <v>General Head Departement</v>
      </c>
      <c r="P309" s="74" t="str">
        <f>_xlfn.IFNA(VLOOKUP(db_emp[[#This Row],[Code_lvl]],[1]!db_lvl[[#All],[ID_level]:[Leveling Name]],2,0),"-")</f>
        <v>Staff</v>
      </c>
      <c r="Q309" s="74" t="str">
        <f>_xlfn.IFNA(VLOOKUP(db_emp[[#This Row],[Code_site]],[1]!db_site[[ID_Site]:[Url_maps]],3,0),"-")</f>
        <v>Unit - Taman Anggrek Residences</v>
      </c>
      <c r="R3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210246,'Muhamad Nur','ENG','GNRAL','Engineering Staff','LV12','Corp. Supporting Property (POM)','A01','Employee','2021-04-26','2025-10-24'</v>
      </c>
      <c r="S309" s="74">
        <f>db_emp[[#This Row],[NIP (UPDATE)]]</f>
        <v>210246</v>
      </c>
    </row>
    <row r="310" spans="2:19" hidden="1" x14ac:dyDescent="0.25">
      <c r="B310" s="75">
        <v>587</v>
      </c>
      <c r="C310" s="75">
        <v>210247</v>
      </c>
      <c r="D310" s="74" t="s">
        <v>1306</v>
      </c>
      <c r="E310" s="75" t="s">
        <v>911</v>
      </c>
      <c r="F310" s="75" t="s">
        <v>971</v>
      </c>
      <c r="G310" s="74" t="s">
        <v>1254</v>
      </c>
      <c r="H310" s="75" t="s">
        <v>853</v>
      </c>
      <c r="I310" s="74" t="s">
        <v>864</v>
      </c>
      <c r="J310" s="75" t="s">
        <v>433</v>
      </c>
      <c r="K310" s="75" t="s">
        <v>850</v>
      </c>
      <c r="L310" s="76">
        <v>44312</v>
      </c>
      <c r="M310" s="77">
        <f t="shared" ca="1" si="8"/>
        <v>45954</v>
      </c>
      <c r="N310" s="74" t="str">
        <f>_xlfn.IFNA(VLOOKUP(db_emp[[#This Row],[ID_DIV]],[1]!db_dpt[[Code_dpt]:[Departement]],2,0),"-")</f>
        <v>Engineering</v>
      </c>
      <c r="O310" s="74" t="str">
        <f>_xlfn.IFNA(VLOOKUP(db_emp[[#This Row],[ID_SDP]],[1]!db_div[[Code_div]:[Division]],2,0),"-")</f>
        <v>General Head Departement</v>
      </c>
      <c r="P310" s="74" t="str">
        <f>_xlfn.IFNA(VLOOKUP(db_emp[[#This Row],[Code_lvl]],[1]!db_lvl[[#All],[ID_level]:[Leveling Name]],2,0),"-")</f>
        <v>Staff</v>
      </c>
      <c r="Q310" s="74" t="str">
        <f>_xlfn.IFNA(VLOOKUP(db_emp[[#This Row],[Code_site]],[1]!db_site[[ID_Site]:[Url_maps]],3,0),"-")</f>
        <v>Unit - Taman Anggrek Residences</v>
      </c>
      <c r="R3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210247,'Sarjito','ENG','GNRAL','Engineering Staff','LV12','Corp. Supporting Property (POM)','A01','Employee','2021-04-26','2025-10-24'</v>
      </c>
      <c r="S310" s="74">
        <f>db_emp[[#This Row],[NIP (UPDATE)]]</f>
        <v>210247</v>
      </c>
    </row>
    <row r="311" spans="2:19" hidden="1" x14ac:dyDescent="0.25">
      <c r="B311" s="75">
        <v>588</v>
      </c>
      <c r="C311" s="75">
        <v>210248</v>
      </c>
      <c r="D311" s="74" t="s">
        <v>1307</v>
      </c>
      <c r="E311" s="75" t="s">
        <v>911</v>
      </c>
      <c r="F311" s="75" t="s">
        <v>971</v>
      </c>
      <c r="G311" s="74" t="s">
        <v>1254</v>
      </c>
      <c r="H311" s="75" t="s">
        <v>853</v>
      </c>
      <c r="I311" s="74" t="s">
        <v>864</v>
      </c>
      <c r="J311" s="75" t="s">
        <v>433</v>
      </c>
      <c r="K311" s="75" t="s">
        <v>850</v>
      </c>
      <c r="L311" s="76">
        <v>44312</v>
      </c>
      <c r="M311" s="77">
        <f t="shared" ca="1" si="8"/>
        <v>45954</v>
      </c>
      <c r="N311" s="74" t="str">
        <f>_xlfn.IFNA(VLOOKUP(db_emp[[#This Row],[ID_DIV]],[1]!db_dpt[[Code_dpt]:[Departement]],2,0),"-")</f>
        <v>Engineering</v>
      </c>
      <c r="O311" s="74" t="str">
        <f>_xlfn.IFNA(VLOOKUP(db_emp[[#This Row],[ID_SDP]],[1]!db_div[[Code_div]:[Division]],2,0),"-")</f>
        <v>General Head Departement</v>
      </c>
      <c r="P311" s="74" t="str">
        <f>_xlfn.IFNA(VLOOKUP(db_emp[[#This Row],[Code_lvl]],[1]!db_lvl[[#All],[ID_level]:[Leveling Name]],2,0),"-")</f>
        <v>Staff</v>
      </c>
      <c r="Q311" s="74" t="str">
        <f>_xlfn.IFNA(VLOOKUP(db_emp[[#This Row],[Code_site]],[1]!db_site[[ID_Site]:[Url_maps]],3,0),"-")</f>
        <v>Unit - Taman Anggrek Residences</v>
      </c>
      <c r="R3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210248,'Dede Iwan Nurwandi','ENG','GNRAL','Engineering Staff','LV12','Corp. Supporting Property (POM)','A01','Employee','2021-04-26','2025-10-24'</v>
      </c>
      <c r="S311" s="74">
        <f>db_emp[[#This Row],[NIP (UPDATE)]]</f>
        <v>210248</v>
      </c>
    </row>
    <row r="312" spans="2:19" hidden="1" x14ac:dyDescent="0.25">
      <c r="B312" s="75">
        <v>589</v>
      </c>
      <c r="C312" s="75">
        <v>210253</v>
      </c>
      <c r="D312" s="74" t="s">
        <v>1308</v>
      </c>
      <c r="E312" s="75" t="s">
        <v>911</v>
      </c>
      <c r="F312" s="75" t="s">
        <v>971</v>
      </c>
      <c r="G312" s="74" t="s">
        <v>1254</v>
      </c>
      <c r="H312" s="75" t="s">
        <v>853</v>
      </c>
      <c r="I312" s="74" t="s">
        <v>864</v>
      </c>
      <c r="J312" s="75" t="s">
        <v>433</v>
      </c>
      <c r="K312" s="75" t="s">
        <v>850</v>
      </c>
      <c r="L312" s="76">
        <v>44312</v>
      </c>
      <c r="M312" s="77">
        <f t="shared" ca="1" si="8"/>
        <v>45954</v>
      </c>
      <c r="N312" s="74" t="str">
        <f>_xlfn.IFNA(VLOOKUP(db_emp[[#This Row],[ID_DIV]],[1]!db_dpt[[Code_dpt]:[Departement]],2,0),"-")</f>
        <v>Engineering</v>
      </c>
      <c r="O312" s="74" t="str">
        <f>_xlfn.IFNA(VLOOKUP(db_emp[[#This Row],[ID_SDP]],[1]!db_div[[Code_div]:[Division]],2,0),"-")</f>
        <v>General Head Departement</v>
      </c>
      <c r="P312" s="74" t="str">
        <f>_xlfn.IFNA(VLOOKUP(db_emp[[#This Row],[Code_lvl]],[1]!db_lvl[[#All],[ID_level]:[Leveling Name]],2,0),"-")</f>
        <v>Staff</v>
      </c>
      <c r="Q312" s="74" t="str">
        <f>_xlfn.IFNA(VLOOKUP(db_emp[[#This Row],[Code_site]],[1]!db_site[[ID_Site]:[Url_maps]],3,0),"-")</f>
        <v>Unit - Taman Anggrek Residences</v>
      </c>
      <c r="R3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210253,'Mujidin.','ENG','GNRAL','Engineering Staff','LV12','Corp. Supporting Property (POM)','A01','Employee','2021-04-26','2025-10-24'</v>
      </c>
      <c r="S312" s="74">
        <f>db_emp[[#This Row],[NIP (UPDATE)]]</f>
        <v>210253</v>
      </c>
    </row>
    <row r="313" spans="2:19" hidden="1" x14ac:dyDescent="0.25">
      <c r="B313" s="75">
        <v>590</v>
      </c>
      <c r="C313" s="75">
        <v>210405</v>
      </c>
      <c r="D313" s="74" t="s">
        <v>1309</v>
      </c>
      <c r="E313" s="75" t="s">
        <v>911</v>
      </c>
      <c r="F313" s="75" t="s">
        <v>971</v>
      </c>
      <c r="G313" s="74" t="s">
        <v>1254</v>
      </c>
      <c r="H313" s="75" t="s">
        <v>885</v>
      </c>
      <c r="I313" s="74" t="s">
        <v>864</v>
      </c>
      <c r="J313" s="75" t="s">
        <v>433</v>
      </c>
      <c r="K313" s="75" t="s">
        <v>850</v>
      </c>
      <c r="L313" s="76">
        <v>44349</v>
      </c>
      <c r="M313" s="77">
        <f t="shared" ca="1" si="8"/>
        <v>45954</v>
      </c>
      <c r="N313" s="74" t="str">
        <f>_xlfn.IFNA(VLOOKUP(db_emp[[#This Row],[ID_DIV]],[1]!db_dpt[[Code_dpt]:[Departement]],2,0),"-")</f>
        <v>Engineering</v>
      </c>
      <c r="O313" s="74" t="str">
        <f>_xlfn.IFNA(VLOOKUP(db_emp[[#This Row],[ID_SDP]],[1]!db_div[[Code_div]:[Division]],2,0),"-")</f>
        <v>General Head Departement</v>
      </c>
      <c r="P313" s="74" t="str">
        <f>_xlfn.IFNA(VLOOKUP(db_emp[[#This Row],[Code_lvl]],[1]!db_lvl[[#All],[ID_level]:[Leveling Name]],2,0),"-")</f>
        <v>Senior Staff</v>
      </c>
      <c r="Q313" s="74" t="str">
        <f>_xlfn.IFNA(VLOOKUP(db_emp[[#This Row],[Code_site]],[1]!db_site[[ID_Site]:[Url_maps]],3,0),"-")</f>
        <v>Unit - Taman Anggrek Residences</v>
      </c>
      <c r="R3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210405,'Ridwan Fauji','ENG','GNRAL','Engineering Staff','LV11','Corp. Supporting Property (POM)','A01','Employee','2021-06-02','2025-10-24'</v>
      </c>
      <c r="S313" s="74">
        <f>db_emp[[#This Row],[NIP (UPDATE)]]</f>
        <v>210405</v>
      </c>
    </row>
    <row r="314" spans="2:19" hidden="1" x14ac:dyDescent="0.25">
      <c r="B314" s="75">
        <v>592</v>
      </c>
      <c r="C314" s="75">
        <v>211135</v>
      </c>
      <c r="D314" s="74" t="s">
        <v>1310</v>
      </c>
      <c r="E314" s="75" t="s">
        <v>911</v>
      </c>
      <c r="F314" s="75" t="s">
        <v>971</v>
      </c>
      <c r="G314" s="74" t="s">
        <v>1254</v>
      </c>
      <c r="H314" s="75" t="s">
        <v>853</v>
      </c>
      <c r="I314" s="74" t="s">
        <v>864</v>
      </c>
      <c r="J314" s="75" t="s">
        <v>433</v>
      </c>
      <c r="K314" s="75" t="s">
        <v>850</v>
      </c>
      <c r="L314" s="76">
        <v>44531</v>
      </c>
      <c r="M314" s="77">
        <f t="shared" ca="1" si="8"/>
        <v>45954</v>
      </c>
      <c r="N314" s="74" t="str">
        <f>_xlfn.IFNA(VLOOKUP(db_emp[[#This Row],[ID_DIV]],[1]!db_dpt[[Code_dpt]:[Departement]],2,0),"-")</f>
        <v>Engineering</v>
      </c>
      <c r="O314" s="74" t="str">
        <f>_xlfn.IFNA(VLOOKUP(db_emp[[#This Row],[ID_SDP]],[1]!db_div[[Code_div]:[Division]],2,0),"-")</f>
        <v>General Head Departement</v>
      </c>
      <c r="P314" s="74" t="str">
        <f>_xlfn.IFNA(VLOOKUP(db_emp[[#This Row],[Code_lvl]],[1]!db_lvl[[#All],[ID_level]:[Leveling Name]],2,0),"-")</f>
        <v>Staff</v>
      </c>
      <c r="Q314" s="74" t="str">
        <f>_xlfn.IFNA(VLOOKUP(db_emp[[#This Row],[Code_site]],[1]!db_site[[ID_Site]:[Url_maps]],3,0),"-")</f>
        <v>Unit - Taman Anggrek Residences</v>
      </c>
      <c r="R3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211135,'Riza Andika','ENG','GNRAL','Engineering Staff','LV12','Corp. Supporting Property (POM)','A01','Employee','2021-12-01','2025-10-24'</v>
      </c>
      <c r="S314" s="74">
        <f>db_emp[[#This Row],[NIP (UPDATE)]]</f>
        <v>211135</v>
      </c>
    </row>
    <row r="315" spans="2:19" hidden="1" x14ac:dyDescent="0.25">
      <c r="B315" s="75">
        <v>593</v>
      </c>
      <c r="C315" s="75">
        <v>220108</v>
      </c>
      <c r="D315" s="74" t="s">
        <v>1311</v>
      </c>
      <c r="E315" s="75" t="s">
        <v>911</v>
      </c>
      <c r="F315" s="75" t="s">
        <v>971</v>
      </c>
      <c r="G315" s="74" t="s">
        <v>1254</v>
      </c>
      <c r="H315" s="75" t="s">
        <v>853</v>
      </c>
      <c r="I315" s="74" t="s">
        <v>864</v>
      </c>
      <c r="J315" s="75" t="s">
        <v>433</v>
      </c>
      <c r="K315" s="75" t="s">
        <v>850</v>
      </c>
      <c r="L315" s="76">
        <v>44585</v>
      </c>
      <c r="M315" s="77">
        <f t="shared" ca="1" si="8"/>
        <v>45954</v>
      </c>
      <c r="N315" s="74" t="str">
        <f>_xlfn.IFNA(VLOOKUP(db_emp[[#This Row],[ID_DIV]],[1]!db_dpt[[Code_dpt]:[Departement]],2,0),"-")</f>
        <v>Engineering</v>
      </c>
      <c r="O315" s="74" t="str">
        <f>_xlfn.IFNA(VLOOKUP(db_emp[[#This Row],[ID_SDP]],[1]!db_div[[Code_div]:[Division]],2,0),"-")</f>
        <v>General Head Departement</v>
      </c>
      <c r="P315" s="74" t="str">
        <f>_xlfn.IFNA(VLOOKUP(db_emp[[#This Row],[Code_lvl]],[1]!db_lvl[[#All],[ID_level]:[Leveling Name]],2,0),"-")</f>
        <v>Staff</v>
      </c>
      <c r="Q315" s="74" t="str">
        <f>_xlfn.IFNA(VLOOKUP(db_emp[[#This Row],[Code_site]],[1]!db_site[[ID_Site]:[Url_maps]],3,0),"-")</f>
        <v>Unit - Taman Anggrek Residences</v>
      </c>
      <c r="R3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220108,'Asep Sri Lugita','ENG','GNRAL','Engineering Staff','LV12','Corp. Supporting Property (POM)','A01','Employee','2022-01-24','2025-10-24'</v>
      </c>
      <c r="S315" s="74">
        <f>db_emp[[#This Row],[NIP (UPDATE)]]</f>
        <v>220108</v>
      </c>
    </row>
    <row r="316" spans="2:19" hidden="1" x14ac:dyDescent="0.25">
      <c r="B316" s="75">
        <v>594</v>
      </c>
      <c r="C316" s="75">
        <v>220356</v>
      </c>
      <c r="D316" s="74" t="s">
        <v>1312</v>
      </c>
      <c r="E316" s="75" t="s">
        <v>911</v>
      </c>
      <c r="F316" s="75" t="s">
        <v>971</v>
      </c>
      <c r="G316" s="74" t="s">
        <v>1254</v>
      </c>
      <c r="H316" s="75" t="s">
        <v>853</v>
      </c>
      <c r="I316" s="74" t="s">
        <v>864</v>
      </c>
      <c r="J316" s="75" t="s">
        <v>433</v>
      </c>
      <c r="K316" s="75" t="s">
        <v>850</v>
      </c>
      <c r="L316" s="76">
        <v>44634</v>
      </c>
      <c r="M316" s="77">
        <f t="shared" ca="1" si="8"/>
        <v>45954</v>
      </c>
      <c r="N316" s="74" t="str">
        <f>_xlfn.IFNA(VLOOKUP(db_emp[[#This Row],[ID_DIV]],[1]!db_dpt[[Code_dpt]:[Departement]],2,0),"-")</f>
        <v>Engineering</v>
      </c>
      <c r="O316" s="74" t="str">
        <f>_xlfn.IFNA(VLOOKUP(db_emp[[#This Row],[ID_SDP]],[1]!db_div[[Code_div]:[Division]],2,0),"-")</f>
        <v>General Head Departement</v>
      </c>
      <c r="P316" s="74" t="str">
        <f>_xlfn.IFNA(VLOOKUP(db_emp[[#This Row],[Code_lvl]],[1]!db_lvl[[#All],[ID_level]:[Leveling Name]],2,0),"-")</f>
        <v>Staff</v>
      </c>
      <c r="Q316" s="74" t="str">
        <f>_xlfn.IFNA(VLOOKUP(db_emp[[#This Row],[Code_site]],[1]!db_site[[ID_Site]:[Url_maps]],3,0),"-")</f>
        <v>Unit - Taman Anggrek Residences</v>
      </c>
      <c r="R3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220356,'Ayudi Usni Amri','ENG','GNRAL','Engineering Staff','LV12','Corp. Supporting Property (POM)','A01','Employee','2022-03-14','2025-10-24'</v>
      </c>
      <c r="S316" s="74">
        <f>db_emp[[#This Row],[NIP (UPDATE)]]</f>
        <v>220356</v>
      </c>
    </row>
    <row r="317" spans="2:19" hidden="1" x14ac:dyDescent="0.25">
      <c r="B317" s="75">
        <v>595</v>
      </c>
      <c r="C317" s="75">
        <v>240918</v>
      </c>
      <c r="D317" s="74" t="s">
        <v>1313</v>
      </c>
      <c r="E317" s="75" t="s">
        <v>911</v>
      </c>
      <c r="F317" s="75" t="s">
        <v>971</v>
      </c>
      <c r="G317" s="74" t="s">
        <v>1254</v>
      </c>
      <c r="H317" s="75" t="s">
        <v>853</v>
      </c>
      <c r="I317" s="74" t="s">
        <v>864</v>
      </c>
      <c r="J317" s="75" t="s">
        <v>433</v>
      </c>
      <c r="K317" s="75" t="s">
        <v>850</v>
      </c>
      <c r="L317" s="76">
        <v>45439</v>
      </c>
      <c r="M317" s="77">
        <f t="shared" ca="1" si="8"/>
        <v>45954</v>
      </c>
      <c r="N317" s="74" t="str">
        <f>_xlfn.IFNA(VLOOKUP(db_emp[[#This Row],[ID_DIV]],[1]!db_dpt[[Code_dpt]:[Departement]],2,0),"-")</f>
        <v>Engineering</v>
      </c>
      <c r="O317" s="74" t="str">
        <f>_xlfn.IFNA(VLOOKUP(db_emp[[#This Row],[ID_SDP]],[1]!db_div[[Code_div]:[Division]],2,0),"-")</f>
        <v>General Head Departement</v>
      </c>
      <c r="P317" s="74" t="str">
        <f>_xlfn.IFNA(VLOOKUP(db_emp[[#This Row],[Code_lvl]],[1]!db_lvl[[#All],[ID_level]:[Leveling Name]],2,0),"-")</f>
        <v>Staff</v>
      </c>
      <c r="Q317" s="74" t="str">
        <f>_xlfn.IFNA(VLOOKUP(db_emp[[#This Row],[Code_site]],[1]!db_site[[ID_Site]:[Url_maps]],3,0),"-")</f>
        <v>Unit - Taman Anggrek Residences</v>
      </c>
      <c r="R3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240918,'Muhamad Kasroniyanto','ENG','GNRAL','Engineering Staff','LV12','Corp. Supporting Property (POM)','A01','Employee','2024-05-27','2025-10-24'</v>
      </c>
      <c r="S317" s="74">
        <f>db_emp[[#This Row],[NIP (UPDATE)]]</f>
        <v>240918</v>
      </c>
    </row>
    <row r="318" spans="2:19" hidden="1" x14ac:dyDescent="0.25">
      <c r="B318" s="75">
        <v>597</v>
      </c>
      <c r="C318" s="75">
        <v>241550</v>
      </c>
      <c r="D318" s="74" t="s">
        <v>1314</v>
      </c>
      <c r="E318" s="75" t="s">
        <v>911</v>
      </c>
      <c r="F318" s="75" t="s">
        <v>971</v>
      </c>
      <c r="G318" s="74" t="s">
        <v>1254</v>
      </c>
      <c r="H318" s="75" t="s">
        <v>853</v>
      </c>
      <c r="I318" s="74" t="s">
        <v>864</v>
      </c>
      <c r="J318" s="75" t="s">
        <v>433</v>
      </c>
      <c r="K318" s="75" t="s">
        <v>862</v>
      </c>
      <c r="L318" s="76">
        <v>45530</v>
      </c>
      <c r="M318" s="77">
        <f t="shared" ca="1" si="8"/>
        <v>45954</v>
      </c>
      <c r="N318" s="74" t="str">
        <f>_xlfn.IFNA(VLOOKUP(db_emp[[#This Row],[ID_DIV]],[1]!db_dpt[[Code_dpt]:[Departement]],2,0),"-")</f>
        <v>Engineering</v>
      </c>
      <c r="O318" s="74" t="str">
        <f>_xlfn.IFNA(VLOOKUP(db_emp[[#This Row],[ID_SDP]],[1]!db_div[[Code_div]:[Division]],2,0),"-")</f>
        <v>General Head Departement</v>
      </c>
      <c r="P318" s="74" t="str">
        <f>_xlfn.IFNA(VLOOKUP(db_emp[[#This Row],[Code_lvl]],[1]!db_lvl[[#All],[ID_level]:[Leveling Name]],2,0),"-")</f>
        <v>Staff</v>
      </c>
      <c r="Q318" s="74" t="str">
        <f>_xlfn.IFNA(VLOOKUP(db_emp[[#This Row],[Code_site]],[1]!db_site[[ID_Site]:[Url_maps]],3,0),"-")</f>
        <v>Unit - Taman Anggrek Residences</v>
      </c>
      <c r="R3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241550,'Agus.','ENG','GNRAL','Engineering Staff','LV12','Corp. Supporting Property (POM)','A01','Not Employee','2024-08-26','2025-10-24'</v>
      </c>
      <c r="S318" s="74">
        <f>db_emp[[#This Row],[NIP (UPDATE)]]</f>
        <v>241550</v>
      </c>
    </row>
    <row r="319" spans="2:19" hidden="1" x14ac:dyDescent="0.25">
      <c r="B319" s="75">
        <v>598</v>
      </c>
      <c r="C319" s="75">
        <v>241576</v>
      </c>
      <c r="D319" s="74" t="s">
        <v>1315</v>
      </c>
      <c r="E319" s="75" t="s">
        <v>911</v>
      </c>
      <c r="F319" s="75" t="s">
        <v>971</v>
      </c>
      <c r="G319" s="74" t="s">
        <v>1254</v>
      </c>
      <c r="H319" s="75" t="s">
        <v>853</v>
      </c>
      <c r="I319" s="74" t="s">
        <v>864</v>
      </c>
      <c r="J319" s="75" t="s">
        <v>433</v>
      </c>
      <c r="K319" s="75" t="s">
        <v>862</v>
      </c>
      <c r="L319" s="76">
        <v>45537</v>
      </c>
      <c r="M319" s="77">
        <f t="shared" ca="1" si="8"/>
        <v>45954</v>
      </c>
      <c r="N319" s="74" t="str">
        <f>_xlfn.IFNA(VLOOKUP(db_emp[[#This Row],[ID_DIV]],[1]!db_dpt[[Code_dpt]:[Departement]],2,0),"-")</f>
        <v>Engineering</v>
      </c>
      <c r="O319" s="74" t="str">
        <f>_xlfn.IFNA(VLOOKUP(db_emp[[#This Row],[ID_SDP]],[1]!db_div[[Code_div]:[Division]],2,0),"-")</f>
        <v>General Head Departement</v>
      </c>
      <c r="P319" s="74" t="str">
        <f>_xlfn.IFNA(VLOOKUP(db_emp[[#This Row],[Code_lvl]],[1]!db_lvl[[#All],[ID_level]:[Leveling Name]],2,0),"-")</f>
        <v>Staff</v>
      </c>
      <c r="Q319" s="74" t="str">
        <f>_xlfn.IFNA(VLOOKUP(db_emp[[#This Row],[Code_site]],[1]!db_site[[ID_Site]:[Url_maps]],3,0),"-")</f>
        <v>Unit - Taman Anggrek Residences</v>
      </c>
      <c r="R3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241576,'M. Nurhuda','ENG','GNRAL','Engineering Staff','LV12','Corp. Supporting Property (POM)','A01','Not Employee','2024-09-02','2025-10-24'</v>
      </c>
      <c r="S319" s="74">
        <f>db_emp[[#This Row],[NIP (UPDATE)]]</f>
        <v>241576</v>
      </c>
    </row>
    <row r="320" spans="2:19" hidden="1" x14ac:dyDescent="0.25">
      <c r="B320" s="75">
        <v>370</v>
      </c>
      <c r="C320" s="75">
        <v>240439</v>
      </c>
      <c r="D320" s="74" t="s">
        <v>1316</v>
      </c>
      <c r="E320" s="75" t="s">
        <v>911</v>
      </c>
      <c r="F320" s="75" t="s">
        <v>971</v>
      </c>
      <c r="G320" s="74" t="s">
        <v>1317</v>
      </c>
      <c r="H320" s="75" t="s">
        <v>870</v>
      </c>
      <c r="I320" s="74" t="s">
        <v>486</v>
      </c>
      <c r="J320" s="75" t="s">
        <v>492</v>
      </c>
      <c r="K320" s="75" t="s">
        <v>850</v>
      </c>
      <c r="L320" s="76">
        <v>45355</v>
      </c>
      <c r="M320" s="77">
        <f t="shared" ca="1" si="8"/>
        <v>45954</v>
      </c>
      <c r="N320" s="74" t="str">
        <f>_xlfn.IFNA(VLOOKUP(db_emp[[#This Row],[ID_DIV]],[1]!db_dpt[[Code_dpt]:[Departement]],2,0),"-")</f>
        <v>Engineering</v>
      </c>
      <c r="O320" s="74" t="str">
        <f>_xlfn.IFNA(VLOOKUP(db_emp[[#This Row],[ID_SDP]],[1]!db_div[[Code_div]:[Division]],2,0),"-")</f>
        <v>General Head Departement</v>
      </c>
      <c r="P320" s="74" t="str">
        <f>_xlfn.IFNA(VLOOKUP(db_emp[[#This Row],[Code_lvl]],[1]!db_lvl[[#All],[ID_level]:[Leveling Name]],2,0),"-")</f>
        <v>Supervisor</v>
      </c>
      <c r="Q320" s="74" t="str">
        <f>_xlfn.IFNA(VLOOKUP(db_emp[[#This Row],[Code_site]],[1]!db_site[[ID_Site]:[Url_maps]],3,0),"-")</f>
        <v>Unit - Hublife</v>
      </c>
      <c r="R3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240439,'Leo Aji Yanto','ENG','GNRAL','Engineering Supervisor','LV09','Mall','M05','Employee','2024-03-04','2025-10-24'</v>
      </c>
      <c r="S320" s="74">
        <f>db_emp[[#This Row],[NIP (UPDATE)]]</f>
        <v>240439</v>
      </c>
    </row>
    <row r="321" spans="2:19" hidden="1" x14ac:dyDescent="0.25">
      <c r="B321" s="75">
        <v>494</v>
      </c>
      <c r="C321" s="75">
        <v>240862</v>
      </c>
      <c r="D321" s="74" t="s">
        <v>1318</v>
      </c>
      <c r="E321" s="75" t="s">
        <v>911</v>
      </c>
      <c r="F321" s="75" t="s">
        <v>971</v>
      </c>
      <c r="G321" s="74" t="s">
        <v>1317</v>
      </c>
      <c r="H321" s="75" t="s">
        <v>870</v>
      </c>
      <c r="I321" s="74" t="s">
        <v>864</v>
      </c>
      <c r="J321" s="75" t="s">
        <v>441</v>
      </c>
      <c r="K321" s="75" t="s">
        <v>850</v>
      </c>
      <c r="L321" s="76">
        <v>45425</v>
      </c>
      <c r="M321" s="77">
        <f t="shared" ca="1" si="8"/>
        <v>45954</v>
      </c>
      <c r="N321" s="74" t="str">
        <f>_xlfn.IFNA(VLOOKUP(db_emp[[#This Row],[ID_DIV]],[1]!db_dpt[[Code_dpt]:[Departement]],2,0),"-")</f>
        <v>Engineering</v>
      </c>
      <c r="O321" s="74" t="str">
        <f>_xlfn.IFNA(VLOOKUP(db_emp[[#This Row],[ID_SDP]],[1]!db_div[[Code_div]:[Division]],2,0),"-")</f>
        <v>General Head Departement</v>
      </c>
      <c r="P321" s="74" t="str">
        <f>_xlfn.IFNA(VLOOKUP(db_emp[[#This Row],[Code_lvl]],[1]!db_lvl[[#All],[ID_level]:[Leveling Name]],2,0),"-")</f>
        <v>Supervisor</v>
      </c>
      <c r="Q321" s="74" t="str">
        <f>_xlfn.IFNA(VLOOKUP(db_emp[[#This Row],[Code_site]],[1]!db_site[[ID_Site]:[Url_maps]],3,0),"-")</f>
        <v>Unit - Fatmawati City Center</v>
      </c>
      <c r="R3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240862,'Hadi Wijaya','ENG','GNRAL','Engineering Supervisor','LV09','Corp. Supporting Property (POM)','A02','Employee','2024-05-13','2025-10-24'</v>
      </c>
      <c r="S321" s="74">
        <f>db_emp[[#This Row],[NIP (UPDATE)]]</f>
        <v>240862</v>
      </c>
    </row>
    <row r="322" spans="2:19" hidden="1" x14ac:dyDescent="0.25">
      <c r="B322" s="75">
        <v>525</v>
      </c>
      <c r="C322" s="75">
        <v>230217</v>
      </c>
      <c r="D322" s="74" t="s">
        <v>1319</v>
      </c>
      <c r="E322" s="75" t="s">
        <v>911</v>
      </c>
      <c r="F322" s="75" t="s">
        <v>971</v>
      </c>
      <c r="G322" s="74" t="s">
        <v>1317</v>
      </c>
      <c r="H322" s="75" t="s">
        <v>870</v>
      </c>
      <c r="I322" s="74" t="s">
        <v>864</v>
      </c>
      <c r="J322" s="75" t="s">
        <v>446</v>
      </c>
      <c r="K322" s="75" t="s">
        <v>850</v>
      </c>
      <c r="L322" s="76">
        <v>44979</v>
      </c>
      <c r="M322" s="77">
        <f t="shared" ca="1" si="8"/>
        <v>45954</v>
      </c>
      <c r="N322" s="74" t="str">
        <f>_xlfn.IFNA(VLOOKUP(db_emp[[#This Row],[ID_DIV]],[1]!db_dpt[[Code_dpt]:[Departement]],2,0),"-")</f>
        <v>Engineering</v>
      </c>
      <c r="O322" s="74" t="str">
        <f>_xlfn.IFNA(VLOOKUP(db_emp[[#This Row],[ID_SDP]],[1]!db_div[[Code_div]:[Division]],2,0),"-")</f>
        <v>General Head Departement</v>
      </c>
      <c r="P322" s="74" t="str">
        <f>_xlfn.IFNA(VLOOKUP(db_emp[[#This Row],[Code_lvl]],[1]!db_lvl[[#All],[ID_level]:[Leveling Name]],2,0),"-")</f>
        <v>Supervisor</v>
      </c>
      <c r="Q322" s="74" t="str">
        <f>_xlfn.IFNA(VLOOKUP(db_emp[[#This Row],[Code_site]],[1]!db_site[[ID_Site]:[Url_maps]],3,0),"-")</f>
        <v>Unit - Menara Jakarta POM</v>
      </c>
      <c r="R3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230217,'Adid Radityo','ENG','GNRAL','Engineering Supervisor','LV09','Corp. Supporting Property (POM)','A03','Employee','2023-02-22','2025-10-24'</v>
      </c>
      <c r="S322" s="74">
        <f>db_emp[[#This Row],[NIP (UPDATE)]]</f>
        <v>230217</v>
      </c>
    </row>
    <row r="323" spans="2:19" hidden="1" x14ac:dyDescent="0.25">
      <c r="B323" s="75">
        <v>526</v>
      </c>
      <c r="C323" s="75">
        <v>230280</v>
      </c>
      <c r="D323" s="74" t="s">
        <v>1320</v>
      </c>
      <c r="E323" s="75" t="s">
        <v>911</v>
      </c>
      <c r="F323" s="75" t="s">
        <v>971</v>
      </c>
      <c r="G323" s="74" t="s">
        <v>1317</v>
      </c>
      <c r="H323" s="75" t="s">
        <v>870</v>
      </c>
      <c r="I323" s="74" t="s">
        <v>864</v>
      </c>
      <c r="J323" s="75" t="s">
        <v>446</v>
      </c>
      <c r="K323" s="75" t="s">
        <v>850</v>
      </c>
      <c r="L323" s="76">
        <v>44994</v>
      </c>
      <c r="M323" s="77">
        <f t="shared" ca="1" si="8"/>
        <v>45954</v>
      </c>
      <c r="N323" s="74" t="str">
        <f>_xlfn.IFNA(VLOOKUP(db_emp[[#This Row],[ID_DIV]],[1]!db_dpt[[Code_dpt]:[Departement]],2,0),"-")</f>
        <v>Engineering</v>
      </c>
      <c r="O323" s="74" t="str">
        <f>_xlfn.IFNA(VLOOKUP(db_emp[[#This Row],[ID_SDP]],[1]!db_div[[Code_div]:[Division]],2,0),"-")</f>
        <v>General Head Departement</v>
      </c>
      <c r="P323" s="74" t="str">
        <f>_xlfn.IFNA(VLOOKUP(db_emp[[#This Row],[Code_lvl]],[1]!db_lvl[[#All],[ID_level]:[Leveling Name]],2,0),"-")</f>
        <v>Supervisor</v>
      </c>
      <c r="Q323" s="74" t="str">
        <f>_xlfn.IFNA(VLOOKUP(db_emp[[#This Row],[Code_site]],[1]!db_site[[ID_Site]:[Url_maps]],3,0),"-")</f>
        <v>Unit - Menara Jakarta POM</v>
      </c>
      <c r="R3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230280,'Firman Aprilyansah','ENG','GNRAL','Engineering Supervisor','LV09','Corp. Supporting Property (POM)','A03','Employee','2023-03-09','2025-10-24'</v>
      </c>
      <c r="S323" s="74">
        <f>db_emp[[#This Row],[NIP (UPDATE)]]</f>
        <v>230280</v>
      </c>
    </row>
    <row r="324" spans="2:19" hidden="1" x14ac:dyDescent="0.25">
      <c r="B324" s="75">
        <v>557</v>
      </c>
      <c r="C324" s="75">
        <v>250187</v>
      </c>
      <c r="D324" s="74" t="s">
        <v>1321</v>
      </c>
      <c r="E324" s="75" t="s">
        <v>911</v>
      </c>
      <c r="F324" s="75" t="s">
        <v>971</v>
      </c>
      <c r="G324" s="74" t="s">
        <v>1317</v>
      </c>
      <c r="H324" s="75" t="s">
        <v>870</v>
      </c>
      <c r="I324" s="74" t="s">
        <v>864</v>
      </c>
      <c r="J324" s="75" t="s">
        <v>446</v>
      </c>
      <c r="K324" s="75" t="s">
        <v>850</v>
      </c>
      <c r="L324" s="76">
        <v>45712</v>
      </c>
      <c r="M324" s="77">
        <f t="shared" ca="1" si="8"/>
        <v>45954</v>
      </c>
      <c r="N324" s="74" t="str">
        <f>_xlfn.IFNA(VLOOKUP(db_emp[[#This Row],[ID_DIV]],[1]!db_dpt[[Code_dpt]:[Departement]],2,0),"-")</f>
        <v>Engineering</v>
      </c>
      <c r="O324" s="74" t="str">
        <f>_xlfn.IFNA(VLOOKUP(db_emp[[#This Row],[ID_SDP]],[1]!db_div[[Code_div]:[Division]],2,0),"-")</f>
        <v>General Head Departement</v>
      </c>
      <c r="P324" s="74" t="str">
        <f>_xlfn.IFNA(VLOOKUP(db_emp[[#This Row],[Code_lvl]],[1]!db_lvl[[#All],[ID_level]:[Leveling Name]],2,0),"-")</f>
        <v>Supervisor</v>
      </c>
      <c r="Q324" s="74" t="str">
        <f>_xlfn.IFNA(VLOOKUP(db_emp[[#This Row],[Code_site]],[1]!db_site[[ID_Site]:[Url_maps]],3,0),"-")</f>
        <v>Unit - Menara Jakarta POM</v>
      </c>
      <c r="R3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250187,'Edi Purwanto','ENG','GNRAL','Engineering Supervisor','LV09','Corp. Supporting Property (POM)','A03','Employee','2025-02-24','2025-10-24'</v>
      </c>
      <c r="S324" s="74">
        <f>db_emp[[#This Row],[NIP (UPDATE)]]</f>
        <v>250187</v>
      </c>
    </row>
    <row r="325" spans="2:19" hidden="1" x14ac:dyDescent="0.25">
      <c r="B325" s="75">
        <v>560</v>
      </c>
      <c r="C325" s="75">
        <v>101242</v>
      </c>
      <c r="D325" s="74" t="s">
        <v>1322</v>
      </c>
      <c r="E325" s="75" t="s">
        <v>911</v>
      </c>
      <c r="F325" s="75" t="s">
        <v>971</v>
      </c>
      <c r="G325" s="74" t="s">
        <v>1317</v>
      </c>
      <c r="H325" s="75" t="s">
        <v>870</v>
      </c>
      <c r="I325" s="74" t="s">
        <v>864</v>
      </c>
      <c r="J325" s="75" t="s">
        <v>433</v>
      </c>
      <c r="K325" s="75" t="s">
        <v>850</v>
      </c>
      <c r="L325" s="76">
        <v>39174</v>
      </c>
      <c r="M325" s="77">
        <f t="shared" ca="1" si="8"/>
        <v>45954</v>
      </c>
      <c r="N325" s="74" t="str">
        <f>_xlfn.IFNA(VLOOKUP(db_emp[[#This Row],[ID_DIV]],[1]!db_dpt[[Code_dpt]:[Departement]],2,0),"-")</f>
        <v>Engineering</v>
      </c>
      <c r="O325" s="74" t="str">
        <f>_xlfn.IFNA(VLOOKUP(db_emp[[#This Row],[ID_SDP]],[1]!db_div[[Code_div]:[Division]],2,0),"-")</f>
        <v>General Head Departement</v>
      </c>
      <c r="P325" s="74" t="str">
        <f>_xlfn.IFNA(VLOOKUP(db_emp[[#This Row],[Code_lvl]],[1]!db_lvl[[#All],[ID_level]:[Leveling Name]],2,0),"-")</f>
        <v>Supervisor</v>
      </c>
      <c r="Q325" s="74" t="str">
        <f>_xlfn.IFNA(VLOOKUP(db_emp[[#This Row],[Code_site]],[1]!db_site[[ID_Site]:[Url_maps]],3,0),"-")</f>
        <v>Unit - Taman Anggrek Residences</v>
      </c>
      <c r="R3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101242,'Supriyanta.','ENG','GNRAL','Engineering Supervisor','LV09','Corp. Supporting Property (POM)','A01','Employee','2007-04-02','2025-10-24'</v>
      </c>
      <c r="S325" s="74">
        <f>db_emp[[#This Row],[NIP (UPDATE)]]</f>
        <v>101242</v>
      </c>
    </row>
    <row r="326" spans="2:19" hidden="1" x14ac:dyDescent="0.25">
      <c r="B326" s="75">
        <v>561</v>
      </c>
      <c r="C326" s="75">
        <v>230777</v>
      </c>
      <c r="D326" s="74" t="s">
        <v>1323</v>
      </c>
      <c r="E326" s="75" t="s">
        <v>911</v>
      </c>
      <c r="F326" s="75" t="s">
        <v>971</v>
      </c>
      <c r="G326" s="74" t="s">
        <v>1317</v>
      </c>
      <c r="H326" s="75" t="s">
        <v>870</v>
      </c>
      <c r="I326" s="74" t="s">
        <v>864</v>
      </c>
      <c r="J326" s="75" t="s">
        <v>433</v>
      </c>
      <c r="K326" s="75" t="s">
        <v>850</v>
      </c>
      <c r="L326" s="76">
        <v>43314</v>
      </c>
      <c r="M326" s="77">
        <f t="shared" ca="1" si="8"/>
        <v>45954</v>
      </c>
      <c r="N326" s="74" t="str">
        <f>_xlfn.IFNA(VLOOKUP(db_emp[[#This Row],[ID_DIV]],[1]!db_dpt[[Code_dpt]:[Departement]],2,0),"-")</f>
        <v>Engineering</v>
      </c>
      <c r="O326" s="74" t="str">
        <f>_xlfn.IFNA(VLOOKUP(db_emp[[#This Row],[ID_SDP]],[1]!db_div[[Code_div]:[Division]],2,0),"-")</f>
        <v>General Head Departement</v>
      </c>
      <c r="P326" s="74" t="str">
        <f>_xlfn.IFNA(VLOOKUP(db_emp[[#This Row],[Code_lvl]],[1]!db_lvl[[#All],[ID_level]:[Leveling Name]],2,0),"-")</f>
        <v>Supervisor</v>
      </c>
      <c r="Q326" s="74" t="str">
        <f>_xlfn.IFNA(VLOOKUP(db_emp[[#This Row],[Code_site]],[1]!db_site[[ID_Site]:[Url_maps]],3,0),"-")</f>
        <v>Unit - Taman Anggrek Residences</v>
      </c>
      <c r="R3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230777,'Darmawan Sutiyadi','ENG','GNRAL','Engineering Supervisor','LV09','Corp. Supporting Property (POM)','A01','Employee','2018-08-02','2025-10-24'</v>
      </c>
      <c r="S326" s="74">
        <f>db_emp[[#This Row],[NIP (UPDATE)]]</f>
        <v>230777</v>
      </c>
    </row>
    <row r="327" spans="2:19" hidden="1" x14ac:dyDescent="0.25">
      <c r="B327" s="75">
        <v>563</v>
      </c>
      <c r="C327" s="75">
        <v>200513</v>
      </c>
      <c r="D327" s="74" t="s">
        <v>1324</v>
      </c>
      <c r="E327" s="75" t="s">
        <v>911</v>
      </c>
      <c r="F327" s="75" t="s">
        <v>971</v>
      </c>
      <c r="G327" s="74" t="s">
        <v>1317</v>
      </c>
      <c r="H327" s="75" t="s">
        <v>870</v>
      </c>
      <c r="I327" s="74" t="s">
        <v>864</v>
      </c>
      <c r="J327" s="75" t="s">
        <v>433</v>
      </c>
      <c r="K327" s="75" t="s">
        <v>850</v>
      </c>
      <c r="L327" s="76">
        <v>44312</v>
      </c>
      <c r="M327" s="77">
        <f t="shared" ca="1" si="8"/>
        <v>45954</v>
      </c>
      <c r="N327" s="74" t="str">
        <f>_xlfn.IFNA(VLOOKUP(db_emp[[#This Row],[ID_DIV]],[1]!db_dpt[[Code_dpt]:[Departement]],2,0),"-")</f>
        <v>Engineering</v>
      </c>
      <c r="O327" s="74" t="str">
        <f>_xlfn.IFNA(VLOOKUP(db_emp[[#This Row],[ID_SDP]],[1]!db_div[[Code_div]:[Division]],2,0),"-")</f>
        <v>General Head Departement</v>
      </c>
      <c r="P327" s="74" t="str">
        <f>_xlfn.IFNA(VLOOKUP(db_emp[[#This Row],[Code_lvl]],[1]!db_lvl[[#All],[ID_level]:[Leveling Name]],2,0),"-")</f>
        <v>Supervisor</v>
      </c>
      <c r="Q327" s="74" t="str">
        <f>_xlfn.IFNA(VLOOKUP(db_emp[[#This Row],[Code_site]],[1]!db_site[[ID_Site]:[Url_maps]],3,0),"-")</f>
        <v>Unit - Taman Anggrek Residences</v>
      </c>
      <c r="R3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200513,'Undang Sirojudin','ENG','GNRAL','Engineering Supervisor','LV09','Corp. Supporting Property (POM)','A01','Employee','2021-04-26','2025-10-24'</v>
      </c>
      <c r="S327" s="74">
        <f>db_emp[[#This Row],[NIP (UPDATE)]]</f>
        <v>200513</v>
      </c>
    </row>
    <row r="328" spans="2:19" hidden="1" x14ac:dyDescent="0.25">
      <c r="B328" s="75">
        <v>564</v>
      </c>
      <c r="C328" s="75">
        <v>210251</v>
      </c>
      <c r="D328" s="74" t="s">
        <v>1325</v>
      </c>
      <c r="E328" s="75" t="s">
        <v>911</v>
      </c>
      <c r="F328" s="75" t="s">
        <v>971</v>
      </c>
      <c r="G328" s="74" t="s">
        <v>1317</v>
      </c>
      <c r="H328" s="75" t="s">
        <v>870</v>
      </c>
      <c r="I328" s="74" t="s">
        <v>864</v>
      </c>
      <c r="J328" s="75" t="s">
        <v>433</v>
      </c>
      <c r="K328" s="75" t="s">
        <v>850</v>
      </c>
      <c r="L328" s="76">
        <v>44323</v>
      </c>
      <c r="M328" s="77">
        <f t="shared" ca="1" si="8"/>
        <v>45954</v>
      </c>
      <c r="N328" s="74" t="str">
        <f>_xlfn.IFNA(VLOOKUP(db_emp[[#This Row],[ID_DIV]],[1]!db_dpt[[Code_dpt]:[Departement]],2,0),"-")</f>
        <v>Engineering</v>
      </c>
      <c r="O328" s="74" t="str">
        <f>_xlfn.IFNA(VLOOKUP(db_emp[[#This Row],[ID_SDP]],[1]!db_div[[Code_div]:[Division]],2,0),"-")</f>
        <v>General Head Departement</v>
      </c>
      <c r="P328" s="74" t="str">
        <f>_xlfn.IFNA(VLOOKUP(db_emp[[#This Row],[Code_lvl]],[1]!db_lvl[[#All],[ID_level]:[Leveling Name]],2,0),"-")</f>
        <v>Supervisor</v>
      </c>
      <c r="Q328" s="74" t="str">
        <f>_xlfn.IFNA(VLOOKUP(db_emp[[#This Row],[Code_site]],[1]!db_site[[ID_Site]:[Url_maps]],3,0),"-")</f>
        <v>Unit - Taman Anggrek Residences</v>
      </c>
      <c r="R3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210251,'Riyandi Nugroho','ENG','GNRAL','Engineering Supervisor','LV09','Corp. Supporting Property (POM)','A01','Employee','2021-05-07','2025-10-24'</v>
      </c>
      <c r="S328" s="74">
        <f>db_emp[[#This Row],[NIP (UPDATE)]]</f>
        <v>210251</v>
      </c>
    </row>
    <row r="329" spans="2:19" hidden="1" x14ac:dyDescent="0.25">
      <c r="B329" s="75">
        <v>650</v>
      </c>
      <c r="C329" s="75">
        <v>170074</v>
      </c>
      <c r="D329" s="74" t="s">
        <v>1326</v>
      </c>
      <c r="E329" s="75" t="s">
        <v>911</v>
      </c>
      <c r="F329" s="75" t="s">
        <v>971</v>
      </c>
      <c r="G329" s="74" t="s">
        <v>1317</v>
      </c>
      <c r="H329" s="75" t="s">
        <v>870</v>
      </c>
      <c r="I329" s="74" t="s">
        <v>864</v>
      </c>
      <c r="J329" s="75" t="s">
        <v>501</v>
      </c>
      <c r="K329" s="75" t="s">
        <v>850</v>
      </c>
      <c r="L329" s="76"/>
      <c r="M329" s="77">
        <f t="shared" ca="1" si="8"/>
        <v>45954</v>
      </c>
      <c r="N329" s="74" t="str">
        <f>_xlfn.IFNA(VLOOKUP(db_emp[[#This Row],[ID_DIV]],[1]!db_dpt[[Code_dpt]:[Departement]],2,0),"-")</f>
        <v>Engineering</v>
      </c>
      <c r="O329" s="74" t="str">
        <f>_xlfn.IFNA(VLOOKUP(db_emp[[#This Row],[ID_SDP]],[1]!db_div[[Code_div]:[Division]],2,0),"-")</f>
        <v>General Head Departement</v>
      </c>
      <c r="P329" s="74" t="str">
        <f>_xlfn.IFNA(VLOOKUP(db_emp[[#This Row],[Code_lvl]],[1]!db_lvl[[#All],[ID_level]:[Leveling Name]],2,0),"-")</f>
        <v>Supervisor</v>
      </c>
      <c r="Q329" s="74" t="str">
        <f>_xlfn.IFNA(VLOOKUP(db_emp[[#This Row],[Code_site]],[1]!db_site[[ID_Site]:[Url_maps]],3,0),"-")</f>
        <v>Unit - District 8</v>
      </c>
      <c r="R3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170074,'Anggun Hartono','ENG','GNRAL','Engineering Supervisor','LV09','Corp. Supporting Property (POM)','OD8','Employee','1900-01-00','2025-10-24'</v>
      </c>
      <c r="S329" s="74">
        <f>db_emp[[#This Row],[NIP (UPDATE)]]</f>
        <v>170074</v>
      </c>
    </row>
    <row r="330" spans="2:19" hidden="1" x14ac:dyDescent="0.25">
      <c r="B330" s="75">
        <v>651</v>
      </c>
      <c r="C330" s="75">
        <v>170122</v>
      </c>
      <c r="D330" s="74" t="s">
        <v>1327</v>
      </c>
      <c r="E330" s="75" t="s">
        <v>911</v>
      </c>
      <c r="F330" s="75" t="s">
        <v>971</v>
      </c>
      <c r="G330" s="74" t="s">
        <v>1317</v>
      </c>
      <c r="H330" s="75" t="s">
        <v>870</v>
      </c>
      <c r="I330" s="74" t="s">
        <v>864</v>
      </c>
      <c r="J330" s="75" t="s">
        <v>501</v>
      </c>
      <c r="K330" s="75" t="s">
        <v>850</v>
      </c>
      <c r="L330" s="76"/>
      <c r="M330" s="77">
        <f t="shared" ca="1" si="8"/>
        <v>45954</v>
      </c>
      <c r="N330" s="74" t="str">
        <f>_xlfn.IFNA(VLOOKUP(db_emp[[#This Row],[ID_DIV]],[1]!db_dpt[[Code_dpt]:[Departement]],2,0),"-")</f>
        <v>Engineering</v>
      </c>
      <c r="O330" s="74" t="str">
        <f>_xlfn.IFNA(VLOOKUP(db_emp[[#This Row],[ID_SDP]],[1]!db_div[[Code_div]:[Division]],2,0),"-")</f>
        <v>General Head Departement</v>
      </c>
      <c r="P330" s="74" t="str">
        <f>_xlfn.IFNA(VLOOKUP(db_emp[[#This Row],[Code_lvl]],[1]!db_lvl[[#All],[ID_level]:[Leveling Name]],2,0),"-")</f>
        <v>Supervisor</v>
      </c>
      <c r="Q330" s="74" t="str">
        <f>_xlfn.IFNA(VLOOKUP(db_emp[[#This Row],[Code_site]],[1]!db_site[[ID_Site]:[Url_maps]],3,0),"-")</f>
        <v>Unit - District 8</v>
      </c>
      <c r="R3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170122,'Rikardo.','ENG','GNRAL','Engineering Supervisor','LV09','Corp. Supporting Property (POM)','OD8','Employee','1900-01-00','2025-10-24'</v>
      </c>
      <c r="S330" s="74">
        <f>db_emp[[#This Row],[NIP (UPDATE)]]</f>
        <v>170122</v>
      </c>
    </row>
    <row r="331" spans="2:19" hidden="1" x14ac:dyDescent="0.25">
      <c r="B331" s="75">
        <v>715</v>
      </c>
      <c r="C331" s="75">
        <v>240452</v>
      </c>
      <c r="D331" s="74" t="s">
        <v>1328</v>
      </c>
      <c r="E331" s="75" t="s">
        <v>911</v>
      </c>
      <c r="F331" s="75" t="s">
        <v>971</v>
      </c>
      <c r="G331" s="74" t="s">
        <v>1317</v>
      </c>
      <c r="H331" s="75" t="s">
        <v>870</v>
      </c>
      <c r="I331" s="74" t="s">
        <v>864</v>
      </c>
      <c r="J331" s="75" t="s">
        <v>501</v>
      </c>
      <c r="K331" s="75" t="s">
        <v>850</v>
      </c>
      <c r="L331" s="76"/>
      <c r="M331" s="77">
        <f t="shared" ca="1" si="8"/>
        <v>45954</v>
      </c>
      <c r="N331" s="74" t="str">
        <f>_xlfn.IFNA(VLOOKUP(db_emp[[#This Row],[ID_DIV]],[1]!db_dpt[[Code_dpt]:[Departement]],2,0),"-")</f>
        <v>Engineering</v>
      </c>
      <c r="O331" s="74" t="str">
        <f>_xlfn.IFNA(VLOOKUP(db_emp[[#This Row],[ID_SDP]],[1]!db_div[[Code_div]:[Division]],2,0),"-")</f>
        <v>General Head Departement</v>
      </c>
      <c r="P331" s="74" t="str">
        <f>_xlfn.IFNA(VLOOKUP(db_emp[[#This Row],[Code_lvl]],[1]!db_lvl[[#All],[ID_level]:[Leveling Name]],2,0),"-")</f>
        <v>Supervisor</v>
      </c>
      <c r="Q331" s="74" t="str">
        <f>_xlfn.IFNA(VLOOKUP(db_emp[[#This Row],[Code_site]],[1]!db_site[[ID_Site]:[Url_maps]],3,0),"-")</f>
        <v>Unit - District 8</v>
      </c>
      <c r="R3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240452,'Pieter Alberthus','ENG','GNRAL','Engineering Supervisor','LV09','Corp. Supporting Property (POM)','OD8','Employee','1900-01-00','2025-10-24'</v>
      </c>
      <c r="S331" s="74">
        <f>db_emp[[#This Row],[NIP (UPDATE)]]</f>
        <v>240452</v>
      </c>
    </row>
    <row r="332" spans="2:19" hidden="1" x14ac:dyDescent="0.25">
      <c r="B332" s="75">
        <v>211</v>
      </c>
      <c r="C332" s="75">
        <v>211055</v>
      </c>
      <c r="D332" s="74" t="s">
        <v>1329</v>
      </c>
      <c r="E332" s="75" t="s">
        <v>927</v>
      </c>
      <c r="F332" s="75" t="s">
        <v>1330</v>
      </c>
      <c r="G332" s="74" t="s">
        <v>1331</v>
      </c>
      <c r="H332" s="75" t="s">
        <v>853</v>
      </c>
      <c r="I332" s="74" t="s">
        <v>849</v>
      </c>
      <c r="J332" s="75" t="s">
        <v>314</v>
      </c>
      <c r="K332" s="75" t="s">
        <v>850</v>
      </c>
      <c r="L332" s="76">
        <v>44508</v>
      </c>
      <c r="M332" s="77">
        <f t="shared" ca="1" si="8"/>
        <v>45954</v>
      </c>
      <c r="N332" s="74" t="str">
        <f>_xlfn.IFNA(VLOOKUP(db_emp[[#This Row],[ID_DIV]],[1]!db_dpt[[Code_dpt]:[Departement]],2,0),"-")</f>
        <v>Center Experience</v>
      </c>
      <c r="O332" s="74" t="str">
        <f>_xlfn.IFNA(VLOOKUP(db_emp[[#This Row],[ID_SDP]],[1]!db_div[[Code_div]:[Division]],2,0),"-")</f>
        <v>Events</v>
      </c>
      <c r="P332" s="74" t="str">
        <f>_xlfn.IFNA(VLOOKUP(db_emp[[#This Row],[Code_lvl]],[1]!db_lvl[[#All],[ID_level]:[Leveling Name]],2,0),"-")</f>
        <v>Staff</v>
      </c>
      <c r="Q332" s="74" t="str">
        <f>_xlfn.IFNA(VLOOKUP(db_emp[[#This Row],[Code_site]],[1]!db_site[[ID_Site]:[Url_maps]],3,0),"-")</f>
        <v>Unit - MOI</v>
      </c>
      <c r="R3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211055,'Ikrar Dinata','CEX','EVENT','Event Staff','LV12','Mall &amp; Cinema','M02','Employee','2021-11-08','2025-10-24'</v>
      </c>
      <c r="S332" s="74">
        <f>db_emp[[#This Row],[NIP (UPDATE)]]</f>
        <v>211055</v>
      </c>
    </row>
    <row r="333" spans="2:19" hidden="1" x14ac:dyDescent="0.25">
      <c r="B333" s="75">
        <v>201</v>
      </c>
      <c r="C333" s="75">
        <v>200467</v>
      </c>
      <c r="D333" s="74" t="s">
        <v>1332</v>
      </c>
      <c r="E333" s="75" t="s">
        <v>964</v>
      </c>
      <c r="F333" s="75" t="s">
        <v>999</v>
      </c>
      <c r="G333" s="74" t="s">
        <v>1333</v>
      </c>
      <c r="H333" s="75" t="s">
        <v>848</v>
      </c>
      <c r="I333" s="74" t="s">
        <v>849</v>
      </c>
      <c r="J333" s="75" t="s">
        <v>314</v>
      </c>
      <c r="K333" s="75" t="s">
        <v>850</v>
      </c>
      <c r="L333" s="76">
        <v>44055</v>
      </c>
      <c r="M333" s="77">
        <f t="shared" ca="1" si="8"/>
        <v>45954</v>
      </c>
      <c r="N333" s="74" t="str">
        <f>_xlfn.IFNA(VLOOKUP(db_emp[[#This Row],[ID_DIV]],[1]!db_dpt[[Code_dpt]:[Departement]],2,0),"-")</f>
        <v>Marketing Communication</v>
      </c>
      <c r="O333" s="74" t="str">
        <f>_xlfn.IFNA(VLOOKUP(db_emp[[#This Row],[ID_SDP]],[1]!db_div[[Code_div]:[Division]],2,0),"-")</f>
        <v>Center Experience</v>
      </c>
      <c r="P333" s="74" t="str">
        <f>_xlfn.IFNA(VLOOKUP(db_emp[[#This Row],[Code_lvl]],[1]!db_lvl[[#All],[ID_level]:[Leveling Name]],2,0),"-")</f>
        <v>Assistant Manager</v>
      </c>
      <c r="Q333" s="74" t="str">
        <f>_xlfn.IFNA(VLOOKUP(db_emp[[#This Row],[Code_site]],[1]!db_site[[ID_Site]:[Url_maps]],3,0),"-")</f>
        <v>Unit - MOI</v>
      </c>
      <c r="R3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200467,'Yera Ameilia','MAR','CTREX','Events Assistant Manager','LV07','Mall &amp; Cinema','M02','Employee','2020-08-12','2025-10-24'</v>
      </c>
      <c r="S333" s="74">
        <f>db_emp[[#This Row],[NIP (UPDATE)]]</f>
        <v>200467</v>
      </c>
    </row>
    <row r="334" spans="2:19" hidden="1" x14ac:dyDescent="0.25">
      <c r="B334" s="75">
        <v>645</v>
      </c>
      <c r="C334" s="75">
        <v>250393</v>
      </c>
      <c r="D334" s="74" t="s">
        <v>1334</v>
      </c>
      <c r="E334" s="75" t="s">
        <v>964</v>
      </c>
      <c r="F334" s="75" t="s">
        <v>999</v>
      </c>
      <c r="G334" s="74" t="s">
        <v>1333</v>
      </c>
      <c r="H334" s="75" t="s">
        <v>848</v>
      </c>
      <c r="I334" s="74" t="s">
        <v>486</v>
      </c>
      <c r="J334" s="75" t="s">
        <v>492</v>
      </c>
      <c r="K334" s="75" t="s">
        <v>862</v>
      </c>
      <c r="L334" s="76"/>
      <c r="M334" s="77">
        <f t="shared" ca="1" si="8"/>
        <v>45954</v>
      </c>
      <c r="N334" s="74" t="str">
        <f>_xlfn.IFNA(VLOOKUP(db_emp[[#This Row],[ID_DIV]],[1]!db_dpt[[Code_dpt]:[Departement]],2,0),"-")</f>
        <v>Marketing Communication</v>
      </c>
      <c r="O334" s="74" t="str">
        <f>_xlfn.IFNA(VLOOKUP(db_emp[[#This Row],[ID_SDP]],[1]!db_div[[Code_div]:[Division]],2,0),"-")</f>
        <v>Center Experience</v>
      </c>
      <c r="P334" s="74" t="str">
        <f>_xlfn.IFNA(VLOOKUP(db_emp[[#This Row],[Code_lvl]],[1]!db_lvl[[#All],[ID_level]:[Leveling Name]],2,0),"-")</f>
        <v>Assistant Manager</v>
      </c>
      <c r="Q334" s="74" t="str">
        <f>_xlfn.IFNA(VLOOKUP(db_emp[[#This Row],[Code_site]],[1]!db_site[[ID_Site]:[Url_maps]],3,0),"-")</f>
        <v>Unit - Hublife</v>
      </c>
      <c r="R3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250393,'Chaerul Zulmi Dwiki Darmawan','MAR','CTREX','Events Assistant Manager','LV07','Mall','M05','Not Employee','1900-01-00','2025-10-24'</v>
      </c>
      <c r="S334" s="74">
        <f>db_emp[[#This Row],[NIP (UPDATE)]]</f>
        <v>250393</v>
      </c>
    </row>
    <row r="335" spans="2:19" hidden="1" x14ac:dyDescent="0.25">
      <c r="B335" s="75">
        <v>295</v>
      </c>
      <c r="C335" s="75">
        <v>190318</v>
      </c>
      <c r="D335" s="74" t="s">
        <v>1335</v>
      </c>
      <c r="E335" s="75" t="s">
        <v>964</v>
      </c>
      <c r="F335" s="75" t="s">
        <v>999</v>
      </c>
      <c r="G335" s="74" t="s">
        <v>1336</v>
      </c>
      <c r="H335" s="75" t="s">
        <v>848</v>
      </c>
      <c r="I335" s="74" t="s">
        <v>849</v>
      </c>
      <c r="J335" s="75" t="s">
        <v>484</v>
      </c>
      <c r="K335" s="75" t="s">
        <v>850</v>
      </c>
      <c r="L335" s="76">
        <v>43556</v>
      </c>
      <c r="M335" s="77">
        <f t="shared" ca="1" si="8"/>
        <v>45954</v>
      </c>
      <c r="N335" s="74" t="str">
        <f>_xlfn.IFNA(VLOOKUP(db_emp[[#This Row],[ID_DIV]],[1]!db_dpt[[Code_dpt]:[Departement]],2,0),"-")</f>
        <v>Marketing Communication</v>
      </c>
      <c r="O335" s="74" t="str">
        <f>_xlfn.IFNA(VLOOKUP(db_emp[[#This Row],[ID_SDP]],[1]!db_div[[Code_div]:[Division]],2,0),"-")</f>
        <v>Center Experience</v>
      </c>
      <c r="P335" s="74" t="str">
        <f>_xlfn.IFNA(VLOOKUP(db_emp[[#This Row],[Code_lvl]],[1]!db_lvl[[#All],[ID_level]:[Leveling Name]],2,0),"-")</f>
        <v>Assistant Manager</v>
      </c>
      <c r="Q335" s="74" t="str">
        <f>_xlfn.IFNA(VLOOKUP(db_emp[[#This Row],[Code_site]],[1]!db_site[[ID_Site]:[Url_maps]],3,0),"-")</f>
        <v>Unit - PIK Avenue</v>
      </c>
      <c r="R3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190318,'Bobby Irwanto','MAR','CTREX','Events Asst. Assistant Manager','LV07','Mall &amp; Cinema','M01','Employee','2019-04-01','2025-10-24'</v>
      </c>
      <c r="S335" s="74">
        <f>db_emp[[#This Row],[NIP (UPDATE)]]</f>
        <v>190318</v>
      </c>
    </row>
    <row r="336" spans="2:19" hidden="1" x14ac:dyDescent="0.25">
      <c r="B336" s="75">
        <v>477</v>
      </c>
      <c r="C336" s="75">
        <v>241258</v>
      </c>
      <c r="D336" s="74" t="s">
        <v>1337</v>
      </c>
      <c r="E336" s="75" t="s">
        <v>927</v>
      </c>
      <c r="F336" s="75" t="s">
        <v>1330</v>
      </c>
      <c r="G336" s="74" t="s">
        <v>1338</v>
      </c>
      <c r="H336" s="75" t="s">
        <v>885</v>
      </c>
      <c r="I336" s="74" t="s">
        <v>849</v>
      </c>
      <c r="J336" s="75" t="s">
        <v>490</v>
      </c>
      <c r="K336" s="75" t="s">
        <v>850</v>
      </c>
      <c r="L336" s="76">
        <v>45488</v>
      </c>
      <c r="M336" s="77">
        <f t="shared" ca="1" si="8"/>
        <v>45954</v>
      </c>
      <c r="N336" s="74" t="str">
        <f>_xlfn.IFNA(VLOOKUP(db_emp[[#This Row],[ID_DIV]],[1]!db_dpt[[Code_dpt]:[Departement]],2,0),"-")</f>
        <v>Center Experience</v>
      </c>
      <c r="O336" s="74" t="str">
        <f>_xlfn.IFNA(VLOOKUP(db_emp[[#This Row],[ID_SDP]],[1]!db_div[[Code_div]:[Division]],2,0),"-")</f>
        <v>Events</v>
      </c>
      <c r="P336" s="74" t="str">
        <f>_xlfn.IFNA(VLOOKUP(db_emp[[#This Row],[Code_lvl]],[1]!db_lvl[[#All],[ID_level]:[Leveling Name]],2,0),"-")</f>
        <v>Senior Staff</v>
      </c>
      <c r="Q336" s="74" t="str">
        <f>_xlfn.IFNA(VLOOKUP(db_emp[[#This Row],[Code_site]],[1]!db_site[[ID_Site]:[Url_maps]],3,0),"-")</f>
        <v>Unit - ASHTA</v>
      </c>
      <c r="R3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241258,'Tazqia Niken Nabila','CEX','EVENT','Events dan Merchandiser Staff','LV11','Mall &amp; Cinema','M04','Employee','2024-07-15','2025-10-24'</v>
      </c>
      <c r="S336" s="74">
        <f>db_emp[[#This Row],[NIP (UPDATE)]]</f>
        <v>241258</v>
      </c>
    </row>
    <row r="337" spans="2:19" hidden="1" x14ac:dyDescent="0.25">
      <c r="B337" s="75">
        <v>475</v>
      </c>
      <c r="C337" s="75">
        <v>241117</v>
      </c>
      <c r="D337" s="74" t="s">
        <v>1339</v>
      </c>
      <c r="E337" s="75" t="s">
        <v>927</v>
      </c>
      <c r="F337" s="75" t="s">
        <v>1330</v>
      </c>
      <c r="G337" s="74" t="s">
        <v>1340</v>
      </c>
      <c r="H337" s="75" t="s">
        <v>853</v>
      </c>
      <c r="I337" s="74" t="s">
        <v>849</v>
      </c>
      <c r="J337" s="75" t="s">
        <v>490</v>
      </c>
      <c r="K337" s="75" t="s">
        <v>850</v>
      </c>
      <c r="L337" s="76">
        <v>45474</v>
      </c>
      <c r="M337" s="77">
        <f t="shared" ca="1" si="8"/>
        <v>45954</v>
      </c>
      <c r="N337" s="74" t="str">
        <f>_xlfn.IFNA(VLOOKUP(db_emp[[#This Row],[ID_DIV]],[1]!db_dpt[[Code_dpt]:[Departement]],2,0),"-")</f>
        <v>Center Experience</v>
      </c>
      <c r="O337" s="74" t="str">
        <f>_xlfn.IFNA(VLOOKUP(db_emp[[#This Row],[ID_SDP]],[1]!db_div[[Code_div]:[Division]],2,0),"-")</f>
        <v>Events</v>
      </c>
      <c r="P337" s="74" t="str">
        <f>_xlfn.IFNA(VLOOKUP(db_emp[[#This Row],[Code_lvl]],[1]!db_lvl[[#All],[ID_level]:[Leveling Name]],2,0),"-")</f>
        <v>Staff</v>
      </c>
      <c r="Q337" s="74" t="str">
        <f>_xlfn.IFNA(VLOOKUP(db_emp[[#This Row],[Code_site]],[1]!db_site[[ID_Site]:[Url_maps]],3,0),"-")</f>
        <v>Unit - ASHTA</v>
      </c>
      <c r="R3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241117,'Afif Akbar Kadarusman','CEX','EVENT','Events Staff','LV12','Mall &amp; Cinema','M04','Employee','2024-07-01','2025-10-24'</v>
      </c>
      <c r="S337" s="74">
        <f>db_emp[[#This Row],[NIP (UPDATE)]]</f>
        <v>241117</v>
      </c>
    </row>
    <row r="338" spans="2:19" hidden="1" x14ac:dyDescent="0.25">
      <c r="B338" s="75">
        <v>232</v>
      </c>
      <c r="C338" s="75">
        <v>231626</v>
      </c>
      <c r="D338" s="74" t="s">
        <v>1341</v>
      </c>
      <c r="E338" s="75" t="s">
        <v>927</v>
      </c>
      <c r="F338" s="75" t="s">
        <v>1330</v>
      </c>
      <c r="G338" s="74" t="s">
        <v>1342</v>
      </c>
      <c r="H338" s="75" t="s">
        <v>870</v>
      </c>
      <c r="I338" s="74" t="s">
        <v>849</v>
      </c>
      <c r="J338" s="75" t="s">
        <v>314</v>
      </c>
      <c r="K338" s="75" t="s">
        <v>850</v>
      </c>
      <c r="L338" s="76">
        <v>45187</v>
      </c>
      <c r="M338" s="77">
        <f t="shared" ca="1" si="8"/>
        <v>45954</v>
      </c>
      <c r="N338" s="74" t="str">
        <f>_xlfn.IFNA(VLOOKUP(db_emp[[#This Row],[ID_DIV]],[1]!db_dpt[[Code_dpt]:[Departement]],2,0),"-")</f>
        <v>Center Experience</v>
      </c>
      <c r="O338" s="74" t="str">
        <f>_xlfn.IFNA(VLOOKUP(db_emp[[#This Row],[ID_SDP]],[1]!db_div[[Code_div]:[Division]],2,0),"-")</f>
        <v>Events</v>
      </c>
      <c r="P338" s="74" t="str">
        <f>_xlfn.IFNA(VLOOKUP(db_emp[[#This Row],[Code_lvl]],[1]!db_lvl[[#All],[ID_level]:[Leveling Name]],2,0),"-")</f>
        <v>Supervisor</v>
      </c>
      <c r="Q338" s="74" t="str">
        <f>_xlfn.IFNA(VLOOKUP(db_emp[[#This Row],[Code_site]],[1]!db_site[[ID_Site]:[Url_maps]],3,0),"-")</f>
        <v>Unit - MOI</v>
      </c>
      <c r="R3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231626,'Daniel Stefanus','CEX','EVENT','Events Supervisor','LV09','Mall &amp; Cinema','M02','Employee','2023-09-18','2025-10-24'</v>
      </c>
      <c r="S338" s="74">
        <f>db_emp[[#This Row],[NIP (UPDATE)]]</f>
        <v>231626</v>
      </c>
    </row>
    <row r="339" spans="2:19" hidden="1" x14ac:dyDescent="0.25">
      <c r="B339" s="75">
        <v>296</v>
      </c>
      <c r="C339" s="75">
        <v>191092</v>
      </c>
      <c r="D339" s="74" t="s">
        <v>1343</v>
      </c>
      <c r="E339" s="75" t="s">
        <v>927</v>
      </c>
      <c r="F339" s="75" t="s">
        <v>1330</v>
      </c>
      <c r="G339" s="74" t="s">
        <v>1342</v>
      </c>
      <c r="H339" s="75" t="s">
        <v>870</v>
      </c>
      <c r="I339" s="74" t="s">
        <v>849</v>
      </c>
      <c r="J339" s="75" t="s">
        <v>484</v>
      </c>
      <c r="K339" s="75" t="s">
        <v>850</v>
      </c>
      <c r="L339" s="76">
        <v>43794</v>
      </c>
      <c r="M339" s="77">
        <f t="shared" ca="1" si="8"/>
        <v>45954</v>
      </c>
      <c r="N339" s="74" t="str">
        <f>_xlfn.IFNA(VLOOKUP(db_emp[[#This Row],[ID_DIV]],[1]!db_dpt[[Code_dpt]:[Departement]],2,0),"-")</f>
        <v>Center Experience</v>
      </c>
      <c r="O339" s="74" t="str">
        <f>_xlfn.IFNA(VLOOKUP(db_emp[[#This Row],[ID_SDP]],[1]!db_div[[Code_div]:[Division]],2,0),"-")</f>
        <v>Events</v>
      </c>
      <c r="P339" s="74" t="str">
        <f>_xlfn.IFNA(VLOOKUP(db_emp[[#This Row],[Code_lvl]],[1]!db_lvl[[#All],[ID_level]:[Leveling Name]],2,0),"-")</f>
        <v>Supervisor</v>
      </c>
      <c r="Q339" s="74" t="str">
        <f>_xlfn.IFNA(VLOOKUP(db_emp[[#This Row],[Code_site]],[1]!db_site[[ID_Site]:[Url_maps]],3,0),"-")</f>
        <v>Unit - PIK Avenue</v>
      </c>
      <c r="R3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191092,'Silvia Fransisca','CEX','EVENT','Events Supervisor','LV09','Mall &amp; Cinema','M01','Employee','2019-11-25','2025-10-24'</v>
      </c>
      <c r="S339" s="74">
        <f>db_emp[[#This Row],[NIP (UPDATE)]]</f>
        <v>191092</v>
      </c>
    </row>
    <row r="340" spans="2:19" hidden="1" x14ac:dyDescent="0.25">
      <c r="B340" s="75">
        <v>375</v>
      </c>
      <c r="C340" s="75">
        <v>210383</v>
      </c>
      <c r="D340" s="74" t="s">
        <v>1344</v>
      </c>
      <c r="E340" s="75" t="s">
        <v>927</v>
      </c>
      <c r="F340" s="75" t="s">
        <v>1330</v>
      </c>
      <c r="G340" s="74" t="s">
        <v>1342</v>
      </c>
      <c r="H340" s="75" t="s">
        <v>870</v>
      </c>
      <c r="I340" s="74" t="s">
        <v>486</v>
      </c>
      <c r="J340" s="75" t="s">
        <v>492</v>
      </c>
      <c r="K340" s="75" t="s">
        <v>850</v>
      </c>
      <c r="L340" s="76">
        <v>44340</v>
      </c>
      <c r="M340" s="77">
        <f t="shared" ca="1" si="8"/>
        <v>45954</v>
      </c>
      <c r="N340" s="74" t="str">
        <f>_xlfn.IFNA(VLOOKUP(db_emp[[#This Row],[ID_DIV]],[1]!db_dpt[[Code_dpt]:[Departement]],2,0),"-")</f>
        <v>Center Experience</v>
      </c>
      <c r="O340" s="74" t="str">
        <f>_xlfn.IFNA(VLOOKUP(db_emp[[#This Row],[ID_SDP]],[1]!db_div[[Code_div]:[Division]],2,0),"-")</f>
        <v>Events</v>
      </c>
      <c r="P340" s="74" t="str">
        <f>_xlfn.IFNA(VLOOKUP(db_emp[[#This Row],[Code_lvl]],[1]!db_lvl[[#All],[ID_level]:[Leveling Name]],2,0),"-")</f>
        <v>Supervisor</v>
      </c>
      <c r="Q340" s="74" t="str">
        <f>_xlfn.IFNA(VLOOKUP(db_emp[[#This Row],[Code_site]],[1]!db_site[[ID_Site]:[Url_maps]],3,0),"-")</f>
        <v>Unit - Hublife</v>
      </c>
      <c r="R3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210383,'Aries Prayogo','CEX','EVENT','Events Supervisor','LV09','Mall','M05','Employee','2021-05-24','2025-10-24'</v>
      </c>
      <c r="S340" s="74">
        <f>db_emp[[#This Row],[NIP (UPDATE)]]</f>
        <v>210383</v>
      </c>
    </row>
    <row r="341" spans="2:19" hidden="1" x14ac:dyDescent="0.25">
      <c r="B341" s="75">
        <v>406</v>
      </c>
      <c r="C341" s="75">
        <v>231675</v>
      </c>
      <c r="D341" s="74" t="s">
        <v>1345</v>
      </c>
      <c r="E341" s="75" t="s">
        <v>927</v>
      </c>
      <c r="F341" s="75" t="s">
        <v>1330</v>
      </c>
      <c r="G341" s="74" t="s">
        <v>1342</v>
      </c>
      <c r="H341" s="75" t="s">
        <v>870</v>
      </c>
      <c r="I341" s="74" t="s">
        <v>849</v>
      </c>
      <c r="J341" s="75" t="s">
        <v>316</v>
      </c>
      <c r="K341" s="75" t="s">
        <v>850</v>
      </c>
      <c r="L341" s="76">
        <v>45194</v>
      </c>
      <c r="M341" s="77">
        <f t="shared" ca="1" si="8"/>
        <v>45954</v>
      </c>
      <c r="N341" s="74" t="str">
        <f>_xlfn.IFNA(VLOOKUP(db_emp[[#This Row],[ID_DIV]],[1]!db_dpt[[Code_dpt]:[Departement]],2,0),"-")</f>
        <v>Center Experience</v>
      </c>
      <c r="O341" s="74" t="str">
        <f>_xlfn.IFNA(VLOOKUP(db_emp[[#This Row],[ID_SDP]],[1]!db_div[[Code_div]:[Division]],2,0),"-")</f>
        <v>Events</v>
      </c>
      <c r="P341" s="74" t="str">
        <f>_xlfn.IFNA(VLOOKUP(db_emp[[#This Row],[Code_lvl]],[1]!db_lvl[[#All],[ID_level]:[Leveling Name]],2,0),"-")</f>
        <v>Supervisor</v>
      </c>
      <c r="Q341" s="74" t="str">
        <f>_xlfn.IFNA(VLOOKUP(db_emp[[#This Row],[Code_site]],[1]!db_site[[ID_Site]:[Url_maps]],3,0),"-")</f>
        <v>Unit - GGP</v>
      </c>
      <c r="R3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231675,'Abdul Hamid Suherlan','CEX','EVENT','Events Supervisor','LV09','Mall &amp; Cinema','M03','Employee','2023-09-25','2025-10-24'</v>
      </c>
      <c r="S341" s="74">
        <f>db_emp[[#This Row],[NIP (UPDATE)]]</f>
        <v>231675</v>
      </c>
    </row>
    <row r="342" spans="2:19" hidden="1" x14ac:dyDescent="0.25">
      <c r="B342" s="75">
        <v>443</v>
      </c>
      <c r="C342" s="75">
        <v>250318</v>
      </c>
      <c r="D342" s="74" t="s">
        <v>1346</v>
      </c>
      <c r="E342" s="75" t="s">
        <v>927</v>
      </c>
      <c r="F342" s="75" t="s">
        <v>1330</v>
      </c>
      <c r="G342" s="74" t="s">
        <v>1342</v>
      </c>
      <c r="H342" s="75" t="s">
        <v>1347</v>
      </c>
      <c r="I342" s="74" t="s">
        <v>486</v>
      </c>
      <c r="J342" s="75" t="s">
        <v>496</v>
      </c>
      <c r="K342" s="75" t="s">
        <v>862</v>
      </c>
      <c r="L342" s="76">
        <v>45755</v>
      </c>
      <c r="M342" s="77">
        <f t="shared" ca="1" si="8"/>
        <v>45954</v>
      </c>
      <c r="N342" s="74" t="str">
        <f>_xlfn.IFNA(VLOOKUP(db_emp[[#This Row],[ID_DIV]],[1]!db_dpt[[Code_dpt]:[Departement]],2,0),"-")</f>
        <v>Center Experience</v>
      </c>
      <c r="O342" s="74" t="str">
        <f>_xlfn.IFNA(VLOOKUP(db_emp[[#This Row],[ID_SDP]],[1]!db_div[[Code_div]:[Division]],2,0),"-")</f>
        <v>Events</v>
      </c>
      <c r="P342" s="74" t="str">
        <f>_xlfn.IFNA(VLOOKUP(db_emp[[#This Row],[Code_lvl]],[1]!db_lvl[[#All],[ID_level]:[Leveling Name]],2,0),"-")</f>
        <v>Senior Supervisor</v>
      </c>
      <c r="Q342" s="74" t="str">
        <f>_xlfn.IFNA(VLOOKUP(db_emp[[#This Row],[Code_site]],[1]!db_site[[ID_Site]:[Url_maps]],3,0),"-")</f>
        <v>Unit - Menara Jakarta</v>
      </c>
      <c r="R3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250318,'Irene Garcia','CEX','EVENT','Events Supervisor','LV08','Mall','M06','Not Employee','2025-04-08','2025-10-24'</v>
      </c>
      <c r="S342" s="74">
        <f>db_emp[[#This Row],[NIP (UPDATE)]]</f>
        <v>250318</v>
      </c>
    </row>
    <row r="343" spans="2:19" hidden="1" x14ac:dyDescent="0.25">
      <c r="B343" s="75">
        <v>448</v>
      </c>
      <c r="C343" s="75">
        <v>210529</v>
      </c>
      <c r="D343" s="74" t="s">
        <v>1348</v>
      </c>
      <c r="E343" s="75" t="s">
        <v>927</v>
      </c>
      <c r="F343" s="75" t="s">
        <v>1330</v>
      </c>
      <c r="G343" s="74" t="s">
        <v>1342</v>
      </c>
      <c r="H343" s="75" t="s">
        <v>870</v>
      </c>
      <c r="I343" s="74" t="s">
        <v>849</v>
      </c>
      <c r="J343" s="75" t="s">
        <v>490</v>
      </c>
      <c r="K343" s="75" t="s">
        <v>850</v>
      </c>
      <c r="L343" s="76">
        <v>44378</v>
      </c>
      <c r="M343" s="77">
        <f t="shared" ca="1" si="8"/>
        <v>45954</v>
      </c>
      <c r="N343" s="74" t="str">
        <f>_xlfn.IFNA(VLOOKUP(db_emp[[#This Row],[ID_DIV]],[1]!db_dpt[[Code_dpt]:[Departement]],2,0),"-")</f>
        <v>Center Experience</v>
      </c>
      <c r="O343" s="74" t="str">
        <f>_xlfn.IFNA(VLOOKUP(db_emp[[#This Row],[ID_SDP]],[1]!db_div[[Code_div]:[Division]],2,0),"-")</f>
        <v>Events</v>
      </c>
      <c r="P343" s="74" t="str">
        <f>_xlfn.IFNA(VLOOKUP(db_emp[[#This Row],[Code_lvl]],[1]!db_lvl[[#All],[ID_level]:[Leveling Name]],2,0),"-")</f>
        <v>Supervisor</v>
      </c>
      <c r="Q343" s="74" t="str">
        <f>_xlfn.IFNA(VLOOKUP(db_emp[[#This Row],[Code_site]],[1]!db_site[[ID_Site]:[Url_maps]],3,0),"-")</f>
        <v>Unit - ASHTA</v>
      </c>
      <c r="R3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210529,'Cinantya Mekar Cinta Sutanto','CEX','EVENT','Events Supervisor','LV09','Mall &amp; Cinema','M04','Employee','2021-07-01','2025-10-24'</v>
      </c>
      <c r="S343" s="74">
        <f>db_emp[[#This Row],[NIP (UPDATE)]]</f>
        <v>210529</v>
      </c>
    </row>
    <row r="344" spans="2:19" hidden="1" x14ac:dyDescent="0.25">
      <c r="B344" s="75">
        <v>233</v>
      </c>
      <c r="C344" s="75">
        <v>231822</v>
      </c>
      <c r="D344" s="74" t="s">
        <v>1349</v>
      </c>
      <c r="E344" s="75" t="s">
        <v>1018</v>
      </c>
      <c r="F344" s="75" t="s">
        <v>1350</v>
      </c>
      <c r="G344" s="74" t="s">
        <v>1351</v>
      </c>
      <c r="H344" s="75" t="s">
        <v>853</v>
      </c>
      <c r="I344" s="74" t="s">
        <v>849</v>
      </c>
      <c r="J344" s="75" t="s">
        <v>314</v>
      </c>
      <c r="K344" s="75" t="s">
        <v>850</v>
      </c>
      <c r="L344" s="76">
        <v>45215</v>
      </c>
      <c r="M344" s="77">
        <f t="shared" ca="1" si="8"/>
        <v>45954</v>
      </c>
      <c r="N344" s="74" t="str">
        <f>_xlfn.IFNA(VLOOKUP(db_emp[[#This Row],[ID_DIV]],[1]!db_dpt[[Code_dpt]:[Departement]],2,0),"-")</f>
        <v>Operational</v>
      </c>
      <c r="O344" s="74" t="str">
        <f>_xlfn.IFNA(VLOOKUP(db_emp[[#This Row],[ID_SDP]],[1]!db_div[[Code_div]:[Division]],2,0),"-")</f>
        <v>F &amp; B</v>
      </c>
      <c r="P344" s="74" t="str">
        <f>_xlfn.IFNA(VLOOKUP(db_emp[[#This Row],[Code_lvl]],[1]!db_lvl[[#All],[ID_level]:[Leveling Name]],2,0),"-")</f>
        <v>Staff</v>
      </c>
      <c r="Q344" s="74" t="str">
        <f>_xlfn.IFNA(VLOOKUP(db_emp[[#This Row],[Code_site]],[1]!db_site[[ID_Site]:[Url_maps]],3,0),"-")</f>
        <v>Unit - MOI</v>
      </c>
      <c r="R3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231822,'Syarif Hidayah','OPR','FNBOP','F &amp; B Staff','LV12','Mall &amp; Cinema','M02','Employee','2023-10-16','2025-10-24'</v>
      </c>
      <c r="S344" s="74">
        <f>db_emp[[#This Row],[NIP (UPDATE)]]</f>
        <v>231822</v>
      </c>
    </row>
    <row r="345" spans="2:19" hidden="1" x14ac:dyDescent="0.25">
      <c r="B345" s="75">
        <v>274</v>
      </c>
      <c r="C345" s="75">
        <v>250104</v>
      </c>
      <c r="D345" s="74" t="s">
        <v>1352</v>
      </c>
      <c r="E345" s="75" t="s">
        <v>1018</v>
      </c>
      <c r="F345" s="75" t="s">
        <v>1350</v>
      </c>
      <c r="G345" s="74" t="s">
        <v>1351</v>
      </c>
      <c r="H345" s="75" t="s">
        <v>853</v>
      </c>
      <c r="I345" s="74" t="s">
        <v>849</v>
      </c>
      <c r="J345" s="75" t="s">
        <v>314</v>
      </c>
      <c r="K345" s="75" t="s">
        <v>862</v>
      </c>
      <c r="L345" s="76">
        <v>45691</v>
      </c>
      <c r="M345" s="77">
        <f t="shared" ca="1" si="8"/>
        <v>45954</v>
      </c>
      <c r="N345" s="74" t="str">
        <f>_xlfn.IFNA(VLOOKUP(db_emp[[#This Row],[ID_DIV]],[1]!db_dpt[[Code_dpt]:[Departement]],2,0),"-")</f>
        <v>Operational</v>
      </c>
      <c r="O345" s="74" t="str">
        <f>_xlfn.IFNA(VLOOKUP(db_emp[[#This Row],[ID_SDP]],[1]!db_div[[Code_div]:[Division]],2,0),"-")</f>
        <v>F &amp; B</v>
      </c>
      <c r="P345" s="74" t="str">
        <f>_xlfn.IFNA(VLOOKUP(db_emp[[#This Row],[Code_lvl]],[1]!db_lvl[[#All],[ID_level]:[Leveling Name]],2,0),"-")</f>
        <v>Staff</v>
      </c>
      <c r="Q345" s="74" t="str">
        <f>_xlfn.IFNA(VLOOKUP(db_emp[[#This Row],[Code_site]],[1]!db_site[[ID_Site]:[Url_maps]],3,0),"-")</f>
        <v>Unit - MOI</v>
      </c>
      <c r="R3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250104,'Siti Jamilah','OPR','FNBOP','F &amp; B Staff','LV12','Mall &amp; Cinema','M02','Not Employee','2025-02-03','2025-10-24'</v>
      </c>
      <c r="S345" s="74">
        <f>db_emp[[#This Row],[NIP (UPDATE)]]</f>
        <v>250104</v>
      </c>
    </row>
    <row r="346" spans="2:19" hidden="1" x14ac:dyDescent="0.25">
      <c r="B346" s="75">
        <v>315</v>
      </c>
      <c r="C346" s="75">
        <v>170442</v>
      </c>
      <c r="D346" s="74" t="s">
        <v>1353</v>
      </c>
      <c r="E346" s="75" t="s">
        <v>1018</v>
      </c>
      <c r="F346" s="75" t="s">
        <v>1350</v>
      </c>
      <c r="G346" s="74" t="s">
        <v>1351</v>
      </c>
      <c r="H346" s="75" t="s">
        <v>853</v>
      </c>
      <c r="I346" s="74" t="s">
        <v>849</v>
      </c>
      <c r="J346" s="75" t="s">
        <v>484</v>
      </c>
      <c r="K346" s="75" t="s">
        <v>850</v>
      </c>
      <c r="L346" s="76">
        <v>42860</v>
      </c>
      <c r="M346" s="77">
        <f t="shared" ca="1" si="8"/>
        <v>45954</v>
      </c>
      <c r="N346" s="74" t="str">
        <f>_xlfn.IFNA(VLOOKUP(db_emp[[#This Row],[ID_DIV]],[1]!db_dpt[[Code_dpt]:[Departement]],2,0),"-")</f>
        <v>Operational</v>
      </c>
      <c r="O346" s="74" t="str">
        <f>_xlfn.IFNA(VLOOKUP(db_emp[[#This Row],[ID_SDP]],[1]!db_div[[Code_div]:[Division]],2,0),"-")</f>
        <v>F &amp; B</v>
      </c>
      <c r="P346" s="74" t="str">
        <f>_xlfn.IFNA(VLOOKUP(db_emp[[#This Row],[Code_lvl]],[1]!db_lvl[[#All],[ID_level]:[Leveling Name]],2,0),"-")</f>
        <v>Staff</v>
      </c>
      <c r="Q346" s="74" t="str">
        <f>_xlfn.IFNA(VLOOKUP(db_emp[[#This Row],[Code_site]],[1]!db_site[[ID_Site]:[Url_maps]],3,0),"-")</f>
        <v>Unit - PIK Avenue</v>
      </c>
      <c r="R3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170442,'Rishal Indra Nugraha','OPR','FNBOP','F &amp; B Staff','LV12','Mall &amp; Cinema','M01','Employee','2017-05-05','2025-10-24'</v>
      </c>
      <c r="S346" s="74">
        <f>db_emp[[#This Row],[NIP (UPDATE)]]</f>
        <v>170442</v>
      </c>
    </row>
    <row r="347" spans="2:19" hidden="1" x14ac:dyDescent="0.25">
      <c r="B347" s="75">
        <v>382</v>
      </c>
      <c r="C347" s="75">
        <v>221123</v>
      </c>
      <c r="D347" s="74" t="s">
        <v>1354</v>
      </c>
      <c r="E347" s="75" t="s">
        <v>1018</v>
      </c>
      <c r="F347" s="75" t="s">
        <v>1350</v>
      </c>
      <c r="G347" s="74" t="s">
        <v>1351</v>
      </c>
      <c r="H347" s="75" t="s">
        <v>853</v>
      </c>
      <c r="I347" s="74" t="s">
        <v>486</v>
      </c>
      <c r="J347" s="75" t="s">
        <v>492</v>
      </c>
      <c r="K347" s="75" t="s">
        <v>850</v>
      </c>
      <c r="L347" s="76">
        <v>44774</v>
      </c>
      <c r="M347" s="77">
        <f t="shared" ca="1" si="8"/>
        <v>45954</v>
      </c>
      <c r="N347" s="74" t="str">
        <f>_xlfn.IFNA(VLOOKUP(db_emp[[#This Row],[ID_DIV]],[1]!db_dpt[[Code_dpt]:[Departement]],2,0),"-")</f>
        <v>Operational</v>
      </c>
      <c r="O347" s="74" t="str">
        <f>_xlfn.IFNA(VLOOKUP(db_emp[[#This Row],[ID_SDP]],[1]!db_div[[Code_div]:[Division]],2,0),"-")</f>
        <v>F &amp; B</v>
      </c>
      <c r="P347" s="74" t="str">
        <f>_xlfn.IFNA(VLOOKUP(db_emp[[#This Row],[Code_lvl]],[1]!db_lvl[[#All],[ID_level]:[Leveling Name]],2,0),"-")</f>
        <v>Staff</v>
      </c>
      <c r="Q347" s="74" t="str">
        <f>_xlfn.IFNA(VLOOKUP(db_emp[[#This Row],[Code_site]],[1]!db_site[[ID_Site]:[Url_maps]],3,0),"-")</f>
        <v>Unit - Hublife</v>
      </c>
      <c r="R3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221123,'Isnul Firmansyah','OPR','FNBOP','F &amp; B Staff','LV12','Mall','M05','Employee','2022-08-01','2025-10-24'</v>
      </c>
      <c r="S347" s="74">
        <f>db_emp[[#This Row],[NIP (UPDATE)]]</f>
        <v>221123</v>
      </c>
    </row>
    <row r="348" spans="2:19" hidden="1" x14ac:dyDescent="0.25">
      <c r="B348" s="75">
        <v>431</v>
      </c>
      <c r="C348" s="75">
        <v>250314</v>
      </c>
      <c r="D348" s="74" t="s">
        <v>1355</v>
      </c>
      <c r="E348" s="75" t="s">
        <v>1018</v>
      </c>
      <c r="F348" s="75" t="s">
        <v>1350</v>
      </c>
      <c r="G348" s="74" t="s">
        <v>1351</v>
      </c>
      <c r="H348" s="75" t="s">
        <v>853</v>
      </c>
      <c r="I348" s="74" t="s">
        <v>849</v>
      </c>
      <c r="J348" s="75" t="s">
        <v>316</v>
      </c>
      <c r="K348" s="75" t="s">
        <v>862</v>
      </c>
      <c r="L348" s="76">
        <v>45755</v>
      </c>
      <c r="M348" s="77">
        <f t="shared" ca="1" si="8"/>
        <v>45954</v>
      </c>
      <c r="N348" s="74" t="str">
        <f>_xlfn.IFNA(VLOOKUP(db_emp[[#This Row],[ID_DIV]],[1]!db_dpt[[Code_dpt]:[Departement]],2,0),"-")</f>
        <v>Operational</v>
      </c>
      <c r="O348" s="74" t="str">
        <f>_xlfn.IFNA(VLOOKUP(db_emp[[#This Row],[ID_SDP]],[1]!db_div[[Code_div]:[Division]],2,0),"-")</f>
        <v>F &amp; B</v>
      </c>
      <c r="P348" s="74" t="str">
        <f>_xlfn.IFNA(VLOOKUP(db_emp[[#This Row],[Code_lvl]],[1]!db_lvl[[#All],[ID_level]:[Leveling Name]],2,0),"-")</f>
        <v>Staff</v>
      </c>
      <c r="Q348" s="74" t="str">
        <f>_xlfn.IFNA(VLOOKUP(db_emp[[#This Row],[Code_site]],[1]!db_site[[ID_Site]:[Url_maps]],3,0),"-")</f>
        <v>Unit - GGP</v>
      </c>
      <c r="R3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250314,'Valentino William Yapergo','OPR','FNBOP','F &amp; B Staff','LV12','Mall &amp; Cinema','M03','Not Employee','2025-04-08','2025-10-24'</v>
      </c>
      <c r="S348" s="74">
        <f>db_emp[[#This Row],[NIP (UPDATE)]]</f>
        <v>250314</v>
      </c>
    </row>
    <row r="349" spans="2:19" hidden="1" x14ac:dyDescent="0.25">
      <c r="B349" s="75">
        <v>266</v>
      </c>
      <c r="C349" s="75">
        <v>241894</v>
      </c>
      <c r="D349" s="74" t="s">
        <v>1356</v>
      </c>
      <c r="E349" s="75" t="s">
        <v>1018</v>
      </c>
      <c r="F349" s="75" t="s">
        <v>1350</v>
      </c>
      <c r="G349" s="74" t="s">
        <v>1357</v>
      </c>
      <c r="H349" s="75" t="s">
        <v>870</v>
      </c>
      <c r="I349" s="74" t="s">
        <v>849</v>
      </c>
      <c r="J349" s="75" t="s">
        <v>314</v>
      </c>
      <c r="K349" s="75" t="s">
        <v>850</v>
      </c>
      <c r="L349" s="76">
        <v>45588</v>
      </c>
      <c r="M349" s="77">
        <f t="shared" ca="1" si="8"/>
        <v>45954</v>
      </c>
      <c r="N349" s="74" t="str">
        <f>_xlfn.IFNA(VLOOKUP(db_emp[[#This Row],[ID_DIV]],[1]!db_dpt[[Code_dpt]:[Departement]],2,0),"-")</f>
        <v>Operational</v>
      </c>
      <c r="O349" s="74" t="str">
        <f>_xlfn.IFNA(VLOOKUP(db_emp[[#This Row],[ID_SDP]],[1]!db_div[[Code_div]:[Division]],2,0),"-")</f>
        <v>F &amp; B</v>
      </c>
      <c r="P349" s="74" t="str">
        <f>_xlfn.IFNA(VLOOKUP(db_emp[[#This Row],[Code_lvl]],[1]!db_lvl[[#All],[ID_level]:[Leveling Name]],2,0),"-")</f>
        <v>Supervisor</v>
      </c>
      <c r="Q349" s="74" t="str">
        <f>_xlfn.IFNA(VLOOKUP(db_emp[[#This Row],[Code_site]],[1]!db_site[[ID_Site]:[Url_maps]],3,0),"-")</f>
        <v>Unit - MOI</v>
      </c>
      <c r="R3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241894,'Tristan Tamir Watanata','OPR','FNBOP','F &amp; B Supervisor','LV09','Mall &amp; Cinema','M02','Employee','2024-10-23','2025-10-24'</v>
      </c>
      <c r="S349" s="74">
        <f>db_emp[[#This Row],[NIP (UPDATE)]]</f>
        <v>241894</v>
      </c>
    </row>
    <row r="350" spans="2:19" hidden="1" x14ac:dyDescent="0.25">
      <c r="B350" s="75">
        <v>639</v>
      </c>
      <c r="C350" s="75">
        <v>221693</v>
      </c>
      <c r="D350" s="74" t="s">
        <v>1358</v>
      </c>
      <c r="E350" s="75" t="s">
        <v>1036</v>
      </c>
      <c r="F350" s="75" t="s">
        <v>1359</v>
      </c>
      <c r="G350" s="74" t="s">
        <v>1360</v>
      </c>
      <c r="H350" s="75" t="s">
        <v>853</v>
      </c>
      <c r="I350" s="74" t="s">
        <v>864</v>
      </c>
      <c r="J350" s="75" t="s">
        <v>433</v>
      </c>
      <c r="K350" s="75" t="s">
        <v>850</v>
      </c>
      <c r="L350" s="76">
        <v>44886</v>
      </c>
      <c r="M350" s="77">
        <f t="shared" ref="M350:M355" ca="1" si="9">TODAY()+1</f>
        <v>45954</v>
      </c>
      <c r="N350" s="74" t="str">
        <f>_xlfn.IFNA(VLOOKUP(db_emp[[#This Row],[ID_DIV]],[1]!db_dpt[[Code_dpt]:[Departement]],2,0),"-")</f>
        <v>Tenant Relation</v>
      </c>
      <c r="O350" s="74" t="str">
        <f>_xlfn.IFNA(VLOOKUP(db_emp[[#This Row],[ID_SDP]],[1]!db_div[[Code_div]:[Division]],2,0),"-")</f>
        <v>Facilities</v>
      </c>
      <c r="P350" s="74" t="str">
        <f>_xlfn.IFNA(VLOOKUP(db_emp[[#This Row],[Code_lvl]],[1]!db_lvl[[#All],[ID_level]:[Leveling Name]],2,0),"-")</f>
        <v>Staff</v>
      </c>
      <c r="Q350" s="74" t="str">
        <f>_xlfn.IFNA(VLOOKUP(db_emp[[#This Row],[Code_site]],[1]!db_site[[ID_Site]:[Url_maps]],3,0),"-")</f>
        <v>Unit - Taman Anggrek Residences</v>
      </c>
      <c r="R3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221693,'Annisa Azhar Maulina','TRL','FACIL','Facility Administration Staff','LV12','Corp. Supporting Property (POM)','A01','Employee','2022-11-21','2025-10-24'</v>
      </c>
      <c r="S350" s="74">
        <f>db_emp[[#This Row],[NIP (UPDATE)]]</f>
        <v>221693</v>
      </c>
    </row>
    <row r="351" spans="2:19" hidden="1" x14ac:dyDescent="0.25">
      <c r="B351" s="75">
        <v>632</v>
      </c>
      <c r="C351" s="75">
        <v>120163</v>
      </c>
      <c r="D351" s="74" t="s">
        <v>1361</v>
      </c>
      <c r="E351" s="75" t="s">
        <v>1362</v>
      </c>
      <c r="F351" s="75" t="s">
        <v>1359</v>
      </c>
      <c r="G351" s="74" t="s">
        <v>1363</v>
      </c>
      <c r="H351" s="75" t="s">
        <v>848</v>
      </c>
      <c r="I351" s="74" t="s">
        <v>864</v>
      </c>
      <c r="J351" s="75" t="s">
        <v>433</v>
      </c>
      <c r="K351" s="75" t="s">
        <v>850</v>
      </c>
      <c r="L351" s="76">
        <v>40945</v>
      </c>
      <c r="M351" s="77">
        <f t="shared" ca="1" si="9"/>
        <v>45954</v>
      </c>
      <c r="N351" s="74" t="str">
        <f>_xlfn.IFNA(VLOOKUP(db_emp[[#This Row],[ID_DIV]],[1]!db_dpt[[Code_dpt]:[Departement]],2,0),"-")</f>
        <v>-</v>
      </c>
      <c r="O351" s="74" t="str">
        <f>_xlfn.IFNA(VLOOKUP(db_emp[[#This Row],[ID_SDP]],[1]!db_div[[Code_div]:[Division]],2,0),"-")</f>
        <v>Facilities</v>
      </c>
      <c r="P351" s="74" t="str">
        <f>_xlfn.IFNA(VLOOKUP(db_emp[[#This Row],[Code_lvl]],[1]!db_lvl[[#All],[ID_level]:[Leveling Name]],2,0),"-")</f>
        <v>Assistant Manager</v>
      </c>
      <c r="Q351" s="74" t="str">
        <f>_xlfn.IFNA(VLOOKUP(db_emp[[#This Row],[Code_site]],[1]!db_site[[ID_Site]:[Url_maps]],3,0),"-")</f>
        <v>Unit - Taman Anggrek Residences</v>
      </c>
      <c r="R3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120163,'Hendra Jumantara','FAC','FACIL','Facility Assistant Manager','LV07','Corp. Supporting Property (POM)','A01','Employee','2012-02-06','2025-10-24'</v>
      </c>
      <c r="S351" s="74">
        <f>db_emp[[#This Row],[NIP (UPDATE)]]</f>
        <v>120163</v>
      </c>
    </row>
    <row r="352" spans="2:19" hidden="1" x14ac:dyDescent="0.25">
      <c r="B352" s="75">
        <v>633</v>
      </c>
      <c r="C352" s="75">
        <v>240030</v>
      </c>
      <c r="D352" s="74" t="s">
        <v>1364</v>
      </c>
      <c r="E352" s="75" t="s">
        <v>1036</v>
      </c>
      <c r="F352" s="75" t="s">
        <v>1359</v>
      </c>
      <c r="G352" s="74" t="s">
        <v>1365</v>
      </c>
      <c r="H352" s="75" t="s">
        <v>853</v>
      </c>
      <c r="I352" s="74" t="s">
        <v>864</v>
      </c>
      <c r="J352" s="75" t="s">
        <v>433</v>
      </c>
      <c r="K352" s="75" t="s">
        <v>850</v>
      </c>
      <c r="L352" s="76">
        <v>43487</v>
      </c>
      <c r="M352" s="77">
        <f t="shared" ca="1" si="9"/>
        <v>45954</v>
      </c>
      <c r="N352" s="74" t="str">
        <f>_xlfn.IFNA(VLOOKUP(db_emp[[#This Row],[ID_DIV]],[1]!db_dpt[[Code_dpt]:[Departement]],2,0),"-")</f>
        <v>Tenant Relation</v>
      </c>
      <c r="O352" s="74" t="str">
        <f>_xlfn.IFNA(VLOOKUP(db_emp[[#This Row],[ID_SDP]],[1]!db_div[[Code_div]:[Division]],2,0),"-")</f>
        <v>Facilities</v>
      </c>
      <c r="P352" s="74" t="str">
        <f>_xlfn.IFNA(VLOOKUP(db_emp[[#This Row],[Code_lvl]],[1]!db_lvl[[#All],[ID_level]:[Leveling Name]],2,0),"-")</f>
        <v>Staff</v>
      </c>
      <c r="Q352" s="74" t="str">
        <f>_xlfn.IFNA(VLOOKUP(db_emp[[#This Row],[Code_site]],[1]!db_site[[ID_Site]:[Url_maps]],3,0),"-")</f>
        <v>Unit - Taman Anggrek Residences</v>
      </c>
      <c r="R3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240030,'Haris.','TRL','FACIL','Facility Staff','LV12','Corp. Supporting Property (POM)','A01','Employee','2019-01-22','2025-10-24'</v>
      </c>
      <c r="S352" s="74">
        <f>db_emp[[#This Row],[NIP (UPDATE)]]</f>
        <v>240030</v>
      </c>
    </row>
    <row r="353" spans="2:19" hidden="1" x14ac:dyDescent="0.25">
      <c r="B353" s="75">
        <v>634</v>
      </c>
      <c r="C353" s="75">
        <v>240640</v>
      </c>
      <c r="D353" s="74" t="s">
        <v>1366</v>
      </c>
      <c r="E353" s="75" t="s">
        <v>1036</v>
      </c>
      <c r="F353" s="75" t="s">
        <v>1359</v>
      </c>
      <c r="G353" s="74" t="s">
        <v>1365</v>
      </c>
      <c r="H353" s="75" t="s">
        <v>853</v>
      </c>
      <c r="I353" s="74" t="s">
        <v>864</v>
      </c>
      <c r="J353" s="75" t="s">
        <v>433</v>
      </c>
      <c r="K353" s="75" t="s">
        <v>850</v>
      </c>
      <c r="L353" s="76">
        <v>43507</v>
      </c>
      <c r="M353" s="77">
        <f t="shared" ca="1" si="9"/>
        <v>45954</v>
      </c>
      <c r="N353" s="74" t="str">
        <f>_xlfn.IFNA(VLOOKUP(db_emp[[#This Row],[ID_DIV]],[1]!db_dpt[[Code_dpt]:[Departement]],2,0),"-")</f>
        <v>Tenant Relation</v>
      </c>
      <c r="O353" s="74" t="str">
        <f>_xlfn.IFNA(VLOOKUP(db_emp[[#This Row],[ID_SDP]],[1]!db_div[[Code_div]:[Division]],2,0),"-")</f>
        <v>Facilities</v>
      </c>
      <c r="P353" s="74" t="str">
        <f>_xlfn.IFNA(VLOOKUP(db_emp[[#This Row],[Code_lvl]],[1]!db_lvl[[#All],[ID_level]:[Leveling Name]],2,0),"-")</f>
        <v>Staff</v>
      </c>
      <c r="Q353" s="74" t="str">
        <f>_xlfn.IFNA(VLOOKUP(db_emp[[#This Row],[Code_site]],[1]!db_site[[ID_Site]:[Url_maps]],3,0),"-")</f>
        <v>Unit - Taman Anggrek Residences</v>
      </c>
      <c r="R3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240640,'David Rusly','TRL','FACIL','Facility Staff','LV12','Corp. Supporting Property (POM)','A01','Employee','2019-02-11','2025-10-24'</v>
      </c>
      <c r="S353" s="74">
        <f>db_emp[[#This Row],[NIP (UPDATE)]]</f>
        <v>240640</v>
      </c>
    </row>
    <row r="354" spans="2:19" hidden="1" x14ac:dyDescent="0.25">
      <c r="B354" s="75">
        <v>635</v>
      </c>
      <c r="C354" s="75">
        <v>240583</v>
      </c>
      <c r="D354" s="74" t="s">
        <v>1367</v>
      </c>
      <c r="E354" s="75" t="s">
        <v>1036</v>
      </c>
      <c r="F354" s="75" t="s">
        <v>1359</v>
      </c>
      <c r="G354" s="74" t="s">
        <v>1365</v>
      </c>
      <c r="H354" s="75" t="s">
        <v>853</v>
      </c>
      <c r="I354" s="74" t="s">
        <v>864</v>
      </c>
      <c r="J354" s="75" t="s">
        <v>433</v>
      </c>
      <c r="K354" s="75" t="s">
        <v>850</v>
      </c>
      <c r="L354" s="76">
        <v>43514</v>
      </c>
      <c r="M354" s="77">
        <f t="shared" ca="1" si="9"/>
        <v>45954</v>
      </c>
      <c r="N354" s="74" t="str">
        <f>_xlfn.IFNA(VLOOKUP(db_emp[[#This Row],[ID_DIV]],[1]!db_dpt[[Code_dpt]:[Departement]],2,0),"-")</f>
        <v>Tenant Relation</v>
      </c>
      <c r="O354" s="74" t="str">
        <f>_xlfn.IFNA(VLOOKUP(db_emp[[#This Row],[ID_SDP]],[1]!db_div[[Code_div]:[Division]],2,0),"-")</f>
        <v>Facilities</v>
      </c>
      <c r="P354" s="74" t="str">
        <f>_xlfn.IFNA(VLOOKUP(db_emp[[#This Row],[Code_lvl]],[1]!db_lvl[[#All],[ID_level]:[Leveling Name]],2,0),"-")</f>
        <v>Staff</v>
      </c>
      <c r="Q354" s="74" t="str">
        <f>_xlfn.IFNA(VLOOKUP(db_emp[[#This Row],[Code_site]],[1]!db_site[[ID_Site]:[Url_maps]],3,0),"-")</f>
        <v>Unit - Taman Anggrek Residences</v>
      </c>
      <c r="R3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240583,'Gunawan.','TRL','FACIL','Facility Staff','LV12','Corp. Supporting Property (POM)','A01','Employee','2019-02-18','2025-10-24'</v>
      </c>
      <c r="S354" s="74">
        <f>db_emp[[#This Row],[NIP (UPDATE)]]</f>
        <v>240583</v>
      </c>
    </row>
    <row r="355" spans="2:19" hidden="1" x14ac:dyDescent="0.25">
      <c r="B355" s="75">
        <v>636</v>
      </c>
      <c r="C355" s="75">
        <v>210178</v>
      </c>
      <c r="D355" s="74" t="s">
        <v>1368</v>
      </c>
      <c r="E355" s="75" t="s">
        <v>1036</v>
      </c>
      <c r="F355" s="75" t="s">
        <v>1359</v>
      </c>
      <c r="G355" s="74" t="s">
        <v>1365</v>
      </c>
      <c r="H355" s="75" t="s">
        <v>853</v>
      </c>
      <c r="I355" s="74" t="s">
        <v>864</v>
      </c>
      <c r="J355" s="75" t="s">
        <v>433</v>
      </c>
      <c r="K355" s="75" t="s">
        <v>850</v>
      </c>
      <c r="L355" s="76">
        <v>44287</v>
      </c>
      <c r="M355" s="77">
        <f t="shared" ca="1" si="9"/>
        <v>45954</v>
      </c>
      <c r="N355" s="74" t="str">
        <f>_xlfn.IFNA(VLOOKUP(db_emp[[#This Row],[ID_DIV]],[1]!db_dpt[[Code_dpt]:[Departement]],2,0),"-")</f>
        <v>Tenant Relation</v>
      </c>
      <c r="O355" s="74" t="str">
        <f>_xlfn.IFNA(VLOOKUP(db_emp[[#This Row],[ID_SDP]],[1]!db_div[[Code_div]:[Division]],2,0),"-")</f>
        <v>Facilities</v>
      </c>
      <c r="P355" s="74" t="str">
        <f>_xlfn.IFNA(VLOOKUP(db_emp[[#This Row],[Code_lvl]],[1]!db_lvl[[#All],[ID_level]:[Leveling Name]],2,0),"-")</f>
        <v>Staff</v>
      </c>
      <c r="Q355" s="74" t="str">
        <f>_xlfn.IFNA(VLOOKUP(db_emp[[#This Row],[Code_site]],[1]!db_site[[ID_Site]:[Url_maps]],3,0),"-")</f>
        <v>Unit - Taman Anggrek Residences</v>
      </c>
      <c r="R3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210178,'Handrio Pratama Putra','TRL','FACIL','Facility Staff','LV12','Corp. Supporting Property (POM)','A01','Employee','2021-04-01','2025-10-24'</v>
      </c>
      <c r="S355" s="74">
        <f>db_emp[[#This Row],[NIP (UPDATE)]]</f>
        <v>210178</v>
      </c>
    </row>
    <row r="356" spans="2:19" hidden="1" x14ac:dyDescent="0.25">
      <c r="B356" s="75">
        <v>638</v>
      </c>
      <c r="C356" s="75">
        <v>220769</v>
      </c>
      <c r="D356" s="74" t="s">
        <v>1369</v>
      </c>
      <c r="E356" s="75" t="s">
        <v>1036</v>
      </c>
      <c r="F356" s="75" t="s">
        <v>1359</v>
      </c>
      <c r="G356" s="74" t="s">
        <v>1365</v>
      </c>
      <c r="H356" s="75" t="s">
        <v>853</v>
      </c>
      <c r="I356" s="74" t="s">
        <v>864</v>
      </c>
      <c r="J356" s="75" t="s">
        <v>433</v>
      </c>
      <c r="K356" s="75" t="s">
        <v>903</v>
      </c>
      <c r="L356" s="76">
        <v>44714</v>
      </c>
      <c r="M356" s="77">
        <v>45868</v>
      </c>
      <c r="N356" s="74" t="str">
        <f>_xlfn.IFNA(VLOOKUP(db_emp[[#This Row],[ID_DIV]],[1]!db_dpt[[Code_dpt]:[Departement]],2,0),"-")</f>
        <v>Tenant Relation</v>
      </c>
      <c r="O356" s="74" t="str">
        <f>_xlfn.IFNA(VLOOKUP(db_emp[[#This Row],[ID_SDP]],[1]!db_div[[Code_div]:[Division]],2,0),"-")</f>
        <v>Facilities</v>
      </c>
      <c r="P356" s="74" t="str">
        <f>_xlfn.IFNA(VLOOKUP(db_emp[[#This Row],[Code_lvl]],[1]!db_lvl[[#All],[ID_level]:[Leveling Name]],2,0),"-")</f>
        <v>Staff</v>
      </c>
      <c r="Q356" s="74" t="str">
        <f>_xlfn.IFNA(VLOOKUP(db_emp[[#This Row],[Code_site]],[1]!db_site[[ID_Site]:[Url_maps]],3,0),"-")</f>
        <v>Unit - Taman Anggrek Residences</v>
      </c>
      <c r="R356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220769,'Anwar Kurniawan','TRL','FACIL','Facility Staff','LV12','Corp. Supporting Property (POM)','A01','Resign','2022-06-02','2025-07-30'</v>
      </c>
      <c r="S356" s="74">
        <f>db_emp[[#This Row],[NIP (UPDATE)]]</f>
        <v>220769</v>
      </c>
    </row>
    <row r="357" spans="2:19" hidden="1" x14ac:dyDescent="0.25">
      <c r="B357" s="75">
        <v>640</v>
      </c>
      <c r="C357" s="75">
        <v>221835</v>
      </c>
      <c r="D357" s="74" t="s">
        <v>1370</v>
      </c>
      <c r="E357" s="75" t="s">
        <v>1036</v>
      </c>
      <c r="F357" s="75" t="s">
        <v>1359</v>
      </c>
      <c r="G357" s="74" t="s">
        <v>1365</v>
      </c>
      <c r="H357" s="75" t="s">
        <v>853</v>
      </c>
      <c r="I357" s="74" t="s">
        <v>864</v>
      </c>
      <c r="J357" s="75" t="s">
        <v>433</v>
      </c>
      <c r="K357" s="75" t="s">
        <v>850</v>
      </c>
      <c r="L357" s="76">
        <v>44921</v>
      </c>
      <c r="M357" s="77">
        <f t="shared" ref="M357:M368" ca="1" si="10">TODAY()+1</f>
        <v>45954</v>
      </c>
      <c r="N357" s="74" t="str">
        <f>_xlfn.IFNA(VLOOKUP(db_emp[[#This Row],[ID_DIV]],[1]!db_dpt[[Code_dpt]:[Departement]],2,0),"-")</f>
        <v>Tenant Relation</v>
      </c>
      <c r="O357" s="74" t="str">
        <f>_xlfn.IFNA(VLOOKUP(db_emp[[#This Row],[ID_SDP]],[1]!db_div[[Code_div]:[Division]],2,0),"-")</f>
        <v>Facilities</v>
      </c>
      <c r="P357" s="74" t="str">
        <f>_xlfn.IFNA(VLOOKUP(db_emp[[#This Row],[Code_lvl]],[1]!db_lvl[[#All],[ID_level]:[Leveling Name]],2,0),"-")</f>
        <v>Staff</v>
      </c>
      <c r="Q357" s="74" t="str">
        <f>_xlfn.IFNA(VLOOKUP(db_emp[[#This Row],[Code_site]],[1]!db_site[[ID_Site]:[Url_maps]],3,0),"-")</f>
        <v>Unit - Taman Anggrek Residences</v>
      </c>
      <c r="R3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221835,'Debi Apriyanto','TRL','FACIL','Facility Staff','LV12','Corp. Supporting Property (POM)','A01','Employee','2022-12-26','2025-10-24'</v>
      </c>
      <c r="S357" s="74">
        <f>db_emp[[#This Row],[NIP (UPDATE)]]</f>
        <v>221835</v>
      </c>
    </row>
    <row r="358" spans="2:19" hidden="1" x14ac:dyDescent="0.25">
      <c r="B358" s="75">
        <v>641</v>
      </c>
      <c r="C358" s="75">
        <v>231680</v>
      </c>
      <c r="D358" s="74" t="s">
        <v>1371</v>
      </c>
      <c r="E358" s="75" t="s">
        <v>1036</v>
      </c>
      <c r="F358" s="75" t="s">
        <v>1359</v>
      </c>
      <c r="G358" s="74" t="s">
        <v>1365</v>
      </c>
      <c r="H358" s="75" t="s">
        <v>853</v>
      </c>
      <c r="I358" s="74" t="s">
        <v>864</v>
      </c>
      <c r="J358" s="75" t="s">
        <v>433</v>
      </c>
      <c r="K358" s="75" t="s">
        <v>850</v>
      </c>
      <c r="L358" s="76">
        <v>45194</v>
      </c>
      <c r="M358" s="77">
        <f t="shared" ca="1" si="10"/>
        <v>45954</v>
      </c>
      <c r="N358" s="74" t="str">
        <f>_xlfn.IFNA(VLOOKUP(db_emp[[#This Row],[ID_DIV]],[1]!db_dpt[[Code_dpt]:[Departement]],2,0),"-")</f>
        <v>Tenant Relation</v>
      </c>
      <c r="O358" s="74" t="str">
        <f>_xlfn.IFNA(VLOOKUP(db_emp[[#This Row],[ID_SDP]],[1]!db_div[[Code_div]:[Division]],2,0),"-")</f>
        <v>Facilities</v>
      </c>
      <c r="P358" s="74" t="str">
        <f>_xlfn.IFNA(VLOOKUP(db_emp[[#This Row],[Code_lvl]],[1]!db_lvl[[#All],[ID_level]:[Leveling Name]],2,0),"-")</f>
        <v>Staff</v>
      </c>
      <c r="Q358" s="74" t="str">
        <f>_xlfn.IFNA(VLOOKUP(db_emp[[#This Row],[Code_site]],[1]!db_site[[ID_Site]:[Url_maps]],3,0),"-")</f>
        <v>Unit - Taman Anggrek Residences</v>
      </c>
      <c r="R3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231680,'Aprilia Buana Dewi','TRL','FACIL','Facility Staff','LV12','Corp. Supporting Property (POM)','A01','Employee','2023-09-25','2025-10-24'</v>
      </c>
      <c r="S358" s="74">
        <f>db_emp[[#This Row],[NIP (UPDATE)]]</f>
        <v>231680</v>
      </c>
    </row>
    <row r="359" spans="2:19" hidden="1" x14ac:dyDescent="0.25">
      <c r="B359" s="75">
        <v>644</v>
      </c>
      <c r="C359" s="75">
        <v>250358</v>
      </c>
      <c r="D359" s="74" t="s">
        <v>1372</v>
      </c>
      <c r="E359" s="75" t="s">
        <v>1036</v>
      </c>
      <c r="F359" s="75" t="s">
        <v>1359</v>
      </c>
      <c r="G359" s="74" t="s">
        <v>1365</v>
      </c>
      <c r="H359" s="75" t="s">
        <v>853</v>
      </c>
      <c r="I359" s="74" t="s">
        <v>864</v>
      </c>
      <c r="J359" s="75" t="s">
        <v>433</v>
      </c>
      <c r="K359" s="75" t="s">
        <v>862</v>
      </c>
      <c r="L359" s="76">
        <v>45768</v>
      </c>
      <c r="M359" s="77">
        <f t="shared" ca="1" si="10"/>
        <v>45954</v>
      </c>
      <c r="N359" s="74" t="str">
        <f>_xlfn.IFNA(VLOOKUP(db_emp[[#This Row],[ID_DIV]],[1]!db_dpt[[Code_dpt]:[Departement]],2,0),"-")</f>
        <v>Tenant Relation</v>
      </c>
      <c r="O359" s="74" t="str">
        <f>_xlfn.IFNA(VLOOKUP(db_emp[[#This Row],[ID_SDP]],[1]!db_div[[Code_div]:[Division]],2,0),"-")</f>
        <v>Facilities</v>
      </c>
      <c r="P359" s="74" t="str">
        <f>_xlfn.IFNA(VLOOKUP(db_emp[[#This Row],[Code_lvl]],[1]!db_lvl[[#All],[ID_level]:[Leveling Name]],2,0),"-")</f>
        <v>Staff</v>
      </c>
      <c r="Q359" s="74" t="str">
        <f>_xlfn.IFNA(VLOOKUP(db_emp[[#This Row],[Code_site]],[1]!db_site[[ID_Site]:[Url_maps]],3,0),"-")</f>
        <v>Unit - Taman Anggrek Residences</v>
      </c>
      <c r="R3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250358,'Reza Lantoni Pradana','TRL','FACIL','Facility Staff','LV12','Corp. Supporting Property (POM)','A01','Not Employee','2025-04-21','2025-10-24'</v>
      </c>
      <c r="S359" s="74">
        <f>db_emp[[#This Row],[NIP (UPDATE)]]</f>
        <v>250358</v>
      </c>
    </row>
    <row r="360" spans="2:19" hidden="1" x14ac:dyDescent="0.25">
      <c r="B360" s="75">
        <v>168</v>
      </c>
      <c r="C360" s="75">
        <v>180899</v>
      </c>
      <c r="D360" s="74" t="s">
        <v>1373</v>
      </c>
      <c r="E360" s="75" t="s">
        <v>964</v>
      </c>
      <c r="F360" s="75" t="s">
        <v>971</v>
      </c>
      <c r="G360" s="74" t="s">
        <v>1374</v>
      </c>
      <c r="H360" s="75" t="s">
        <v>848</v>
      </c>
      <c r="I360" s="74" t="s">
        <v>849</v>
      </c>
      <c r="J360" s="75" t="s">
        <v>315</v>
      </c>
      <c r="K360" s="75" t="s">
        <v>850</v>
      </c>
      <c r="L360" s="76">
        <v>43283</v>
      </c>
      <c r="M360" s="77">
        <f t="shared" ca="1" si="10"/>
        <v>45954</v>
      </c>
      <c r="N360" s="74" t="str">
        <f>_xlfn.IFNA(VLOOKUP(db_emp[[#This Row],[ID_DIV]],[1]!db_dpt[[Code_dpt]:[Departement]],2,0),"-")</f>
        <v>Marketing Communication</v>
      </c>
      <c r="O360" s="74" t="str">
        <f>_xlfn.IFNA(VLOOKUP(db_emp[[#This Row],[ID_SDP]],[1]!db_div[[Code_div]:[Division]],2,0),"-")</f>
        <v>General Head Departement</v>
      </c>
      <c r="P360" s="74" t="str">
        <f>_xlfn.IFNA(VLOOKUP(db_emp[[#This Row],[Code_lvl]],[1]!db_lvl[[#All],[ID_level]:[Leveling Name]],2,0),"-")</f>
        <v>Assistant Manager</v>
      </c>
      <c r="Q360" s="74" t="str">
        <f>_xlfn.IFNA(VLOOKUP(db_emp[[#This Row],[Code_site]],[1]!db_site[[ID_Site]:[Url_maps]],3,0),"-")</f>
        <v>Head Office - ASGO</v>
      </c>
      <c r="R3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180899,'Ivan Eduardo Pontoh','MAR','GNRAL','Film &amp; Marketing Communication Assistant Manager','LV07','Mall &amp; Cinema','O99','Employee','2018-07-02','2025-10-24'</v>
      </c>
      <c r="S360" s="74">
        <f>db_emp[[#This Row],[NIP (UPDATE)]]</f>
        <v>180899</v>
      </c>
    </row>
    <row r="361" spans="2:19" hidden="1" x14ac:dyDescent="0.25">
      <c r="B361" s="75">
        <v>170</v>
      </c>
      <c r="C361" s="75">
        <v>241892</v>
      </c>
      <c r="D361" s="74" t="s">
        <v>1375</v>
      </c>
      <c r="E361" s="75" t="s">
        <v>964</v>
      </c>
      <c r="F361" s="75" t="s">
        <v>971</v>
      </c>
      <c r="G361" s="74" t="s">
        <v>1376</v>
      </c>
      <c r="H361" s="75" t="s">
        <v>870</v>
      </c>
      <c r="I361" s="74" t="s">
        <v>849</v>
      </c>
      <c r="J361" s="75" t="s">
        <v>315</v>
      </c>
      <c r="K361" s="75" t="s">
        <v>850</v>
      </c>
      <c r="L361" s="76">
        <v>45586</v>
      </c>
      <c r="M361" s="77">
        <f t="shared" ca="1" si="10"/>
        <v>45954</v>
      </c>
      <c r="N361" s="74" t="str">
        <f>_xlfn.IFNA(VLOOKUP(db_emp[[#This Row],[ID_DIV]],[1]!db_dpt[[Code_dpt]:[Departement]],2,0),"-")</f>
        <v>Marketing Communication</v>
      </c>
      <c r="O361" s="74" t="str">
        <f>_xlfn.IFNA(VLOOKUP(db_emp[[#This Row],[ID_SDP]],[1]!db_div[[Code_div]:[Division]],2,0),"-")</f>
        <v>General Head Departement</v>
      </c>
      <c r="P361" s="74" t="str">
        <f>_xlfn.IFNA(VLOOKUP(db_emp[[#This Row],[Code_lvl]],[1]!db_lvl[[#All],[ID_level]:[Leveling Name]],2,0),"-")</f>
        <v>Supervisor</v>
      </c>
      <c r="Q361" s="74" t="str">
        <f>_xlfn.IFNA(VLOOKUP(db_emp[[#This Row],[Code_site]],[1]!db_site[[ID_Site]:[Url_maps]],3,0),"-")</f>
        <v>Head Office - ASGO</v>
      </c>
      <c r="R3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241892,'Petrus Kristianto Prayitno Santoso','MAR','GNRAL','Film &amp; Marketing Communication Supervisor','LV09','Mall &amp; Cinema','O99','Employee','2024-10-21','2025-10-24'</v>
      </c>
      <c r="S361" s="74">
        <f>db_emp[[#This Row],[NIP (UPDATE)]]</f>
        <v>241892</v>
      </c>
    </row>
    <row r="362" spans="2:19" hidden="1" x14ac:dyDescent="0.25">
      <c r="B362" s="75">
        <v>10</v>
      </c>
      <c r="C362" s="75">
        <v>100807</v>
      </c>
      <c r="D362" s="74" t="s">
        <v>1377</v>
      </c>
      <c r="E362" s="75" t="s">
        <v>845</v>
      </c>
      <c r="F362" s="75" t="s">
        <v>912</v>
      </c>
      <c r="G362" s="74" t="s">
        <v>1378</v>
      </c>
      <c r="H362" s="75" t="s">
        <v>853</v>
      </c>
      <c r="I362" s="74" t="s">
        <v>849</v>
      </c>
      <c r="J362" s="75" t="s">
        <v>315</v>
      </c>
      <c r="K362" s="75" t="s">
        <v>850</v>
      </c>
      <c r="L362" s="76">
        <v>38474</v>
      </c>
      <c r="M362" s="77">
        <f t="shared" ca="1" si="10"/>
        <v>45954</v>
      </c>
      <c r="N362" s="74" t="str">
        <f>_xlfn.IFNA(VLOOKUP(db_emp[[#This Row],[ID_DIV]],[1]!db_dpt[[Code_dpt]:[Departement]],2,0),"-")</f>
        <v>Finance &amp; Accounting</v>
      </c>
      <c r="O362" s="74" t="str">
        <f>_xlfn.IFNA(VLOOKUP(db_emp[[#This Row],[ID_SDP]],[1]!db_div[[Code_div]:[Division]],2,0),"-")</f>
        <v>Admin</v>
      </c>
      <c r="P362" s="74" t="str">
        <f>_xlfn.IFNA(VLOOKUP(db_emp[[#This Row],[Code_lvl]],[1]!db_lvl[[#All],[ID_level]:[Leveling Name]],2,0),"-")</f>
        <v>Staff</v>
      </c>
      <c r="Q362" s="74" t="str">
        <f>_xlfn.IFNA(VLOOKUP(db_emp[[#This Row],[Code_site]],[1]!db_site[[ID_Site]:[Url_maps]],3,0),"-")</f>
        <v>Head Office - ASGO</v>
      </c>
      <c r="R3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100807,'Siti Hasanah','FIN','ADMIN','Finance &amp; Accounting Administration Staff','LV12','Mall &amp; Cinema','O99','Employee','2005-05-02','2025-10-24'</v>
      </c>
      <c r="S362" s="74">
        <f>db_emp[[#This Row],[NIP (UPDATE)]]</f>
        <v>100807</v>
      </c>
    </row>
    <row r="363" spans="2:19" hidden="1" x14ac:dyDescent="0.25">
      <c r="B363" s="75">
        <v>599</v>
      </c>
      <c r="C363" s="75">
        <v>211208</v>
      </c>
      <c r="D363" s="74" t="s">
        <v>1379</v>
      </c>
      <c r="E363" s="75" t="s">
        <v>845</v>
      </c>
      <c r="F363" s="75" t="s">
        <v>971</v>
      </c>
      <c r="G363" s="74" t="s">
        <v>1380</v>
      </c>
      <c r="H363" s="75" t="s">
        <v>848</v>
      </c>
      <c r="I363" s="74" t="s">
        <v>864</v>
      </c>
      <c r="J363" s="75" t="s">
        <v>433</v>
      </c>
      <c r="K363" s="75" t="s">
        <v>850</v>
      </c>
      <c r="L363" s="76">
        <v>44543</v>
      </c>
      <c r="M363" s="77">
        <f t="shared" ca="1" si="10"/>
        <v>45954</v>
      </c>
      <c r="N363" s="74" t="str">
        <f>_xlfn.IFNA(VLOOKUP(db_emp[[#This Row],[ID_DIV]],[1]!db_dpt[[Code_dpt]:[Departement]],2,0),"-")</f>
        <v>Finance &amp; Accounting</v>
      </c>
      <c r="O363" s="74" t="str">
        <f>_xlfn.IFNA(VLOOKUP(db_emp[[#This Row],[ID_SDP]],[1]!db_div[[Code_div]:[Division]],2,0),"-")</f>
        <v>General Head Departement</v>
      </c>
      <c r="P363" s="74" t="str">
        <f>_xlfn.IFNA(VLOOKUP(db_emp[[#This Row],[Code_lvl]],[1]!db_lvl[[#All],[ID_level]:[Leveling Name]],2,0),"-")</f>
        <v>Assistant Manager</v>
      </c>
      <c r="Q363" s="74" t="str">
        <f>_xlfn.IFNA(VLOOKUP(db_emp[[#This Row],[Code_site]],[1]!db_site[[ID_Site]:[Url_maps]],3,0),"-")</f>
        <v>Unit - Taman Anggrek Residences</v>
      </c>
      <c r="R3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211208,'Novani Ledy Diana','FIN','GNRAL','Finance &amp; Accounting Assistant Manager','LV07','Corp. Supporting Property (POM)','A01','Employee','2021-12-13','2025-10-24'</v>
      </c>
      <c r="S363" s="74">
        <f>db_emp[[#This Row],[NIP (UPDATE)]]</f>
        <v>211208</v>
      </c>
    </row>
    <row r="364" spans="2:19" hidden="1" x14ac:dyDescent="0.25">
      <c r="B364" s="75">
        <v>600</v>
      </c>
      <c r="C364" s="75">
        <v>180063</v>
      </c>
      <c r="D364" s="74" t="s">
        <v>1381</v>
      </c>
      <c r="E364" s="75" t="s">
        <v>845</v>
      </c>
      <c r="F364" s="75" t="s">
        <v>971</v>
      </c>
      <c r="G364" s="74" t="s">
        <v>1380</v>
      </c>
      <c r="H364" s="75" t="s">
        <v>848</v>
      </c>
      <c r="I364" s="74" t="s">
        <v>864</v>
      </c>
      <c r="J364" s="75" t="s">
        <v>433</v>
      </c>
      <c r="K364" s="75" t="s">
        <v>850</v>
      </c>
      <c r="L364" s="76">
        <v>43108</v>
      </c>
      <c r="M364" s="77">
        <f t="shared" ca="1" si="10"/>
        <v>45954</v>
      </c>
      <c r="N364" s="74" t="str">
        <f>_xlfn.IFNA(VLOOKUP(db_emp[[#This Row],[ID_DIV]],[1]!db_dpt[[Code_dpt]:[Departement]],2,0),"-")</f>
        <v>Finance &amp; Accounting</v>
      </c>
      <c r="O364" s="74" t="str">
        <f>_xlfn.IFNA(VLOOKUP(db_emp[[#This Row],[ID_SDP]],[1]!db_div[[Code_div]:[Division]],2,0),"-")</f>
        <v>General Head Departement</v>
      </c>
      <c r="P364" s="74" t="str">
        <f>_xlfn.IFNA(VLOOKUP(db_emp[[#This Row],[Code_lvl]],[1]!db_lvl[[#All],[ID_level]:[Leveling Name]],2,0),"-")</f>
        <v>Assistant Manager</v>
      </c>
      <c r="Q364" s="74" t="str">
        <f>_xlfn.IFNA(VLOOKUP(db_emp[[#This Row],[Code_site]],[1]!db_site[[ID_Site]:[Url_maps]],3,0),"-")</f>
        <v>Unit - Taman Anggrek Residences</v>
      </c>
      <c r="R3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180063,'Woro Kinasih','FIN','GNRAL','Finance &amp; Accounting Assistant Manager','LV07','Corp. Supporting Property (POM)','A01','Employee','2018-01-08','2025-10-24'</v>
      </c>
      <c r="S364" s="74">
        <f>db_emp[[#This Row],[NIP (UPDATE)]]</f>
        <v>180063</v>
      </c>
    </row>
    <row r="365" spans="2:19" hidden="1" x14ac:dyDescent="0.25">
      <c r="B365" s="75">
        <v>5</v>
      </c>
      <c r="C365" s="75">
        <v>181394</v>
      </c>
      <c r="D365" s="74" t="s">
        <v>1382</v>
      </c>
      <c r="E365" s="75" t="s">
        <v>970</v>
      </c>
      <c r="F365" s="75" t="s">
        <v>1175</v>
      </c>
      <c r="G365" s="74" t="s">
        <v>1383</v>
      </c>
      <c r="H365" s="75" t="s">
        <v>1177</v>
      </c>
      <c r="I365" s="74" t="s">
        <v>856</v>
      </c>
      <c r="J365" s="75" t="s">
        <v>315</v>
      </c>
      <c r="K365" s="75" t="s">
        <v>850</v>
      </c>
      <c r="L365" s="76">
        <v>43409</v>
      </c>
      <c r="M365" s="77">
        <f t="shared" ca="1" si="10"/>
        <v>45954</v>
      </c>
      <c r="N365" s="74" t="str">
        <f>_xlfn.IFNA(VLOOKUP(db_emp[[#This Row],[ID_DIV]],[1]!db_dpt[[Code_dpt]:[Departement]],2,0),"-")</f>
        <v>Management</v>
      </c>
      <c r="O365" s="74" t="str">
        <f>_xlfn.IFNA(VLOOKUP(db_emp[[#This Row],[ID_SDP]],[1]!db_div[[Code_div]:[Division]],2,0),"-")</f>
        <v>Top level</v>
      </c>
      <c r="P365" s="74" t="str">
        <f>_xlfn.IFNA(VLOOKUP(db_emp[[#This Row],[Code_lvl]],[1]!db_lvl[[#All],[ID_level]:[Leveling Name]],2,0),"-")</f>
        <v>Director</v>
      </c>
      <c r="Q365" s="74" t="str">
        <f>_xlfn.IFNA(VLOOKUP(db_emp[[#This Row],[Code_site]],[1]!db_site[[ID_Site]:[Url_maps]],3,0),"-")</f>
        <v>Head Office - ASGO</v>
      </c>
      <c r="R3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181394,'Herman Cahyadi','MNG','CLVEL','Finance &amp; Accounting Director','LV01','HQ - All','O99','Employee','2018-11-05','2025-10-24'</v>
      </c>
      <c r="S365" s="74">
        <f>db_emp[[#This Row],[NIP (UPDATE)]]</f>
        <v>181394</v>
      </c>
    </row>
    <row r="366" spans="2:19" hidden="1" x14ac:dyDescent="0.25">
      <c r="B366" s="75">
        <v>47</v>
      </c>
      <c r="C366" s="75">
        <v>200579</v>
      </c>
      <c r="D366" s="74" t="s">
        <v>1384</v>
      </c>
      <c r="E366" s="75" t="s">
        <v>845</v>
      </c>
      <c r="F366" s="75" t="s">
        <v>1385</v>
      </c>
      <c r="G366" s="74" t="s">
        <v>1386</v>
      </c>
      <c r="H366" s="75" t="s">
        <v>953</v>
      </c>
      <c r="I366" s="74" t="s">
        <v>864</v>
      </c>
      <c r="J366" s="75" t="s">
        <v>315</v>
      </c>
      <c r="K366" s="75" t="s">
        <v>850</v>
      </c>
      <c r="L366" s="76">
        <v>44109</v>
      </c>
      <c r="M366" s="77">
        <f t="shared" ca="1" si="10"/>
        <v>45954</v>
      </c>
      <c r="N366" s="74" t="str">
        <f>_xlfn.IFNA(VLOOKUP(db_emp[[#This Row],[ID_DIV]],[1]!db_dpt[[Code_dpt]:[Departement]],2,0),"-")</f>
        <v>Finance &amp; Accounting</v>
      </c>
      <c r="O366" s="74" t="str">
        <f>_xlfn.IFNA(VLOOKUP(db_emp[[#This Row],[ID_SDP]],[1]!db_div[[Code_div]:[Division]],2,0),"-")</f>
        <v>Property Development</v>
      </c>
      <c r="P366" s="74" t="str">
        <f>_xlfn.IFNA(VLOOKUP(db_emp[[#This Row],[Code_lvl]],[1]!db_lvl[[#All],[ID_level]:[Leveling Name]],2,0),"-")</f>
        <v>Manager</v>
      </c>
      <c r="Q366" s="74" t="str">
        <f>_xlfn.IFNA(VLOOKUP(db_emp[[#This Row],[Code_site]],[1]!db_site[[ID_Site]:[Url_maps]],3,0),"-")</f>
        <v>Head Office - ASGO</v>
      </c>
      <c r="R3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200579,'Ricky Darius','FIN','PRODV','Finance &amp; Accounting Property Development Manager','LV05','Corp. Supporting Property (POM)','O99','Employee','2020-10-05','2025-10-24'</v>
      </c>
      <c r="S366" s="74">
        <f>db_emp[[#This Row],[NIP (UPDATE)]]</f>
        <v>200579</v>
      </c>
    </row>
    <row r="367" spans="2:19" hidden="1" x14ac:dyDescent="0.25">
      <c r="B367" s="75">
        <v>4</v>
      </c>
      <c r="C367" s="75">
        <v>180543</v>
      </c>
      <c r="D367" s="74" t="s">
        <v>1387</v>
      </c>
      <c r="E367" s="75" t="s">
        <v>845</v>
      </c>
      <c r="F367" s="75" t="s">
        <v>971</v>
      </c>
      <c r="G367" s="74" t="s">
        <v>1388</v>
      </c>
      <c r="H367" s="75" t="s">
        <v>968</v>
      </c>
      <c r="I367" s="74" t="s">
        <v>849</v>
      </c>
      <c r="J367" s="75" t="s">
        <v>315</v>
      </c>
      <c r="K367" s="75" t="s">
        <v>850</v>
      </c>
      <c r="L367" s="76">
        <v>43199</v>
      </c>
      <c r="M367" s="77">
        <f t="shared" ca="1" si="10"/>
        <v>45954</v>
      </c>
      <c r="N367" s="74" t="str">
        <f>_xlfn.IFNA(VLOOKUP(db_emp[[#This Row],[ID_DIV]],[1]!db_dpt[[Code_dpt]:[Departement]],2,0),"-")</f>
        <v>Finance &amp; Accounting</v>
      </c>
      <c r="O367" s="74" t="str">
        <f>_xlfn.IFNA(VLOOKUP(db_emp[[#This Row],[ID_SDP]],[1]!db_div[[Code_div]:[Division]],2,0),"-")</f>
        <v>General Head Departement</v>
      </c>
      <c r="P367" s="74" t="str">
        <f>_xlfn.IFNA(VLOOKUP(db_emp[[#This Row],[Code_lvl]],[1]!db_lvl[[#All],[ID_level]:[Leveling Name]],2,0),"-")</f>
        <v>Senior Manager</v>
      </c>
      <c r="Q367" s="74" t="str">
        <f>_xlfn.IFNA(VLOOKUP(db_emp[[#This Row],[Code_site]],[1]!db_site[[ID_Site]:[Url_maps]],3,0),"-")</f>
        <v>Head Office - ASGO</v>
      </c>
      <c r="R3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180543,'Dominggo M.P Aritonang','FIN','GNRAL','Finance &amp; Accounting Senior Manager','LV04','Mall &amp; Cinema','O99','Employee','2018-04-09','2025-10-24'</v>
      </c>
      <c r="S367" s="74">
        <f>db_emp[[#This Row],[NIP (UPDATE)]]</f>
        <v>180543</v>
      </c>
    </row>
    <row r="368" spans="2:19" hidden="1" x14ac:dyDescent="0.25">
      <c r="B368" s="75">
        <v>659</v>
      </c>
      <c r="C368" s="75">
        <v>180158</v>
      </c>
      <c r="D368" s="74" t="s">
        <v>1389</v>
      </c>
      <c r="E368" s="75" t="s">
        <v>845</v>
      </c>
      <c r="F368" s="75" t="s">
        <v>971</v>
      </c>
      <c r="G368" s="74" t="s">
        <v>1390</v>
      </c>
      <c r="H368" s="75" t="s">
        <v>870</v>
      </c>
      <c r="I368" s="74" t="s">
        <v>864</v>
      </c>
      <c r="J368" s="75" t="s">
        <v>501</v>
      </c>
      <c r="K368" s="75" t="s">
        <v>850</v>
      </c>
      <c r="L368" s="76"/>
      <c r="M368" s="77">
        <f t="shared" ca="1" si="10"/>
        <v>45954</v>
      </c>
      <c r="N368" s="74" t="str">
        <f>_xlfn.IFNA(VLOOKUP(db_emp[[#This Row],[ID_DIV]],[1]!db_dpt[[Code_dpt]:[Departement]],2,0),"-")</f>
        <v>Finance &amp; Accounting</v>
      </c>
      <c r="O368" s="74" t="str">
        <f>_xlfn.IFNA(VLOOKUP(db_emp[[#This Row],[ID_SDP]],[1]!db_div[[Code_div]:[Division]],2,0),"-")</f>
        <v>General Head Departement</v>
      </c>
      <c r="P368" s="74" t="str">
        <f>_xlfn.IFNA(VLOOKUP(db_emp[[#This Row],[Code_lvl]],[1]!db_lvl[[#All],[ID_level]:[Leveling Name]],2,0),"-")</f>
        <v>Supervisor</v>
      </c>
      <c r="Q368" s="74" t="str">
        <f>_xlfn.IFNA(VLOOKUP(db_emp[[#This Row],[Code_site]],[1]!db_site[[ID_Site]:[Url_maps]],3,0),"-")</f>
        <v>Unit - District 8</v>
      </c>
      <c r="R3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180158,'Oscar Delon','FIN','GNRAL','Finance &amp; Accounting Supervisor','LV09','Corp. Supporting Property (POM)','OD8','Employee','1900-01-00','2025-10-24'</v>
      </c>
      <c r="S368" s="74">
        <f>db_emp[[#This Row],[NIP (UPDATE)]]</f>
        <v>180158</v>
      </c>
    </row>
    <row r="369" spans="2:19" hidden="1" x14ac:dyDescent="0.25">
      <c r="B369" s="75">
        <v>736</v>
      </c>
      <c r="C369" s="75">
        <v>241233</v>
      </c>
      <c r="D369" s="74" t="s">
        <v>1391</v>
      </c>
      <c r="E369" s="75" t="s">
        <v>845</v>
      </c>
      <c r="F369" s="75" t="s">
        <v>971</v>
      </c>
      <c r="G369" s="74" t="s">
        <v>1390</v>
      </c>
      <c r="H369" s="75" t="s">
        <v>870</v>
      </c>
      <c r="I369" s="74" t="s">
        <v>864</v>
      </c>
      <c r="J369" s="75" t="s">
        <v>501</v>
      </c>
      <c r="K369" s="75" t="s">
        <v>903</v>
      </c>
      <c r="L369" s="76"/>
      <c r="M369" s="77">
        <v>45867</v>
      </c>
      <c r="N369" s="74" t="str">
        <f>_xlfn.IFNA(VLOOKUP(db_emp[[#This Row],[ID_DIV]],[1]!db_dpt[[Code_dpt]:[Departement]],2,0),"-")</f>
        <v>Finance &amp; Accounting</v>
      </c>
      <c r="O369" s="74" t="str">
        <f>_xlfn.IFNA(VLOOKUP(db_emp[[#This Row],[ID_SDP]],[1]!db_div[[Code_div]:[Division]],2,0),"-")</f>
        <v>General Head Departement</v>
      </c>
      <c r="P369" s="74" t="str">
        <f>_xlfn.IFNA(VLOOKUP(db_emp[[#This Row],[Code_lvl]],[1]!db_lvl[[#All],[ID_level]:[Leveling Name]],2,0),"-")</f>
        <v>Supervisor</v>
      </c>
      <c r="Q369" s="74" t="str">
        <f>_xlfn.IFNA(VLOOKUP(db_emp[[#This Row],[Code_site]],[1]!db_site[[ID_Site]:[Url_maps]],3,0),"-")</f>
        <v>Unit - District 8</v>
      </c>
      <c r="R369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241233,'Win Ardyani','FIN','GNRAL','Finance &amp; Accounting Supervisor','LV09','Corp. Supporting Property (POM)','OD8','Resign','1900-01-00','2025-07-29'</v>
      </c>
      <c r="S369" s="74">
        <f>db_emp[[#This Row],[NIP (UPDATE)]]</f>
        <v>241233</v>
      </c>
    </row>
    <row r="370" spans="2:19" hidden="1" x14ac:dyDescent="0.25">
      <c r="B370" s="75">
        <v>661</v>
      </c>
      <c r="C370" s="75">
        <v>180328</v>
      </c>
      <c r="D370" s="74" t="s">
        <v>1392</v>
      </c>
      <c r="E370" s="75" t="s">
        <v>845</v>
      </c>
      <c r="F370" s="75" t="s">
        <v>971</v>
      </c>
      <c r="G370" s="74" t="s">
        <v>1393</v>
      </c>
      <c r="H370" s="75" t="s">
        <v>953</v>
      </c>
      <c r="I370" s="74" t="s">
        <v>864</v>
      </c>
      <c r="J370" s="75" t="s">
        <v>501</v>
      </c>
      <c r="K370" s="75" t="s">
        <v>850</v>
      </c>
      <c r="L370" s="76"/>
      <c r="M370" s="77">
        <f t="shared" ref="M370:M376" ca="1" si="11">TODAY()+1</f>
        <v>45954</v>
      </c>
      <c r="N370" s="74" t="str">
        <f>_xlfn.IFNA(VLOOKUP(db_emp[[#This Row],[ID_DIV]],[1]!db_dpt[[Code_dpt]:[Departement]],2,0),"-")</f>
        <v>Finance &amp; Accounting</v>
      </c>
      <c r="O370" s="74" t="str">
        <f>_xlfn.IFNA(VLOOKUP(db_emp[[#This Row],[ID_SDP]],[1]!db_div[[Code_div]:[Division]],2,0),"-")</f>
        <v>General Head Departement</v>
      </c>
      <c r="P370" s="74" t="str">
        <f>_xlfn.IFNA(VLOOKUP(db_emp[[#This Row],[Code_lvl]],[1]!db_lvl[[#All],[ID_level]:[Leveling Name]],2,0),"-")</f>
        <v>Manager</v>
      </c>
      <c r="Q370" s="74" t="str">
        <f>_xlfn.IFNA(VLOOKUP(db_emp[[#This Row],[Code_site]],[1]!db_site[[ID_Site]:[Url_maps]],3,0),"-")</f>
        <v>Unit - District 8</v>
      </c>
      <c r="R3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180328,'Nita Rama Yunita','FIN','GNRAL','Finance &amp; Accouting Manager','LV05','Corp. Supporting Property (POM)','OD8','Employee','1900-01-00','2025-10-24'</v>
      </c>
      <c r="S370" s="74">
        <f>db_emp[[#This Row],[NIP (UPDATE)]]</f>
        <v>180328</v>
      </c>
    </row>
    <row r="371" spans="2:19" hidden="1" x14ac:dyDescent="0.25">
      <c r="B371" s="75">
        <v>363</v>
      </c>
      <c r="C371" s="75">
        <v>240658</v>
      </c>
      <c r="D371" s="74" t="s">
        <v>1394</v>
      </c>
      <c r="E371" s="75" t="s">
        <v>1018</v>
      </c>
      <c r="F371" s="75" t="s">
        <v>917</v>
      </c>
      <c r="G371" s="74" t="s">
        <v>1395</v>
      </c>
      <c r="H371" s="75" t="s">
        <v>870</v>
      </c>
      <c r="I371" s="74" t="s">
        <v>486</v>
      </c>
      <c r="J371" s="75" t="s">
        <v>492</v>
      </c>
      <c r="K371" s="75" t="s">
        <v>850</v>
      </c>
      <c r="L371" s="76">
        <v>45386</v>
      </c>
      <c r="M371" s="77">
        <f t="shared" ca="1" si="11"/>
        <v>45954</v>
      </c>
      <c r="N371" s="74" t="str">
        <f>_xlfn.IFNA(VLOOKUP(db_emp[[#This Row],[ID_DIV]],[1]!db_dpt[[Code_dpt]:[Departement]],2,0),"-")</f>
        <v>Operational</v>
      </c>
      <c r="O371" s="74" t="str">
        <f>_xlfn.IFNA(VLOOKUP(db_emp[[#This Row],[ID_SDP]],[1]!db_div[[Code_div]:[Division]],2,0),"-")</f>
        <v>HSE</v>
      </c>
      <c r="P371" s="74" t="str">
        <f>_xlfn.IFNA(VLOOKUP(db_emp[[#This Row],[Code_lvl]],[1]!db_lvl[[#All],[ID_level]:[Leveling Name]],2,0),"-")</f>
        <v>Supervisor</v>
      </c>
      <c r="Q371" s="74" t="str">
        <f>_xlfn.IFNA(VLOOKUP(db_emp[[#This Row],[Code_site]],[1]!db_site[[ID_Site]:[Url_maps]],3,0),"-")</f>
        <v>Unit - Hublife</v>
      </c>
      <c r="R3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240658,'Riski Adrizal','OPR','HSEFT','Fire &amp; Safety Supervisor','LV09','Mall','M05','Employee','2024-04-04','2025-10-24'</v>
      </c>
      <c r="S371" s="74">
        <f>db_emp[[#This Row],[NIP (UPDATE)]]</f>
        <v>240658</v>
      </c>
    </row>
    <row r="372" spans="2:19" hidden="1" x14ac:dyDescent="0.25">
      <c r="B372" s="75">
        <v>453</v>
      </c>
      <c r="C372" s="75">
        <v>210423</v>
      </c>
      <c r="D372" s="74" t="s">
        <v>1396</v>
      </c>
      <c r="E372" s="75" t="s">
        <v>1018</v>
      </c>
      <c r="F372" s="75" t="s">
        <v>917</v>
      </c>
      <c r="G372" s="74" t="s">
        <v>1395</v>
      </c>
      <c r="H372" s="75" t="s">
        <v>870</v>
      </c>
      <c r="I372" s="74" t="s">
        <v>849</v>
      </c>
      <c r="J372" s="75" t="s">
        <v>490</v>
      </c>
      <c r="K372" s="75" t="s">
        <v>850</v>
      </c>
      <c r="L372" s="76">
        <v>44350</v>
      </c>
      <c r="M372" s="77">
        <f t="shared" ca="1" si="11"/>
        <v>45954</v>
      </c>
      <c r="N372" s="74" t="str">
        <f>_xlfn.IFNA(VLOOKUP(db_emp[[#This Row],[ID_DIV]],[1]!db_dpt[[Code_dpt]:[Departement]],2,0),"-")</f>
        <v>Operational</v>
      </c>
      <c r="O372" s="74" t="str">
        <f>_xlfn.IFNA(VLOOKUP(db_emp[[#This Row],[ID_SDP]],[1]!db_div[[Code_div]:[Division]],2,0),"-")</f>
        <v>HSE</v>
      </c>
      <c r="P372" s="74" t="str">
        <f>_xlfn.IFNA(VLOOKUP(db_emp[[#This Row],[Code_lvl]],[1]!db_lvl[[#All],[ID_level]:[Leveling Name]],2,0),"-")</f>
        <v>Supervisor</v>
      </c>
      <c r="Q372" s="74" t="str">
        <f>_xlfn.IFNA(VLOOKUP(db_emp[[#This Row],[Code_site]],[1]!db_site[[ID_Site]:[Url_maps]],3,0),"-")</f>
        <v>Unit - ASHTA</v>
      </c>
      <c r="R3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210423,'Luthfan Az Zihni Suharto','OPR','HSEFT','Fire &amp; Safety Supervisor','LV09','Mall &amp; Cinema','M04','Employee','2021-06-03','2025-10-24'</v>
      </c>
      <c r="S372" s="74">
        <f>db_emp[[#This Row],[NIP (UPDATE)]]</f>
        <v>210423</v>
      </c>
    </row>
    <row r="373" spans="2:19" hidden="1" x14ac:dyDescent="0.25">
      <c r="B373" s="75">
        <v>218</v>
      </c>
      <c r="C373" s="75">
        <v>220852</v>
      </c>
      <c r="D373" s="74" t="s">
        <v>1397</v>
      </c>
      <c r="E373" s="75" t="s">
        <v>1398</v>
      </c>
      <c r="F373" s="75" t="s">
        <v>971</v>
      </c>
      <c r="G373" s="74" t="s">
        <v>1399</v>
      </c>
      <c r="H373" s="75" t="s">
        <v>853</v>
      </c>
      <c r="I373" s="74" t="s">
        <v>849</v>
      </c>
      <c r="J373" s="75" t="s">
        <v>314</v>
      </c>
      <c r="K373" s="75" t="s">
        <v>850</v>
      </c>
      <c r="L373" s="76">
        <v>44732</v>
      </c>
      <c r="M373" s="77">
        <f t="shared" ca="1" si="11"/>
        <v>45954</v>
      </c>
      <c r="N373" s="74" t="str">
        <f>_xlfn.IFNA(VLOOKUP(db_emp[[#This Row],[ID_DIV]],[1]!db_dpt[[Code_dpt]:[Departement]],2,0),"-")</f>
        <v>Fit Out</v>
      </c>
      <c r="O373" s="74" t="str">
        <f>_xlfn.IFNA(VLOOKUP(db_emp[[#This Row],[ID_SDP]],[1]!db_div[[Code_div]:[Division]],2,0),"-")</f>
        <v>General Head Departement</v>
      </c>
      <c r="P373" s="74" t="str">
        <f>_xlfn.IFNA(VLOOKUP(db_emp[[#This Row],[Code_lvl]],[1]!db_lvl[[#All],[ID_level]:[Leveling Name]],2,0),"-")</f>
        <v>Staff</v>
      </c>
      <c r="Q373" s="74" t="str">
        <f>_xlfn.IFNA(VLOOKUP(db_emp[[#This Row],[Code_site]],[1]!db_site[[ID_Site]:[Url_maps]],3,0),"-")</f>
        <v>Unit - MOI</v>
      </c>
      <c r="R3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220852,'Sandra Sari Halauwet','FIO','GNRAL','Fit Out Administration Staff','LV12','Mall &amp; Cinema','M02','Employee','2022-06-20','2025-10-24'</v>
      </c>
      <c r="S373" s="74">
        <f>db_emp[[#This Row],[NIP (UPDATE)]]</f>
        <v>220852</v>
      </c>
    </row>
    <row r="374" spans="2:19" hidden="1" x14ac:dyDescent="0.25">
      <c r="B374" s="75">
        <v>463</v>
      </c>
      <c r="C374" s="75">
        <v>160470</v>
      </c>
      <c r="D374" s="74" t="s">
        <v>1400</v>
      </c>
      <c r="E374" s="75" t="s">
        <v>1398</v>
      </c>
      <c r="F374" s="75" t="s">
        <v>971</v>
      </c>
      <c r="G374" s="74" t="s">
        <v>1399</v>
      </c>
      <c r="H374" s="75" t="s">
        <v>885</v>
      </c>
      <c r="I374" s="74" t="s">
        <v>849</v>
      </c>
      <c r="J374" s="75" t="s">
        <v>490</v>
      </c>
      <c r="K374" s="75" t="s">
        <v>850</v>
      </c>
      <c r="L374" s="76">
        <v>42522</v>
      </c>
      <c r="M374" s="77">
        <f t="shared" ca="1" si="11"/>
        <v>45954</v>
      </c>
      <c r="N374" s="74" t="str">
        <f>_xlfn.IFNA(VLOOKUP(db_emp[[#This Row],[ID_DIV]],[1]!db_dpt[[Code_dpt]:[Departement]],2,0),"-")</f>
        <v>Fit Out</v>
      </c>
      <c r="O374" s="74" t="str">
        <f>_xlfn.IFNA(VLOOKUP(db_emp[[#This Row],[ID_SDP]],[1]!db_div[[Code_div]:[Division]],2,0),"-")</f>
        <v>General Head Departement</v>
      </c>
      <c r="P374" s="74" t="str">
        <f>_xlfn.IFNA(VLOOKUP(db_emp[[#This Row],[Code_lvl]],[1]!db_lvl[[#All],[ID_level]:[Leveling Name]],2,0),"-")</f>
        <v>Senior Staff</v>
      </c>
      <c r="Q374" s="74" t="str">
        <f>_xlfn.IFNA(VLOOKUP(db_emp[[#This Row],[Code_site]],[1]!db_site[[ID_Site]:[Url_maps]],3,0),"-")</f>
        <v>Unit - ASHTA</v>
      </c>
      <c r="R3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160470,'Sri Adiyani','FIO','GNRAL','Fit Out Administration Staff','LV11','Mall &amp; Cinema','M04','Employee','2016-06-01','2025-10-24'</v>
      </c>
      <c r="S374" s="74">
        <f>db_emp[[#This Row],[NIP (UPDATE)]]</f>
        <v>160470</v>
      </c>
    </row>
    <row r="375" spans="2:19" hidden="1" x14ac:dyDescent="0.25">
      <c r="B375" s="75">
        <v>206</v>
      </c>
      <c r="C375" s="75">
        <v>140636</v>
      </c>
      <c r="D375" s="74" t="s">
        <v>1401</v>
      </c>
      <c r="E375" s="75" t="s">
        <v>1398</v>
      </c>
      <c r="F375" s="75" t="s">
        <v>971</v>
      </c>
      <c r="G375" s="74" t="s">
        <v>1402</v>
      </c>
      <c r="H375" s="75" t="s">
        <v>848</v>
      </c>
      <c r="I375" s="74" t="s">
        <v>849</v>
      </c>
      <c r="J375" s="75" t="s">
        <v>314</v>
      </c>
      <c r="K375" s="75" t="s">
        <v>850</v>
      </c>
      <c r="L375" s="76">
        <v>41792</v>
      </c>
      <c r="M375" s="77">
        <f t="shared" ca="1" si="11"/>
        <v>45954</v>
      </c>
      <c r="N375" s="74" t="str">
        <f>_xlfn.IFNA(VLOOKUP(db_emp[[#This Row],[ID_DIV]],[1]!db_dpt[[Code_dpt]:[Departement]],2,0),"-")</f>
        <v>Fit Out</v>
      </c>
      <c r="O375" s="74" t="str">
        <f>_xlfn.IFNA(VLOOKUP(db_emp[[#This Row],[ID_SDP]],[1]!db_div[[Code_div]:[Division]],2,0),"-")</f>
        <v>General Head Departement</v>
      </c>
      <c r="P375" s="74" t="str">
        <f>_xlfn.IFNA(VLOOKUP(db_emp[[#This Row],[Code_lvl]],[1]!db_lvl[[#All],[ID_level]:[Leveling Name]],2,0),"-")</f>
        <v>Assistant Manager</v>
      </c>
      <c r="Q375" s="74" t="str">
        <f>_xlfn.IFNA(VLOOKUP(db_emp[[#This Row],[Code_site]],[1]!db_site[[ID_Site]:[Url_maps]],3,0),"-")</f>
        <v>Unit - MOI</v>
      </c>
      <c r="R3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140636,'Rony Husain Muhammad I.','FIO','GNRAL','Fit Out Assistant Manager','LV07','Mall &amp; Cinema','M02','Employee','2014-06-02','2025-10-24'</v>
      </c>
      <c r="S375" s="74">
        <f>db_emp[[#This Row],[NIP (UPDATE)]]</f>
        <v>140636</v>
      </c>
    </row>
    <row r="376" spans="2:19" hidden="1" x14ac:dyDescent="0.25">
      <c r="B376" s="75">
        <v>207</v>
      </c>
      <c r="C376" s="75">
        <v>160136</v>
      </c>
      <c r="D376" s="74" t="s">
        <v>1403</v>
      </c>
      <c r="E376" s="75" t="s">
        <v>1398</v>
      </c>
      <c r="F376" s="75" t="s">
        <v>971</v>
      </c>
      <c r="G376" s="74" t="s">
        <v>1402</v>
      </c>
      <c r="H376" s="75" t="s">
        <v>848</v>
      </c>
      <c r="I376" s="74" t="s">
        <v>849</v>
      </c>
      <c r="J376" s="75" t="s">
        <v>314</v>
      </c>
      <c r="K376" s="75" t="s">
        <v>850</v>
      </c>
      <c r="L376" s="76">
        <v>42409</v>
      </c>
      <c r="M376" s="77">
        <f t="shared" ca="1" si="11"/>
        <v>45954</v>
      </c>
      <c r="N376" s="74" t="str">
        <f>_xlfn.IFNA(VLOOKUP(db_emp[[#This Row],[ID_DIV]],[1]!db_dpt[[Code_dpt]:[Departement]],2,0),"-")</f>
        <v>Fit Out</v>
      </c>
      <c r="O376" s="74" t="str">
        <f>_xlfn.IFNA(VLOOKUP(db_emp[[#This Row],[ID_SDP]],[1]!db_div[[Code_div]:[Division]],2,0),"-")</f>
        <v>General Head Departement</v>
      </c>
      <c r="P376" s="74" t="str">
        <f>_xlfn.IFNA(VLOOKUP(db_emp[[#This Row],[Code_lvl]],[1]!db_lvl[[#All],[ID_level]:[Leveling Name]],2,0),"-")</f>
        <v>Assistant Manager</v>
      </c>
      <c r="Q376" s="74" t="str">
        <f>_xlfn.IFNA(VLOOKUP(db_emp[[#This Row],[Code_site]],[1]!db_site[[ID_Site]:[Url_maps]],3,0),"-")</f>
        <v>Unit - MOI</v>
      </c>
      <c r="R3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160136,'Ari Syafari','FIO','GNRAL','Fit Out Assistant Manager','LV07','Mall &amp; Cinema','M02','Employee','2016-02-09','2025-10-24'</v>
      </c>
      <c r="S376" s="74">
        <f>db_emp[[#This Row],[NIP (UPDATE)]]</f>
        <v>160136</v>
      </c>
    </row>
    <row r="377" spans="2:19" hidden="1" x14ac:dyDescent="0.25">
      <c r="B377" s="75">
        <v>271</v>
      </c>
      <c r="C377" s="75">
        <v>242118</v>
      </c>
      <c r="D377" s="74" t="s">
        <v>1404</v>
      </c>
      <c r="E377" s="75" t="s">
        <v>1398</v>
      </c>
      <c r="F377" s="75" t="s">
        <v>971</v>
      </c>
      <c r="G377" s="74" t="s">
        <v>1402</v>
      </c>
      <c r="H377" s="75" t="s">
        <v>848</v>
      </c>
      <c r="I377" s="74" t="s">
        <v>849</v>
      </c>
      <c r="J377" s="75" t="s">
        <v>314</v>
      </c>
      <c r="K377" s="75" t="s">
        <v>903</v>
      </c>
      <c r="L377" s="76">
        <v>45621</v>
      </c>
      <c r="M377" s="77">
        <v>45868</v>
      </c>
      <c r="N377" s="74" t="str">
        <f>_xlfn.IFNA(VLOOKUP(db_emp[[#This Row],[ID_DIV]],[1]!db_dpt[[Code_dpt]:[Departement]],2,0),"-")</f>
        <v>Fit Out</v>
      </c>
      <c r="O377" s="74" t="str">
        <f>_xlfn.IFNA(VLOOKUP(db_emp[[#This Row],[ID_SDP]],[1]!db_div[[Code_div]:[Division]],2,0),"-")</f>
        <v>General Head Departement</v>
      </c>
      <c r="P377" s="74" t="str">
        <f>_xlfn.IFNA(VLOOKUP(db_emp[[#This Row],[Code_lvl]],[1]!db_lvl[[#All],[ID_level]:[Leveling Name]],2,0),"-")</f>
        <v>Assistant Manager</v>
      </c>
      <c r="Q377" s="74" t="str">
        <f>_xlfn.IFNA(VLOOKUP(db_emp[[#This Row],[Code_site]],[1]!db_site[[ID_Site]:[Url_maps]],3,0),"-")</f>
        <v>Unit - MOI</v>
      </c>
      <c r="R377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242118,'Ahmad Putra Wijaya','FIO','GNRAL','Fit Out Assistant Manager','LV07','Mall &amp; Cinema','M02','Resign','2024-11-25','2025-07-30'</v>
      </c>
      <c r="S377" s="74">
        <f>db_emp[[#This Row],[NIP (UPDATE)]]</f>
        <v>242118</v>
      </c>
    </row>
    <row r="378" spans="2:19" hidden="1" x14ac:dyDescent="0.25">
      <c r="B378" s="75">
        <v>347</v>
      </c>
      <c r="C378" s="75">
        <v>160854</v>
      </c>
      <c r="D378" s="74" t="s">
        <v>1405</v>
      </c>
      <c r="E378" s="75" t="s">
        <v>1398</v>
      </c>
      <c r="F378" s="75" t="s">
        <v>971</v>
      </c>
      <c r="G378" s="74" t="s">
        <v>1402</v>
      </c>
      <c r="H378" s="75" t="s">
        <v>848</v>
      </c>
      <c r="I378" s="74" t="s">
        <v>849</v>
      </c>
      <c r="J378" s="75" t="s">
        <v>484</v>
      </c>
      <c r="K378" s="75" t="s">
        <v>862</v>
      </c>
      <c r="L378" s="76">
        <v>42675</v>
      </c>
      <c r="M378" s="77">
        <f t="shared" ref="M378:M409" ca="1" si="12">TODAY()+1</f>
        <v>45954</v>
      </c>
      <c r="N378" s="74" t="str">
        <f>_xlfn.IFNA(VLOOKUP(db_emp[[#This Row],[ID_DIV]],[1]!db_dpt[[Code_dpt]:[Departement]],2,0),"-")</f>
        <v>Fit Out</v>
      </c>
      <c r="O378" s="74" t="str">
        <f>_xlfn.IFNA(VLOOKUP(db_emp[[#This Row],[ID_SDP]],[1]!db_div[[Code_div]:[Division]],2,0),"-")</f>
        <v>General Head Departement</v>
      </c>
      <c r="P378" s="74" t="str">
        <f>_xlfn.IFNA(VLOOKUP(db_emp[[#This Row],[Code_lvl]],[1]!db_lvl[[#All],[ID_level]:[Leveling Name]],2,0),"-")</f>
        <v>Assistant Manager</v>
      </c>
      <c r="Q378" s="74" t="str">
        <f>_xlfn.IFNA(VLOOKUP(db_emp[[#This Row],[Code_site]],[1]!db_site[[ID_Site]:[Url_maps]],3,0),"-")</f>
        <v>Unit - PIK Avenue</v>
      </c>
      <c r="R3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160854,'Lidya','FIO','GNRAL','Fit Out Assistant Manager','LV07','Mall &amp; Cinema','M01','Not Employee','2016-11-01','2025-10-24'</v>
      </c>
      <c r="S378" s="74">
        <f>db_emp[[#This Row],[NIP (UPDATE)]]</f>
        <v>160854</v>
      </c>
    </row>
    <row r="379" spans="2:19" hidden="1" x14ac:dyDescent="0.25">
      <c r="B379" s="75">
        <v>208</v>
      </c>
      <c r="C379" s="75">
        <v>190620</v>
      </c>
      <c r="D379" s="74" t="s">
        <v>1406</v>
      </c>
      <c r="E379" s="75" t="s">
        <v>1398</v>
      </c>
      <c r="F379" s="75" t="s">
        <v>971</v>
      </c>
      <c r="G379" s="74" t="s">
        <v>1407</v>
      </c>
      <c r="H379" s="75" t="s">
        <v>973</v>
      </c>
      <c r="I379" s="74" t="s">
        <v>849</v>
      </c>
      <c r="J379" s="75" t="s">
        <v>314</v>
      </c>
      <c r="K379" s="75" t="s">
        <v>850</v>
      </c>
      <c r="L379" s="76">
        <v>43661</v>
      </c>
      <c r="M379" s="77">
        <f t="shared" ca="1" si="12"/>
        <v>45954</v>
      </c>
      <c r="N379" s="74" t="str">
        <f>_xlfn.IFNA(VLOOKUP(db_emp[[#This Row],[ID_DIV]],[1]!db_dpt[[Code_dpt]:[Departement]],2,0),"-")</f>
        <v>Fit Out</v>
      </c>
      <c r="O379" s="74" t="str">
        <f>_xlfn.IFNA(VLOOKUP(db_emp[[#This Row],[ID_SDP]],[1]!db_div[[Code_div]:[Division]],2,0),"-")</f>
        <v>General Head Departement</v>
      </c>
      <c r="P379" s="74" t="str">
        <f>_xlfn.IFNA(VLOOKUP(db_emp[[#This Row],[Code_lvl]],[1]!db_lvl[[#All],[ID_level]:[Leveling Name]],2,0),"-")</f>
        <v>General Manager</v>
      </c>
      <c r="Q379" s="74" t="str">
        <f>_xlfn.IFNA(VLOOKUP(db_emp[[#This Row],[Code_site]],[1]!db_site[[ID_Site]:[Url_maps]],3,0),"-")</f>
        <v>Unit - MOI</v>
      </c>
      <c r="R3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190620,'Ramadhani Budiman, ST','FIO','GNRAL','Fit Out General Manager','LV02','Mall &amp; Cinema','M02','Employee','2019-07-15','2025-10-24'</v>
      </c>
      <c r="S379" s="74">
        <f>db_emp[[#This Row],[NIP (UPDATE)]]</f>
        <v>190620</v>
      </c>
    </row>
    <row r="380" spans="2:19" hidden="1" x14ac:dyDescent="0.25">
      <c r="B380" s="75">
        <v>209</v>
      </c>
      <c r="C380" s="75">
        <v>190230</v>
      </c>
      <c r="D380" s="74" t="s">
        <v>1408</v>
      </c>
      <c r="E380" s="75" t="s">
        <v>1398</v>
      </c>
      <c r="F380" s="75" t="s">
        <v>971</v>
      </c>
      <c r="G380" s="74" t="s">
        <v>1409</v>
      </c>
      <c r="H380" s="75" t="s">
        <v>953</v>
      </c>
      <c r="I380" s="74" t="s">
        <v>849</v>
      </c>
      <c r="J380" s="75" t="s">
        <v>314</v>
      </c>
      <c r="K380" s="75" t="s">
        <v>850</v>
      </c>
      <c r="L380" s="76">
        <v>43525</v>
      </c>
      <c r="M380" s="77">
        <f t="shared" ca="1" si="12"/>
        <v>45954</v>
      </c>
      <c r="N380" s="74" t="str">
        <f>_xlfn.IFNA(VLOOKUP(db_emp[[#This Row],[ID_DIV]],[1]!db_dpt[[Code_dpt]:[Departement]],2,0),"-")</f>
        <v>Fit Out</v>
      </c>
      <c r="O380" s="74" t="str">
        <f>_xlfn.IFNA(VLOOKUP(db_emp[[#This Row],[ID_SDP]],[1]!db_div[[Code_div]:[Division]],2,0),"-")</f>
        <v>General Head Departement</v>
      </c>
      <c r="P380" s="74" t="str">
        <f>_xlfn.IFNA(VLOOKUP(db_emp[[#This Row],[Code_lvl]],[1]!db_lvl[[#All],[ID_level]:[Leveling Name]],2,0),"-")</f>
        <v>Manager</v>
      </c>
      <c r="Q380" s="74" t="str">
        <f>_xlfn.IFNA(VLOOKUP(db_emp[[#This Row],[Code_site]],[1]!db_site[[ID_Site]:[Url_maps]],3,0),"-")</f>
        <v>Unit - MOI</v>
      </c>
      <c r="R3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190230,'Mosa Abidharma','FIO','GNRAL','Fit Out Manager','LV05','Mall &amp; Cinema','M02','Employee','2019-03-01','2025-10-24'</v>
      </c>
      <c r="S380" s="74">
        <f>db_emp[[#This Row],[NIP (UPDATE)]]</f>
        <v>190230</v>
      </c>
    </row>
    <row r="381" spans="2:19" hidden="1" x14ac:dyDescent="0.25">
      <c r="B381" s="75">
        <v>210</v>
      </c>
      <c r="C381" s="75">
        <v>160413</v>
      </c>
      <c r="D381" s="74" t="s">
        <v>1410</v>
      </c>
      <c r="E381" s="75" t="s">
        <v>1398</v>
      </c>
      <c r="F381" s="75" t="s">
        <v>971</v>
      </c>
      <c r="G381" s="74" t="s">
        <v>1409</v>
      </c>
      <c r="H381" s="75" t="s">
        <v>953</v>
      </c>
      <c r="I381" s="74" t="s">
        <v>849</v>
      </c>
      <c r="J381" s="75" t="s">
        <v>314</v>
      </c>
      <c r="K381" s="75" t="s">
        <v>850</v>
      </c>
      <c r="L381" s="76">
        <v>42499</v>
      </c>
      <c r="M381" s="77">
        <f t="shared" ca="1" si="12"/>
        <v>45954</v>
      </c>
      <c r="N381" s="74" t="str">
        <f>_xlfn.IFNA(VLOOKUP(db_emp[[#This Row],[ID_DIV]],[1]!db_dpt[[Code_dpt]:[Departement]],2,0),"-")</f>
        <v>Fit Out</v>
      </c>
      <c r="O381" s="74" t="str">
        <f>_xlfn.IFNA(VLOOKUP(db_emp[[#This Row],[ID_SDP]],[1]!db_div[[Code_div]:[Division]],2,0),"-")</f>
        <v>General Head Departement</v>
      </c>
      <c r="P381" s="74" t="str">
        <f>_xlfn.IFNA(VLOOKUP(db_emp[[#This Row],[Code_lvl]],[1]!db_lvl[[#All],[ID_level]:[Leveling Name]],2,0),"-")</f>
        <v>Manager</v>
      </c>
      <c r="Q381" s="74" t="str">
        <f>_xlfn.IFNA(VLOOKUP(db_emp[[#This Row],[Code_site]],[1]!db_site[[ID_Site]:[Url_maps]],3,0),"-")</f>
        <v>Unit - MOI</v>
      </c>
      <c r="R3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160413,'Margaretha Rani Astuti','FIO','GNRAL','Fit Out Manager','LV05','Mall &amp; Cinema','M02','Employee','2016-05-09','2025-10-24'</v>
      </c>
      <c r="S381" s="74">
        <f>db_emp[[#This Row],[NIP (UPDATE)]]</f>
        <v>160413</v>
      </c>
    </row>
    <row r="382" spans="2:19" hidden="1" x14ac:dyDescent="0.25">
      <c r="B382" s="75">
        <v>455</v>
      </c>
      <c r="C382" s="75">
        <v>150670</v>
      </c>
      <c r="D382" s="74" t="s">
        <v>1411</v>
      </c>
      <c r="E382" s="75" t="s">
        <v>1398</v>
      </c>
      <c r="F382" s="75" t="s">
        <v>971</v>
      </c>
      <c r="G382" s="74" t="s">
        <v>1412</v>
      </c>
      <c r="H382" s="75" t="s">
        <v>968</v>
      </c>
      <c r="I382" s="74" t="s">
        <v>849</v>
      </c>
      <c r="J382" s="75" t="s">
        <v>490</v>
      </c>
      <c r="K382" s="75" t="s">
        <v>850</v>
      </c>
      <c r="L382" s="76">
        <v>42220</v>
      </c>
      <c r="M382" s="77">
        <f t="shared" ca="1" si="12"/>
        <v>45954</v>
      </c>
      <c r="N382" s="74" t="str">
        <f>_xlfn.IFNA(VLOOKUP(db_emp[[#This Row],[ID_DIV]],[1]!db_dpt[[Code_dpt]:[Departement]],2,0),"-")</f>
        <v>Fit Out</v>
      </c>
      <c r="O382" s="74" t="str">
        <f>_xlfn.IFNA(VLOOKUP(db_emp[[#This Row],[ID_SDP]],[1]!db_div[[Code_div]:[Division]],2,0),"-")</f>
        <v>General Head Departement</v>
      </c>
      <c r="P382" s="74" t="str">
        <f>_xlfn.IFNA(VLOOKUP(db_emp[[#This Row],[Code_lvl]],[1]!db_lvl[[#All],[ID_level]:[Leveling Name]],2,0),"-")</f>
        <v>Senior Manager</v>
      </c>
      <c r="Q382" s="74" t="str">
        <f>_xlfn.IFNA(VLOOKUP(db_emp[[#This Row],[Code_site]],[1]!db_site[[ID_Site]:[Url_maps]],3,0),"-")</f>
        <v>Unit - ASHTA</v>
      </c>
      <c r="R3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150670,'Margaretha Yulien','FIO','GNRAL','Fit Out Senior Manager','LV04','Mall &amp; Cinema','M04','Employee','2015-08-04','2025-10-24'</v>
      </c>
      <c r="S382" s="74">
        <f>db_emp[[#This Row],[NIP (UPDATE)]]</f>
        <v>150670</v>
      </c>
    </row>
    <row r="383" spans="2:19" hidden="1" x14ac:dyDescent="0.25">
      <c r="B383" s="75">
        <v>675</v>
      </c>
      <c r="C383" s="75">
        <v>210847</v>
      </c>
      <c r="D383" s="74" t="s">
        <v>1413</v>
      </c>
      <c r="E383" s="75" t="s">
        <v>1398</v>
      </c>
      <c r="F383" s="75" t="s">
        <v>971</v>
      </c>
      <c r="G383" s="74" t="s">
        <v>1414</v>
      </c>
      <c r="H383" s="75" t="s">
        <v>853</v>
      </c>
      <c r="I383" s="74" t="s">
        <v>864</v>
      </c>
      <c r="J383" s="75" t="s">
        <v>501</v>
      </c>
      <c r="K383" s="75" t="s">
        <v>850</v>
      </c>
      <c r="L383" s="76"/>
      <c r="M383" s="77">
        <f t="shared" ca="1" si="12"/>
        <v>45954</v>
      </c>
      <c r="N383" s="74" t="str">
        <f>_xlfn.IFNA(VLOOKUP(db_emp[[#This Row],[ID_DIV]],[1]!db_dpt[[Code_dpt]:[Departement]],2,0),"-")</f>
        <v>Fit Out</v>
      </c>
      <c r="O383" s="74" t="str">
        <f>_xlfn.IFNA(VLOOKUP(db_emp[[#This Row],[ID_SDP]],[1]!db_div[[Code_div]:[Division]],2,0),"-")</f>
        <v>General Head Departement</v>
      </c>
      <c r="P383" s="74" t="str">
        <f>_xlfn.IFNA(VLOOKUP(db_emp[[#This Row],[Code_lvl]],[1]!db_lvl[[#All],[ID_level]:[Leveling Name]],2,0),"-")</f>
        <v>Staff</v>
      </c>
      <c r="Q383" s="74" t="str">
        <f>_xlfn.IFNA(VLOOKUP(db_emp[[#This Row],[Code_site]],[1]!db_site[[ID_Site]:[Url_maps]],3,0),"-")</f>
        <v>Unit - District 8</v>
      </c>
      <c r="R3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210847,'Farida Ismail','FIO','GNRAL','Fit Out Staff','LV12','Corp. Supporting Property (POM)','OD8','Employee','1900-01-00','2025-10-24'</v>
      </c>
      <c r="S383" s="74">
        <f>db_emp[[#This Row],[NIP (UPDATE)]]</f>
        <v>210847</v>
      </c>
    </row>
    <row r="384" spans="2:19" hidden="1" x14ac:dyDescent="0.25">
      <c r="B384" s="75">
        <v>245</v>
      </c>
      <c r="C384" s="75">
        <v>240419</v>
      </c>
      <c r="D384" s="74" t="s">
        <v>1415</v>
      </c>
      <c r="E384" s="75" t="s">
        <v>1398</v>
      </c>
      <c r="F384" s="75" t="s">
        <v>971</v>
      </c>
      <c r="G384" s="74" t="s">
        <v>1416</v>
      </c>
      <c r="H384" s="75" t="s">
        <v>870</v>
      </c>
      <c r="I384" s="74" t="s">
        <v>849</v>
      </c>
      <c r="J384" s="75" t="s">
        <v>314</v>
      </c>
      <c r="K384" s="75" t="s">
        <v>850</v>
      </c>
      <c r="L384" s="76">
        <v>45352</v>
      </c>
      <c r="M384" s="77">
        <f t="shared" ca="1" si="12"/>
        <v>45954</v>
      </c>
      <c r="N384" s="74" t="str">
        <f>_xlfn.IFNA(VLOOKUP(db_emp[[#This Row],[ID_DIV]],[1]!db_dpt[[Code_dpt]:[Departement]],2,0),"-")</f>
        <v>Fit Out</v>
      </c>
      <c r="O384" s="74" t="str">
        <f>_xlfn.IFNA(VLOOKUP(db_emp[[#This Row],[ID_SDP]],[1]!db_div[[Code_div]:[Division]],2,0),"-")</f>
        <v>General Head Departement</v>
      </c>
      <c r="P384" s="74" t="str">
        <f>_xlfn.IFNA(VLOOKUP(db_emp[[#This Row],[Code_lvl]],[1]!db_lvl[[#All],[ID_level]:[Leveling Name]],2,0),"-")</f>
        <v>Supervisor</v>
      </c>
      <c r="Q384" s="74" t="str">
        <f>_xlfn.IFNA(VLOOKUP(db_emp[[#This Row],[Code_site]],[1]!db_site[[ID_Site]:[Url_maps]],3,0),"-")</f>
        <v>Unit - MOI</v>
      </c>
      <c r="R3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240419,'Aprilani Dwi Astuti','FIO','GNRAL','Fit Out Supervisor','LV09','Mall &amp; Cinema','M02','Employee','2024-03-01','2025-10-24'</v>
      </c>
      <c r="S384" s="74">
        <f>db_emp[[#This Row],[NIP (UPDATE)]]</f>
        <v>240419</v>
      </c>
    </row>
    <row r="385" spans="2:19" hidden="1" x14ac:dyDescent="0.25">
      <c r="B385" s="75">
        <v>356</v>
      </c>
      <c r="C385" s="75">
        <v>230093</v>
      </c>
      <c r="D385" s="74" t="s">
        <v>1417</v>
      </c>
      <c r="E385" s="75" t="s">
        <v>1398</v>
      </c>
      <c r="F385" s="75" t="s">
        <v>971</v>
      </c>
      <c r="G385" s="74" t="s">
        <v>1416</v>
      </c>
      <c r="H385" s="75" t="s">
        <v>870</v>
      </c>
      <c r="I385" s="74" t="s">
        <v>486</v>
      </c>
      <c r="J385" s="75" t="s">
        <v>492</v>
      </c>
      <c r="K385" s="75" t="s">
        <v>850</v>
      </c>
      <c r="L385" s="76">
        <v>44958</v>
      </c>
      <c r="M385" s="77">
        <f t="shared" ca="1" si="12"/>
        <v>45954</v>
      </c>
      <c r="N385" s="74" t="str">
        <f>_xlfn.IFNA(VLOOKUP(db_emp[[#This Row],[ID_DIV]],[1]!db_dpt[[Code_dpt]:[Departement]],2,0),"-")</f>
        <v>Fit Out</v>
      </c>
      <c r="O385" s="74" t="str">
        <f>_xlfn.IFNA(VLOOKUP(db_emp[[#This Row],[ID_SDP]],[1]!db_div[[Code_div]:[Division]],2,0),"-")</f>
        <v>General Head Departement</v>
      </c>
      <c r="P385" s="74" t="str">
        <f>_xlfn.IFNA(VLOOKUP(db_emp[[#This Row],[Code_lvl]],[1]!db_lvl[[#All],[ID_level]:[Leveling Name]],2,0),"-")</f>
        <v>Supervisor</v>
      </c>
      <c r="Q385" s="74" t="str">
        <f>_xlfn.IFNA(VLOOKUP(db_emp[[#This Row],[Code_site]],[1]!db_site[[ID_Site]:[Url_maps]],3,0),"-")</f>
        <v>Unit - Hublife</v>
      </c>
      <c r="R3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230093,'Vensensya','FIO','GNRAL','Fit Out Supervisor','LV09','Mall','M05','Employee','2023-02-01','2025-10-24'</v>
      </c>
      <c r="S385" s="74">
        <f>db_emp[[#This Row],[NIP (UPDATE)]]</f>
        <v>230093</v>
      </c>
    </row>
    <row r="386" spans="2:19" hidden="1" x14ac:dyDescent="0.25">
      <c r="B386" s="75">
        <v>357</v>
      </c>
      <c r="C386" s="75">
        <v>250042</v>
      </c>
      <c r="D386" s="74" t="s">
        <v>1418</v>
      </c>
      <c r="E386" s="75" t="s">
        <v>1398</v>
      </c>
      <c r="F386" s="75" t="s">
        <v>971</v>
      </c>
      <c r="G386" s="74" t="s">
        <v>1416</v>
      </c>
      <c r="H386" s="75" t="s">
        <v>870</v>
      </c>
      <c r="I386" s="74" t="s">
        <v>486</v>
      </c>
      <c r="J386" s="75" t="s">
        <v>492</v>
      </c>
      <c r="K386" s="75" t="s">
        <v>850</v>
      </c>
      <c r="L386" s="76">
        <v>45670</v>
      </c>
      <c r="M386" s="77">
        <f t="shared" ca="1" si="12"/>
        <v>45954</v>
      </c>
      <c r="N386" s="74" t="str">
        <f>_xlfn.IFNA(VLOOKUP(db_emp[[#This Row],[ID_DIV]],[1]!db_dpt[[Code_dpt]:[Departement]],2,0),"-")</f>
        <v>Fit Out</v>
      </c>
      <c r="O386" s="74" t="str">
        <f>_xlfn.IFNA(VLOOKUP(db_emp[[#This Row],[ID_SDP]],[1]!db_div[[Code_div]:[Division]],2,0),"-")</f>
        <v>General Head Departement</v>
      </c>
      <c r="P386" s="74" t="str">
        <f>_xlfn.IFNA(VLOOKUP(db_emp[[#This Row],[Code_lvl]],[1]!db_lvl[[#All],[ID_level]:[Leveling Name]],2,0),"-")</f>
        <v>Supervisor</v>
      </c>
      <c r="Q386" s="74" t="str">
        <f>_xlfn.IFNA(VLOOKUP(db_emp[[#This Row],[Code_site]],[1]!db_site[[ID_Site]:[Url_maps]],3,0),"-")</f>
        <v>Unit - Hublife</v>
      </c>
      <c r="R3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250042,'Febriandita Ramadhan Nugraha Putra','FIO','GNRAL','Fit Out Supervisor','LV09','Mall','M05','Employee','2025-01-13','2025-10-24'</v>
      </c>
      <c r="S386" s="74">
        <f>db_emp[[#This Row],[NIP (UPDATE)]]</f>
        <v>250042</v>
      </c>
    </row>
    <row r="387" spans="2:19" hidden="1" x14ac:dyDescent="0.25">
      <c r="B387" s="75">
        <v>451</v>
      </c>
      <c r="C387" s="75">
        <v>221317</v>
      </c>
      <c r="D387" s="74" t="s">
        <v>1419</v>
      </c>
      <c r="E387" s="75" t="s">
        <v>1398</v>
      </c>
      <c r="F387" s="75" t="s">
        <v>971</v>
      </c>
      <c r="G387" s="74" t="s">
        <v>1416</v>
      </c>
      <c r="H387" s="75" t="s">
        <v>870</v>
      </c>
      <c r="I387" s="74" t="s">
        <v>849</v>
      </c>
      <c r="J387" s="75" t="s">
        <v>490</v>
      </c>
      <c r="K387" s="75" t="s">
        <v>850</v>
      </c>
      <c r="L387" s="76">
        <v>44805</v>
      </c>
      <c r="M387" s="77">
        <f t="shared" ca="1" si="12"/>
        <v>45954</v>
      </c>
      <c r="N387" s="74" t="str">
        <f>_xlfn.IFNA(VLOOKUP(db_emp[[#This Row],[ID_DIV]],[1]!db_dpt[[Code_dpt]:[Departement]],2,0),"-")</f>
        <v>Fit Out</v>
      </c>
      <c r="O387" s="74" t="str">
        <f>_xlfn.IFNA(VLOOKUP(db_emp[[#This Row],[ID_SDP]],[1]!db_div[[Code_div]:[Division]],2,0),"-")</f>
        <v>General Head Departement</v>
      </c>
      <c r="P387" s="74" t="str">
        <f>_xlfn.IFNA(VLOOKUP(db_emp[[#This Row],[Code_lvl]],[1]!db_lvl[[#All],[ID_level]:[Leveling Name]],2,0),"-")</f>
        <v>Supervisor</v>
      </c>
      <c r="Q387" s="74" t="str">
        <f>_xlfn.IFNA(VLOOKUP(db_emp[[#This Row],[Code_site]],[1]!db_site[[ID_Site]:[Url_maps]],3,0),"-")</f>
        <v>Unit - ASHTA</v>
      </c>
      <c r="R3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221317,'Harris Setiawan','FIO','GNRAL','Fit Out Supervisor','LV09','Mall &amp; Cinema','M04','Employee','2022-09-01','2025-10-24'</v>
      </c>
      <c r="S387" s="74">
        <f>db_emp[[#This Row],[NIP (UPDATE)]]</f>
        <v>221317</v>
      </c>
    </row>
    <row r="388" spans="2:19" hidden="1" x14ac:dyDescent="0.25">
      <c r="B388" s="75">
        <v>460</v>
      </c>
      <c r="C388" s="75">
        <v>170808</v>
      </c>
      <c r="D388" s="74" t="s">
        <v>1420</v>
      </c>
      <c r="E388" s="75" t="s">
        <v>1398</v>
      </c>
      <c r="F388" s="75" t="s">
        <v>971</v>
      </c>
      <c r="G388" s="74" t="s">
        <v>1416</v>
      </c>
      <c r="H388" s="75" t="s">
        <v>870</v>
      </c>
      <c r="I388" s="74" t="s">
        <v>849</v>
      </c>
      <c r="J388" s="75" t="s">
        <v>490</v>
      </c>
      <c r="K388" s="75" t="s">
        <v>903</v>
      </c>
      <c r="L388" s="76">
        <v>42982</v>
      </c>
      <c r="M388" s="77">
        <f t="shared" ca="1" si="12"/>
        <v>45954</v>
      </c>
      <c r="N388" s="74" t="str">
        <f>_xlfn.IFNA(VLOOKUP(db_emp[[#This Row],[ID_DIV]],[1]!db_dpt[[Code_dpt]:[Departement]],2,0),"-")</f>
        <v>Fit Out</v>
      </c>
      <c r="O388" s="74" t="str">
        <f>_xlfn.IFNA(VLOOKUP(db_emp[[#This Row],[ID_SDP]],[1]!db_div[[Code_div]:[Division]],2,0),"-")</f>
        <v>General Head Departement</v>
      </c>
      <c r="P388" s="74" t="str">
        <f>_xlfn.IFNA(VLOOKUP(db_emp[[#This Row],[Code_lvl]],[1]!db_lvl[[#All],[ID_level]:[Leveling Name]],2,0),"-")</f>
        <v>Supervisor</v>
      </c>
      <c r="Q388" s="74" t="str">
        <f>_xlfn.IFNA(VLOOKUP(db_emp[[#This Row],[Code_site]],[1]!db_site[[ID_Site]:[Url_maps]],3,0),"-")</f>
        <v>Unit - ASHTA</v>
      </c>
      <c r="R3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170808,'Reza Fauzi','FIO','GNRAL','Fit Out Supervisor','LV09','Mall &amp; Cinema','M04','Resign','2017-09-04','2025-10-24'</v>
      </c>
      <c r="S388" s="74">
        <f>db_emp[[#This Row],[NIP (UPDATE)]]</f>
        <v>170808</v>
      </c>
    </row>
    <row r="389" spans="2:19" hidden="1" x14ac:dyDescent="0.25">
      <c r="B389" s="75">
        <v>461</v>
      </c>
      <c r="C389" s="75">
        <v>181139</v>
      </c>
      <c r="D389" s="74" t="s">
        <v>1421</v>
      </c>
      <c r="E389" s="75" t="s">
        <v>1398</v>
      </c>
      <c r="F389" s="75" t="s">
        <v>971</v>
      </c>
      <c r="G389" s="74" t="s">
        <v>1416</v>
      </c>
      <c r="H389" s="75" t="s">
        <v>870</v>
      </c>
      <c r="I389" s="74" t="s">
        <v>849</v>
      </c>
      <c r="J389" s="75" t="s">
        <v>490</v>
      </c>
      <c r="K389" s="75" t="s">
        <v>850</v>
      </c>
      <c r="L389" s="76">
        <v>43346</v>
      </c>
      <c r="M389" s="77">
        <f t="shared" ca="1" si="12"/>
        <v>45954</v>
      </c>
      <c r="N389" s="74" t="str">
        <f>_xlfn.IFNA(VLOOKUP(db_emp[[#This Row],[ID_DIV]],[1]!db_dpt[[Code_dpt]:[Departement]],2,0),"-")</f>
        <v>Fit Out</v>
      </c>
      <c r="O389" s="74" t="str">
        <f>_xlfn.IFNA(VLOOKUP(db_emp[[#This Row],[ID_SDP]],[1]!db_div[[Code_div]:[Division]],2,0),"-")</f>
        <v>General Head Departement</v>
      </c>
      <c r="P389" s="74" t="str">
        <f>_xlfn.IFNA(VLOOKUP(db_emp[[#This Row],[Code_lvl]],[1]!db_lvl[[#All],[ID_level]:[Leveling Name]],2,0),"-")</f>
        <v>Supervisor</v>
      </c>
      <c r="Q389" s="74" t="str">
        <f>_xlfn.IFNA(VLOOKUP(db_emp[[#This Row],[Code_site]],[1]!db_site[[ID_Site]:[Url_maps]],3,0),"-")</f>
        <v>Unit - ASHTA</v>
      </c>
      <c r="R3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181139,'Sehat Rezeki Sianipar','FIO','GNRAL','Fit Out Supervisor','LV09','Mall &amp; Cinema','M04','Employee','2018-09-03','2025-10-24'</v>
      </c>
      <c r="S389" s="74">
        <f>db_emp[[#This Row],[NIP (UPDATE)]]</f>
        <v>181139</v>
      </c>
    </row>
    <row r="390" spans="2:19" hidden="1" x14ac:dyDescent="0.25">
      <c r="B390" s="75">
        <v>469</v>
      </c>
      <c r="C390" s="75">
        <v>240381</v>
      </c>
      <c r="D390" s="74" t="s">
        <v>1422</v>
      </c>
      <c r="E390" s="75" t="s">
        <v>1398</v>
      </c>
      <c r="F390" s="75" t="s">
        <v>971</v>
      </c>
      <c r="G390" s="74" t="s">
        <v>1416</v>
      </c>
      <c r="H390" s="75" t="s">
        <v>870</v>
      </c>
      <c r="I390" s="74" t="s">
        <v>849</v>
      </c>
      <c r="J390" s="75" t="s">
        <v>490</v>
      </c>
      <c r="K390" s="75" t="s">
        <v>850</v>
      </c>
      <c r="L390" s="76">
        <v>45348</v>
      </c>
      <c r="M390" s="77">
        <f t="shared" ca="1" si="12"/>
        <v>45954</v>
      </c>
      <c r="N390" s="74" t="str">
        <f>_xlfn.IFNA(VLOOKUP(db_emp[[#This Row],[ID_DIV]],[1]!db_dpt[[Code_dpt]:[Departement]],2,0),"-")</f>
        <v>Fit Out</v>
      </c>
      <c r="O390" s="74" t="str">
        <f>_xlfn.IFNA(VLOOKUP(db_emp[[#This Row],[ID_SDP]],[1]!db_div[[Code_div]:[Division]],2,0),"-")</f>
        <v>General Head Departement</v>
      </c>
      <c r="P390" s="74" t="str">
        <f>_xlfn.IFNA(VLOOKUP(db_emp[[#This Row],[Code_lvl]],[1]!db_lvl[[#All],[ID_level]:[Leveling Name]],2,0),"-")</f>
        <v>Supervisor</v>
      </c>
      <c r="Q390" s="74" t="str">
        <f>_xlfn.IFNA(VLOOKUP(db_emp[[#This Row],[Code_site]],[1]!db_site[[ID_Site]:[Url_maps]],3,0),"-")</f>
        <v>Unit - ASHTA</v>
      </c>
      <c r="R3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240381,'Ceria Thalia Sumanti','FIO','GNRAL','Fit Out Supervisor','LV09','Mall &amp; Cinema','M04','Employee','2024-02-26','2025-10-24'</v>
      </c>
      <c r="S390" s="74">
        <f>db_emp[[#This Row],[NIP (UPDATE)]]</f>
        <v>240381</v>
      </c>
    </row>
    <row r="391" spans="2:19" hidden="1" x14ac:dyDescent="0.25">
      <c r="B391" s="75">
        <v>546</v>
      </c>
      <c r="C391" s="75">
        <v>240595</v>
      </c>
      <c r="D391" s="74" t="s">
        <v>1423</v>
      </c>
      <c r="E391" s="75" t="s">
        <v>911</v>
      </c>
      <c r="F391" s="75" t="s">
        <v>1424</v>
      </c>
      <c r="G391" s="74" t="s">
        <v>1416</v>
      </c>
      <c r="H391" s="75" t="s">
        <v>870</v>
      </c>
      <c r="I391" s="74" t="s">
        <v>864</v>
      </c>
      <c r="J391" s="75" t="s">
        <v>446</v>
      </c>
      <c r="K391" s="75" t="s">
        <v>850</v>
      </c>
      <c r="L391" s="76">
        <v>45371</v>
      </c>
      <c r="M391" s="77">
        <f t="shared" ca="1" si="12"/>
        <v>45954</v>
      </c>
      <c r="N391" s="74" t="str">
        <f>_xlfn.IFNA(VLOOKUP(db_emp[[#This Row],[ID_DIV]],[1]!db_dpt[[Code_dpt]:[Departement]],2,0),"-")</f>
        <v>Engineering</v>
      </c>
      <c r="O391" s="74" t="str">
        <f>_xlfn.IFNA(VLOOKUP(db_emp[[#This Row],[ID_SDP]],[1]!db_div[[Code_div]:[Division]],2,0),"-")</f>
        <v>Fit Out</v>
      </c>
      <c r="P391" s="74" t="str">
        <f>_xlfn.IFNA(VLOOKUP(db_emp[[#This Row],[Code_lvl]],[1]!db_lvl[[#All],[ID_level]:[Leveling Name]],2,0),"-")</f>
        <v>Supervisor</v>
      </c>
      <c r="Q391" s="74" t="str">
        <f>_xlfn.IFNA(VLOOKUP(db_emp[[#This Row],[Code_site]],[1]!db_site[[ID_Site]:[Url_maps]],3,0),"-")</f>
        <v>Unit - Menara Jakarta POM</v>
      </c>
      <c r="R3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240595,'Valencia Vanessa','ENG','FTOUT','Fit Out Supervisor','LV09','Corp. Supporting Property (POM)','A03','Employee','2024-03-20','2025-10-24'</v>
      </c>
      <c r="S391" s="74">
        <f>db_emp[[#This Row],[NIP (UPDATE)]]</f>
        <v>240595</v>
      </c>
    </row>
    <row r="392" spans="2:19" hidden="1" x14ac:dyDescent="0.25">
      <c r="B392" s="75">
        <v>562</v>
      </c>
      <c r="C392" s="75">
        <v>240082</v>
      </c>
      <c r="D392" s="74" t="s">
        <v>1425</v>
      </c>
      <c r="E392" s="75" t="s">
        <v>911</v>
      </c>
      <c r="F392" s="75" t="s">
        <v>1424</v>
      </c>
      <c r="G392" s="74" t="s">
        <v>1416</v>
      </c>
      <c r="H392" s="75" t="s">
        <v>870</v>
      </c>
      <c r="I392" s="74" t="s">
        <v>864</v>
      </c>
      <c r="J392" s="75" t="s">
        <v>433</v>
      </c>
      <c r="K392" s="75" t="s">
        <v>850</v>
      </c>
      <c r="L392" s="76">
        <v>43504</v>
      </c>
      <c r="M392" s="77">
        <f t="shared" ca="1" si="12"/>
        <v>45954</v>
      </c>
      <c r="N392" s="74" t="str">
        <f>_xlfn.IFNA(VLOOKUP(db_emp[[#This Row],[ID_DIV]],[1]!db_dpt[[Code_dpt]:[Departement]],2,0),"-")</f>
        <v>Engineering</v>
      </c>
      <c r="O392" s="74" t="str">
        <f>_xlfn.IFNA(VLOOKUP(db_emp[[#This Row],[ID_SDP]],[1]!db_div[[Code_div]:[Division]],2,0),"-")</f>
        <v>Fit Out</v>
      </c>
      <c r="P392" s="74" t="str">
        <f>_xlfn.IFNA(VLOOKUP(db_emp[[#This Row],[Code_lvl]],[1]!db_lvl[[#All],[ID_level]:[Leveling Name]],2,0),"-")</f>
        <v>Supervisor</v>
      </c>
      <c r="Q392" s="74" t="str">
        <f>_xlfn.IFNA(VLOOKUP(db_emp[[#This Row],[Code_site]],[1]!db_site[[ID_Site]:[Url_maps]],3,0),"-")</f>
        <v>Unit - Taman Anggrek Residences</v>
      </c>
      <c r="R3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240082,'Florentinus Frengky Boleng','ENG','FTOUT','Fit Out Supervisor','LV09','Corp. Supporting Property (POM)','A01','Employee','2019-02-08','2025-10-24'</v>
      </c>
      <c r="S392" s="74">
        <f>db_emp[[#This Row],[NIP (UPDATE)]]</f>
        <v>240082</v>
      </c>
    </row>
    <row r="393" spans="2:19" hidden="1" x14ac:dyDescent="0.25">
      <c r="B393" s="75">
        <v>681</v>
      </c>
      <c r="C393" s="75">
        <v>221382</v>
      </c>
      <c r="D393" s="74" t="s">
        <v>1426</v>
      </c>
      <c r="E393" s="75" t="s">
        <v>1398</v>
      </c>
      <c r="F393" s="75" t="s">
        <v>971</v>
      </c>
      <c r="G393" s="74" t="s">
        <v>1416</v>
      </c>
      <c r="H393" s="75" t="s">
        <v>870</v>
      </c>
      <c r="I393" s="74" t="s">
        <v>864</v>
      </c>
      <c r="J393" s="75" t="s">
        <v>501</v>
      </c>
      <c r="K393" s="75" t="s">
        <v>850</v>
      </c>
      <c r="L393" s="76"/>
      <c r="M393" s="77">
        <f t="shared" ca="1" si="12"/>
        <v>45954</v>
      </c>
      <c r="N393" s="74" t="str">
        <f>_xlfn.IFNA(VLOOKUP(db_emp[[#This Row],[ID_DIV]],[1]!db_dpt[[Code_dpt]:[Departement]],2,0),"-")</f>
        <v>Fit Out</v>
      </c>
      <c r="O393" s="74" t="str">
        <f>_xlfn.IFNA(VLOOKUP(db_emp[[#This Row],[ID_SDP]],[1]!db_div[[Code_div]:[Division]],2,0),"-")</f>
        <v>General Head Departement</v>
      </c>
      <c r="P393" s="74" t="str">
        <f>_xlfn.IFNA(VLOOKUP(db_emp[[#This Row],[Code_lvl]],[1]!db_lvl[[#All],[ID_level]:[Leveling Name]],2,0),"-")</f>
        <v>Supervisor</v>
      </c>
      <c r="Q393" s="74" t="str">
        <f>_xlfn.IFNA(VLOOKUP(db_emp[[#This Row],[Code_site]],[1]!db_site[[ID_Site]:[Url_maps]],3,0),"-")</f>
        <v>Unit - District 8</v>
      </c>
      <c r="R3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221382,'Winny Eliza Rose','FIO','GNRAL','Fit Out Supervisor','LV09','Corp. Supporting Property (POM)','OD8','Employee','1900-01-00','2025-10-24'</v>
      </c>
      <c r="S393" s="74">
        <f>db_emp[[#This Row],[NIP (UPDATE)]]</f>
        <v>221382</v>
      </c>
    </row>
    <row r="394" spans="2:19" hidden="1" x14ac:dyDescent="0.25">
      <c r="B394" s="75">
        <v>703</v>
      </c>
      <c r="C394" s="75">
        <v>240256</v>
      </c>
      <c r="D394" s="74" t="s">
        <v>1427</v>
      </c>
      <c r="E394" s="75" t="s">
        <v>1398</v>
      </c>
      <c r="F394" s="75" t="s">
        <v>971</v>
      </c>
      <c r="G394" s="74" t="s">
        <v>1416</v>
      </c>
      <c r="H394" s="75" t="s">
        <v>870</v>
      </c>
      <c r="I394" s="74" t="s">
        <v>864</v>
      </c>
      <c r="J394" s="75" t="s">
        <v>501</v>
      </c>
      <c r="K394" s="75" t="s">
        <v>850</v>
      </c>
      <c r="L394" s="76"/>
      <c r="M394" s="77">
        <f t="shared" ca="1" si="12"/>
        <v>45954</v>
      </c>
      <c r="N394" s="74" t="str">
        <f>_xlfn.IFNA(VLOOKUP(db_emp[[#This Row],[ID_DIV]],[1]!db_dpt[[Code_dpt]:[Departement]],2,0),"-")</f>
        <v>Fit Out</v>
      </c>
      <c r="O394" s="74" t="str">
        <f>_xlfn.IFNA(VLOOKUP(db_emp[[#This Row],[ID_SDP]],[1]!db_div[[Code_div]:[Division]],2,0),"-")</f>
        <v>General Head Departement</v>
      </c>
      <c r="P394" s="74" t="str">
        <f>_xlfn.IFNA(VLOOKUP(db_emp[[#This Row],[Code_lvl]],[1]!db_lvl[[#All],[ID_level]:[Leveling Name]],2,0),"-")</f>
        <v>Supervisor</v>
      </c>
      <c r="Q394" s="74" t="str">
        <f>_xlfn.IFNA(VLOOKUP(db_emp[[#This Row],[Code_site]],[1]!db_site[[ID_Site]:[Url_maps]],3,0),"-")</f>
        <v>Unit - District 8</v>
      </c>
      <c r="R3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240256,'Fanny Fajrianti Kartini','FIO','GNRAL','Fit Out Supervisor','LV09','Corp. Supporting Property (POM)','OD8','Employee','1900-01-00','2025-10-24'</v>
      </c>
      <c r="S394" s="74">
        <f>db_emp[[#This Row],[NIP (UPDATE)]]</f>
        <v>240256</v>
      </c>
    </row>
    <row r="395" spans="2:19" hidden="1" x14ac:dyDescent="0.25">
      <c r="B395" s="75">
        <v>411</v>
      </c>
      <c r="C395" s="75">
        <v>240711</v>
      </c>
      <c r="D395" s="74" t="s">
        <v>1428</v>
      </c>
      <c r="E395" s="75" t="s">
        <v>1018</v>
      </c>
      <c r="F395" s="75" t="s">
        <v>1429</v>
      </c>
      <c r="G395" s="74" t="s">
        <v>1430</v>
      </c>
      <c r="H395" s="75" t="s">
        <v>853</v>
      </c>
      <c r="I395" s="74" t="s">
        <v>849</v>
      </c>
      <c r="J395" s="75" t="s">
        <v>316</v>
      </c>
      <c r="K395" s="75" t="s">
        <v>850</v>
      </c>
      <c r="L395" s="76">
        <v>45390</v>
      </c>
      <c r="M395" s="77">
        <f t="shared" ca="1" si="12"/>
        <v>45954</v>
      </c>
      <c r="N395" s="74" t="str">
        <f>_xlfn.IFNA(VLOOKUP(db_emp[[#This Row],[ID_DIV]],[1]!db_dpt[[Code_dpt]:[Departement]],2,0),"-")</f>
        <v>Operational</v>
      </c>
      <c r="O395" s="74" t="str">
        <f>_xlfn.IFNA(VLOOKUP(db_emp[[#This Row],[ID_SDP]],[1]!db_div[[Code_div]:[Division]],2,0),"-")</f>
        <v>GEA &amp; TR</v>
      </c>
      <c r="P395" s="74" t="str">
        <f>_xlfn.IFNA(VLOOKUP(db_emp[[#This Row],[Code_lvl]],[1]!db_lvl[[#All],[ID_level]:[Leveling Name]],2,0),"-")</f>
        <v>Staff</v>
      </c>
      <c r="Q395" s="74" t="str">
        <f>_xlfn.IFNA(VLOOKUP(db_emp[[#This Row],[Code_site]],[1]!db_site[[ID_Site]:[Url_maps]],3,0),"-")</f>
        <v>Unit - GGP</v>
      </c>
      <c r="R3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240711,'Yemima Gracita','OPR','GEATR','GEA &amp; Tenant Relation Staff','LV12','Mall &amp; Cinema','M03','Employee','2024-04-08','2025-10-24'</v>
      </c>
      <c r="S395" s="74">
        <f>db_emp[[#This Row],[NIP (UPDATE)]]</f>
        <v>240711</v>
      </c>
    </row>
    <row r="396" spans="2:19" hidden="1" x14ac:dyDescent="0.25">
      <c r="B396" s="75">
        <v>412</v>
      </c>
      <c r="C396" s="75">
        <v>240755</v>
      </c>
      <c r="D396" s="74" t="s">
        <v>1431</v>
      </c>
      <c r="E396" s="75" t="s">
        <v>1018</v>
      </c>
      <c r="F396" s="75" t="s">
        <v>1429</v>
      </c>
      <c r="G396" s="74" t="s">
        <v>1430</v>
      </c>
      <c r="H396" s="75" t="s">
        <v>853</v>
      </c>
      <c r="I396" s="74" t="s">
        <v>849</v>
      </c>
      <c r="J396" s="75" t="s">
        <v>316</v>
      </c>
      <c r="K396" s="75" t="s">
        <v>850</v>
      </c>
      <c r="L396" s="76">
        <v>45404</v>
      </c>
      <c r="M396" s="77">
        <f t="shared" ca="1" si="12"/>
        <v>45954</v>
      </c>
      <c r="N396" s="74" t="str">
        <f>_xlfn.IFNA(VLOOKUP(db_emp[[#This Row],[ID_DIV]],[1]!db_dpt[[Code_dpt]:[Departement]],2,0),"-")</f>
        <v>Operational</v>
      </c>
      <c r="O396" s="74" t="str">
        <f>_xlfn.IFNA(VLOOKUP(db_emp[[#This Row],[ID_SDP]],[1]!db_div[[Code_div]:[Division]],2,0),"-")</f>
        <v>GEA &amp; TR</v>
      </c>
      <c r="P396" s="74" t="str">
        <f>_xlfn.IFNA(VLOOKUP(db_emp[[#This Row],[Code_lvl]],[1]!db_lvl[[#All],[ID_level]:[Leveling Name]],2,0),"-")</f>
        <v>Staff</v>
      </c>
      <c r="Q396" s="74" t="str">
        <f>_xlfn.IFNA(VLOOKUP(db_emp[[#This Row],[Code_site]],[1]!db_site[[ID_Site]:[Url_maps]],3,0),"-")</f>
        <v>Unit - GGP</v>
      </c>
      <c r="R3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240755,'Bryan Dhika Bomantara','OPR','GEATR','GEA &amp; Tenant Relation Staff','LV12','Mall &amp; Cinema','M03','Employee','2024-04-22','2025-10-24'</v>
      </c>
      <c r="S396" s="74">
        <f>db_emp[[#This Row],[NIP (UPDATE)]]</f>
        <v>240755</v>
      </c>
    </row>
    <row r="397" spans="2:19" hidden="1" x14ac:dyDescent="0.25">
      <c r="B397" s="75">
        <v>468</v>
      </c>
      <c r="C397" s="75">
        <v>232256</v>
      </c>
      <c r="D397" s="74" t="s">
        <v>1432</v>
      </c>
      <c r="E397" s="75" t="s">
        <v>1018</v>
      </c>
      <c r="F397" s="75" t="s">
        <v>1429</v>
      </c>
      <c r="G397" s="74" t="s">
        <v>1430</v>
      </c>
      <c r="H397" s="75" t="s">
        <v>853</v>
      </c>
      <c r="I397" s="74" t="s">
        <v>849</v>
      </c>
      <c r="J397" s="75" t="s">
        <v>490</v>
      </c>
      <c r="K397" s="75" t="s">
        <v>850</v>
      </c>
      <c r="L397" s="76">
        <v>45271</v>
      </c>
      <c r="M397" s="77">
        <f t="shared" ca="1" si="12"/>
        <v>45954</v>
      </c>
      <c r="N397" s="74" t="str">
        <f>_xlfn.IFNA(VLOOKUP(db_emp[[#This Row],[ID_DIV]],[1]!db_dpt[[Code_dpt]:[Departement]],2,0),"-")</f>
        <v>Operational</v>
      </c>
      <c r="O397" s="74" t="str">
        <f>_xlfn.IFNA(VLOOKUP(db_emp[[#This Row],[ID_SDP]],[1]!db_div[[Code_div]:[Division]],2,0),"-")</f>
        <v>GEA &amp; TR</v>
      </c>
      <c r="P397" s="74" t="str">
        <f>_xlfn.IFNA(VLOOKUP(db_emp[[#This Row],[Code_lvl]],[1]!db_lvl[[#All],[ID_level]:[Leveling Name]],2,0),"-")</f>
        <v>Staff</v>
      </c>
      <c r="Q397" s="74" t="str">
        <f>_xlfn.IFNA(VLOOKUP(db_emp[[#This Row],[Code_site]],[1]!db_site[[ID_Site]:[Url_maps]],3,0),"-")</f>
        <v>Unit - ASHTA</v>
      </c>
      <c r="R3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232256,'Andrian Risadi','OPR','GEATR','GEA &amp; Tenant Relation Staff','LV12','Mall &amp; Cinema','M04','Employee','2023-12-11','2025-10-24'</v>
      </c>
      <c r="S397" s="74">
        <f>db_emp[[#This Row],[NIP (UPDATE)]]</f>
        <v>232256</v>
      </c>
    </row>
    <row r="398" spans="2:19" hidden="1" x14ac:dyDescent="0.25">
      <c r="B398" s="75">
        <v>486</v>
      </c>
      <c r="C398" s="75">
        <v>250056</v>
      </c>
      <c r="D398" s="74" t="s">
        <v>1433</v>
      </c>
      <c r="E398" s="75" t="s">
        <v>1018</v>
      </c>
      <c r="F398" s="75" t="s">
        <v>1429</v>
      </c>
      <c r="G398" s="74" t="s">
        <v>1430</v>
      </c>
      <c r="H398" s="75" t="s">
        <v>853</v>
      </c>
      <c r="I398" s="74" t="s">
        <v>849</v>
      </c>
      <c r="J398" s="75" t="s">
        <v>490</v>
      </c>
      <c r="K398" s="75" t="s">
        <v>862</v>
      </c>
      <c r="L398" s="76">
        <v>45670</v>
      </c>
      <c r="M398" s="77">
        <f t="shared" ca="1" si="12"/>
        <v>45954</v>
      </c>
      <c r="N398" s="74" t="str">
        <f>_xlfn.IFNA(VLOOKUP(db_emp[[#This Row],[ID_DIV]],[1]!db_dpt[[Code_dpt]:[Departement]],2,0),"-")</f>
        <v>Operational</v>
      </c>
      <c r="O398" s="74" t="str">
        <f>_xlfn.IFNA(VLOOKUP(db_emp[[#This Row],[ID_SDP]],[1]!db_div[[Code_div]:[Division]],2,0),"-")</f>
        <v>GEA &amp; TR</v>
      </c>
      <c r="P398" s="74" t="str">
        <f>_xlfn.IFNA(VLOOKUP(db_emp[[#This Row],[Code_lvl]],[1]!db_lvl[[#All],[ID_level]:[Leveling Name]],2,0),"-")</f>
        <v>Staff</v>
      </c>
      <c r="Q398" s="74" t="str">
        <f>_xlfn.IFNA(VLOOKUP(db_emp[[#This Row],[Code_site]],[1]!db_site[[ID_Site]:[Url_maps]],3,0),"-")</f>
        <v>Unit - ASHTA</v>
      </c>
      <c r="R3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250056,'Nur Aprianna','OPR','GEATR','GEA &amp; Tenant Relation Staff','LV12','Mall &amp; Cinema','M04','Not Employee','2025-01-13','2025-10-24'</v>
      </c>
      <c r="S398" s="74">
        <f>db_emp[[#This Row],[NIP (UPDATE)]]</f>
        <v>250056</v>
      </c>
    </row>
    <row r="399" spans="2:19" hidden="1" x14ac:dyDescent="0.25">
      <c r="B399" s="75">
        <v>485</v>
      </c>
      <c r="C399" s="75">
        <v>241985</v>
      </c>
      <c r="D399" s="74" t="s">
        <v>1434</v>
      </c>
      <c r="E399" s="75" t="s">
        <v>1018</v>
      </c>
      <c r="F399" s="75" t="s">
        <v>1429</v>
      </c>
      <c r="G399" s="74" t="s">
        <v>1435</v>
      </c>
      <c r="H399" s="75" t="s">
        <v>870</v>
      </c>
      <c r="I399" s="74" t="s">
        <v>849</v>
      </c>
      <c r="J399" s="75" t="s">
        <v>490</v>
      </c>
      <c r="K399" s="75" t="s">
        <v>850</v>
      </c>
      <c r="L399" s="76">
        <v>45600</v>
      </c>
      <c r="M399" s="77">
        <f t="shared" ca="1" si="12"/>
        <v>45954</v>
      </c>
      <c r="N399" s="74" t="str">
        <f>_xlfn.IFNA(VLOOKUP(db_emp[[#This Row],[ID_DIV]],[1]!db_dpt[[Code_dpt]:[Departement]],2,0),"-")</f>
        <v>Operational</v>
      </c>
      <c r="O399" s="74" t="str">
        <f>_xlfn.IFNA(VLOOKUP(db_emp[[#This Row],[ID_SDP]],[1]!db_div[[Code_div]:[Division]],2,0),"-")</f>
        <v>GEA &amp; TR</v>
      </c>
      <c r="P399" s="74" t="str">
        <f>_xlfn.IFNA(VLOOKUP(db_emp[[#This Row],[Code_lvl]],[1]!db_lvl[[#All],[ID_level]:[Leveling Name]],2,0),"-")</f>
        <v>Supervisor</v>
      </c>
      <c r="Q399" s="74" t="str">
        <f>_xlfn.IFNA(VLOOKUP(db_emp[[#This Row],[Code_site]],[1]!db_site[[ID_Site]:[Url_maps]],3,0),"-")</f>
        <v>Unit - ASHTA</v>
      </c>
      <c r="R3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241985,'Maria Viniati Borromeu Pewut','OPR','GEATR','GEA &amp; Tenant Relation Supervisor','LV09','Mall &amp; Cinema','M04','Employee','2024-11-04','2025-10-24'</v>
      </c>
      <c r="S399" s="74">
        <f>db_emp[[#This Row],[NIP (UPDATE)]]</f>
        <v>241985</v>
      </c>
    </row>
    <row r="400" spans="2:19" hidden="1" x14ac:dyDescent="0.25">
      <c r="B400" s="75">
        <v>264</v>
      </c>
      <c r="C400" s="75">
        <v>241870</v>
      </c>
      <c r="D400" s="74" t="s">
        <v>1436</v>
      </c>
      <c r="E400" s="75" t="s">
        <v>1018</v>
      </c>
      <c r="F400" s="75" t="s">
        <v>1429</v>
      </c>
      <c r="G400" s="74" t="s">
        <v>1437</v>
      </c>
      <c r="H400" s="75" t="s">
        <v>870</v>
      </c>
      <c r="I400" s="74" t="s">
        <v>849</v>
      </c>
      <c r="J400" s="75" t="s">
        <v>314</v>
      </c>
      <c r="K400" s="75" t="s">
        <v>850</v>
      </c>
      <c r="L400" s="76">
        <v>45582</v>
      </c>
      <c r="M400" s="77">
        <f t="shared" ca="1" si="12"/>
        <v>45954</v>
      </c>
      <c r="N400" s="74" t="str">
        <f>_xlfn.IFNA(VLOOKUP(db_emp[[#This Row],[ID_DIV]],[1]!db_dpt[[Code_dpt]:[Departement]],2,0),"-")</f>
        <v>Operational</v>
      </c>
      <c r="O400" s="74" t="str">
        <f>_xlfn.IFNA(VLOOKUP(db_emp[[#This Row],[ID_SDP]],[1]!db_div[[Code_div]:[Division]],2,0),"-")</f>
        <v>GEA &amp; TR</v>
      </c>
      <c r="P400" s="74" t="str">
        <f>_xlfn.IFNA(VLOOKUP(db_emp[[#This Row],[Code_lvl]],[1]!db_lvl[[#All],[ID_level]:[Leveling Name]],2,0),"-")</f>
        <v>Supervisor</v>
      </c>
      <c r="Q400" s="74" t="str">
        <f>_xlfn.IFNA(VLOOKUP(db_emp[[#This Row],[Code_site]],[1]!db_site[[ID_Site]:[Url_maps]],3,0),"-")</f>
        <v>Unit - MOI</v>
      </c>
      <c r="R4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241870,'Febriansyah Rahmat','OPR','GEATR','GEA &amp; TR Supervisor','LV09','Mall &amp; Cinema','M02','Employee','2024-10-17','2025-10-24'</v>
      </c>
      <c r="S400" s="74">
        <f>db_emp[[#This Row],[NIP (UPDATE)]]</f>
        <v>241870</v>
      </c>
    </row>
    <row r="401" spans="2:19" hidden="1" x14ac:dyDescent="0.25">
      <c r="B401" s="75">
        <v>317</v>
      </c>
      <c r="C401" s="75">
        <v>140892</v>
      </c>
      <c r="D401" s="74" t="s">
        <v>1438</v>
      </c>
      <c r="E401" s="75" t="s">
        <v>1018</v>
      </c>
      <c r="F401" s="75" t="s">
        <v>1429</v>
      </c>
      <c r="G401" s="74" t="s">
        <v>1437</v>
      </c>
      <c r="H401" s="75" t="s">
        <v>870</v>
      </c>
      <c r="I401" s="74" t="s">
        <v>849</v>
      </c>
      <c r="J401" s="75" t="s">
        <v>484</v>
      </c>
      <c r="K401" s="75" t="s">
        <v>850</v>
      </c>
      <c r="L401" s="76">
        <v>41873</v>
      </c>
      <c r="M401" s="77">
        <f t="shared" ca="1" si="12"/>
        <v>45954</v>
      </c>
      <c r="N401" s="74" t="str">
        <f>_xlfn.IFNA(VLOOKUP(db_emp[[#This Row],[ID_DIV]],[1]!db_dpt[[Code_dpt]:[Departement]],2,0),"-")</f>
        <v>Operational</v>
      </c>
      <c r="O401" s="74" t="str">
        <f>_xlfn.IFNA(VLOOKUP(db_emp[[#This Row],[ID_SDP]],[1]!db_div[[Code_div]:[Division]],2,0),"-")</f>
        <v>GEA &amp; TR</v>
      </c>
      <c r="P401" s="74" t="str">
        <f>_xlfn.IFNA(VLOOKUP(db_emp[[#This Row],[Code_lvl]],[1]!db_lvl[[#All],[ID_level]:[Leveling Name]],2,0),"-")</f>
        <v>Supervisor</v>
      </c>
      <c r="Q401" s="74" t="str">
        <f>_xlfn.IFNA(VLOOKUP(db_emp[[#This Row],[Code_site]],[1]!db_site[[ID_Site]:[Url_maps]],3,0),"-")</f>
        <v>Unit - PIK Avenue</v>
      </c>
      <c r="R4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140892,'Ramadhandy Mandra Nugraha','OPR','GEATR','GEA &amp; TR Supervisor','LV09','Mall &amp; Cinema','M01','Employee','2014-08-22','2025-10-24'</v>
      </c>
      <c r="S401" s="74">
        <f>db_emp[[#This Row],[NIP (UPDATE)]]</f>
        <v>140892</v>
      </c>
    </row>
    <row r="402" spans="2:19" hidden="1" x14ac:dyDescent="0.25">
      <c r="B402" s="75">
        <v>404</v>
      </c>
      <c r="C402" s="75">
        <v>110570</v>
      </c>
      <c r="D402" s="74" t="s">
        <v>1439</v>
      </c>
      <c r="E402" s="75" t="s">
        <v>1018</v>
      </c>
      <c r="F402" s="75" t="s">
        <v>1429</v>
      </c>
      <c r="G402" s="74" t="s">
        <v>1437</v>
      </c>
      <c r="H402" s="75" t="s">
        <v>870</v>
      </c>
      <c r="I402" s="74" t="s">
        <v>849</v>
      </c>
      <c r="J402" s="75" t="s">
        <v>316</v>
      </c>
      <c r="K402" s="75" t="s">
        <v>850</v>
      </c>
      <c r="L402" s="76">
        <v>40721</v>
      </c>
      <c r="M402" s="77">
        <f t="shared" ca="1" si="12"/>
        <v>45954</v>
      </c>
      <c r="N402" s="74" t="str">
        <f>_xlfn.IFNA(VLOOKUP(db_emp[[#This Row],[ID_DIV]],[1]!db_dpt[[Code_dpt]:[Departement]],2,0),"-")</f>
        <v>Operational</v>
      </c>
      <c r="O402" s="74" t="str">
        <f>_xlfn.IFNA(VLOOKUP(db_emp[[#This Row],[ID_SDP]],[1]!db_div[[Code_div]:[Division]],2,0),"-")</f>
        <v>GEA &amp; TR</v>
      </c>
      <c r="P402" s="74" t="str">
        <f>_xlfn.IFNA(VLOOKUP(db_emp[[#This Row],[Code_lvl]],[1]!db_lvl[[#All],[ID_level]:[Leveling Name]],2,0),"-")</f>
        <v>Supervisor</v>
      </c>
      <c r="Q402" s="74" t="str">
        <f>_xlfn.IFNA(VLOOKUP(db_emp[[#This Row],[Code_site]],[1]!db_site[[ID_Site]:[Url_maps]],3,0),"-")</f>
        <v>Unit - GGP</v>
      </c>
      <c r="R4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110570,'Kiki Amelia','OPR','GEATR','GEA &amp; TR Supervisor','LV09','Mall &amp; Cinema','M03','Employee','2011-06-27','2025-10-24'</v>
      </c>
      <c r="S402" s="74">
        <f>db_emp[[#This Row],[NIP (UPDATE)]]</f>
        <v>110570</v>
      </c>
    </row>
    <row r="403" spans="2:19" hidden="1" x14ac:dyDescent="0.25">
      <c r="B403" s="75">
        <v>257</v>
      </c>
      <c r="C403" s="75">
        <v>241506</v>
      </c>
      <c r="D403" s="74" t="s">
        <v>1440</v>
      </c>
      <c r="E403" s="75" t="s">
        <v>1018</v>
      </c>
      <c r="F403" s="75" t="s">
        <v>1441</v>
      </c>
      <c r="G403" s="74" t="s">
        <v>1442</v>
      </c>
      <c r="H403" s="75" t="s">
        <v>853</v>
      </c>
      <c r="I403" s="74" t="s">
        <v>849</v>
      </c>
      <c r="J403" s="75" t="s">
        <v>314</v>
      </c>
      <c r="K403" s="75" t="s">
        <v>850</v>
      </c>
      <c r="L403" s="76">
        <v>45523</v>
      </c>
      <c r="M403" s="77">
        <f t="shared" ca="1" si="12"/>
        <v>45954</v>
      </c>
      <c r="N403" s="74" t="str">
        <f>_xlfn.IFNA(VLOOKUP(db_emp[[#This Row],[ID_DIV]],[1]!db_dpt[[Code_dpt]:[Departement]],2,0),"-")</f>
        <v>Operational</v>
      </c>
      <c r="O403" s="74" t="str">
        <f>_xlfn.IFNA(VLOOKUP(db_emp[[#This Row],[ID_SDP]],[1]!db_div[[Code_div]:[Division]],2,0),"-")</f>
        <v>General Services; Guest Services Officer; GEA</v>
      </c>
      <c r="P403" s="74" t="str">
        <f>_xlfn.IFNA(VLOOKUP(db_emp[[#This Row],[Code_lvl]],[1]!db_lvl[[#All],[ID_level]:[Leveling Name]],2,0),"-")</f>
        <v>Staff</v>
      </c>
      <c r="Q403" s="74" t="str">
        <f>_xlfn.IFNA(VLOOKUP(db_emp[[#This Row],[Code_site]],[1]!db_site[[ID_Site]:[Url_maps]],3,0),"-")</f>
        <v>Unit - MOI</v>
      </c>
      <c r="R4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241506,'Anzzal Ibrahim','OPR','GSRVC','GEA Staff','LV12','Mall &amp; Cinema','M02','Employee','2024-08-19','2025-10-24'</v>
      </c>
      <c r="S403" s="74">
        <f>db_emp[[#This Row],[NIP (UPDATE)]]</f>
        <v>241506</v>
      </c>
    </row>
    <row r="404" spans="2:19" hidden="1" x14ac:dyDescent="0.25">
      <c r="B404" s="75">
        <v>269</v>
      </c>
      <c r="C404" s="75">
        <v>242056</v>
      </c>
      <c r="D404" s="74" t="s">
        <v>1443</v>
      </c>
      <c r="E404" s="75" t="s">
        <v>1018</v>
      </c>
      <c r="F404" s="75" t="s">
        <v>1429</v>
      </c>
      <c r="G404" s="74" t="s">
        <v>1442</v>
      </c>
      <c r="H404" s="75" t="s">
        <v>853</v>
      </c>
      <c r="I404" s="74" t="s">
        <v>849</v>
      </c>
      <c r="J404" s="75" t="s">
        <v>314</v>
      </c>
      <c r="K404" s="75" t="s">
        <v>862</v>
      </c>
      <c r="L404" s="76">
        <v>45607</v>
      </c>
      <c r="M404" s="77">
        <f t="shared" ca="1" si="12"/>
        <v>45954</v>
      </c>
      <c r="N404" s="74" t="str">
        <f>_xlfn.IFNA(VLOOKUP(db_emp[[#This Row],[ID_DIV]],[1]!db_dpt[[Code_dpt]:[Departement]],2,0),"-")</f>
        <v>Operational</v>
      </c>
      <c r="O404" s="74" t="str">
        <f>_xlfn.IFNA(VLOOKUP(db_emp[[#This Row],[ID_SDP]],[1]!db_div[[Code_div]:[Division]],2,0),"-")</f>
        <v>GEA &amp; TR</v>
      </c>
      <c r="P404" s="74" t="str">
        <f>_xlfn.IFNA(VLOOKUP(db_emp[[#This Row],[Code_lvl]],[1]!db_lvl[[#All],[ID_level]:[Leveling Name]],2,0),"-")</f>
        <v>Staff</v>
      </c>
      <c r="Q404" s="74" t="str">
        <f>_xlfn.IFNA(VLOOKUP(db_emp[[#This Row],[Code_site]],[1]!db_site[[ID_Site]:[Url_maps]],3,0),"-")</f>
        <v>Unit - MOI</v>
      </c>
      <c r="R4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242056,'Tari Permata Lestari ','OPR','GEATR','GEA Staff','LV12','Mall &amp; Cinema','M02','Not Employee','2024-11-11','2025-10-24'</v>
      </c>
      <c r="S404" s="74">
        <f>db_emp[[#This Row],[NIP (UPDATE)]]</f>
        <v>242056</v>
      </c>
    </row>
    <row r="405" spans="2:19" hidden="1" x14ac:dyDescent="0.25">
      <c r="B405" s="75">
        <v>277</v>
      </c>
      <c r="C405" s="75">
        <v>250277</v>
      </c>
      <c r="D405" s="74" t="s">
        <v>1444</v>
      </c>
      <c r="E405" s="75" t="s">
        <v>1018</v>
      </c>
      <c r="F405" s="75" t="s">
        <v>1429</v>
      </c>
      <c r="G405" s="74" t="s">
        <v>1442</v>
      </c>
      <c r="H405" s="75" t="s">
        <v>853</v>
      </c>
      <c r="I405" s="74" t="s">
        <v>849</v>
      </c>
      <c r="J405" s="75" t="s">
        <v>314</v>
      </c>
      <c r="K405" s="75" t="s">
        <v>862</v>
      </c>
      <c r="L405" s="76">
        <v>45733</v>
      </c>
      <c r="M405" s="77">
        <f t="shared" ca="1" si="12"/>
        <v>45954</v>
      </c>
      <c r="N405" s="74" t="str">
        <f>_xlfn.IFNA(VLOOKUP(db_emp[[#This Row],[ID_DIV]],[1]!db_dpt[[Code_dpt]:[Departement]],2,0),"-")</f>
        <v>Operational</v>
      </c>
      <c r="O405" s="74" t="str">
        <f>_xlfn.IFNA(VLOOKUP(db_emp[[#This Row],[ID_SDP]],[1]!db_div[[Code_div]:[Division]],2,0),"-")</f>
        <v>GEA &amp; TR</v>
      </c>
      <c r="P405" s="74" t="str">
        <f>_xlfn.IFNA(VLOOKUP(db_emp[[#This Row],[Code_lvl]],[1]!db_lvl[[#All],[ID_level]:[Leveling Name]],2,0),"-")</f>
        <v>Staff</v>
      </c>
      <c r="Q405" s="74" t="str">
        <f>_xlfn.IFNA(VLOOKUP(db_emp[[#This Row],[Code_site]],[1]!db_site[[ID_Site]:[Url_maps]],3,0),"-")</f>
        <v>Unit - MOI</v>
      </c>
      <c r="R4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250277,'Yogha Tri Arisandy','OPR','GEATR','GEA Staff','LV12','Mall &amp; Cinema','M02','Not Employee','2025-03-17','2025-10-24'</v>
      </c>
      <c r="S405" s="74">
        <f>db_emp[[#This Row],[NIP (UPDATE)]]</f>
        <v>250277</v>
      </c>
    </row>
    <row r="406" spans="2:19" hidden="1" x14ac:dyDescent="0.25">
      <c r="B406" s="75">
        <v>342</v>
      </c>
      <c r="C406" s="75">
        <v>241766</v>
      </c>
      <c r="D406" s="74" t="s">
        <v>1445</v>
      </c>
      <c r="E406" s="75" t="s">
        <v>1018</v>
      </c>
      <c r="F406" s="75" t="s">
        <v>1441</v>
      </c>
      <c r="G406" s="74" t="s">
        <v>1442</v>
      </c>
      <c r="H406" s="75" t="s">
        <v>885</v>
      </c>
      <c r="I406" s="74" t="s">
        <v>849</v>
      </c>
      <c r="J406" s="75" t="s">
        <v>484</v>
      </c>
      <c r="K406" s="75" t="s">
        <v>862</v>
      </c>
      <c r="L406" s="76">
        <v>45566</v>
      </c>
      <c r="M406" s="77">
        <f t="shared" ca="1" si="12"/>
        <v>45954</v>
      </c>
      <c r="N406" s="74" t="str">
        <f>_xlfn.IFNA(VLOOKUP(db_emp[[#This Row],[ID_DIV]],[1]!db_dpt[[Code_dpt]:[Departement]],2,0),"-")</f>
        <v>Operational</v>
      </c>
      <c r="O406" s="74" t="str">
        <f>_xlfn.IFNA(VLOOKUP(db_emp[[#This Row],[ID_SDP]],[1]!db_div[[Code_div]:[Division]],2,0),"-")</f>
        <v>General Services; Guest Services Officer; GEA</v>
      </c>
      <c r="P406" s="74" t="str">
        <f>_xlfn.IFNA(VLOOKUP(db_emp[[#This Row],[Code_lvl]],[1]!db_lvl[[#All],[ID_level]:[Leveling Name]],2,0),"-")</f>
        <v>Senior Staff</v>
      </c>
      <c r="Q406" s="74" t="str">
        <f>_xlfn.IFNA(VLOOKUP(db_emp[[#This Row],[Code_site]],[1]!db_site[[ID_Site]:[Url_maps]],3,0),"-")</f>
        <v>Unit - PIK Avenue</v>
      </c>
      <c r="R4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241766,'Akmal Dwi Saputra','OPR','GSRVC','GEA Staff','LV11','Mall &amp; Cinema','M01','Not Employee','2024-10-01','2025-10-24'</v>
      </c>
      <c r="S406" s="74">
        <f>db_emp[[#This Row],[NIP (UPDATE)]]</f>
        <v>241766</v>
      </c>
    </row>
    <row r="407" spans="2:19" hidden="1" x14ac:dyDescent="0.25">
      <c r="B407" s="75">
        <v>361</v>
      </c>
      <c r="C407" s="75">
        <v>230674</v>
      </c>
      <c r="D407" s="74" t="s">
        <v>1446</v>
      </c>
      <c r="E407" s="75" t="s">
        <v>1018</v>
      </c>
      <c r="F407" s="75" t="s">
        <v>1441</v>
      </c>
      <c r="G407" s="74" t="s">
        <v>1447</v>
      </c>
      <c r="H407" s="75" t="s">
        <v>870</v>
      </c>
      <c r="I407" s="74" t="s">
        <v>486</v>
      </c>
      <c r="J407" s="75" t="s">
        <v>492</v>
      </c>
      <c r="K407" s="75" t="s">
        <v>850</v>
      </c>
      <c r="L407" s="76">
        <v>42529</v>
      </c>
      <c r="M407" s="77">
        <f t="shared" ca="1" si="12"/>
        <v>45954</v>
      </c>
      <c r="N407" s="74" t="str">
        <f>_xlfn.IFNA(VLOOKUP(db_emp[[#This Row],[ID_DIV]],[1]!db_dpt[[Code_dpt]:[Departement]],2,0),"-")</f>
        <v>Operational</v>
      </c>
      <c r="O407" s="74" t="str">
        <f>_xlfn.IFNA(VLOOKUP(db_emp[[#This Row],[ID_SDP]],[1]!db_div[[Code_div]:[Division]],2,0),"-")</f>
        <v>General Services; Guest Services Officer; GEA</v>
      </c>
      <c r="P407" s="74" t="str">
        <f>_xlfn.IFNA(VLOOKUP(db_emp[[#This Row],[Code_lvl]],[1]!db_lvl[[#All],[ID_level]:[Leveling Name]],2,0),"-")</f>
        <v>Supervisor</v>
      </c>
      <c r="Q407" s="74" t="str">
        <f>_xlfn.IFNA(VLOOKUP(db_emp[[#This Row],[Code_site]],[1]!db_site[[ID_Site]:[Url_maps]],3,0),"-")</f>
        <v>Unit - Hublife</v>
      </c>
      <c r="R4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230674,'Alridho Yudha Permana','OPR','GSRVC','GEA Supervisor','LV09','Mall','M05','Employee','2016-06-08','2025-10-24'</v>
      </c>
      <c r="S407" s="74">
        <f>db_emp[[#This Row],[NIP (UPDATE)]]</f>
        <v>230674</v>
      </c>
    </row>
    <row r="408" spans="2:19" hidden="1" x14ac:dyDescent="0.25">
      <c r="B408" s="75">
        <v>492</v>
      </c>
      <c r="C408" s="75">
        <v>230373</v>
      </c>
      <c r="D408" s="74" t="s">
        <v>1448</v>
      </c>
      <c r="E408" s="75" t="s">
        <v>1449</v>
      </c>
      <c r="F408" s="75" t="s">
        <v>912</v>
      </c>
      <c r="G408" s="74" t="s">
        <v>1450</v>
      </c>
      <c r="H408" s="75" t="s">
        <v>853</v>
      </c>
      <c r="I408" s="74" t="s">
        <v>864</v>
      </c>
      <c r="J408" s="75" t="s">
        <v>441</v>
      </c>
      <c r="K408" s="75" t="s">
        <v>850</v>
      </c>
      <c r="L408" s="76">
        <v>45012</v>
      </c>
      <c r="M408" s="77">
        <f t="shared" ca="1" si="12"/>
        <v>45954</v>
      </c>
      <c r="N408" s="74" t="str">
        <f>_xlfn.IFNA(VLOOKUP(db_emp[[#This Row],[ID_DIV]],[1]!db_dpt[[Code_dpt]:[Departement]],2,0),"-")</f>
        <v>-</v>
      </c>
      <c r="O408" s="74" t="str">
        <f>_xlfn.IFNA(VLOOKUP(db_emp[[#This Row],[ID_SDP]],[1]!db_div[[Code_div]:[Division]],2,0),"-")</f>
        <v>Admin</v>
      </c>
      <c r="P408" s="74" t="str">
        <f>_xlfn.IFNA(VLOOKUP(db_emp[[#This Row],[Code_lvl]],[1]!db_lvl[[#All],[ID_level]:[Leveling Name]],2,0),"-")</f>
        <v>Staff</v>
      </c>
      <c r="Q408" s="74" t="str">
        <f>_xlfn.IFNA(VLOOKUP(db_emp[[#This Row],[Code_site]],[1]!db_site[[ID_Site]:[Url_maps]],3,0),"-")</f>
        <v>Unit - Fatmawati City Center</v>
      </c>
      <c r="R4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230373,'Yulia Nurhayati','PRM','ADMIN','General Administration Staff','LV12','Corp. Supporting Property (POM)','A02','Employee','2023-03-27','2025-10-24'</v>
      </c>
      <c r="S408" s="74">
        <f>db_emp[[#This Row],[NIP (UPDATE)]]</f>
        <v>230373</v>
      </c>
    </row>
    <row r="409" spans="2:19" hidden="1" x14ac:dyDescent="0.25">
      <c r="B409" s="75">
        <v>522</v>
      </c>
      <c r="C409" s="75">
        <v>230971</v>
      </c>
      <c r="D409" s="74" t="s">
        <v>1451</v>
      </c>
      <c r="E409" s="75" t="s">
        <v>1449</v>
      </c>
      <c r="F409" s="75" t="s">
        <v>912</v>
      </c>
      <c r="G409" s="74" t="s">
        <v>1450</v>
      </c>
      <c r="H409" s="75" t="s">
        <v>853</v>
      </c>
      <c r="I409" s="74" t="s">
        <v>864</v>
      </c>
      <c r="J409" s="75" t="s">
        <v>446</v>
      </c>
      <c r="K409" s="75" t="s">
        <v>850</v>
      </c>
      <c r="L409" s="76">
        <v>45098</v>
      </c>
      <c r="M409" s="77">
        <f t="shared" ca="1" si="12"/>
        <v>45954</v>
      </c>
      <c r="N409" s="74" t="str">
        <f>_xlfn.IFNA(VLOOKUP(db_emp[[#This Row],[ID_DIV]],[1]!db_dpt[[Code_dpt]:[Departement]],2,0),"-")</f>
        <v>-</v>
      </c>
      <c r="O409" s="74" t="str">
        <f>_xlfn.IFNA(VLOOKUP(db_emp[[#This Row],[ID_SDP]],[1]!db_div[[Code_div]:[Division]],2,0),"-")</f>
        <v>Admin</v>
      </c>
      <c r="P409" s="74" t="str">
        <f>_xlfn.IFNA(VLOOKUP(db_emp[[#This Row],[Code_lvl]],[1]!db_lvl[[#All],[ID_level]:[Leveling Name]],2,0),"-")</f>
        <v>Staff</v>
      </c>
      <c r="Q409" s="74" t="str">
        <f>_xlfn.IFNA(VLOOKUP(db_emp[[#This Row],[Code_site]],[1]!db_site[[ID_Site]:[Url_maps]],3,0),"-")</f>
        <v>Unit - Menara Jakarta POM</v>
      </c>
      <c r="R4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230971,'Hana Mega Sari','PRM','ADMIN','General Administration Staff','LV12','Corp. Supporting Property (POM)','A03','Employee','2023-06-21','2025-10-24'</v>
      </c>
      <c r="S409" s="74">
        <f>db_emp[[#This Row],[NIP (UPDATE)]]</f>
        <v>230971</v>
      </c>
    </row>
    <row r="410" spans="2:19" hidden="1" x14ac:dyDescent="0.25">
      <c r="B410" s="75">
        <v>709</v>
      </c>
      <c r="C410" s="75">
        <v>240437</v>
      </c>
      <c r="D410" s="74" t="s">
        <v>1452</v>
      </c>
      <c r="E410" s="75" t="s">
        <v>1088</v>
      </c>
      <c r="F410" s="75" t="s">
        <v>1441</v>
      </c>
      <c r="G410" s="74" t="s">
        <v>1453</v>
      </c>
      <c r="H410" s="75" t="s">
        <v>870</v>
      </c>
      <c r="I410" s="74" t="s">
        <v>864</v>
      </c>
      <c r="J410" s="75" t="s">
        <v>501</v>
      </c>
      <c r="K410" s="75" t="s">
        <v>903</v>
      </c>
      <c r="L410" s="76"/>
      <c r="M410" s="77">
        <v>45850</v>
      </c>
      <c r="N410" s="74" t="str">
        <f>_xlfn.IFNA(VLOOKUP(db_emp[[#This Row],[ID_DIV]],[1]!db_dpt[[Code_dpt]:[Departement]],2,0),"-")</f>
        <v>General Services</v>
      </c>
      <c r="O410" s="74" t="str">
        <f>_xlfn.IFNA(VLOOKUP(db_emp[[#This Row],[ID_SDP]],[1]!db_div[[Code_div]:[Division]],2,0),"-")</f>
        <v>General Services; Guest Services Officer; GEA</v>
      </c>
      <c r="P410" s="74" t="str">
        <f>_xlfn.IFNA(VLOOKUP(db_emp[[#This Row],[Code_lvl]],[1]!db_lvl[[#All],[ID_level]:[Leveling Name]],2,0),"-")</f>
        <v>Supervisor</v>
      </c>
      <c r="Q410" s="74" t="str">
        <f>_xlfn.IFNA(VLOOKUP(db_emp[[#This Row],[Code_site]],[1]!db_site[[ID_Site]:[Url_maps]],3,0),"-")</f>
        <v>Unit - District 8</v>
      </c>
      <c r="R410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240437,'St. David Wasono','GSE','GSRVC','General Affair Supervisor','LV09','Corp. Supporting Property (POM)','OD8','Resign','1900-01-00','2025-07-12'</v>
      </c>
      <c r="S410" s="74">
        <f>db_emp[[#This Row],[NIP (UPDATE)]]</f>
        <v>240437</v>
      </c>
    </row>
    <row r="411" spans="2:19" hidden="1" x14ac:dyDescent="0.25">
      <c r="B411" s="75">
        <v>611</v>
      </c>
      <c r="C411" s="75">
        <v>232060</v>
      </c>
      <c r="D411" s="74" t="s">
        <v>1454</v>
      </c>
      <c r="E411" s="75" t="s">
        <v>1088</v>
      </c>
      <c r="F411" s="75" t="s">
        <v>912</v>
      </c>
      <c r="G411" s="74" t="s">
        <v>1455</v>
      </c>
      <c r="H411" s="75" t="s">
        <v>853</v>
      </c>
      <c r="I411" s="74" t="s">
        <v>864</v>
      </c>
      <c r="J411" s="75" t="s">
        <v>433</v>
      </c>
      <c r="K411" s="75" t="s">
        <v>850</v>
      </c>
      <c r="L411" s="76">
        <v>43325</v>
      </c>
      <c r="M411" s="77">
        <f t="shared" ref="M411:M474" ca="1" si="13">TODAY()+1</f>
        <v>45954</v>
      </c>
      <c r="N411" s="74" t="str">
        <f>_xlfn.IFNA(VLOOKUP(db_emp[[#This Row],[ID_DIV]],[1]!db_dpt[[Code_dpt]:[Departement]],2,0),"-")</f>
        <v>General Services</v>
      </c>
      <c r="O411" s="74" t="str">
        <f>_xlfn.IFNA(VLOOKUP(db_emp[[#This Row],[ID_SDP]],[1]!db_div[[Code_div]:[Division]],2,0),"-")</f>
        <v>Admin</v>
      </c>
      <c r="P411" s="74" t="str">
        <f>_xlfn.IFNA(VLOOKUP(db_emp[[#This Row],[Code_lvl]],[1]!db_lvl[[#All],[ID_level]:[Leveling Name]],2,0),"-")</f>
        <v>Staff</v>
      </c>
      <c r="Q411" s="74" t="str">
        <f>_xlfn.IFNA(VLOOKUP(db_emp[[#This Row],[Code_site]],[1]!db_site[[ID_Site]:[Url_maps]],3,0),"-")</f>
        <v>Unit - Taman Anggrek Residences</v>
      </c>
      <c r="R4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232060,'Ade Yulyadi','GSE','ADMIN','General Service Administration Staff','LV12','Corp. Supporting Property (POM)','A01','Employee','2018-08-13','2025-10-24'</v>
      </c>
      <c r="S411" s="74">
        <f>db_emp[[#This Row],[NIP (UPDATE)]]</f>
        <v>232060</v>
      </c>
    </row>
    <row r="412" spans="2:19" hidden="1" x14ac:dyDescent="0.25">
      <c r="B412" s="75">
        <v>608</v>
      </c>
      <c r="C412" s="75">
        <v>241246</v>
      </c>
      <c r="D412" s="74" t="s">
        <v>1456</v>
      </c>
      <c r="E412" s="75" t="s">
        <v>1088</v>
      </c>
      <c r="F412" s="75" t="s">
        <v>971</v>
      </c>
      <c r="G412" s="74" t="s">
        <v>1457</v>
      </c>
      <c r="H412" s="75" t="s">
        <v>848</v>
      </c>
      <c r="I412" s="74" t="s">
        <v>864</v>
      </c>
      <c r="J412" s="75" t="s">
        <v>433</v>
      </c>
      <c r="K412" s="75" t="s">
        <v>862</v>
      </c>
      <c r="L412" s="76">
        <v>45488</v>
      </c>
      <c r="M412" s="77">
        <f t="shared" ca="1" si="13"/>
        <v>45954</v>
      </c>
      <c r="N412" s="74" t="str">
        <f>_xlfn.IFNA(VLOOKUP(db_emp[[#This Row],[ID_DIV]],[1]!db_dpt[[Code_dpt]:[Departement]],2,0),"-")</f>
        <v>General Services</v>
      </c>
      <c r="O412" s="74" t="str">
        <f>_xlfn.IFNA(VLOOKUP(db_emp[[#This Row],[ID_SDP]],[1]!db_div[[Code_div]:[Division]],2,0),"-")</f>
        <v>General Head Departement</v>
      </c>
      <c r="P412" s="74" t="str">
        <f>_xlfn.IFNA(VLOOKUP(db_emp[[#This Row],[Code_lvl]],[1]!db_lvl[[#All],[ID_level]:[Leveling Name]],2,0),"-")</f>
        <v>Assistant Manager</v>
      </c>
      <c r="Q412" s="74" t="str">
        <f>_xlfn.IFNA(VLOOKUP(db_emp[[#This Row],[Code_site]],[1]!db_site[[ID_Site]:[Url_maps]],3,0),"-")</f>
        <v>Unit - Taman Anggrek Residences</v>
      </c>
      <c r="R4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241246,'Hesty Puspitasari, SE.Msi','GSE','GNRAL','General Services Assistant Manager','LV07','Corp. Supporting Property (POM)','A01','Not Employee','2024-07-15','2025-10-24'</v>
      </c>
      <c r="S412" s="74">
        <f>db_emp[[#This Row],[NIP (UPDATE)]]</f>
        <v>241246</v>
      </c>
    </row>
    <row r="413" spans="2:19" hidden="1" x14ac:dyDescent="0.25">
      <c r="B413" s="75">
        <v>735</v>
      </c>
      <c r="C413" s="75">
        <v>241198</v>
      </c>
      <c r="D413" s="74" t="s">
        <v>1458</v>
      </c>
      <c r="E413" s="75" t="s">
        <v>916</v>
      </c>
      <c r="F413" s="75" t="s">
        <v>1441</v>
      </c>
      <c r="G413" s="74" t="s">
        <v>1459</v>
      </c>
      <c r="H413" s="75" t="s">
        <v>953</v>
      </c>
      <c r="I413" s="74" t="s">
        <v>864</v>
      </c>
      <c r="J413" s="75" t="s">
        <v>501</v>
      </c>
      <c r="K413" s="75" t="s">
        <v>850</v>
      </c>
      <c r="L413" s="76"/>
      <c r="M413" s="77">
        <f t="shared" ca="1" si="13"/>
        <v>45954</v>
      </c>
      <c r="N413" s="74" t="str">
        <f>_xlfn.IFNA(VLOOKUP(db_emp[[#This Row],[ID_DIV]],[1]!db_dpt[[Code_dpt]:[Departement]],2,0),"-")</f>
        <v>Property Management</v>
      </c>
      <c r="O413" s="74" t="str">
        <f>_xlfn.IFNA(VLOOKUP(db_emp[[#This Row],[ID_SDP]],[1]!db_div[[Code_div]:[Division]],2,0),"-")</f>
        <v>General Services; Guest Services Officer; GEA</v>
      </c>
      <c r="P413" s="74" t="str">
        <f>_xlfn.IFNA(VLOOKUP(db_emp[[#This Row],[Code_lvl]],[1]!db_lvl[[#All],[ID_level]:[Leveling Name]],2,0),"-")</f>
        <v>Manager</v>
      </c>
      <c r="Q413" s="74" t="str">
        <f>_xlfn.IFNA(VLOOKUP(db_emp[[#This Row],[Code_site]],[1]!db_site[[ID_Site]:[Url_maps]],3,0),"-")</f>
        <v>Unit - District 8</v>
      </c>
      <c r="R4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241198,'Dillie Febrian','POM','GSRVC','General Services Manager','LV05','Corp. Supporting Property (POM)','OD8','Employee','1900-01-00','2025-10-24'</v>
      </c>
      <c r="S413" s="74">
        <f>db_emp[[#This Row],[NIP (UPDATE)]]</f>
        <v>241198</v>
      </c>
    </row>
    <row r="414" spans="2:19" hidden="1" x14ac:dyDescent="0.25">
      <c r="B414" s="75">
        <v>64</v>
      </c>
      <c r="C414" s="75">
        <v>150757</v>
      </c>
      <c r="D414" s="74" t="s">
        <v>1460</v>
      </c>
      <c r="E414" s="75" t="s">
        <v>1461</v>
      </c>
      <c r="F414" s="75" t="s">
        <v>1462</v>
      </c>
      <c r="G414" s="74" t="s">
        <v>1463</v>
      </c>
      <c r="H414" s="75" t="s">
        <v>968</v>
      </c>
      <c r="I414" s="74" t="s">
        <v>1464</v>
      </c>
      <c r="J414" s="75" t="s">
        <v>315</v>
      </c>
      <c r="K414" s="75" t="s">
        <v>850</v>
      </c>
      <c r="L414" s="76">
        <v>42250</v>
      </c>
      <c r="M414" s="77">
        <f t="shared" ca="1" si="13"/>
        <v>45954</v>
      </c>
      <c r="N414" s="74" t="str">
        <f>_xlfn.IFNA(VLOOKUP(db_emp[[#This Row],[ID_DIV]],[1]!db_dpt[[Code_dpt]:[Departement]],2,0),"-")</f>
        <v>Legal &amp; Govrel</v>
      </c>
      <c r="O414" s="74" t="str">
        <f>_xlfn.IFNA(VLOOKUP(db_emp[[#This Row],[ID_SDP]],[1]!db_div[[Code_div]:[Division]],2,0),"-")</f>
        <v>Government Relations</v>
      </c>
      <c r="P414" s="74" t="str">
        <f>_xlfn.IFNA(VLOOKUP(db_emp[[#This Row],[Code_lvl]],[1]!db_lvl[[#All],[ID_level]:[Leveling Name]],2,0),"-")</f>
        <v>Senior Manager</v>
      </c>
      <c r="Q414" s="74" t="str">
        <f>_xlfn.IFNA(VLOOKUP(db_emp[[#This Row],[Code_site]],[1]!db_site[[ID_Site]:[Url_maps]],3,0),"-")</f>
        <v>Head Office - ASGO</v>
      </c>
      <c r="R4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150757,'Langlang Maulana Nasution','LEG','GOVRL','Government Relation Senior Manager','LV04','HQ - ALL','O99','Employee','2015-09-03','2025-10-24'</v>
      </c>
      <c r="S414" s="74">
        <f>db_emp[[#This Row],[NIP (UPDATE)]]</f>
        <v>150757</v>
      </c>
    </row>
    <row r="415" spans="2:19" hidden="1" x14ac:dyDescent="0.25">
      <c r="B415" s="75">
        <v>35</v>
      </c>
      <c r="C415" s="75">
        <v>150957</v>
      </c>
      <c r="D415" s="74" t="s">
        <v>1465</v>
      </c>
      <c r="E415" s="75" t="s">
        <v>1461</v>
      </c>
      <c r="F415" s="75" t="s">
        <v>1462</v>
      </c>
      <c r="G415" s="74" t="s">
        <v>1466</v>
      </c>
      <c r="H415" s="75" t="s">
        <v>848</v>
      </c>
      <c r="I415" s="74" t="s">
        <v>849</v>
      </c>
      <c r="J415" s="75" t="s">
        <v>315</v>
      </c>
      <c r="K415" s="75" t="s">
        <v>850</v>
      </c>
      <c r="L415" s="76">
        <v>42310</v>
      </c>
      <c r="M415" s="77">
        <f t="shared" ca="1" si="13"/>
        <v>45954</v>
      </c>
      <c r="N415" s="74" t="str">
        <f>_xlfn.IFNA(VLOOKUP(db_emp[[#This Row],[ID_DIV]],[1]!db_dpt[[Code_dpt]:[Departement]],2,0),"-")</f>
        <v>Legal &amp; Govrel</v>
      </c>
      <c r="O415" s="74" t="str">
        <f>_xlfn.IFNA(VLOOKUP(db_emp[[#This Row],[ID_SDP]],[1]!db_div[[Code_div]:[Division]],2,0),"-")</f>
        <v>Government Relations</v>
      </c>
      <c r="P415" s="74" t="str">
        <f>_xlfn.IFNA(VLOOKUP(db_emp[[#This Row],[Code_lvl]],[1]!db_lvl[[#All],[ID_level]:[Leveling Name]],2,0),"-")</f>
        <v>Assistant Manager</v>
      </c>
      <c r="Q415" s="74" t="str">
        <f>_xlfn.IFNA(VLOOKUP(db_emp[[#This Row],[Code_site]],[1]!db_site[[ID_Site]:[Url_maps]],3,0),"-")</f>
        <v>Head Office - ASGO</v>
      </c>
      <c r="R4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150957,'Dwi Ari Setiadi','LEG','GOVRL','Government Relations Assistant Manager','LV07','Mall &amp; Cinema','O99','Employee','2015-11-02','2025-10-24'</v>
      </c>
      <c r="S415" s="74">
        <f>db_emp[[#This Row],[NIP (UPDATE)]]</f>
        <v>150957</v>
      </c>
    </row>
    <row r="416" spans="2:19" hidden="1" x14ac:dyDescent="0.25">
      <c r="B416" s="75">
        <v>69</v>
      </c>
      <c r="C416" s="75">
        <v>221160</v>
      </c>
      <c r="D416" s="74" t="s">
        <v>1467</v>
      </c>
      <c r="E416" s="75" t="s">
        <v>1461</v>
      </c>
      <c r="F416" s="75" t="s">
        <v>1462</v>
      </c>
      <c r="G416" s="74" t="s">
        <v>1468</v>
      </c>
      <c r="H416" s="75" t="s">
        <v>853</v>
      </c>
      <c r="I416" s="74" t="s">
        <v>1464</v>
      </c>
      <c r="J416" s="75" t="s">
        <v>315</v>
      </c>
      <c r="K416" s="75" t="s">
        <v>850</v>
      </c>
      <c r="L416" s="76">
        <v>44781</v>
      </c>
      <c r="M416" s="77">
        <f t="shared" ca="1" si="13"/>
        <v>45954</v>
      </c>
      <c r="N416" s="74" t="str">
        <f>_xlfn.IFNA(VLOOKUP(db_emp[[#This Row],[ID_DIV]],[1]!db_dpt[[Code_dpt]:[Departement]],2,0),"-")</f>
        <v>Legal &amp; Govrel</v>
      </c>
      <c r="O416" s="74" t="str">
        <f>_xlfn.IFNA(VLOOKUP(db_emp[[#This Row],[ID_SDP]],[1]!db_div[[Code_div]:[Division]],2,0),"-")</f>
        <v>Government Relations</v>
      </c>
      <c r="P416" s="74" t="str">
        <f>_xlfn.IFNA(VLOOKUP(db_emp[[#This Row],[Code_lvl]],[1]!db_lvl[[#All],[ID_level]:[Leveling Name]],2,0),"-")</f>
        <v>Staff</v>
      </c>
      <c r="Q416" s="74" t="str">
        <f>_xlfn.IFNA(VLOOKUP(db_emp[[#This Row],[Code_site]],[1]!db_site[[ID_Site]:[Url_maps]],3,0),"-")</f>
        <v>Head Office - ASGO</v>
      </c>
      <c r="R4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221160,'Ikhsanul Oktrio Mirza','LEG','GOVRL','Government Relations Staff','LV12','HQ - ALL','O99','Employee','2022-08-08','2025-10-24'</v>
      </c>
      <c r="S416" s="74">
        <f>db_emp[[#This Row],[NIP (UPDATE)]]</f>
        <v>221160</v>
      </c>
    </row>
    <row r="417" spans="2:19" hidden="1" x14ac:dyDescent="0.25">
      <c r="B417" s="75">
        <v>99</v>
      </c>
      <c r="C417" s="75">
        <v>231871</v>
      </c>
      <c r="D417" s="74" t="s">
        <v>1469</v>
      </c>
      <c r="E417" s="75" t="s">
        <v>1461</v>
      </c>
      <c r="F417" s="75" t="s">
        <v>1462</v>
      </c>
      <c r="G417" s="74" t="s">
        <v>1468</v>
      </c>
      <c r="H417" s="75" t="s">
        <v>853</v>
      </c>
      <c r="I417" s="74" t="s">
        <v>856</v>
      </c>
      <c r="J417" s="75" t="s">
        <v>315</v>
      </c>
      <c r="K417" s="75" t="s">
        <v>850</v>
      </c>
      <c r="L417" s="76">
        <v>45222</v>
      </c>
      <c r="M417" s="77">
        <f t="shared" ca="1" si="13"/>
        <v>45954</v>
      </c>
      <c r="N417" s="74" t="str">
        <f>_xlfn.IFNA(VLOOKUP(db_emp[[#This Row],[ID_DIV]],[1]!db_dpt[[Code_dpt]:[Departement]],2,0),"-")</f>
        <v>Legal &amp; Govrel</v>
      </c>
      <c r="O417" s="74" t="str">
        <f>_xlfn.IFNA(VLOOKUP(db_emp[[#This Row],[ID_SDP]],[1]!db_div[[Code_div]:[Division]],2,0),"-")</f>
        <v>Government Relations</v>
      </c>
      <c r="P417" s="74" t="str">
        <f>_xlfn.IFNA(VLOOKUP(db_emp[[#This Row],[Code_lvl]],[1]!db_lvl[[#All],[ID_level]:[Leveling Name]],2,0),"-")</f>
        <v>Staff</v>
      </c>
      <c r="Q417" s="74" t="str">
        <f>_xlfn.IFNA(VLOOKUP(db_emp[[#This Row],[Code_site]],[1]!db_site[[ID_Site]:[Url_maps]],3,0),"-")</f>
        <v>Head Office - ASGO</v>
      </c>
      <c r="R4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231871,'Saskia Angela','LEG','GOVRL','Government Relations Staff','LV12','HQ - All','O99','Employee','2023-10-23','2025-10-24'</v>
      </c>
      <c r="S417" s="74">
        <f>db_emp[[#This Row],[NIP (UPDATE)]]</f>
        <v>231871</v>
      </c>
    </row>
    <row r="418" spans="2:19" hidden="1" x14ac:dyDescent="0.25">
      <c r="B418" s="75">
        <v>36</v>
      </c>
      <c r="C418" s="75">
        <v>190985</v>
      </c>
      <c r="D418" s="74" t="s">
        <v>1470</v>
      </c>
      <c r="E418" s="75" t="s">
        <v>1461</v>
      </c>
      <c r="F418" s="75" t="s">
        <v>1462</v>
      </c>
      <c r="G418" s="74" t="s">
        <v>1471</v>
      </c>
      <c r="H418" s="75" t="s">
        <v>870</v>
      </c>
      <c r="I418" s="74" t="s">
        <v>856</v>
      </c>
      <c r="J418" s="75" t="s">
        <v>315</v>
      </c>
      <c r="K418" s="75" t="s">
        <v>850</v>
      </c>
      <c r="L418" s="76">
        <v>43755</v>
      </c>
      <c r="M418" s="77">
        <f t="shared" ca="1" si="13"/>
        <v>45954</v>
      </c>
      <c r="N418" s="74" t="str">
        <f>_xlfn.IFNA(VLOOKUP(db_emp[[#This Row],[ID_DIV]],[1]!db_dpt[[Code_dpt]:[Departement]],2,0),"-")</f>
        <v>Legal &amp; Govrel</v>
      </c>
      <c r="O418" s="74" t="str">
        <f>_xlfn.IFNA(VLOOKUP(db_emp[[#This Row],[ID_SDP]],[1]!db_div[[Code_div]:[Division]],2,0),"-")</f>
        <v>Government Relations</v>
      </c>
      <c r="P418" s="74" t="str">
        <f>_xlfn.IFNA(VLOOKUP(db_emp[[#This Row],[Code_lvl]],[1]!db_lvl[[#All],[ID_level]:[Leveling Name]],2,0),"-")</f>
        <v>Supervisor</v>
      </c>
      <c r="Q418" s="74" t="str">
        <f>_xlfn.IFNA(VLOOKUP(db_emp[[#This Row],[Code_site]],[1]!db_site[[ID_Site]:[Url_maps]],3,0),"-")</f>
        <v>Head Office - ASGO</v>
      </c>
      <c r="R4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190985,'Dharmawan Teguh Prakoso','LEG','GOVRL','Government Relations Supervisor','LV09','HQ - All','O99','Employee','2019-10-17','2025-10-24'</v>
      </c>
      <c r="S418" s="74">
        <f>db_emp[[#This Row],[NIP (UPDATE)]]</f>
        <v>190985</v>
      </c>
    </row>
    <row r="419" spans="2:19" hidden="1" x14ac:dyDescent="0.25">
      <c r="B419" s="75">
        <v>286</v>
      </c>
      <c r="C419" s="75">
        <v>240814</v>
      </c>
      <c r="D419" s="74" t="s">
        <v>1472</v>
      </c>
      <c r="E419" s="75" t="s">
        <v>1042</v>
      </c>
      <c r="F419" s="75" t="s">
        <v>1473</v>
      </c>
      <c r="G419" s="74" t="s">
        <v>1474</v>
      </c>
      <c r="H419" s="75" t="s">
        <v>853</v>
      </c>
      <c r="I419" s="74" t="s">
        <v>457</v>
      </c>
      <c r="J419" s="75" t="s">
        <v>460</v>
      </c>
      <c r="K419" s="75" t="s">
        <v>850</v>
      </c>
      <c r="L419" s="76">
        <v>45414</v>
      </c>
      <c r="M419" s="77">
        <f t="shared" ca="1" si="13"/>
        <v>45954</v>
      </c>
      <c r="N419" s="74" t="str">
        <f>_xlfn.IFNA(VLOOKUP(db_emp[[#This Row],[ID_DIV]],[1]!db_dpt[[Code_dpt]:[Departement]],2,0),"-")</f>
        <v>Cinema</v>
      </c>
      <c r="O419" s="74" t="str">
        <f>_xlfn.IFNA(VLOOKUP(db_emp[[#This Row],[ID_SDP]],[1]!db_div[[Code_div]:[Division]],2,0),"-")</f>
        <v>Graphic Design</v>
      </c>
      <c r="P419" s="74" t="str">
        <f>_xlfn.IFNA(VLOOKUP(db_emp[[#This Row],[Code_lvl]],[1]!db_lvl[[#All],[ID_level]:[Leveling Name]],2,0),"-")</f>
        <v>Staff</v>
      </c>
      <c r="Q419" s="74" t="str">
        <f>_xlfn.IFNA(VLOOKUP(db_emp[[#This Row],[Code_site]],[1]!db_site[[ID_Site]:[Url_maps]],3,0),"-")</f>
        <v>Unit - FLIX MOI</v>
      </c>
      <c r="R4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240814,'Dienda Zahra Imania M','CIN','GDSGN','Graphic Design Staff','LV12','Cinema','F02','Employee','2024-05-02','2025-10-24'</v>
      </c>
      <c r="S419" s="74">
        <f>db_emp[[#This Row],[NIP (UPDATE)]]</f>
        <v>240814</v>
      </c>
    </row>
    <row r="420" spans="2:19" hidden="1" x14ac:dyDescent="0.25">
      <c r="B420" s="75">
        <v>297</v>
      </c>
      <c r="C420" s="75">
        <v>190153</v>
      </c>
      <c r="D420" s="74" t="s">
        <v>1475</v>
      </c>
      <c r="E420" s="75" t="s">
        <v>927</v>
      </c>
      <c r="F420" s="75" t="s">
        <v>1473</v>
      </c>
      <c r="G420" s="74" t="s">
        <v>1476</v>
      </c>
      <c r="H420" s="75" t="s">
        <v>853</v>
      </c>
      <c r="I420" s="74" t="s">
        <v>849</v>
      </c>
      <c r="J420" s="75" t="s">
        <v>484</v>
      </c>
      <c r="K420" s="75" t="s">
        <v>850</v>
      </c>
      <c r="L420" s="76">
        <v>43507</v>
      </c>
      <c r="M420" s="77">
        <f t="shared" ca="1" si="13"/>
        <v>45954</v>
      </c>
      <c r="N420" s="74" t="str">
        <f>_xlfn.IFNA(VLOOKUP(db_emp[[#This Row],[ID_DIV]],[1]!db_dpt[[Code_dpt]:[Departement]],2,0),"-")</f>
        <v>Center Experience</v>
      </c>
      <c r="O420" s="74" t="str">
        <f>_xlfn.IFNA(VLOOKUP(db_emp[[#This Row],[ID_SDP]],[1]!db_div[[Code_div]:[Division]],2,0),"-")</f>
        <v>Graphic Design</v>
      </c>
      <c r="P420" s="74" t="str">
        <f>_xlfn.IFNA(VLOOKUP(db_emp[[#This Row],[Code_lvl]],[1]!db_lvl[[#All],[ID_level]:[Leveling Name]],2,0),"-")</f>
        <v>Staff</v>
      </c>
      <c r="Q420" s="74" t="str">
        <f>_xlfn.IFNA(VLOOKUP(db_emp[[#This Row],[Code_site]],[1]!db_site[[ID_Site]:[Url_maps]],3,0),"-")</f>
        <v>Unit - PIK Avenue</v>
      </c>
      <c r="R4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190153,'Felicia Ruth Agriani','CEX','GDSGN','Graphic Designer Staff','LV12','Mall &amp; Cinema','M01','Employee','2019-02-11','2025-10-24'</v>
      </c>
      <c r="S420" s="74">
        <f>db_emp[[#This Row],[NIP (UPDATE)]]</f>
        <v>190153</v>
      </c>
    </row>
    <row r="421" spans="2:19" hidden="1" x14ac:dyDescent="0.25">
      <c r="B421" s="75">
        <v>378</v>
      </c>
      <c r="C421" s="75">
        <v>241001</v>
      </c>
      <c r="D421" s="74" t="s">
        <v>1477</v>
      </c>
      <c r="E421" s="75" t="s">
        <v>927</v>
      </c>
      <c r="F421" s="75" t="s">
        <v>1473</v>
      </c>
      <c r="G421" s="74" t="s">
        <v>1476</v>
      </c>
      <c r="H421" s="75" t="s">
        <v>885</v>
      </c>
      <c r="I421" s="74" t="s">
        <v>486</v>
      </c>
      <c r="J421" s="75" t="s">
        <v>492</v>
      </c>
      <c r="K421" s="75" t="s">
        <v>850</v>
      </c>
      <c r="L421" s="76">
        <v>45454</v>
      </c>
      <c r="M421" s="77">
        <f t="shared" ca="1" si="13"/>
        <v>45954</v>
      </c>
      <c r="N421" s="74" t="str">
        <f>_xlfn.IFNA(VLOOKUP(db_emp[[#This Row],[ID_DIV]],[1]!db_dpt[[Code_dpt]:[Departement]],2,0),"-")</f>
        <v>Center Experience</v>
      </c>
      <c r="O421" s="74" t="str">
        <f>_xlfn.IFNA(VLOOKUP(db_emp[[#This Row],[ID_SDP]],[1]!db_div[[Code_div]:[Division]],2,0),"-")</f>
        <v>Graphic Design</v>
      </c>
      <c r="P421" s="74" t="str">
        <f>_xlfn.IFNA(VLOOKUP(db_emp[[#This Row],[Code_lvl]],[1]!db_lvl[[#All],[ID_level]:[Leveling Name]],2,0),"-")</f>
        <v>Senior Staff</v>
      </c>
      <c r="Q421" s="74" t="str">
        <f>_xlfn.IFNA(VLOOKUP(db_emp[[#This Row],[Code_site]],[1]!db_site[[ID_Site]:[Url_maps]],3,0),"-")</f>
        <v>Unit - Hublife</v>
      </c>
      <c r="R4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241001,'Bagus Anggara','CEX','GDSGN','Graphic Designer Staff','LV11','Mall','M05','Employee','2024-06-11','2025-10-24'</v>
      </c>
      <c r="S421" s="74">
        <f>db_emp[[#This Row],[NIP (UPDATE)]]</f>
        <v>241001</v>
      </c>
    </row>
    <row r="422" spans="2:19" hidden="1" x14ac:dyDescent="0.25">
      <c r="B422" s="75">
        <v>442</v>
      </c>
      <c r="C422" s="75">
        <v>232094</v>
      </c>
      <c r="D422" s="74" t="s">
        <v>1478</v>
      </c>
      <c r="E422" s="75" t="s">
        <v>927</v>
      </c>
      <c r="F422" s="75" t="s">
        <v>1473</v>
      </c>
      <c r="G422" s="74" t="s">
        <v>1476</v>
      </c>
      <c r="H422" s="75" t="s">
        <v>853</v>
      </c>
      <c r="I422" s="74" t="s">
        <v>486</v>
      </c>
      <c r="J422" s="75" t="s">
        <v>496</v>
      </c>
      <c r="K422" s="75" t="s">
        <v>850</v>
      </c>
      <c r="L422" s="76">
        <v>45250</v>
      </c>
      <c r="M422" s="77">
        <f t="shared" ca="1" si="13"/>
        <v>45954</v>
      </c>
      <c r="N422" s="74" t="str">
        <f>_xlfn.IFNA(VLOOKUP(db_emp[[#This Row],[ID_DIV]],[1]!db_dpt[[Code_dpt]:[Departement]],2,0),"-")</f>
        <v>Center Experience</v>
      </c>
      <c r="O422" s="74" t="str">
        <f>_xlfn.IFNA(VLOOKUP(db_emp[[#This Row],[ID_SDP]],[1]!db_div[[Code_div]:[Division]],2,0),"-")</f>
        <v>Graphic Design</v>
      </c>
      <c r="P422" s="74" t="str">
        <f>_xlfn.IFNA(VLOOKUP(db_emp[[#This Row],[Code_lvl]],[1]!db_lvl[[#All],[ID_level]:[Leveling Name]],2,0),"-")</f>
        <v>Staff</v>
      </c>
      <c r="Q422" s="74" t="str">
        <f>_xlfn.IFNA(VLOOKUP(db_emp[[#This Row],[Code_site]],[1]!db_site[[ID_Site]:[Url_maps]],3,0),"-")</f>
        <v>Unit - Menara Jakarta</v>
      </c>
      <c r="R4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232094,'Vanesa Marcella','CEX','GDSGN','Graphic Designer Staff','LV12','Mall','M06','Employee','2023-11-20','2025-10-24'</v>
      </c>
      <c r="S422" s="74">
        <f>db_emp[[#This Row],[NIP (UPDATE)]]</f>
        <v>232094</v>
      </c>
    </row>
    <row r="423" spans="2:19" hidden="1" x14ac:dyDescent="0.25">
      <c r="B423" s="75">
        <v>405</v>
      </c>
      <c r="C423" s="75">
        <v>231616</v>
      </c>
      <c r="D423" s="74" t="s">
        <v>1479</v>
      </c>
      <c r="E423" s="75" t="s">
        <v>927</v>
      </c>
      <c r="F423" s="75" t="s">
        <v>1473</v>
      </c>
      <c r="G423" s="74" t="s">
        <v>1480</v>
      </c>
      <c r="H423" s="75" t="s">
        <v>870</v>
      </c>
      <c r="I423" s="74" t="s">
        <v>849</v>
      </c>
      <c r="J423" s="75" t="s">
        <v>316</v>
      </c>
      <c r="K423" s="75" t="s">
        <v>850</v>
      </c>
      <c r="L423" s="76">
        <v>45187</v>
      </c>
      <c r="M423" s="77">
        <f t="shared" ca="1" si="13"/>
        <v>45954</v>
      </c>
      <c r="N423" s="74" t="str">
        <f>_xlfn.IFNA(VLOOKUP(db_emp[[#This Row],[ID_DIV]],[1]!db_dpt[[Code_dpt]:[Departement]],2,0),"-")</f>
        <v>Center Experience</v>
      </c>
      <c r="O423" s="74" t="str">
        <f>_xlfn.IFNA(VLOOKUP(db_emp[[#This Row],[ID_SDP]],[1]!db_div[[Code_div]:[Division]],2,0),"-")</f>
        <v>Graphic Design</v>
      </c>
      <c r="P423" s="74" t="str">
        <f>_xlfn.IFNA(VLOOKUP(db_emp[[#This Row],[Code_lvl]],[1]!db_lvl[[#All],[ID_level]:[Leveling Name]],2,0),"-")</f>
        <v>Supervisor</v>
      </c>
      <c r="Q423" s="74" t="str">
        <f>_xlfn.IFNA(VLOOKUP(db_emp[[#This Row],[Code_site]],[1]!db_site[[ID_Site]:[Url_maps]],3,0),"-")</f>
        <v>Unit - GGP</v>
      </c>
      <c r="R4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231616,'Jeremy Groversam D','CEX','GDSGN','Graphic Designer Supervisor','LV09','Mall &amp; Cinema','M03','Employee','2023-09-18','2025-10-24'</v>
      </c>
      <c r="S423" s="74">
        <f>db_emp[[#This Row],[NIP (UPDATE)]]</f>
        <v>231616</v>
      </c>
    </row>
    <row r="424" spans="2:19" hidden="1" x14ac:dyDescent="0.25">
      <c r="B424" s="75">
        <v>464</v>
      </c>
      <c r="C424" s="75">
        <v>180625</v>
      </c>
      <c r="D424" s="74" t="s">
        <v>1481</v>
      </c>
      <c r="E424" s="75" t="s">
        <v>927</v>
      </c>
      <c r="F424" s="75" t="s">
        <v>1473</v>
      </c>
      <c r="G424" s="74" t="s">
        <v>1480</v>
      </c>
      <c r="H424" s="75" t="s">
        <v>870</v>
      </c>
      <c r="I424" s="74" t="s">
        <v>849</v>
      </c>
      <c r="J424" s="75" t="s">
        <v>490</v>
      </c>
      <c r="K424" s="75" t="s">
        <v>850</v>
      </c>
      <c r="L424" s="76">
        <v>43213</v>
      </c>
      <c r="M424" s="77">
        <f t="shared" ca="1" si="13"/>
        <v>45954</v>
      </c>
      <c r="N424" s="74" t="str">
        <f>_xlfn.IFNA(VLOOKUP(db_emp[[#This Row],[ID_DIV]],[1]!db_dpt[[Code_dpt]:[Departement]],2,0),"-")</f>
        <v>Center Experience</v>
      </c>
      <c r="O424" s="74" t="str">
        <f>_xlfn.IFNA(VLOOKUP(db_emp[[#This Row],[ID_SDP]],[1]!db_div[[Code_div]:[Division]],2,0),"-")</f>
        <v>Graphic Design</v>
      </c>
      <c r="P424" s="74" t="str">
        <f>_xlfn.IFNA(VLOOKUP(db_emp[[#This Row],[Code_lvl]],[1]!db_lvl[[#All],[ID_level]:[Leveling Name]],2,0),"-")</f>
        <v>Supervisor</v>
      </c>
      <c r="Q424" s="74" t="str">
        <f>_xlfn.IFNA(VLOOKUP(db_emp[[#This Row],[Code_site]],[1]!db_site[[ID_Site]:[Url_maps]],3,0),"-")</f>
        <v>Unit - ASHTA</v>
      </c>
      <c r="R4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180625,'Toar Mahenly Tanos','CEX','GDSGN','Graphic Designer Supervisor','LV09','Mall &amp; Cinema','M04','Employee','2018-04-23','2025-10-24'</v>
      </c>
      <c r="S424" s="74">
        <f>db_emp[[#This Row],[NIP (UPDATE)]]</f>
        <v>180625</v>
      </c>
    </row>
    <row r="425" spans="2:19" hidden="1" x14ac:dyDescent="0.25">
      <c r="B425" s="75">
        <v>474</v>
      </c>
      <c r="C425" s="75">
        <v>220850</v>
      </c>
      <c r="D425" s="74" t="s">
        <v>1482</v>
      </c>
      <c r="E425" s="75" t="s">
        <v>927</v>
      </c>
      <c r="F425" s="75" t="s">
        <v>1473</v>
      </c>
      <c r="G425" s="74" t="s">
        <v>1480</v>
      </c>
      <c r="H425" s="75" t="s">
        <v>870</v>
      </c>
      <c r="I425" s="74" t="s">
        <v>849</v>
      </c>
      <c r="J425" s="75" t="s">
        <v>490</v>
      </c>
      <c r="K425" s="75" t="s">
        <v>850</v>
      </c>
      <c r="L425" s="76">
        <v>44732</v>
      </c>
      <c r="M425" s="77">
        <f t="shared" ca="1" si="13"/>
        <v>45954</v>
      </c>
      <c r="N425" s="74" t="str">
        <f>_xlfn.IFNA(VLOOKUP(db_emp[[#This Row],[ID_DIV]],[1]!db_dpt[[Code_dpt]:[Departement]],2,0),"-")</f>
        <v>Center Experience</v>
      </c>
      <c r="O425" s="74" t="str">
        <f>_xlfn.IFNA(VLOOKUP(db_emp[[#This Row],[ID_SDP]],[1]!db_div[[Code_div]:[Division]],2,0),"-")</f>
        <v>Graphic Design</v>
      </c>
      <c r="P425" s="74" t="str">
        <f>_xlfn.IFNA(VLOOKUP(db_emp[[#This Row],[Code_lvl]],[1]!db_lvl[[#All],[ID_level]:[Leveling Name]],2,0),"-")</f>
        <v>Supervisor</v>
      </c>
      <c r="Q425" s="74" t="str">
        <f>_xlfn.IFNA(VLOOKUP(db_emp[[#This Row],[Code_site]],[1]!db_site[[ID_Site]:[Url_maps]],3,0),"-")</f>
        <v>Unit - ASHTA</v>
      </c>
      <c r="R4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220850,'Hannah Prisca','CEX','GDSGN','Graphic Designer Supervisor','LV09','Mall &amp; Cinema','M04','Employee','2022-06-20','2025-10-24'</v>
      </c>
      <c r="S425" s="74">
        <f>db_emp[[#This Row],[NIP (UPDATE)]]</f>
        <v>220850</v>
      </c>
    </row>
    <row r="426" spans="2:19" hidden="1" x14ac:dyDescent="0.25">
      <c r="B426" s="75">
        <v>708</v>
      </c>
      <c r="C426" s="75">
        <v>240431</v>
      </c>
      <c r="D426" s="74" t="s">
        <v>1483</v>
      </c>
      <c r="E426" s="75" t="s">
        <v>1088</v>
      </c>
      <c r="F426" s="75" t="s">
        <v>1441</v>
      </c>
      <c r="G426" s="74" t="s">
        <v>1484</v>
      </c>
      <c r="H426" s="75" t="s">
        <v>853</v>
      </c>
      <c r="I426" s="74" t="s">
        <v>864</v>
      </c>
      <c r="J426" s="75" t="s">
        <v>501</v>
      </c>
      <c r="K426" s="75" t="s">
        <v>850</v>
      </c>
      <c r="L426" s="76"/>
      <c r="M426" s="77">
        <f t="shared" ca="1" si="13"/>
        <v>45954</v>
      </c>
      <c r="N426" s="74" t="str">
        <f>_xlfn.IFNA(VLOOKUP(db_emp[[#This Row],[ID_DIV]],[1]!db_dpt[[Code_dpt]:[Departement]],2,0),"-")</f>
        <v>General Services</v>
      </c>
      <c r="O426" s="74" t="str">
        <f>_xlfn.IFNA(VLOOKUP(db_emp[[#This Row],[ID_SDP]],[1]!db_div[[Code_div]:[Division]],2,0),"-")</f>
        <v>General Services; Guest Services Officer; GEA</v>
      </c>
      <c r="P426" s="74" t="str">
        <f>_xlfn.IFNA(VLOOKUP(db_emp[[#This Row],[Code_lvl]],[1]!db_lvl[[#All],[ID_level]:[Leveling Name]],2,0),"-")</f>
        <v>Staff</v>
      </c>
      <c r="Q426" s="74" t="str">
        <f>_xlfn.IFNA(VLOOKUP(db_emp[[#This Row],[Code_site]],[1]!db_site[[ID_Site]:[Url_maps]],3,0),"-")</f>
        <v>Unit - District 8</v>
      </c>
      <c r="R4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240431,'R R Devie Andini Puspita','GSE','GSRVC','Guest Services Officer Staff','LV12','Corp. Supporting Property (POM)','OD8','Employee','1900-01-00','2025-10-24'</v>
      </c>
      <c r="S426" s="74">
        <f>db_emp[[#This Row],[NIP (UPDATE)]]</f>
        <v>240431</v>
      </c>
    </row>
    <row r="427" spans="2:19" hidden="1" x14ac:dyDescent="0.25">
      <c r="B427" s="75">
        <v>673</v>
      </c>
      <c r="C427" s="75">
        <v>210466</v>
      </c>
      <c r="D427" s="74" t="s">
        <v>1485</v>
      </c>
      <c r="E427" s="75" t="s">
        <v>1088</v>
      </c>
      <c r="F427" s="75" t="s">
        <v>1441</v>
      </c>
      <c r="G427" s="74" t="s">
        <v>1486</v>
      </c>
      <c r="H427" s="75" t="s">
        <v>870</v>
      </c>
      <c r="I427" s="74" t="s">
        <v>864</v>
      </c>
      <c r="J427" s="75" t="s">
        <v>501</v>
      </c>
      <c r="K427" s="75" t="s">
        <v>850</v>
      </c>
      <c r="L427" s="76"/>
      <c r="M427" s="77">
        <f t="shared" ca="1" si="13"/>
        <v>45954</v>
      </c>
      <c r="N427" s="74" t="str">
        <f>_xlfn.IFNA(VLOOKUP(db_emp[[#This Row],[ID_DIV]],[1]!db_dpt[[Code_dpt]:[Departement]],2,0),"-")</f>
        <v>General Services</v>
      </c>
      <c r="O427" s="74" t="str">
        <f>_xlfn.IFNA(VLOOKUP(db_emp[[#This Row],[ID_SDP]],[1]!db_div[[Code_div]:[Division]],2,0),"-")</f>
        <v>General Services; Guest Services Officer; GEA</v>
      </c>
      <c r="P427" s="74" t="str">
        <f>_xlfn.IFNA(VLOOKUP(db_emp[[#This Row],[Code_lvl]],[1]!db_lvl[[#All],[ID_level]:[Leveling Name]],2,0),"-")</f>
        <v>Supervisor</v>
      </c>
      <c r="Q427" s="74" t="str">
        <f>_xlfn.IFNA(VLOOKUP(db_emp[[#This Row],[Code_site]],[1]!db_site[[ID_Site]:[Url_maps]],3,0),"-")</f>
        <v>Unit - District 8</v>
      </c>
      <c r="R4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210466,'Sazi Ajeng Ayu Virginia','GSE','GSRVC','Guest Services Officer Supervisor','LV09','Corp. Supporting Property (POM)','OD8','Employee','1900-01-00','2025-10-24'</v>
      </c>
      <c r="S427" s="74">
        <f>db_emp[[#This Row],[NIP (UPDATE)]]</f>
        <v>210466</v>
      </c>
    </row>
    <row r="428" spans="2:19" hidden="1" x14ac:dyDescent="0.25">
      <c r="B428" s="75">
        <v>637</v>
      </c>
      <c r="C428" s="75">
        <v>210404</v>
      </c>
      <c r="D428" s="74" t="s">
        <v>1487</v>
      </c>
      <c r="E428" s="75" t="s">
        <v>1036</v>
      </c>
      <c r="F428" s="75" t="s">
        <v>1359</v>
      </c>
      <c r="G428" s="74" t="s">
        <v>1488</v>
      </c>
      <c r="H428" s="75" t="s">
        <v>853</v>
      </c>
      <c r="I428" s="74" t="s">
        <v>864</v>
      </c>
      <c r="J428" s="75" t="s">
        <v>433</v>
      </c>
      <c r="K428" s="75" t="s">
        <v>850</v>
      </c>
      <c r="L428" s="76">
        <v>44349</v>
      </c>
      <c r="M428" s="77">
        <f t="shared" ca="1" si="13"/>
        <v>45954</v>
      </c>
      <c r="N428" s="74" t="str">
        <f>_xlfn.IFNA(VLOOKUP(db_emp[[#This Row],[ID_DIV]],[1]!db_dpt[[Code_dpt]:[Departement]],2,0),"-")</f>
        <v>Tenant Relation</v>
      </c>
      <c r="O428" s="74" t="str">
        <f>_xlfn.IFNA(VLOOKUP(db_emp[[#This Row],[ID_SDP]],[1]!db_div[[Code_div]:[Division]],2,0),"-")</f>
        <v>Facilities</v>
      </c>
      <c r="P428" s="74" t="str">
        <f>_xlfn.IFNA(VLOOKUP(db_emp[[#This Row],[Code_lvl]],[1]!db_lvl[[#All],[ID_level]:[Leveling Name]],2,0),"-")</f>
        <v>Staff</v>
      </c>
      <c r="Q428" s="74" t="str">
        <f>_xlfn.IFNA(VLOOKUP(db_emp[[#This Row],[Code_site]],[1]!db_site[[ID_Site]:[Url_maps]],3,0),"-")</f>
        <v>Unit - Taman Anggrek Residences</v>
      </c>
      <c r="R4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210404,'Fendy Vincent','TRL','FACIL','Gym Attendant Staff','LV12','Corp. Supporting Property (POM)','A01','Employee','2021-06-02','2025-10-24'</v>
      </c>
      <c r="S428" s="74">
        <f>db_emp[[#This Row],[NIP (UPDATE)]]</f>
        <v>210404</v>
      </c>
    </row>
    <row r="429" spans="2:19" hidden="1" x14ac:dyDescent="0.25">
      <c r="B429" s="75">
        <v>683</v>
      </c>
      <c r="C429" s="75">
        <v>230366</v>
      </c>
      <c r="D429" s="74" t="s">
        <v>1489</v>
      </c>
      <c r="E429" s="75" t="s">
        <v>1036</v>
      </c>
      <c r="F429" s="75" t="s">
        <v>1359</v>
      </c>
      <c r="G429" s="74" t="s">
        <v>1488</v>
      </c>
      <c r="H429" s="75" t="s">
        <v>853</v>
      </c>
      <c r="I429" s="74" t="s">
        <v>864</v>
      </c>
      <c r="J429" s="75" t="s">
        <v>501</v>
      </c>
      <c r="K429" s="75" t="s">
        <v>850</v>
      </c>
      <c r="L429" s="76"/>
      <c r="M429" s="77">
        <f t="shared" ca="1" si="13"/>
        <v>45954</v>
      </c>
      <c r="N429" s="74" t="str">
        <f>_xlfn.IFNA(VLOOKUP(db_emp[[#This Row],[ID_DIV]],[1]!db_dpt[[Code_dpt]:[Departement]],2,0),"-")</f>
        <v>Tenant Relation</v>
      </c>
      <c r="O429" s="74" t="str">
        <f>_xlfn.IFNA(VLOOKUP(db_emp[[#This Row],[ID_SDP]],[1]!db_div[[Code_div]:[Division]],2,0),"-")</f>
        <v>Facilities</v>
      </c>
      <c r="P429" s="74" t="str">
        <f>_xlfn.IFNA(VLOOKUP(db_emp[[#This Row],[Code_lvl]],[1]!db_lvl[[#All],[ID_level]:[Leveling Name]],2,0),"-")</f>
        <v>Staff</v>
      </c>
      <c r="Q429" s="74" t="str">
        <f>_xlfn.IFNA(VLOOKUP(db_emp[[#This Row],[Code_site]],[1]!db_site[[ID_Site]:[Url_maps]],3,0),"-")</f>
        <v>Unit - District 8</v>
      </c>
      <c r="R4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230366,'Ari Rifai','TRL','FACIL','Gym Attendant Staff','LV12','Corp. Supporting Property (POM)','OD8','Employee','1900-01-00','2025-10-24'</v>
      </c>
      <c r="S429" s="74">
        <f>db_emp[[#This Row],[NIP (UPDATE)]]</f>
        <v>230366</v>
      </c>
    </row>
    <row r="430" spans="2:19" hidden="1" x14ac:dyDescent="0.25">
      <c r="B430" s="75">
        <v>161</v>
      </c>
      <c r="C430" s="75">
        <v>250349</v>
      </c>
      <c r="D430" s="74" t="s">
        <v>1490</v>
      </c>
      <c r="E430" s="75" t="s">
        <v>1491</v>
      </c>
      <c r="F430" s="75" t="s">
        <v>1492</v>
      </c>
      <c r="G430" s="74" t="s">
        <v>1493</v>
      </c>
      <c r="H430" s="75" t="s">
        <v>953</v>
      </c>
      <c r="I430" s="74" t="s">
        <v>477</v>
      </c>
      <c r="J430" s="75" t="s">
        <v>315</v>
      </c>
      <c r="K430" s="75" t="s">
        <v>862</v>
      </c>
      <c r="L430" s="76">
        <v>45762</v>
      </c>
      <c r="M430" s="77">
        <f t="shared" ca="1" si="13"/>
        <v>45954</v>
      </c>
      <c r="N430" s="74" t="str">
        <f>_xlfn.IFNA(VLOOKUP(db_emp[[#This Row],[ID_DIV]],[1]!db_dpt[[Code_dpt]:[Departement]],2,0),"-")</f>
        <v>Purchasing &amp; Procurement</v>
      </c>
      <c r="O430" s="74" t="str">
        <f>_xlfn.IFNA(VLOOKUP(db_emp[[#This Row],[ID_SDP]],[1]!db_div[[Code_div]:[Division]],2,0),"-")</f>
        <v>Procurement</v>
      </c>
      <c r="P430" s="74" t="str">
        <f>_xlfn.IFNA(VLOOKUP(db_emp[[#This Row],[Code_lvl]],[1]!db_lvl[[#All],[ID_level]:[Leveling Name]],2,0),"-")</f>
        <v>Manager</v>
      </c>
      <c r="Q430" s="74" t="str">
        <f>_xlfn.IFNA(VLOOKUP(db_emp[[#This Row],[Code_site]],[1]!db_site[[ID_Site]:[Url_maps]],3,0),"-")</f>
        <v>Head Office - ASGO</v>
      </c>
      <c r="R4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250349,'Yuli Yanah','PRC','PCUMT','Hospitality Purchasing Manager','LV05','Hotel','O99','Not Employee','2025-04-15','2025-10-24'</v>
      </c>
      <c r="S430" s="74">
        <f>db_emp[[#This Row],[NIP (UPDATE)]]</f>
        <v>250349</v>
      </c>
    </row>
    <row r="431" spans="2:19" hidden="1" x14ac:dyDescent="0.25">
      <c r="B431" s="75">
        <v>318</v>
      </c>
      <c r="C431" s="75">
        <v>231615</v>
      </c>
      <c r="D431" s="74" t="s">
        <v>1494</v>
      </c>
      <c r="E431" s="75" t="s">
        <v>1018</v>
      </c>
      <c r="F431" s="75" t="s">
        <v>1495</v>
      </c>
      <c r="G431" s="74" t="s">
        <v>1496</v>
      </c>
      <c r="H431" s="75" t="s">
        <v>853</v>
      </c>
      <c r="I431" s="74" t="s">
        <v>849</v>
      </c>
      <c r="J431" s="75" t="s">
        <v>484</v>
      </c>
      <c r="K431" s="75" t="s">
        <v>850</v>
      </c>
      <c r="L431" s="76">
        <v>45187</v>
      </c>
      <c r="M431" s="77">
        <f t="shared" ca="1" si="13"/>
        <v>45954</v>
      </c>
      <c r="N431" s="74" t="str">
        <f>_xlfn.IFNA(VLOOKUP(db_emp[[#This Row],[ID_DIV]],[1]!db_dpt[[Code_dpt]:[Departement]],2,0),"-")</f>
        <v>Operational</v>
      </c>
      <c r="O431" s="74" t="str">
        <f>_xlfn.IFNA(VLOOKUP(db_emp[[#This Row],[ID_SDP]],[1]!db_div[[Code_div]:[Division]],2,0),"-")</f>
        <v>Housekeeping &amp;Parking</v>
      </c>
      <c r="P431" s="74" t="str">
        <f>_xlfn.IFNA(VLOOKUP(db_emp[[#This Row],[Code_lvl]],[1]!db_lvl[[#All],[ID_level]:[Leveling Name]],2,0),"-")</f>
        <v>Staff</v>
      </c>
      <c r="Q431" s="74" t="str">
        <f>_xlfn.IFNA(VLOOKUP(db_emp[[#This Row],[Code_site]],[1]!db_site[[ID_Site]:[Url_maps]],3,0),"-")</f>
        <v>Unit - PIK Avenue</v>
      </c>
      <c r="R4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231615,'Fiqi Nasrullah','OPR','HSKPK','Housekeeping &amp; Parking Staff','LV12','Mall &amp; Cinema','M01','Employee','2023-09-18','2025-10-24'</v>
      </c>
      <c r="S431" s="74">
        <f>db_emp[[#This Row],[NIP (UPDATE)]]</f>
        <v>231615</v>
      </c>
    </row>
    <row r="432" spans="2:19" hidden="1" x14ac:dyDescent="0.25">
      <c r="B432" s="75">
        <v>343</v>
      </c>
      <c r="C432" s="75">
        <v>241848</v>
      </c>
      <c r="D432" s="74" t="s">
        <v>1497</v>
      </c>
      <c r="E432" s="75" t="s">
        <v>1018</v>
      </c>
      <c r="F432" s="75" t="s">
        <v>1495</v>
      </c>
      <c r="G432" s="74" t="s">
        <v>1496</v>
      </c>
      <c r="H432" s="75" t="s">
        <v>853</v>
      </c>
      <c r="I432" s="74" t="s">
        <v>849</v>
      </c>
      <c r="J432" s="75" t="s">
        <v>484</v>
      </c>
      <c r="K432" s="75" t="s">
        <v>850</v>
      </c>
      <c r="L432" s="76">
        <v>45579</v>
      </c>
      <c r="M432" s="77">
        <f t="shared" ca="1" si="13"/>
        <v>45954</v>
      </c>
      <c r="N432" s="74" t="str">
        <f>_xlfn.IFNA(VLOOKUP(db_emp[[#This Row],[ID_DIV]],[1]!db_dpt[[Code_dpt]:[Departement]],2,0),"-")</f>
        <v>Operational</v>
      </c>
      <c r="O432" s="74" t="str">
        <f>_xlfn.IFNA(VLOOKUP(db_emp[[#This Row],[ID_SDP]],[1]!db_div[[Code_div]:[Division]],2,0),"-")</f>
        <v>Housekeeping &amp;Parking</v>
      </c>
      <c r="P432" s="74" t="str">
        <f>_xlfn.IFNA(VLOOKUP(db_emp[[#This Row],[Code_lvl]],[1]!db_lvl[[#All],[ID_level]:[Leveling Name]],2,0),"-")</f>
        <v>Staff</v>
      </c>
      <c r="Q432" s="74" t="str">
        <f>_xlfn.IFNA(VLOOKUP(db_emp[[#This Row],[Code_site]],[1]!db_site[[ID_Site]:[Url_maps]],3,0),"-")</f>
        <v>Unit - PIK Avenue</v>
      </c>
      <c r="R4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241848,'Pandu Sajiwa','OPR','HSKPK','Housekeeping &amp; Parking Staff','LV12','Mall &amp; Cinema','M01','Employee','2024-10-14','2025-10-24'</v>
      </c>
      <c r="S432" s="74">
        <f>db_emp[[#This Row],[NIP (UPDATE)]]</f>
        <v>241848</v>
      </c>
    </row>
    <row r="433" spans="2:19" hidden="1" x14ac:dyDescent="0.25">
      <c r="B433" s="75">
        <v>348</v>
      </c>
      <c r="C433" s="75">
        <v>250107</v>
      </c>
      <c r="D433" s="74" t="s">
        <v>1498</v>
      </c>
      <c r="E433" s="75" t="s">
        <v>1018</v>
      </c>
      <c r="F433" s="75" t="s">
        <v>1495</v>
      </c>
      <c r="G433" s="74" t="s">
        <v>1496</v>
      </c>
      <c r="H433" s="75" t="s">
        <v>853</v>
      </c>
      <c r="I433" s="74" t="s">
        <v>849</v>
      </c>
      <c r="J433" s="75" t="s">
        <v>484</v>
      </c>
      <c r="K433" s="75" t="s">
        <v>862</v>
      </c>
      <c r="L433" s="76">
        <v>45691</v>
      </c>
      <c r="M433" s="77">
        <f t="shared" ca="1" si="13"/>
        <v>45954</v>
      </c>
      <c r="N433" s="74" t="str">
        <f>_xlfn.IFNA(VLOOKUP(db_emp[[#This Row],[ID_DIV]],[1]!db_dpt[[Code_dpt]:[Departement]],2,0),"-")</f>
        <v>Operational</v>
      </c>
      <c r="O433" s="74" t="str">
        <f>_xlfn.IFNA(VLOOKUP(db_emp[[#This Row],[ID_SDP]],[1]!db_div[[Code_div]:[Division]],2,0),"-")</f>
        <v>Housekeeping &amp;Parking</v>
      </c>
      <c r="P433" s="74" t="str">
        <f>_xlfn.IFNA(VLOOKUP(db_emp[[#This Row],[Code_lvl]],[1]!db_lvl[[#All],[ID_level]:[Leveling Name]],2,0),"-")</f>
        <v>Staff</v>
      </c>
      <c r="Q433" s="74" t="str">
        <f>_xlfn.IFNA(VLOOKUP(db_emp[[#This Row],[Code_site]],[1]!db_site[[ID_Site]:[Url_maps]],3,0),"-")</f>
        <v>Unit - PIK Avenue</v>
      </c>
      <c r="R4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250107,'Rustamaji','OPR','HSKPK','Housekeeping &amp; Parking Staff','LV12','Mall &amp; Cinema','M01','Not Employee','2025-02-03','2025-10-24'</v>
      </c>
      <c r="S433" s="74">
        <f>db_emp[[#This Row],[NIP (UPDATE)]]</f>
        <v>250107</v>
      </c>
    </row>
    <row r="434" spans="2:19" hidden="1" x14ac:dyDescent="0.25">
      <c r="B434" s="75">
        <v>410</v>
      </c>
      <c r="C434" s="75">
        <v>101614</v>
      </c>
      <c r="D434" s="74" t="s">
        <v>1499</v>
      </c>
      <c r="E434" s="75" t="s">
        <v>1018</v>
      </c>
      <c r="F434" s="75" t="s">
        <v>1495</v>
      </c>
      <c r="G434" s="74" t="s">
        <v>1500</v>
      </c>
      <c r="H434" s="75" t="s">
        <v>870</v>
      </c>
      <c r="I434" s="74" t="s">
        <v>849</v>
      </c>
      <c r="J434" s="75" t="s">
        <v>316</v>
      </c>
      <c r="K434" s="75" t="s">
        <v>850</v>
      </c>
      <c r="L434" s="76">
        <v>39601</v>
      </c>
      <c r="M434" s="77">
        <f t="shared" ca="1" si="13"/>
        <v>45954</v>
      </c>
      <c r="N434" s="74" t="str">
        <f>_xlfn.IFNA(VLOOKUP(db_emp[[#This Row],[ID_DIV]],[1]!db_dpt[[Code_dpt]:[Departement]],2,0),"-")</f>
        <v>Operational</v>
      </c>
      <c r="O434" s="74" t="str">
        <f>_xlfn.IFNA(VLOOKUP(db_emp[[#This Row],[ID_SDP]],[1]!db_div[[Code_div]:[Division]],2,0),"-")</f>
        <v>Housekeeping &amp;Parking</v>
      </c>
      <c r="P434" s="74" t="str">
        <f>_xlfn.IFNA(VLOOKUP(db_emp[[#This Row],[Code_lvl]],[1]!db_lvl[[#All],[ID_level]:[Leveling Name]],2,0),"-")</f>
        <v>Supervisor</v>
      </c>
      <c r="Q434" s="74" t="str">
        <f>_xlfn.IFNA(VLOOKUP(db_emp[[#This Row],[Code_site]],[1]!db_site[[ID_Site]:[Url_maps]],3,0),"-")</f>
        <v>Unit - GGP</v>
      </c>
      <c r="R4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101614,'Warner Rutz Panjaitan','OPR','HSKPK','Housekeeping &amp; Parking Supervisor','LV09','Mall &amp; Cinema','M03','Employee','2008-06-02','2025-10-24'</v>
      </c>
      <c r="S434" s="74">
        <f>db_emp[[#This Row],[NIP (UPDATE)]]</f>
        <v>101614</v>
      </c>
    </row>
    <row r="435" spans="2:19" hidden="1" x14ac:dyDescent="0.25">
      <c r="B435" s="75">
        <v>467</v>
      </c>
      <c r="C435" s="75">
        <v>230801</v>
      </c>
      <c r="D435" s="74" t="s">
        <v>1501</v>
      </c>
      <c r="E435" s="75" t="s">
        <v>1018</v>
      </c>
      <c r="F435" s="75" t="s">
        <v>1502</v>
      </c>
      <c r="G435" s="74" t="s">
        <v>1503</v>
      </c>
      <c r="H435" s="75" t="s">
        <v>870</v>
      </c>
      <c r="I435" s="74" t="s">
        <v>849</v>
      </c>
      <c r="J435" s="75" t="s">
        <v>490</v>
      </c>
      <c r="K435" s="75" t="s">
        <v>850</v>
      </c>
      <c r="L435" s="76">
        <v>45085</v>
      </c>
      <c r="M435" s="77">
        <f t="shared" ca="1" si="13"/>
        <v>45954</v>
      </c>
      <c r="N435" s="74" t="str">
        <f>_xlfn.IFNA(VLOOKUP(db_emp[[#This Row],[ID_DIV]],[1]!db_dpt[[Code_dpt]:[Departement]],2,0),"-")</f>
        <v>Operational</v>
      </c>
      <c r="O435" s="74" t="str">
        <f>_xlfn.IFNA(VLOOKUP(db_emp[[#This Row],[ID_SDP]],[1]!db_div[[Code_div]:[Division]],2,0),"-")</f>
        <v>Housekeeping</v>
      </c>
      <c r="P435" s="74" t="str">
        <f>_xlfn.IFNA(VLOOKUP(db_emp[[#This Row],[Code_lvl]],[1]!db_lvl[[#All],[ID_level]:[Leveling Name]],2,0),"-")</f>
        <v>Supervisor</v>
      </c>
      <c r="Q435" s="74" t="str">
        <f>_xlfn.IFNA(VLOOKUP(db_emp[[#This Row],[Code_site]],[1]!db_site[[ID_Site]:[Url_maps]],3,0),"-")</f>
        <v>Unit - ASHTA</v>
      </c>
      <c r="R4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230801,'Hendi Hidayat','OPR','HSKPG','Housekeeping Supervisor','LV09','Mall &amp; Cinema','M04','Employee','2023-06-08','2025-10-24'</v>
      </c>
      <c r="S435" s="74">
        <f>db_emp[[#This Row],[NIP (UPDATE)]]</f>
        <v>230801</v>
      </c>
    </row>
    <row r="436" spans="2:19" hidden="1" x14ac:dyDescent="0.25">
      <c r="B436" s="75">
        <v>676</v>
      </c>
      <c r="C436" s="75">
        <v>210929</v>
      </c>
      <c r="D436" s="74" t="s">
        <v>1504</v>
      </c>
      <c r="E436" s="75" t="s">
        <v>916</v>
      </c>
      <c r="F436" s="75" t="s">
        <v>1502</v>
      </c>
      <c r="G436" s="74" t="s">
        <v>1503</v>
      </c>
      <c r="H436" s="75" t="s">
        <v>870</v>
      </c>
      <c r="I436" s="74" t="s">
        <v>864</v>
      </c>
      <c r="J436" s="75" t="s">
        <v>501</v>
      </c>
      <c r="K436" s="75" t="s">
        <v>850</v>
      </c>
      <c r="L436" s="76"/>
      <c r="M436" s="77">
        <f t="shared" ca="1" si="13"/>
        <v>45954</v>
      </c>
      <c r="N436" s="74" t="str">
        <f>_xlfn.IFNA(VLOOKUP(db_emp[[#This Row],[ID_DIV]],[1]!db_dpt[[Code_dpt]:[Departement]],2,0),"-")</f>
        <v>Property Management</v>
      </c>
      <c r="O436" s="74" t="str">
        <f>_xlfn.IFNA(VLOOKUP(db_emp[[#This Row],[ID_SDP]],[1]!db_div[[Code_div]:[Division]],2,0),"-")</f>
        <v>Housekeeping</v>
      </c>
      <c r="P436" s="74" t="str">
        <f>_xlfn.IFNA(VLOOKUP(db_emp[[#This Row],[Code_lvl]],[1]!db_lvl[[#All],[ID_level]:[Leveling Name]],2,0),"-")</f>
        <v>Supervisor</v>
      </c>
      <c r="Q436" s="74" t="str">
        <f>_xlfn.IFNA(VLOOKUP(db_emp[[#This Row],[Code_site]],[1]!db_site[[ID_Site]:[Url_maps]],3,0),"-")</f>
        <v>Unit - District 8</v>
      </c>
      <c r="R4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210929,'Tri Lestari','POM','HSKPG','Housekeeping Supervisor','LV09','Corp. Supporting Property (POM)','OD8','Employee','1900-01-00','2025-10-24'</v>
      </c>
      <c r="S436" s="74">
        <f>db_emp[[#This Row],[NIP (UPDATE)]]</f>
        <v>210929</v>
      </c>
    </row>
    <row r="437" spans="2:19" hidden="1" x14ac:dyDescent="0.25">
      <c r="B437" s="75">
        <v>682</v>
      </c>
      <c r="C437" s="75">
        <v>221384</v>
      </c>
      <c r="D437" s="74" t="s">
        <v>1505</v>
      </c>
      <c r="E437" s="75" t="s">
        <v>916</v>
      </c>
      <c r="F437" s="75" t="s">
        <v>1502</v>
      </c>
      <c r="G437" s="74" t="s">
        <v>1503</v>
      </c>
      <c r="H437" s="75" t="s">
        <v>870</v>
      </c>
      <c r="I437" s="74" t="s">
        <v>864</v>
      </c>
      <c r="J437" s="75" t="s">
        <v>501</v>
      </c>
      <c r="K437" s="75" t="s">
        <v>850</v>
      </c>
      <c r="L437" s="76"/>
      <c r="M437" s="77">
        <f t="shared" ca="1" si="13"/>
        <v>45954</v>
      </c>
      <c r="N437" s="74" t="str">
        <f>_xlfn.IFNA(VLOOKUP(db_emp[[#This Row],[ID_DIV]],[1]!db_dpt[[Code_dpt]:[Departement]],2,0),"-")</f>
        <v>Property Management</v>
      </c>
      <c r="O437" s="74" t="str">
        <f>_xlfn.IFNA(VLOOKUP(db_emp[[#This Row],[ID_SDP]],[1]!db_div[[Code_div]:[Division]],2,0),"-")</f>
        <v>Housekeeping</v>
      </c>
      <c r="P437" s="74" t="str">
        <f>_xlfn.IFNA(VLOOKUP(db_emp[[#This Row],[Code_lvl]],[1]!db_lvl[[#All],[ID_level]:[Leveling Name]],2,0),"-")</f>
        <v>Supervisor</v>
      </c>
      <c r="Q437" s="74" t="str">
        <f>_xlfn.IFNA(VLOOKUP(db_emp[[#This Row],[Code_site]],[1]!db_site[[ID_Site]:[Url_maps]],3,0),"-")</f>
        <v>Unit - District 8</v>
      </c>
      <c r="R4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221384,'Muhamad Soleh','POM','HSKPG','Housekeeping Supervisor','LV09','Corp. Supporting Property (POM)','OD8','Employee','1900-01-00','2025-10-24'</v>
      </c>
      <c r="S437" s="74">
        <f>db_emp[[#This Row],[NIP (UPDATE)]]</f>
        <v>221384</v>
      </c>
    </row>
    <row r="438" spans="2:19" hidden="1" x14ac:dyDescent="0.25">
      <c r="B438" s="75">
        <v>687</v>
      </c>
      <c r="C438" s="75">
        <v>230885</v>
      </c>
      <c r="D438" s="74" t="s">
        <v>1506</v>
      </c>
      <c r="E438" s="75" t="s">
        <v>916</v>
      </c>
      <c r="F438" s="75" t="s">
        <v>1502</v>
      </c>
      <c r="G438" s="74" t="s">
        <v>1503</v>
      </c>
      <c r="H438" s="75" t="s">
        <v>870</v>
      </c>
      <c r="I438" s="74" t="s">
        <v>864</v>
      </c>
      <c r="J438" s="75" t="s">
        <v>501</v>
      </c>
      <c r="K438" s="75" t="s">
        <v>850</v>
      </c>
      <c r="L438" s="76"/>
      <c r="M438" s="77">
        <f t="shared" ca="1" si="13"/>
        <v>45954</v>
      </c>
      <c r="N438" s="74" t="str">
        <f>_xlfn.IFNA(VLOOKUP(db_emp[[#This Row],[ID_DIV]],[1]!db_dpt[[Code_dpt]:[Departement]],2,0),"-")</f>
        <v>Property Management</v>
      </c>
      <c r="O438" s="74" t="str">
        <f>_xlfn.IFNA(VLOOKUP(db_emp[[#This Row],[ID_SDP]],[1]!db_div[[Code_div]:[Division]],2,0),"-")</f>
        <v>Housekeeping</v>
      </c>
      <c r="P438" s="74" t="str">
        <f>_xlfn.IFNA(VLOOKUP(db_emp[[#This Row],[Code_lvl]],[1]!db_lvl[[#All],[ID_level]:[Leveling Name]],2,0),"-")</f>
        <v>Supervisor</v>
      </c>
      <c r="Q438" s="74" t="str">
        <f>_xlfn.IFNA(VLOOKUP(db_emp[[#This Row],[Code_site]],[1]!db_site[[ID_Site]:[Url_maps]],3,0),"-")</f>
        <v>Unit - District 8</v>
      </c>
      <c r="R4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230885,'Ikhfa Nurtamimi','POM','HSKPG','Housekeeping Supervisor','LV09','Corp. Supporting Property (POM)','OD8','Employee','1900-01-00','2025-10-24'</v>
      </c>
      <c r="S438" s="74">
        <f>db_emp[[#This Row],[NIP (UPDATE)]]</f>
        <v>230885</v>
      </c>
    </row>
    <row r="439" spans="2:19" hidden="1" x14ac:dyDescent="0.25">
      <c r="B439" s="75">
        <v>692</v>
      </c>
      <c r="C439" s="75">
        <v>231473</v>
      </c>
      <c r="D439" s="74" t="s">
        <v>1507</v>
      </c>
      <c r="E439" s="75" t="s">
        <v>916</v>
      </c>
      <c r="F439" s="75" t="s">
        <v>1502</v>
      </c>
      <c r="G439" s="74" t="s">
        <v>1503</v>
      </c>
      <c r="H439" s="75" t="s">
        <v>870</v>
      </c>
      <c r="I439" s="74" t="s">
        <v>864</v>
      </c>
      <c r="J439" s="75" t="s">
        <v>501</v>
      </c>
      <c r="K439" s="75" t="s">
        <v>850</v>
      </c>
      <c r="L439" s="76"/>
      <c r="M439" s="77">
        <f t="shared" ca="1" si="13"/>
        <v>45954</v>
      </c>
      <c r="N439" s="74" t="str">
        <f>_xlfn.IFNA(VLOOKUP(db_emp[[#This Row],[ID_DIV]],[1]!db_dpt[[Code_dpt]:[Departement]],2,0),"-")</f>
        <v>Property Management</v>
      </c>
      <c r="O439" s="74" t="str">
        <f>_xlfn.IFNA(VLOOKUP(db_emp[[#This Row],[ID_SDP]],[1]!db_div[[Code_div]:[Division]],2,0),"-")</f>
        <v>Housekeeping</v>
      </c>
      <c r="P439" s="74" t="str">
        <f>_xlfn.IFNA(VLOOKUP(db_emp[[#This Row],[Code_lvl]],[1]!db_lvl[[#All],[ID_level]:[Leveling Name]],2,0),"-")</f>
        <v>Supervisor</v>
      </c>
      <c r="Q439" s="74" t="str">
        <f>_xlfn.IFNA(VLOOKUP(db_emp[[#This Row],[Code_site]],[1]!db_site[[ID_Site]:[Url_maps]],3,0),"-")</f>
        <v>Unit - District 8</v>
      </c>
      <c r="R4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231473,'Sugito .','POM','HSKPG','Housekeeping Supervisor','LV09','Corp. Supporting Property (POM)','OD8','Employee','1900-01-00','2025-10-24'</v>
      </c>
      <c r="S439" s="74">
        <f>db_emp[[#This Row],[NIP (UPDATE)]]</f>
        <v>231473</v>
      </c>
    </row>
    <row r="440" spans="2:19" hidden="1" x14ac:dyDescent="0.25">
      <c r="B440" s="75">
        <v>695</v>
      </c>
      <c r="C440" s="75">
        <v>231543</v>
      </c>
      <c r="D440" s="74" t="s">
        <v>1508</v>
      </c>
      <c r="E440" s="75" t="s">
        <v>916</v>
      </c>
      <c r="F440" s="75" t="s">
        <v>1502</v>
      </c>
      <c r="G440" s="74" t="s">
        <v>1503</v>
      </c>
      <c r="H440" s="75" t="s">
        <v>870</v>
      </c>
      <c r="I440" s="74" t="s">
        <v>864</v>
      </c>
      <c r="J440" s="75" t="s">
        <v>501</v>
      </c>
      <c r="K440" s="75" t="s">
        <v>850</v>
      </c>
      <c r="L440" s="76"/>
      <c r="M440" s="77">
        <f t="shared" ca="1" si="13"/>
        <v>45954</v>
      </c>
      <c r="N440" s="74" t="str">
        <f>_xlfn.IFNA(VLOOKUP(db_emp[[#This Row],[ID_DIV]],[1]!db_dpt[[Code_dpt]:[Departement]],2,0),"-")</f>
        <v>Property Management</v>
      </c>
      <c r="O440" s="74" t="str">
        <f>_xlfn.IFNA(VLOOKUP(db_emp[[#This Row],[ID_SDP]],[1]!db_div[[Code_div]:[Division]],2,0),"-")</f>
        <v>Housekeeping</v>
      </c>
      <c r="P440" s="74" t="str">
        <f>_xlfn.IFNA(VLOOKUP(db_emp[[#This Row],[Code_lvl]],[1]!db_lvl[[#All],[ID_level]:[Leveling Name]],2,0),"-")</f>
        <v>Supervisor</v>
      </c>
      <c r="Q440" s="74" t="str">
        <f>_xlfn.IFNA(VLOOKUP(db_emp[[#This Row],[Code_site]],[1]!db_site[[ID_Site]:[Url_maps]],3,0),"-")</f>
        <v>Unit - District 8</v>
      </c>
      <c r="R4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231543,'Mohamad Fauzi','POM','HSKPG','Housekeeping Supervisor','LV09','Corp. Supporting Property (POM)','OD8','Employee','1900-01-00','2025-10-24'</v>
      </c>
      <c r="S440" s="74">
        <f>db_emp[[#This Row],[NIP (UPDATE)]]</f>
        <v>231543</v>
      </c>
    </row>
    <row r="441" spans="2:19" hidden="1" x14ac:dyDescent="0.25">
      <c r="B441" s="75">
        <v>700</v>
      </c>
      <c r="C441" s="75">
        <v>231742</v>
      </c>
      <c r="D441" s="74" t="s">
        <v>1509</v>
      </c>
      <c r="E441" s="75" t="s">
        <v>916</v>
      </c>
      <c r="F441" s="75" t="s">
        <v>1502</v>
      </c>
      <c r="G441" s="74" t="s">
        <v>1503</v>
      </c>
      <c r="H441" s="75" t="s">
        <v>870</v>
      </c>
      <c r="I441" s="74" t="s">
        <v>864</v>
      </c>
      <c r="J441" s="75" t="s">
        <v>501</v>
      </c>
      <c r="K441" s="75" t="s">
        <v>850</v>
      </c>
      <c r="L441" s="76"/>
      <c r="M441" s="77">
        <f t="shared" ca="1" si="13"/>
        <v>45954</v>
      </c>
      <c r="N441" s="74" t="str">
        <f>_xlfn.IFNA(VLOOKUP(db_emp[[#This Row],[ID_DIV]],[1]!db_dpt[[Code_dpt]:[Departement]],2,0),"-")</f>
        <v>Property Management</v>
      </c>
      <c r="O441" s="74" t="str">
        <f>_xlfn.IFNA(VLOOKUP(db_emp[[#This Row],[ID_SDP]],[1]!db_div[[Code_div]:[Division]],2,0),"-")</f>
        <v>Housekeeping</v>
      </c>
      <c r="P441" s="74" t="str">
        <f>_xlfn.IFNA(VLOOKUP(db_emp[[#This Row],[Code_lvl]],[1]!db_lvl[[#All],[ID_level]:[Leveling Name]],2,0),"-")</f>
        <v>Supervisor</v>
      </c>
      <c r="Q441" s="74" t="str">
        <f>_xlfn.IFNA(VLOOKUP(db_emp[[#This Row],[Code_site]],[1]!db_site[[ID_Site]:[Url_maps]],3,0),"-")</f>
        <v>Unit - District 8</v>
      </c>
      <c r="R4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231742,'Sigit Pratomo','POM','HSKPG','Housekeeping Supervisor','LV09','Corp. Supporting Property (POM)','OD8','Employee','1900-01-00','2025-10-24'</v>
      </c>
      <c r="S441" s="74">
        <f>db_emp[[#This Row],[NIP (UPDATE)]]</f>
        <v>231742</v>
      </c>
    </row>
    <row r="442" spans="2:19" hidden="1" x14ac:dyDescent="0.25">
      <c r="B442" s="75">
        <v>721</v>
      </c>
      <c r="C442" s="75">
        <v>240466</v>
      </c>
      <c r="D442" s="74" t="s">
        <v>1510</v>
      </c>
      <c r="E442" s="75" t="s">
        <v>916</v>
      </c>
      <c r="F442" s="75" t="s">
        <v>1502</v>
      </c>
      <c r="G442" s="74" t="s">
        <v>1503</v>
      </c>
      <c r="H442" s="75" t="s">
        <v>870</v>
      </c>
      <c r="I442" s="74" t="s">
        <v>864</v>
      </c>
      <c r="J442" s="75" t="s">
        <v>501</v>
      </c>
      <c r="K442" s="75" t="s">
        <v>850</v>
      </c>
      <c r="L442" s="76"/>
      <c r="M442" s="77">
        <f t="shared" ca="1" si="13"/>
        <v>45954</v>
      </c>
      <c r="N442" s="74" t="str">
        <f>_xlfn.IFNA(VLOOKUP(db_emp[[#This Row],[ID_DIV]],[1]!db_dpt[[Code_dpt]:[Departement]],2,0),"-")</f>
        <v>Property Management</v>
      </c>
      <c r="O442" s="74" t="str">
        <f>_xlfn.IFNA(VLOOKUP(db_emp[[#This Row],[ID_SDP]],[1]!db_div[[Code_div]:[Division]],2,0),"-")</f>
        <v>Housekeeping</v>
      </c>
      <c r="P442" s="74" t="str">
        <f>_xlfn.IFNA(VLOOKUP(db_emp[[#This Row],[Code_lvl]],[1]!db_lvl[[#All],[ID_level]:[Leveling Name]],2,0),"-")</f>
        <v>Supervisor</v>
      </c>
      <c r="Q442" s="74" t="str">
        <f>_xlfn.IFNA(VLOOKUP(db_emp[[#This Row],[Code_site]],[1]!db_site[[ID_Site]:[Url_maps]],3,0),"-")</f>
        <v>Unit - District 8</v>
      </c>
      <c r="R4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240466,'Dias Eka Kusuma','POM','HSKPG','Housekeeping Supervisor','LV09','Corp. Supporting Property (POM)','OD8','Employee','1900-01-00','2025-10-24'</v>
      </c>
      <c r="S442" s="74">
        <f>db_emp[[#This Row],[NIP (UPDATE)]]</f>
        <v>240466</v>
      </c>
    </row>
    <row r="443" spans="2:19" hidden="1" x14ac:dyDescent="0.25">
      <c r="B443" s="75">
        <v>743</v>
      </c>
      <c r="C443" s="75">
        <v>241390</v>
      </c>
      <c r="D443" s="74" t="s">
        <v>1511</v>
      </c>
      <c r="E443" s="75" t="s">
        <v>916</v>
      </c>
      <c r="F443" s="75" t="s">
        <v>1502</v>
      </c>
      <c r="G443" s="74" t="s">
        <v>1503</v>
      </c>
      <c r="H443" s="75" t="s">
        <v>870</v>
      </c>
      <c r="I443" s="74" t="s">
        <v>864</v>
      </c>
      <c r="J443" s="75" t="s">
        <v>501</v>
      </c>
      <c r="K443" s="75" t="s">
        <v>850</v>
      </c>
      <c r="L443" s="76"/>
      <c r="M443" s="77">
        <f t="shared" ca="1" si="13"/>
        <v>45954</v>
      </c>
      <c r="N443" s="74" t="str">
        <f>_xlfn.IFNA(VLOOKUP(db_emp[[#This Row],[ID_DIV]],[1]!db_dpt[[Code_dpt]:[Departement]],2,0),"-")</f>
        <v>Property Management</v>
      </c>
      <c r="O443" s="74" t="str">
        <f>_xlfn.IFNA(VLOOKUP(db_emp[[#This Row],[ID_SDP]],[1]!db_div[[Code_div]:[Division]],2,0),"-")</f>
        <v>Housekeeping</v>
      </c>
      <c r="P443" s="74" t="str">
        <f>_xlfn.IFNA(VLOOKUP(db_emp[[#This Row],[Code_lvl]],[1]!db_lvl[[#All],[ID_level]:[Leveling Name]],2,0),"-")</f>
        <v>Supervisor</v>
      </c>
      <c r="Q443" s="74" t="str">
        <f>_xlfn.IFNA(VLOOKUP(db_emp[[#This Row],[Code_site]],[1]!db_site[[ID_Site]:[Url_maps]],3,0),"-")</f>
        <v>Unit - District 8</v>
      </c>
      <c r="R4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241390,'Ayub Fadillah','POM','HSKPG','Housekeeping Supervisor','LV09','Corp. Supporting Property (POM)','OD8','Employee','1900-01-00','2025-10-24'</v>
      </c>
      <c r="S443" s="74">
        <f>db_emp[[#This Row],[NIP (UPDATE)]]</f>
        <v>241390</v>
      </c>
    </row>
    <row r="444" spans="2:19" hidden="1" x14ac:dyDescent="0.25">
      <c r="B444" s="75">
        <v>25</v>
      </c>
      <c r="C444" s="75">
        <v>150051</v>
      </c>
      <c r="D444" s="74" t="s">
        <v>1512</v>
      </c>
      <c r="E444" s="75" t="s">
        <v>1123</v>
      </c>
      <c r="F444" s="75" t="s">
        <v>1513</v>
      </c>
      <c r="G444" s="74" t="s">
        <v>1514</v>
      </c>
      <c r="H444" s="75" t="s">
        <v>953</v>
      </c>
      <c r="I444" s="74" t="s">
        <v>856</v>
      </c>
      <c r="J444" s="75" t="s">
        <v>315</v>
      </c>
      <c r="K444" s="75" t="s">
        <v>850</v>
      </c>
      <c r="L444" s="76">
        <v>42009</v>
      </c>
      <c r="M444" s="77">
        <f t="shared" ca="1" si="13"/>
        <v>45954</v>
      </c>
      <c r="N444" s="74" t="str">
        <f>_xlfn.IFNA(VLOOKUP(db_emp[[#This Row],[ID_DIV]],[1]!db_dpt[[Code_dpt]:[Departement]],2,0),"-")</f>
        <v>HR &amp; GA</v>
      </c>
      <c r="O444" s="74" t="str">
        <f>_xlfn.IFNA(VLOOKUP(db_emp[[#This Row],[ID_SDP]],[1]!db_div[[Code_div]:[Division]],2,0),"-")</f>
        <v>HRD Operation</v>
      </c>
      <c r="P444" s="74" t="str">
        <f>_xlfn.IFNA(VLOOKUP(db_emp[[#This Row],[Code_lvl]],[1]!db_lvl[[#All],[ID_level]:[Leveling Name]],2,0),"-")</f>
        <v>Manager</v>
      </c>
      <c r="Q444" s="74" t="str">
        <f>_xlfn.IFNA(VLOOKUP(db_emp[[#This Row],[Code_site]],[1]!db_site[[ID_Site]:[Url_maps]],3,0),"-")</f>
        <v>Head Office - ASGO</v>
      </c>
      <c r="R4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150051,'Regina Fitagora','HRG','OPRHR','HR &amp; GA Manager','LV05','HQ - All','O99','Employee','2015-01-05','2025-10-24'</v>
      </c>
      <c r="S444" s="74">
        <f>db_emp[[#This Row],[NIP (UPDATE)]]</f>
        <v>150051</v>
      </c>
    </row>
    <row r="445" spans="2:19" hidden="1" x14ac:dyDescent="0.25">
      <c r="B445" s="75">
        <v>122</v>
      </c>
      <c r="C445" s="75">
        <v>240863</v>
      </c>
      <c r="D445" s="74" t="s">
        <v>1515</v>
      </c>
      <c r="E445" s="75" t="s">
        <v>1123</v>
      </c>
      <c r="F445" s="75" t="s">
        <v>1513</v>
      </c>
      <c r="G445" s="74" t="s">
        <v>1516</v>
      </c>
      <c r="H445" s="75" t="s">
        <v>885</v>
      </c>
      <c r="I445" s="74" t="s">
        <v>856</v>
      </c>
      <c r="J445" s="75" t="s">
        <v>315</v>
      </c>
      <c r="K445" s="75" t="s">
        <v>850</v>
      </c>
      <c r="L445" s="76">
        <v>45426</v>
      </c>
      <c r="M445" s="77">
        <f t="shared" ca="1" si="13"/>
        <v>45954</v>
      </c>
      <c r="N445" s="74" t="str">
        <f>_xlfn.IFNA(VLOOKUP(db_emp[[#This Row],[ID_DIV]],[1]!db_dpt[[Code_dpt]:[Departement]],2,0),"-")</f>
        <v>HR &amp; GA</v>
      </c>
      <c r="O445" s="74" t="str">
        <f>_xlfn.IFNA(VLOOKUP(db_emp[[#This Row],[ID_SDP]],[1]!db_div[[Code_div]:[Division]],2,0),"-")</f>
        <v>HRD Operation</v>
      </c>
      <c r="P445" s="74" t="str">
        <f>_xlfn.IFNA(VLOOKUP(db_emp[[#This Row],[Code_lvl]],[1]!db_lvl[[#All],[ID_level]:[Leveling Name]],2,0),"-")</f>
        <v>Senior Staff</v>
      </c>
      <c r="Q445" s="74" t="str">
        <f>_xlfn.IFNA(VLOOKUP(db_emp[[#This Row],[Code_site]],[1]!db_site[[ID_Site]:[Url_maps]],3,0),"-")</f>
        <v>Head Office - ASGO</v>
      </c>
      <c r="R4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240863,'Selviana Chandra Wijaya','HRG','OPRHR','HR &amp; GA Operation Staff','LV11','HQ - All','O99','Employee','2024-05-14','2025-10-24'</v>
      </c>
      <c r="S445" s="74">
        <f>db_emp[[#This Row],[NIP (UPDATE)]]</f>
        <v>240863</v>
      </c>
    </row>
    <row r="446" spans="2:19" hidden="1" x14ac:dyDescent="0.25">
      <c r="B446" s="75">
        <v>255</v>
      </c>
      <c r="C446" s="75">
        <v>241462</v>
      </c>
      <c r="D446" s="74" t="s">
        <v>1517</v>
      </c>
      <c r="E446" s="75" t="s">
        <v>1123</v>
      </c>
      <c r="F446" s="75" t="s">
        <v>1513</v>
      </c>
      <c r="G446" s="74" t="s">
        <v>1516</v>
      </c>
      <c r="H446" s="75" t="s">
        <v>853</v>
      </c>
      <c r="I446" s="74" t="s">
        <v>849</v>
      </c>
      <c r="J446" s="75" t="s">
        <v>314</v>
      </c>
      <c r="K446" s="75" t="s">
        <v>850</v>
      </c>
      <c r="L446" s="76">
        <v>45516</v>
      </c>
      <c r="M446" s="77">
        <f t="shared" ca="1" si="13"/>
        <v>45954</v>
      </c>
      <c r="N446" s="74" t="str">
        <f>_xlfn.IFNA(VLOOKUP(db_emp[[#This Row],[ID_DIV]],[1]!db_dpt[[Code_dpt]:[Departement]],2,0),"-")</f>
        <v>HR &amp; GA</v>
      </c>
      <c r="O446" s="74" t="str">
        <f>_xlfn.IFNA(VLOOKUP(db_emp[[#This Row],[ID_SDP]],[1]!db_div[[Code_div]:[Division]],2,0),"-")</f>
        <v>HRD Operation</v>
      </c>
      <c r="P446" s="74" t="str">
        <f>_xlfn.IFNA(VLOOKUP(db_emp[[#This Row],[Code_lvl]],[1]!db_lvl[[#All],[ID_level]:[Leveling Name]],2,0),"-")</f>
        <v>Staff</v>
      </c>
      <c r="Q446" s="74" t="str">
        <f>_xlfn.IFNA(VLOOKUP(db_emp[[#This Row],[Code_site]],[1]!db_site[[ID_Site]:[Url_maps]],3,0),"-")</f>
        <v>Unit - MOI</v>
      </c>
      <c r="R4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241462,'Devina Trianti','HRG','OPRHR','HR &amp; GA Operation Staff','LV12','Mall &amp; Cinema','M02','Employee','2024-08-12','2025-10-24'</v>
      </c>
      <c r="S446" s="74">
        <f>db_emp[[#This Row],[NIP (UPDATE)]]</f>
        <v>241462</v>
      </c>
    </row>
    <row r="447" spans="2:19" hidden="1" x14ac:dyDescent="0.25">
      <c r="B447" s="75">
        <v>299</v>
      </c>
      <c r="C447" s="75">
        <v>210746</v>
      </c>
      <c r="D447" s="74" t="s">
        <v>1518</v>
      </c>
      <c r="E447" s="75" t="s">
        <v>1123</v>
      </c>
      <c r="F447" s="75" t="s">
        <v>1513</v>
      </c>
      <c r="G447" s="74" t="s">
        <v>1516</v>
      </c>
      <c r="H447" s="75" t="s">
        <v>853</v>
      </c>
      <c r="I447" s="74" t="s">
        <v>849</v>
      </c>
      <c r="J447" s="75" t="s">
        <v>484</v>
      </c>
      <c r="K447" s="75" t="s">
        <v>850</v>
      </c>
      <c r="L447" s="76">
        <v>44431</v>
      </c>
      <c r="M447" s="77">
        <f t="shared" ca="1" si="13"/>
        <v>45954</v>
      </c>
      <c r="N447" s="74" t="str">
        <f>_xlfn.IFNA(VLOOKUP(db_emp[[#This Row],[ID_DIV]],[1]!db_dpt[[Code_dpt]:[Departement]],2,0),"-")</f>
        <v>HR &amp; GA</v>
      </c>
      <c r="O447" s="74" t="str">
        <f>_xlfn.IFNA(VLOOKUP(db_emp[[#This Row],[ID_SDP]],[1]!db_div[[Code_div]:[Division]],2,0),"-")</f>
        <v>HRD Operation</v>
      </c>
      <c r="P447" s="74" t="str">
        <f>_xlfn.IFNA(VLOOKUP(db_emp[[#This Row],[Code_lvl]],[1]!db_lvl[[#All],[ID_level]:[Leveling Name]],2,0),"-")</f>
        <v>Staff</v>
      </c>
      <c r="Q447" s="74" t="str">
        <f>_xlfn.IFNA(VLOOKUP(db_emp[[#This Row],[Code_site]],[1]!db_site[[ID_Site]:[Url_maps]],3,0),"-")</f>
        <v>Unit - PIK Avenue</v>
      </c>
      <c r="R4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210746,'Kevin Edria','HRG','OPRHR','HR &amp; GA Operation Staff','LV12','Mall &amp; Cinema','M01','Employee','2021-08-23','2025-10-24'</v>
      </c>
      <c r="S447" s="74">
        <f>db_emp[[#This Row],[NIP (UPDATE)]]</f>
        <v>210746</v>
      </c>
    </row>
    <row r="448" spans="2:19" hidden="1" x14ac:dyDescent="0.25">
      <c r="B448" s="75">
        <v>360</v>
      </c>
      <c r="C448" s="75">
        <v>240427</v>
      </c>
      <c r="D448" s="74" t="s">
        <v>1519</v>
      </c>
      <c r="E448" s="75" t="s">
        <v>1123</v>
      </c>
      <c r="F448" s="75" t="s">
        <v>1513</v>
      </c>
      <c r="G448" s="74" t="s">
        <v>1516</v>
      </c>
      <c r="H448" s="75" t="s">
        <v>885</v>
      </c>
      <c r="I448" s="74" t="s">
        <v>486</v>
      </c>
      <c r="J448" s="75" t="s">
        <v>492</v>
      </c>
      <c r="K448" s="75" t="s">
        <v>850</v>
      </c>
      <c r="L448" s="76">
        <v>45352</v>
      </c>
      <c r="M448" s="77">
        <f t="shared" ca="1" si="13"/>
        <v>45954</v>
      </c>
      <c r="N448" s="74" t="str">
        <f>_xlfn.IFNA(VLOOKUP(db_emp[[#This Row],[ID_DIV]],[1]!db_dpt[[Code_dpt]:[Departement]],2,0),"-")</f>
        <v>HR &amp; GA</v>
      </c>
      <c r="O448" s="74" t="str">
        <f>_xlfn.IFNA(VLOOKUP(db_emp[[#This Row],[ID_SDP]],[1]!db_div[[Code_div]:[Division]],2,0),"-")</f>
        <v>HRD Operation</v>
      </c>
      <c r="P448" s="74" t="str">
        <f>_xlfn.IFNA(VLOOKUP(db_emp[[#This Row],[Code_lvl]],[1]!db_lvl[[#All],[ID_level]:[Leveling Name]],2,0),"-")</f>
        <v>Senior Staff</v>
      </c>
      <c r="Q448" s="74" t="str">
        <f>_xlfn.IFNA(VLOOKUP(db_emp[[#This Row],[Code_site]],[1]!db_site[[ID_Site]:[Url_maps]],3,0),"-")</f>
        <v>Unit - Hublife</v>
      </c>
      <c r="R4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240427,'Winda Wijaya','HRG','OPRHR','HR &amp; GA Operation Staff','LV11','Mall','M05','Employee','2024-03-01','2025-10-24'</v>
      </c>
      <c r="S448" s="74">
        <f>db_emp[[#This Row],[NIP (UPDATE)]]</f>
        <v>240427</v>
      </c>
    </row>
    <row r="449" spans="2:19" hidden="1" x14ac:dyDescent="0.25">
      <c r="B449" s="75">
        <v>425</v>
      </c>
      <c r="C449" s="75">
        <v>241472</v>
      </c>
      <c r="D449" s="74" t="s">
        <v>1520</v>
      </c>
      <c r="E449" s="75" t="s">
        <v>1123</v>
      </c>
      <c r="F449" s="75" t="s">
        <v>1513</v>
      </c>
      <c r="G449" s="74" t="s">
        <v>1516</v>
      </c>
      <c r="H449" s="75" t="s">
        <v>853</v>
      </c>
      <c r="I449" s="74" t="s">
        <v>849</v>
      </c>
      <c r="J449" s="75" t="s">
        <v>316</v>
      </c>
      <c r="K449" s="75" t="s">
        <v>850</v>
      </c>
      <c r="L449" s="76">
        <v>45516</v>
      </c>
      <c r="M449" s="77">
        <f t="shared" ca="1" si="13"/>
        <v>45954</v>
      </c>
      <c r="N449" s="74" t="str">
        <f>_xlfn.IFNA(VLOOKUP(db_emp[[#This Row],[ID_DIV]],[1]!db_dpt[[Code_dpt]:[Departement]],2,0),"-")</f>
        <v>HR &amp; GA</v>
      </c>
      <c r="O449" s="74" t="str">
        <f>_xlfn.IFNA(VLOOKUP(db_emp[[#This Row],[ID_SDP]],[1]!db_div[[Code_div]:[Division]],2,0),"-")</f>
        <v>HRD Operation</v>
      </c>
      <c r="P449" s="74" t="str">
        <f>_xlfn.IFNA(VLOOKUP(db_emp[[#This Row],[Code_lvl]],[1]!db_lvl[[#All],[ID_level]:[Leveling Name]],2,0),"-")</f>
        <v>Staff</v>
      </c>
      <c r="Q449" s="74" t="str">
        <f>_xlfn.IFNA(VLOOKUP(db_emp[[#This Row],[Code_site]],[1]!db_site[[ID_Site]:[Url_maps]],3,0),"-")</f>
        <v>Unit - GGP</v>
      </c>
      <c r="R4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241472,'Brigitta Nathasya Geraldine','HRG','OPRHR','HR &amp; GA Operation Staff','LV12','Mall &amp; Cinema','M03','Employee','2024-08-12','2025-10-24'</v>
      </c>
      <c r="S449" s="74">
        <f>db_emp[[#This Row],[NIP (UPDATE)]]</f>
        <v>241472</v>
      </c>
    </row>
    <row r="450" spans="2:19" hidden="1" x14ac:dyDescent="0.25">
      <c r="B450" s="75">
        <v>278</v>
      </c>
      <c r="C450" s="75">
        <v>250289</v>
      </c>
      <c r="D450" s="74" t="s">
        <v>1521</v>
      </c>
      <c r="E450" s="75" t="s">
        <v>1123</v>
      </c>
      <c r="F450" s="75" t="s">
        <v>1513</v>
      </c>
      <c r="G450" s="74" t="s">
        <v>1522</v>
      </c>
      <c r="H450" s="75" t="s">
        <v>870</v>
      </c>
      <c r="I450" s="74" t="s">
        <v>849</v>
      </c>
      <c r="J450" s="75" t="s">
        <v>314</v>
      </c>
      <c r="K450" s="75" t="s">
        <v>850</v>
      </c>
      <c r="L450" s="76">
        <v>45741</v>
      </c>
      <c r="M450" s="77">
        <f t="shared" ca="1" si="13"/>
        <v>45954</v>
      </c>
      <c r="N450" s="74" t="str">
        <f>_xlfn.IFNA(VLOOKUP(db_emp[[#This Row],[ID_DIV]],[1]!db_dpt[[Code_dpt]:[Departement]],2,0),"-")</f>
        <v>HR &amp; GA</v>
      </c>
      <c r="O450" s="74" t="str">
        <f>_xlfn.IFNA(VLOOKUP(db_emp[[#This Row],[ID_SDP]],[1]!db_div[[Code_div]:[Division]],2,0),"-")</f>
        <v>HRD Operation</v>
      </c>
      <c r="P450" s="74" t="str">
        <f>_xlfn.IFNA(VLOOKUP(db_emp[[#This Row],[Code_lvl]],[1]!db_lvl[[#All],[ID_level]:[Leveling Name]],2,0),"-")</f>
        <v>Supervisor</v>
      </c>
      <c r="Q450" s="74" t="str">
        <f>_xlfn.IFNA(VLOOKUP(db_emp[[#This Row],[Code_site]],[1]!db_site[[ID_Site]:[Url_maps]],3,0),"-")</f>
        <v>Unit - MOI</v>
      </c>
      <c r="R4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250289,'Muhamad Yusuf. SH','HRG','OPRHR','HR &amp; GA Operation Supervisor','LV09','Mall &amp; Cinema','M02','Employee','2025-03-25','2025-10-24'</v>
      </c>
      <c r="S450" s="74">
        <f>db_emp[[#This Row],[NIP (UPDATE)]]</f>
        <v>250289</v>
      </c>
    </row>
    <row r="451" spans="2:19" hidden="1" x14ac:dyDescent="0.25">
      <c r="B451" s="75">
        <v>335</v>
      </c>
      <c r="C451" s="75">
        <v>231356</v>
      </c>
      <c r="D451" s="74" t="s">
        <v>1523</v>
      </c>
      <c r="E451" s="75" t="s">
        <v>1123</v>
      </c>
      <c r="F451" s="75" t="s">
        <v>1513</v>
      </c>
      <c r="G451" s="74" t="s">
        <v>1522</v>
      </c>
      <c r="H451" s="75" t="s">
        <v>870</v>
      </c>
      <c r="I451" s="74" t="s">
        <v>849</v>
      </c>
      <c r="J451" s="75" t="s">
        <v>484</v>
      </c>
      <c r="K451" s="75" t="s">
        <v>850</v>
      </c>
      <c r="L451" s="76">
        <v>45147</v>
      </c>
      <c r="M451" s="77">
        <f t="shared" ca="1" si="13"/>
        <v>45954</v>
      </c>
      <c r="N451" s="74" t="str">
        <f>_xlfn.IFNA(VLOOKUP(db_emp[[#This Row],[ID_DIV]],[1]!db_dpt[[Code_dpt]:[Departement]],2,0),"-")</f>
        <v>HR &amp; GA</v>
      </c>
      <c r="O451" s="74" t="str">
        <f>_xlfn.IFNA(VLOOKUP(db_emp[[#This Row],[ID_SDP]],[1]!db_div[[Code_div]:[Division]],2,0),"-")</f>
        <v>HRD Operation</v>
      </c>
      <c r="P451" s="74" t="str">
        <f>_xlfn.IFNA(VLOOKUP(db_emp[[#This Row],[Code_lvl]],[1]!db_lvl[[#All],[ID_level]:[Leveling Name]],2,0),"-")</f>
        <v>Supervisor</v>
      </c>
      <c r="Q451" s="74" t="str">
        <f>_xlfn.IFNA(VLOOKUP(db_emp[[#This Row],[Code_site]],[1]!db_site[[ID_Site]:[Url_maps]],3,0),"-")</f>
        <v>Unit - PIK Avenue</v>
      </c>
      <c r="R4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231356,'Feony Salsabila Dadi','HRG','OPRHR','HR &amp; GA Operation Supervisor','LV09','Mall &amp; Cinema','M01','Employee','2023-08-09','2025-10-24'</v>
      </c>
      <c r="S451" s="74">
        <f>db_emp[[#This Row],[NIP (UPDATE)]]</f>
        <v>231356</v>
      </c>
    </row>
    <row r="452" spans="2:19" hidden="1" x14ac:dyDescent="0.25">
      <c r="B452" s="75">
        <v>462</v>
      </c>
      <c r="C452" s="75">
        <v>110144</v>
      </c>
      <c r="D452" s="74" t="s">
        <v>1524</v>
      </c>
      <c r="E452" s="75" t="s">
        <v>1123</v>
      </c>
      <c r="F452" s="75" t="s">
        <v>1513</v>
      </c>
      <c r="G452" s="74" t="s">
        <v>1522</v>
      </c>
      <c r="H452" s="75" t="s">
        <v>870</v>
      </c>
      <c r="I452" s="74" t="s">
        <v>849</v>
      </c>
      <c r="J452" s="75" t="s">
        <v>490</v>
      </c>
      <c r="K452" s="75" t="s">
        <v>850</v>
      </c>
      <c r="L452" s="76">
        <v>40575</v>
      </c>
      <c r="M452" s="77">
        <f t="shared" ca="1" si="13"/>
        <v>45954</v>
      </c>
      <c r="N452" s="74" t="str">
        <f>_xlfn.IFNA(VLOOKUP(db_emp[[#This Row],[ID_DIV]],[1]!db_dpt[[Code_dpt]:[Departement]],2,0),"-")</f>
        <v>HR &amp; GA</v>
      </c>
      <c r="O452" s="74" t="str">
        <f>_xlfn.IFNA(VLOOKUP(db_emp[[#This Row],[ID_SDP]],[1]!db_div[[Code_div]:[Division]],2,0),"-")</f>
        <v>HRD Operation</v>
      </c>
      <c r="P452" s="74" t="str">
        <f>_xlfn.IFNA(VLOOKUP(db_emp[[#This Row],[Code_lvl]],[1]!db_lvl[[#All],[ID_level]:[Leveling Name]],2,0),"-")</f>
        <v>Supervisor</v>
      </c>
      <c r="Q452" s="74" t="str">
        <f>_xlfn.IFNA(VLOOKUP(db_emp[[#This Row],[Code_site]],[1]!db_site[[ID_Site]:[Url_maps]],3,0),"-")</f>
        <v>Unit - ASHTA</v>
      </c>
      <c r="R4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110144,'Senthia Windy Lestari','HRG','OPRHR','HR &amp; GA Operation Supervisor','LV09','Mall &amp; Cinema','M04','Employee','2011-02-01','2025-10-24'</v>
      </c>
      <c r="S452" s="74">
        <f>db_emp[[#This Row],[NIP (UPDATE)]]</f>
        <v>110144</v>
      </c>
    </row>
    <row r="453" spans="2:19" hidden="1" x14ac:dyDescent="0.25">
      <c r="B453" s="75">
        <v>515</v>
      </c>
      <c r="C453" s="75">
        <v>220304</v>
      </c>
      <c r="D453" s="74" t="s">
        <v>1525</v>
      </c>
      <c r="E453" s="75" t="s">
        <v>1123</v>
      </c>
      <c r="F453" s="75" t="s">
        <v>1513</v>
      </c>
      <c r="G453" s="74" t="s">
        <v>1522</v>
      </c>
      <c r="H453" s="75" t="s">
        <v>870</v>
      </c>
      <c r="I453" s="74" t="s">
        <v>864</v>
      </c>
      <c r="J453" s="75" t="s">
        <v>441</v>
      </c>
      <c r="K453" s="75" t="s">
        <v>850</v>
      </c>
      <c r="L453" s="76">
        <v>44634</v>
      </c>
      <c r="M453" s="77">
        <f t="shared" ca="1" si="13"/>
        <v>45954</v>
      </c>
      <c r="N453" s="74" t="str">
        <f>_xlfn.IFNA(VLOOKUP(db_emp[[#This Row],[ID_DIV]],[1]!db_dpt[[Code_dpt]:[Departement]],2,0),"-")</f>
        <v>HR &amp; GA</v>
      </c>
      <c r="O453" s="74" t="str">
        <f>_xlfn.IFNA(VLOOKUP(db_emp[[#This Row],[ID_SDP]],[1]!db_div[[Code_div]:[Division]],2,0),"-")</f>
        <v>HRD Operation</v>
      </c>
      <c r="P453" s="74" t="str">
        <f>_xlfn.IFNA(VLOOKUP(db_emp[[#This Row],[Code_lvl]],[1]!db_lvl[[#All],[ID_level]:[Leveling Name]],2,0),"-")</f>
        <v>Supervisor</v>
      </c>
      <c r="Q453" s="74" t="str">
        <f>_xlfn.IFNA(VLOOKUP(db_emp[[#This Row],[Code_site]],[1]!db_site[[ID_Site]:[Url_maps]],3,0),"-")</f>
        <v>Unit - Fatmawati City Center</v>
      </c>
      <c r="R4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220304,'Gracia Maria Loemongga','HRG','OPRHR','HR &amp; GA Operation Supervisor','LV09','Corp. Supporting Property (POM)','A02','Employee','2022-03-14','2025-10-24'</v>
      </c>
      <c r="S453" s="74">
        <f>db_emp[[#This Row],[NIP (UPDATE)]]</f>
        <v>220304</v>
      </c>
    </row>
    <row r="454" spans="2:19" hidden="1" x14ac:dyDescent="0.25">
      <c r="B454" s="75">
        <v>548</v>
      </c>
      <c r="C454" s="75">
        <v>231740</v>
      </c>
      <c r="D454" s="74" t="s">
        <v>1526</v>
      </c>
      <c r="E454" s="75" t="s">
        <v>1123</v>
      </c>
      <c r="F454" s="75" t="s">
        <v>1513</v>
      </c>
      <c r="G454" s="74" t="s">
        <v>1522</v>
      </c>
      <c r="H454" s="75" t="s">
        <v>870</v>
      </c>
      <c r="I454" s="74" t="s">
        <v>864</v>
      </c>
      <c r="J454" s="75" t="s">
        <v>446</v>
      </c>
      <c r="K454" s="75" t="s">
        <v>850</v>
      </c>
      <c r="L454" s="76">
        <v>45201</v>
      </c>
      <c r="M454" s="77">
        <f t="shared" ca="1" si="13"/>
        <v>45954</v>
      </c>
      <c r="N454" s="74" t="str">
        <f>_xlfn.IFNA(VLOOKUP(db_emp[[#This Row],[ID_DIV]],[1]!db_dpt[[Code_dpt]:[Departement]],2,0),"-")</f>
        <v>HR &amp; GA</v>
      </c>
      <c r="O454" s="74" t="str">
        <f>_xlfn.IFNA(VLOOKUP(db_emp[[#This Row],[ID_SDP]],[1]!db_div[[Code_div]:[Division]],2,0),"-")</f>
        <v>HRD Operation</v>
      </c>
      <c r="P454" s="74" t="str">
        <f>_xlfn.IFNA(VLOOKUP(db_emp[[#This Row],[Code_lvl]],[1]!db_lvl[[#All],[ID_level]:[Leveling Name]],2,0),"-")</f>
        <v>Supervisor</v>
      </c>
      <c r="Q454" s="74" t="str">
        <f>_xlfn.IFNA(VLOOKUP(db_emp[[#This Row],[Code_site]],[1]!db_site[[ID_Site]:[Url_maps]],3,0),"-")</f>
        <v>Unit - Menara Jakarta POM</v>
      </c>
      <c r="R4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231740,'Linda Herlinawati','HRG','OPRHR','HR &amp; GA Operation Supervisor','LV09','Corp. Supporting Property (POM)','A03','Employee','2023-10-02','2025-10-24'</v>
      </c>
      <c r="S454" s="74">
        <f>db_emp[[#This Row],[NIP (UPDATE)]]</f>
        <v>231740</v>
      </c>
    </row>
    <row r="455" spans="2:19" hidden="1" x14ac:dyDescent="0.25">
      <c r="B455" s="75">
        <v>119</v>
      </c>
      <c r="C455" s="75">
        <v>141230</v>
      </c>
      <c r="D455" s="74" t="s">
        <v>1527</v>
      </c>
      <c r="E455" s="75" t="s">
        <v>1123</v>
      </c>
      <c r="F455" s="75" t="s">
        <v>971</v>
      </c>
      <c r="G455" s="74" t="s">
        <v>1528</v>
      </c>
      <c r="H455" s="75" t="s">
        <v>870</v>
      </c>
      <c r="I455" s="74" t="s">
        <v>856</v>
      </c>
      <c r="J455" s="75" t="s">
        <v>315</v>
      </c>
      <c r="K455" s="75" t="s">
        <v>850</v>
      </c>
      <c r="L455" s="76">
        <v>41943</v>
      </c>
      <c r="M455" s="77">
        <f t="shared" ca="1" si="13"/>
        <v>45954</v>
      </c>
      <c r="N455" s="74" t="str">
        <f>_xlfn.IFNA(VLOOKUP(db_emp[[#This Row],[ID_DIV]],[1]!db_dpt[[Code_dpt]:[Departement]],2,0),"-")</f>
        <v>HR &amp; GA</v>
      </c>
      <c r="O455" s="74" t="str">
        <f>_xlfn.IFNA(VLOOKUP(db_emp[[#This Row],[ID_SDP]],[1]!db_div[[Code_div]:[Division]],2,0),"-")</f>
        <v>General Head Departement</v>
      </c>
      <c r="P455" s="74" t="str">
        <f>_xlfn.IFNA(VLOOKUP(db_emp[[#This Row],[Code_lvl]],[1]!db_lvl[[#All],[ID_level]:[Leveling Name]],2,0),"-")</f>
        <v>Supervisor</v>
      </c>
      <c r="Q455" s="74" t="str">
        <f>_xlfn.IFNA(VLOOKUP(db_emp[[#This Row],[Code_site]],[1]!db_site[[ID_Site]:[Url_maps]],3,0),"-")</f>
        <v>Head Office - ASGO</v>
      </c>
      <c r="R4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141230,'Mia Johanna','HRG','GNRAL','HR &amp; GA Supervisor','LV09','HQ - All','O99','Employee','2014-10-31','2025-10-24'</v>
      </c>
      <c r="S455" s="74">
        <f>db_emp[[#This Row],[NIP (UPDATE)]]</f>
        <v>141230</v>
      </c>
    </row>
    <row r="456" spans="2:19" hidden="1" x14ac:dyDescent="0.25">
      <c r="B456" s="75">
        <v>616</v>
      </c>
      <c r="C456" s="75">
        <v>160661</v>
      </c>
      <c r="D456" s="74" t="s">
        <v>1529</v>
      </c>
      <c r="E456" s="75" t="s">
        <v>1123</v>
      </c>
      <c r="F456" s="75" t="s">
        <v>971</v>
      </c>
      <c r="G456" s="74" t="s">
        <v>1528</v>
      </c>
      <c r="H456" s="75" t="s">
        <v>870</v>
      </c>
      <c r="I456" s="74" t="s">
        <v>864</v>
      </c>
      <c r="J456" s="75" t="s">
        <v>433</v>
      </c>
      <c r="K456" s="75" t="s">
        <v>850</v>
      </c>
      <c r="L456" s="76">
        <v>42606</v>
      </c>
      <c r="M456" s="77">
        <f t="shared" ca="1" si="13"/>
        <v>45954</v>
      </c>
      <c r="N456" s="74" t="str">
        <f>_xlfn.IFNA(VLOOKUP(db_emp[[#This Row],[ID_DIV]],[1]!db_dpt[[Code_dpt]:[Departement]],2,0),"-")</f>
        <v>HR &amp; GA</v>
      </c>
      <c r="O456" s="74" t="str">
        <f>_xlfn.IFNA(VLOOKUP(db_emp[[#This Row],[ID_SDP]],[1]!db_div[[Code_div]:[Division]],2,0),"-")</f>
        <v>General Head Departement</v>
      </c>
      <c r="P456" s="74" t="str">
        <f>_xlfn.IFNA(VLOOKUP(db_emp[[#This Row],[Code_lvl]],[1]!db_lvl[[#All],[ID_level]:[Leveling Name]],2,0),"-")</f>
        <v>Supervisor</v>
      </c>
      <c r="Q456" s="74" t="str">
        <f>_xlfn.IFNA(VLOOKUP(db_emp[[#This Row],[Code_site]],[1]!db_site[[ID_Site]:[Url_maps]],3,0),"-")</f>
        <v>Unit - Taman Anggrek Residences</v>
      </c>
      <c r="R4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160661,'Muhammad Radityo Reksagama','HRG','GNRAL','HR &amp; GA Supervisor','LV09','Corp. Supporting Property (POM)','A01','Employee','2016-08-24','2025-10-24'</v>
      </c>
      <c r="S456" s="74">
        <f>db_emp[[#This Row],[NIP (UPDATE)]]</f>
        <v>160661</v>
      </c>
    </row>
    <row r="457" spans="2:19" hidden="1" x14ac:dyDescent="0.25">
      <c r="B457" s="75">
        <v>765</v>
      </c>
      <c r="C457" s="75">
        <v>190126</v>
      </c>
      <c r="D457" s="74" t="s">
        <v>1530</v>
      </c>
      <c r="E457" s="75" t="s">
        <v>1123</v>
      </c>
      <c r="F457" s="75" t="s">
        <v>971</v>
      </c>
      <c r="G457" s="74" t="s">
        <v>1531</v>
      </c>
      <c r="H457" s="75" t="s">
        <v>848</v>
      </c>
      <c r="I457" s="74" t="s">
        <v>864</v>
      </c>
      <c r="J457" s="75" t="s">
        <v>501</v>
      </c>
      <c r="K457" s="75" t="s">
        <v>850</v>
      </c>
      <c r="L457" s="76"/>
      <c r="M457" s="77">
        <f t="shared" ca="1" si="13"/>
        <v>45954</v>
      </c>
      <c r="N457" s="74" t="str">
        <f>_xlfn.IFNA(VLOOKUP(db_emp[[#This Row],[ID_DIV]],[1]!db_dpt[[Code_dpt]:[Departement]],2,0),"-")</f>
        <v>HR &amp; GA</v>
      </c>
      <c r="O457" s="74" t="str">
        <f>_xlfn.IFNA(VLOOKUP(db_emp[[#This Row],[ID_SDP]],[1]!db_div[[Code_div]:[Division]],2,0),"-")</f>
        <v>General Head Departement</v>
      </c>
      <c r="P457" s="74" t="str">
        <f>_xlfn.IFNA(VLOOKUP(db_emp[[#This Row],[Code_lvl]],[1]!db_lvl[[#All],[ID_level]:[Leveling Name]],2,0),"-")</f>
        <v>Assistant Manager</v>
      </c>
      <c r="Q457" s="74" t="str">
        <f>_xlfn.IFNA(VLOOKUP(db_emp[[#This Row],[Code_site]],[1]!db_site[[ID_Site]:[Url_maps]],3,0),"-")</f>
        <v>Unit - District 8</v>
      </c>
      <c r="R4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190126,'Daniel Freddy Hasudungan Sirait','HRG','GNRAL','HR Assistant Manager','LV07','Corp. Supporting Property (POM)','OD8','Employee','1900-01-00','2025-10-24'</v>
      </c>
      <c r="S457" s="74">
        <f>db_emp[[#This Row],[NIP (UPDATE)]]</f>
        <v>190126</v>
      </c>
    </row>
    <row r="458" spans="2:19" hidden="1" x14ac:dyDescent="0.25">
      <c r="B458" s="75">
        <v>107</v>
      </c>
      <c r="C458" s="75">
        <v>232361</v>
      </c>
      <c r="D458" s="74" t="s">
        <v>1532</v>
      </c>
      <c r="E458" s="75" t="s">
        <v>1123</v>
      </c>
      <c r="F458" s="75" t="s">
        <v>1533</v>
      </c>
      <c r="G458" s="74" t="s">
        <v>1534</v>
      </c>
      <c r="H458" s="75" t="s">
        <v>968</v>
      </c>
      <c r="I458" s="74" t="s">
        <v>856</v>
      </c>
      <c r="J458" s="75" t="s">
        <v>315</v>
      </c>
      <c r="K458" s="75" t="s">
        <v>850</v>
      </c>
      <c r="L458" s="76">
        <v>45292</v>
      </c>
      <c r="M458" s="77">
        <f t="shared" ca="1" si="13"/>
        <v>45954</v>
      </c>
      <c r="N458" s="74" t="str">
        <f>_xlfn.IFNA(VLOOKUP(db_emp[[#This Row],[ID_DIV]],[1]!db_dpt[[Code_dpt]:[Departement]],2,0),"-")</f>
        <v>HR &amp; GA</v>
      </c>
      <c r="O458" s="74" t="str">
        <f>_xlfn.IFNA(VLOOKUP(db_emp[[#This Row],[ID_SDP]],[1]!db_div[[Code_div]:[Division]],2,0),"-")</f>
        <v>HR Business Partner</v>
      </c>
      <c r="P458" s="74" t="str">
        <f>_xlfn.IFNA(VLOOKUP(db_emp[[#This Row],[Code_lvl]],[1]!db_lvl[[#All],[ID_level]:[Leveling Name]],2,0),"-")</f>
        <v>Senior Manager</v>
      </c>
      <c r="Q458" s="74" t="str">
        <f>_xlfn.IFNA(VLOOKUP(db_emp[[#This Row],[Code_site]],[1]!db_site[[ID_Site]:[Url_maps]],3,0),"-")</f>
        <v>Head Office - ASGO</v>
      </c>
      <c r="R4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232361,'Stefanus Vincentius Siauwtika','HRG','BUSSP','HR Business Partner Senior Manager','LV04','HQ - All','O99','Employee','2024-01-01','2025-10-24'</v>
      </c>
      <c r="S458" s="74">
        <f>db_emp[[#This Row],[NIP (UPDATE)]]</f>
        <v>232361</v>
      </c>
    </row>
    <row r="459" spans="2:19" hidden="1" x14ac:dyDescent="0.25">
      <c r="B459" s="75">
        <v>258</v>
      </c>
      <c r="C459" s="75">
        <v>241542</v>
      </c>
      <c r="D459" s="74" t="s">
        <v>1535</v>
      </c>
      <c r="E459" s="75" t="s">
        <v>1018</v>
      </c>
      <c r="F459" s="75" t="s">
        <v>917</v>
      </c>
      <c r="G459" s="74" t="s">
        <v>1536</v>
      </c>
      <c r="H459" s="75" t="s">
        <v>953</v>
      </c>
      <c r="I459" s="74" t="s">
        <v>849</v>
      </c>
      <c r="J459" s="75" t="s">
        <v>314</v>
      </c>
      <c r="K459" s="75" t="s">
        <v>850</v>
      </c>
      <c r="L459" s="76">
        <v>45530</v>
      </c>
      <c r="M459" s="77">
        <f t="shared" ca="1" si="13"/>
        <v>45954</v>
      </c>
      <c r="N459" s="74" t="str">
        <f>_xlfn.IFNA(VLOOKUP(db_emp[[#This Row],[ID_DIV]],[1]!db_dpt[[Code_dpt]:[Departement]],2,0),"-")</f>
        <v>Operational</v>
      </c>
      <c r="O459" s="74" t="str">
        <f>_xlfn.IFNA(VLOOKUP(db_emp[[#This Row],[ID_SDP]],[1]!db_div[[Code_div]:[Division]],2,0),"-")</f>
        <v>HSE</v>
      </c>
      <c r="P459" s="74" t="str">
        <f>_xlfn.IFNA(VLOOKUP(db_emp[[#This Row],[Code_lvl]],[1]!db_lvl[[#All],[ID_level]:[Leveling Name]],2,0),"-")</f>
        <v>Manager</v>
      </c>
      <c r="Q459" s="74" t="str">
        <f>_xlfn.IFNA(VLOOKUP(db_emp[[#This Row],[Code_site]],[1]!db_site[[ID_Site]:[Url_maps]],3,0),"-")</f>
        <v>Unit - MOI</v>
      </c>
      <c r="R4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241542,'Anggi Yonarita','OPR','HSEFT','HSE Manager','LV05','Mall &amp; Cinema','M02','Employee','2024-08-26','2025-10-24'</v>
      </c>
      <c r="S459" s="74">
        <f>db_emp[[#This Row],[NIP (UPDATE)]]</f>
        <v>241542</v>
      </c>
    </row>
    <row r="460" spans="2:19" hidden="1" x14ac:dyDescent="0.25">
      <c r="B460" s="75">
        <v>513</v>
      </c>
      <c r="C460" s="75">
        <v>241172</v>
      </c>
      <c r="D460" s="74" t="s">
        <v>1537</v>
      </c>
      <c r="E460" s="75" t="s">
        <v>1088</v>
      </c>
      <c r="F460" s="75" t="s">
        <v>917</v>
      </c>
      <c r="G460" s="74" t="s">
        <v>1538</v>
      </c>
      <c r="H460" s="75" t="s">
        <v>853</v>
      </c>
      <c r="I460" s="74" t="s">
        <v>864</v>
      </c>
      <c r="J460" s="75" t="s">
        <v>441</v>
      </c>
      <c r="K460" s="75" t="s">
        <v>850</v>
      </c>
      <c r="L460" s="76">
        <v>45474</v>
      </c>
      <c r="M460" s="77">
        <f t="shared" ca="1" si="13"/>
        <v>45954</v>
      </c>
      <c r="N460" s="74" t="str">
        <f>_xlfn.IFNA(VLOOKUP(db_emp[[#This Row],[ID_DIV]],[1]!db_dpt[[Code_dpt]:[Departement]],2,0),"-")</f>
        <v>General Services</v>
      </c>
      <c r="O460" s="74" t="str">
        <f>_xlfn.IFNA(VLOOKUP(db_emp[[#This Row],[ID_SDP]],[1]!db_div[[Code_div]:[Division]],2,0),"-")</f>
        <v>HSE</v>
      </c>
      <c r="P460" s="74" t="str">
        <f>_xlfn.IFNA(VLOOKUP(db_emp[[#This Row],[Code_lvl]],[1]!db_lvl[[#All],[ID_level]:[Leveling Name]],2,0),"-")</f>
        <v>Staff</v>
      </c>
      <c r="Q460" s="74" t="str">
        <f>_xlfn.IFNA(VLOOKUP(db_emp[[#This Row],[Code_site]],[1]!db_site[[ID_Site]:[Url_maps]],3,0),"-")</f>
        <v>Unit - Fatmawati City Center</v>
      </c>
      <c r="R4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241172,'Rizqi Fitriani','GSE','HSEFT','HSE Officer','LV12','Corp. Supporting Property (POM)','A02','Employee','2024-07-01','2025-10-24'</v>
      </c>
      <c r="S460" s="74">
        <f>db_emp[[#This Row],[NIP (UPDATE)]]</f>
        <v>241172</v>
      </c>
    </row>
    <row r="461" spans="2:19" hidden="1" x14ac:dyDescent="0.25">
      <c r="B461" s="75">
        <v>217</v>
      </c>
      <c r="C461" s="75">
        <v>220687</v>
      </c>
      <c r="D461" s="74" t="s">
        <v>1539</v>
      </c>
      <c r="E461" s="75" t="s">
        <v>1018</v>
      </c>
      <c r="F461" s="75" t="s">
        <v>917</v>
      </c>
      <c r="G461" s="74" t="s">
        <v>1540</v>
      </c>
      <c r="H461" s="75" t="s">
        <v>853</v>
      </c>
      <c r="I461" s="74" t="s">
        <v>849</v>
      </c>
      <c r="J461" s="75" t="s">
        <v>314</v>
      </c>
      <c r="K461" s="75" t="s">
        <v>850</v>
      </c>
      <c r="L461" s="76">
        <v>44698</v>
      </c>
      <c r="M461" s="77">
        <f t="shared" ca="1" si="13"/>
        <v>45954</v>
      </c>
      <c r="N461" s="74" t="str">
        <f>_xlfn.IFNA(VLOOKUP(db_emp[[#This Row],[ID_DIV]],[1]!db_dpt[[Code_dpt]:[Departement]],2,0),"-")</f>
        <v>Operational</v>
      </c>
      <c r="O461" s="74" t="str">
        <f>_xlfn.IFNA(VLOOKUP(db_emp[[#This Row],[ID_SDP]],[1]!db_div[[Code_div]:[Division]],2,0),"-")</f>
        <v>HSE</v>
      </c>
      <c r="P461" s="74" t="str">
        <f>_xlfn.IFNA(VLOOKUP(db_emp[[#This Row],[Code_lvl]],[1]!db_lvl[[#All],[ID_level]:[Leveling Name]],2,0),"-")</f>
        <v>Staff</v>
      </c>
      <c r="Q461" s="74" t="str">
        <f>_xlfn.IFNA(VLOOKUP(db_emp[[#This Row],[Code_site]],[1]!db_site[[ID_Site]:[Url_maps]],3,0),"-")</f>
        <v>Unit - MOI</v>
      </c>
      <c r="R4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220687,'Rizky Heranawan Pribadi','OPR','HSEFT','HSE Staff','LV12','Mall &amp; Cinema','M02','Employee','2022-05-17','2025-10-24'</v>
      </c>
      <c r="S461" s="74">
        <f>db_emp[[#This Row],[NIP (UPDATE)]]</f>
        <v>220687</v>
      </c>
    </row>
    <row r="462" spans="2:19" hidden="1" x14ac:dyDescent="0.25">
      <c r="B462" s="75">
        <v>251</v>
      </c>
      <c r="C462" s="75">
        <v>241182</v>
      </c>
      <c r="D462" s="74" t="s">
        <v>1541</v>
      </c>
      <c r="E462" s="75" t="s">
        <v>1018</v>
      </c>
      <c r="F462" s="75" t="s">
        <v>917</v>
      </c>
      <c r="G462" s="74" t="s">
        <v>1540</v>
      </c>
      <c r="H462" s="75" t="s">
        <v>853</v>
      </c>
      <c r="I462" s="74" t="s">
        <v>849</v>
      </c>
      <c r="J462" s="75" t="s">
        <v>314</v>
      </c>
      <c r="K462" s="75" t="s">
        <v>850</v>
      </c>
      <c r="L462" s="76">
        <v>45474</v>
      </c>
      <c r="M462" s="77">
        <f t="shared" ca="1" si="13"/>
        <v>45954</v>
      </c>
      <c r="N462" s="74" t="str">
        <f>_xlfn.IFNA(VLOOKUP(db_emp[[#This Row],[ID_DIV]],[1]!db_dpt[[Code_dpt]:[Departement]],2,0),"-")</f>
        <v>Operational</v>
      </c>
      <c r="O462" s="74" t="str">
        <f>_xlfn.IFNA(VLOOKUP(db_emp[[#This Row],[ID_SDP]],[1]!db_div[[Code_div]:[Division]],2,0),"-")</f>
        <v>HSE</v>
      </c>
      <c r="P462" s="74" t="str">
        <f>_xlfn.IFNA(VLOOKUP(db_emp[[#This Row],[Code_lvl]],[1]!db_lvl[[#All],[ID_level]:[Leveling Name]],2,0),"-")</f>
        <v>Staff</v>
      </c>
      <c r="Q462" s="74" t="str">
        <f>_xlfn.IFNA(VLOOKUP(db_emp[[#This Row],[Code_site]],[1]!db_site[[ID_Site]:[Url_maps]],3,0),"-")</f>
        <v>Unit - MOI</v>
      </c>
      <c r="R4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241182,'Shinta Devi Ayuningrum','OPR','HSEFT','HSE Staff','LV12','Mall &amp; Cinema','M02','Employee','2024-07-01','2025-10-24'</v>
      </c>
      <c r="S462" s="74">
        <f>db_emp[[#This Row],[NIP (UPDATE)]]</f>
        <v>241182</v>
      </c>
    </row>
    <row r="463" spans="2:19" hidden="1" x14ac:dyDescent="0.25">
      <c r="B463" s="75">
        <v>612</v>
      </c>
      <c r="C463" s="75">
        <v>231053</v>
      </c>
      <c r="D463" s="74" t="s">
        <v>1542</v>
      </c>
      <c r="E463" s="75" t="s">
        <v>1088</v>
      </c>
      <c r="F463" s="75" t="s">
        <v>917</v>
      </c>
      <c r="G463" s="74" t="s">
        <v>1540</v>
      </c>
      <c r="H463" s="75" t="s">
        <v>885</v>
      </c>
      <c r="I463" s="74" t="s">
        <v>864</v>
      </c>
      <c r="J463" s="75" t="s">
        <v>433</v>
      </c>
      <c r="K463" s="75" t="s">
        <v>850</v>
      </c>
      <c r="L463" s="76">
        <v>45110</v>
      </c>
      <c r="M463" s="77">
        <f t="shared" ca="1" si="13"/>
        <v>45954</v>
      </c>
      <c r="N463" s="74" t="str">
        <f>_xlfn.IFNA(VLOOKUP(db_emp[[#This Row],[ID_DIV]],[1]!db_dpt[[Code_dpt]:[Departement]],2,0),"-")</f>
        <v>General Services</v>
      </c>
      <c r="O463" s="74" t="str">
        <f>_xlfn.IFNA(VLOOKUP(db_emp[[#This Row],[ID_SDP]],[1]!db_div[[Code_div]:[Division]],2,0),"-")</f>
        <v>HSE</v>
      </c>
      <c r="P463" s="74" t="str">
        <f>_xlfn.IFNA(VLOOKUP(db_emp[[#This Row],[Code_lvl]],[1]!db_lvl[[#All],[ID_level]:[Leveling Name]],2,0),"-")</f>
        <v>Senior Staff</v>
      </c>
      <c r="Q463" s="74" t="str">
        <f>_xlfn.IFNA(VLOOKUP(db_emp[[#This Row],[Code_site]],[1]!db_site[[ID_Site]:[Url_maps]],3,0),"-")</f>
        <v>Unit - Taman Anggrek Residences</v>
      </c>
      <c r="R4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231053,'Ninda Puspita Damayanti','GSE','HSEFT','HSE Staff','LV11','Corp. Supporting Property (POM)','A01','Employee','2023-07-03','2025-10-24'</v>
      </c>
      <c r="S463" s="74">
        <f>db_emp[[#This Row],[NIP (UPDATE)]]</f>
        <v>231053</v>
      </c>
    </row>
    <row r="464" spans="2:19" hidden="1" x14ac:dyDescent="0.25">
      <c r="B464" s="75">
        <v>613</v>
      </c>
      <c r="C464" s="75">
        <v>242214</v>
      </c>
      <c r="D464" s="74" t="s">
        <v>1543</v>
      </c>
      <c r="E464" s="75" t="s">
        <v>1088</v>
      </c>
      <c r="F464" s="75" t="s">
        <v>917</v>
      </c>
      <c r="G464" s="74" t="s">
        <v>1540</v>
      </c>
      <c r="H464" s="75" t="s">
        <v>853</v>
      </c>
      <c r="I464" s="74" t="s">
        <v>864</v>
      </c>
      <c r="J464" s="75" t="s">
        <v>433</v>
      </c>
      <c r="K464" s="75" t="s">
        <v>862</v>
      </c>
      <c r="L464" s="76">
        <v>45637</v>
      </c>
      <c r="M464" s="77">
        <f t="shared" ca="1" si="13"/>
        <v>45954</v>
      </c>
      <c r="N464" s="74" t="str">
        <f>_xlfn.IFNA(VLOOKUP(db_emp[[#This Row],[ID_DIV]],[1]!db_dpt[[Code_dpt]:[Departement]],2,0),"-")</f>
        <v>General Services</v>
      </c>
      <c r="O464" s="74" t="str">
        <f>_xlfn.IFNA(VLOOKUP(db_emp[[#This Row],[ID_SDP]],[1]!db_div[[Code_div]:[Division]],2,0),"-")</f>
        <v>HSE</v>
      </c>
      <c r="P464" s="74" t="str">
        <f>_xlfn.IFNA(VLOOKUP(db_emp[[#This Row],[Code_lvl]],[1]!db_lvl[[#All],[ID_level]:[Leveling Name]],2,0),"-")</f>
        <v>Staff</v>
      </c>
      <c r="Q464" s="74" t="str">
        <f>_xlfn.IFNA(VLOOKUP(db_emp[[#This Row],[Code_site]],[1]!db_site[[ID_Site]:[Url_maps]],3,0),"-")</f>
        <v>Unit - Taman Anggrek Residences</v>
      </c>
      <c r="R4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242214,'Rengga Aditya Noor','GSE','HSEFT','HSE Staff','LV12','Corp. Supporting Property (POM)','A01','Not Employee','2024-12-11','2025-10-24'</v>
      </c>
      <c r="S464" s="74">
        <f>db_emp[[#This Row],[NIP (UPDATE)]]</f>
        <v>242214</v>
      </c>
    </row>
    <row r="465" spans="2:19" hidden="1" x14ac:dyDescent="0.25">
      <c r="B465" s="75">
        <v>243</v>
      </c>
      <c r="C465" s="75">
        <v>240062</v>
      </c>
      <c r="D465" s="74" t="s">
        <v>1544</v>
      </c>
      <c r="E465" s="75" t="s">
        <v>1018</v>
      </c>
      <c r="F465" s="75" t="s">
        <v>917</v>
      </c>
      <c r="G465" s="74" t="s">
        <v>1545</v>
      </c>
      <c r="H465" s="75" t="s">
        <v>870</v>
      </c>
      <c r="I465" s="74" t="s">
        <v>849</v>
      </c>
      <c r="J465" s="75" t="s">
        <v>314</v>
      </c>
      <c r="K465" s="75" t="s">
        <v>850</v>
      </c>
      <c r="L465" s="76">
        <v>45306</v>
      </c>
      <c r="M465" s="77">
        <f t="shared" ca="1" si="13"/>
        <v>45954</v>
      </c>
      <c r="N465" s="74" t="str">
        <f>_xlfn.IFNA(VLOOKUP(db_emp[[#This Row],[ID_DIV]],[1]!db_dpt[[Code_dpt]:[Departement]],2,0),"-")</f>
        <v>Operational</v>
      </c>
      <c r="O465" s="74" t="str">
        <f>_xlfn.IFNA(VLOOKUP(db_emp[[#This Row],[ID_SDP]],[1]!db_div[[Code_div]:[Division]],2,0),"-")</f>
        <v>HSE</v>
      </c>
      <c r="P465" s="74" t="str">
        <f>_xlfn.IFNA(VLOOKUP(db_emp[[#This Row],[Code_lvl]],[1]!db_lvl[[#All],[ID_level]:[Leveling Name]],2,0),"-")</f>
        <v>Supervisor</v>
      </c>
      <c r="Q465" s="74" t="str">
        <f>_xlfn.IFNA(VLOOKUP(db_emp[[#This Row],[Code_site]],[1]!db_site[[ID_Site]:[Url_maps]],3,0),"-")</f>
        <v>Unit - MOI</v>
      </c>
      <c r="R4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240062,'Didik Rianto','OPR','HSEFT','HSE Supervisor','LV09','Mall &amp; Cinema','M02','Employee','2024-01-15','2025-10-24'</v>
      </c>
      <c r="S465" s="74">
        <f>db_emp[[#This Row],[NIP (UPDATE)]]</f>
        <v>240062</v>
      </c>
    </row>
    <row r="466" spans="2:19" hidden="1" x14ac:dyDescent="0.25">
      <c r="B466" s="75">
        <v>419</v>
      </c>
      <c r="C466" s="75">
        <v>241103</v>
      </c>
      <c r="D466" s="74" t="s">
        <v>1546</v>
      </c>
      <c r="E466" s="75" t="s">
        <v>1018</v>
      </c>
      <c r="F466" s="75" t="s">
        <v>917</v>
      </c>
      <c r="G466" s="74" t="s">
        <v>1545</v>
      </c>
      <c r="H466" s="75" t="s">
        <v>870</v>
      </c>
      <c r="I466" s="74" t="s">
        <v>849</v>
      </c>
      <c r="J466" s="75" t="s">
        <v>316</v>
      </c>
      <c r="K466" s="75" t="s">
        <v>850</v>
      </c>
      <c r="L466" s="76">
        <v>45467</v>
      </c>
      <c r="M466" s="77">
        <f t="shared" ca="1" si="13"/>
        <v>45954</v>
      </c>
      <c r="N466" s="74" t="str">
        <f>_xlfn.IFNA(VLOOKUP(db_emp[[#This Row],[ID_DIV]],[1]!db_dpt[[Code_dpt]:[Departement]],2,0),"-")</f>
        <v>Operational</v>
      </c>
      <c r="O466" s="74" t="str">
        <f>_xlfn.IFNA(VLOOKUP(db_emp[[#This Row],[ID_SDP]],[1]!db_div[[Code_div]:[Division]],2,0),"-")</f>
        <v>HSE</v>
      </c>
      <c r="P466" s="74" t="str">
        <f>_xlfn.IFNA(VLOOKUP(db_emp[[#This Row],[Code_lvl]],[1]!db_lvl[[#All],[ID_level]:[Leveling Name]],2,0),"-")</f>
        <v>Supervisor</v>
      </c>
      <c r="Q466" s="74" t="str">
        <f>_xlfn.IFNA(VLOOKUP(db_emp[[#This Row],[Code_site]],[1]!db_site[[ID_Site]:[Url_maps]],3,0),"-")</f>
        <v>Unit - GGP</v>
      </c>
      <c r="R4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241103,'Harri Prasetian ','OPR','HSEFT','HSE Supervisor','LV09','Mall &amp; Cinema','M03','Employee','2024-06-24','2025-10-24'</v>
      </c>
      <c r="S466" s="74">
        <f>db_emp[[#This Row],[NIP (UPDATE)]]</f>
        <v>241103</v>
      </c>
    </row>
    <row r="467" spans="2:19" hidden="1" x14ac:dyDescent="0.25">
      <c r="B467" s="75">
        <v>701</v>
      </c>
      <c r="C467" s="75">
        <v>231743</v>
      </c>
      <c r="D467" s="74" t="s">
        <v>1547</v>
      </c>
      <c r="E467" s="75" t="s">
        <v>916</v>
      </c>
      <c r="F467" s="75" t="s">
        <v>917</v>
      </c>
      <c r="G467" s="74" t="s">
        <v>1548</v>
      </c>
      <c r="H467" s="75" t="s">
        <v>870</v>
      </c>
      <c r="I467" s="74" t="s">
        <v>864</v>
      </c>
      <c r="J467" s="75" t="s">
        <v>501</v>
      </c>
      <c r="K467" s="75" t="s">
        <v>850</v>
      </c>
      <c r="L467" s="76"/>
      <c r="M467" s="77">
        <f t="shared" ca="1" si="13"/>
        <v>45954</v>
      </c>
      <c r="N467" s="74" t="str">
        <f>_xlfn.IFNA(VLOOKUP(db_emp[[#This Row],[ID_DIV]],[1]!db_dpt[[Code_dpt]:[Departement]],2,0),"-")</f>
        <v>Property Management</v>
      </c>
      <c r="O467" s="74" t="str">
        <f>_xlfn.IFNA(VLOOKUP(db_emp[[#This Row],[ID_SDP]],[1]!db_div[[Code_div]:[Division]],2,0),"-")</f>
        <v>HSE</v>
      </c>
      <c r="P467" s="74" t="str">
        <f>_xlfn.IFNA(VLOOKUP(db_emp[[#This Row],[Code_lvl]],[1]!db_lvl[[#All],[ID_level]:[Leveling Name]],2,0),"-")</f>
        <v>Supervisor</v>
      </c>
      <c r="Q467" s="74" t="str">
        <f>_xlfn.IFNA(VLOOKUP(db_emp[[#This Row],[Code_site]],[1]!db_site[[ID_Site]:[Url_maps]],3,0),"-")</f>
        <v>Unit - District 8</v>
      </c>
      <c r="R4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231743,'Casey Puspa Avriliantoro','POM','HSEFT','Hse Supervisor','LV09','Corp. Supporting Property (POM)','OD8','Employee','1900-01-00','2025-10-24'</v>
      </c>
      <c r="S467" s="74">
        <f>db_emp[[#This Row],[NIP (UPDATE)]]</f>
        <v>231743</v>
      </c>
    </row>
    <row r="468" spans="2:19" hidden="1" x14ac:dyDescent="0.25">
      <c r="B468" s="75">
        <v>732</v>
      </c>
      <c r="C468" s="75">
        <v>240920</v>
      </c>
      <c r="D468" s="74" t="s">
        <v>1549</v>
      </c>
      <c r="E468" s="75" t="s">
        <v>916</v>
      </c>
      <c r="F468" s="75" t="s">
        <v>917</v>
      </c>
      <c r="G468" s="74" t="s">
        <v>1548</v>
      </c>
      <c r="H468" s="75" t="s">
        <v>870</v>
      </c>
      <c r="I468" s="74" t="s">
        <v>864</v>
      </c>
      <c r="J468" s="75" t="s">
        <v>501</v>
      </c>
      <c r="K468" s="75" t="s">
        <v>850</v>
      </c>
      <c r="L468" s="76"/>
      <c r="M468" s="77">
        <f t="shared" ca="1" si="13"/>
        <v>45954</v>
      </c>
      <c r="N468" s="74" t="str">
        <f>_xlfn.IFNA(VLOOKUP(db_emp[[#This Row],[ID_DIV]],[1]!db_dpt[[Code_dpt]:[Departement]],2,0),"-")</f>
        <v>Property Management</v>
      </c>
      <c r="O468" s="74" t="str">
        <f>_xlfn.IFNA(VLOOKUP(db_emp[[#This Row],[ID_SDP]],[1]!db_div[[Code_div]:[Division]],2,0),"-")</f>
        <v>HSE</v>
      </c>
      <c r="P468" s="74" t="str">
        <f>_xlfn.IFNA(VLOOKUP(db_emp[[#This Row],[Code_lvl]],[1]!db_lvl[[#All],[ID_level]:[Leveling Name]],2,0),"-")</f>
        <v>Supervisor</v>
      </c>
      <c r="Q468" s="74" t="str">
        <f>_xlfn.IFNA(VLOOKUP(db_emp[[#This Row],[Code_site]],[1]!db_site[[ID_Site]:[Url_maps]],3,0),"-")</f>
        <v>Unit - District 8</v>
      </c>
      <c r="R4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240920,'Ahmad Susilo','POM','HSEFT','Hse Supervisor','LV09','Corp. Supporting Property (POM)','OD8','Employee','1900-01-00','2025-10-24'</v>
      </c>
      <c r="S468" s="74">
        <f>db_emp[[#This Row],[NIP (UPDATE)]]</f>
        <v>240920</v>
      </c>
    </row>
    <row r="469" spans="2:19" hidden="1" x14ac:dyDescent="0.25">
      <c r="B469" s="75">
        <v>85</v>
      </c>
      <c r="C469" s="75">
        <v>230556</v>
      </c>
      <c r="D469" s="74" t="s">
        <v>1550</v>
      </c>
      <c r="E469" s="75" t="s">
        <v>1123</v>
      </c>
      <c r="F469" s="75" t="s">
        <v>971</v>
      </c>
      <c r="G469" s="74" t="s">
        <v>1551</v>
      </c>
      <c r="H469" s="75" t="s">
        <v>973</v>
      </c>
      <c r="I469" s="74" t="s">
        <v>856</v>
      </c>
      <c r="J469" s="75" t="s">
        <v>315</v>
      </c>
      <c r="K469" s="75" t="s">
        <v>903</v>
      </c>
      <c r="L469" s="76">
        <v>45047</v>
      </c>
      <c r="M469" s="77">
        <f t="shared" ca="1" si="13"/>
        <v>45954</v>
      </c>
      <c r="N469" s="74" t="str">
        <f>_xlfn.IFNA(VLOOKUP(db_emp[[#This Row],[ID_DIV]],[1]!db_dpt[[Code_dpt]:[Departement]],2,0),"-")</f>
        <v>HR &amp; GA</v>
      </c>
      <c r="O469" s="74" t="str">
        <f>_xlfn.IFNA(VLOOKUP(db_emp[[#This Row],[ID_SDP]],[1]!db_div[[Code_div]:[Division]],2,0),"-")</f>
        <v>General Head Departement</v>
      </c>
      <c r="P469" s="74" t="str">
        <f>_xlfn.IFNA(VLOOKUP(db_emp[[#This Row],[Code_lvl]],[1]!db_lvl[[#All],[ID_level]:[Leveling Name]],2,0),"-")</f>
        <v>General Manager</v>
      </c>
      <c r="Q469" s="74" t="str">
        <f>_xlfn.IFNA(VLOOKUP(db_emp[[#This Row],[Code_site]],[1]!db_site[[ID_Site]:[Url_maps]],3,0),"-")</f>
        <v>Head Office - ASGO</v>
      </c>
      <c r="R4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230556,'Diah Rahayu','HRG','GNRAL','Human Resources Operation General Manager','LV02','HQ - All','O99','Resign','2023-05-01','2025-10-24'</v>
      </c>
      <c r="S469" s="74">
        <f>db_emp[[#This Row],[NIP (UPDATE)]]</f>
        <v>230556</v>
      </c>
    </row>
    <row r="470" spans="2:19" x14ac:dyDescent="0.25">
      <c r="B470" s="75" t="s">
        <v>2413</v>
      </c>
      <c r="C470" s="75">
        <v>231792</v>
      </c>
      <c r="D470" s="74" t="s">
        <v>1552</v>
      </c>
      <c r="E470" s="75" t="s">
        <v>1553</v>
      </c>
      <c r="F470" s="75" t="s">
        <v>912</v>
      </c>
      <c r="G470" s="74" t="s">
        <v>1554</v>
      </c>
      <c r="H470" s="75" t="s">
        <v>853</v>
      </c>
      <c r="I470" s="74" t="s">
        <v>856</v>
      </c>
      <c r="J470" s="75" t="s">
        <v>315</v>
      </c>
      <c r="K470" s="75" t="s">
        <v>850</v>
      </c>
      <c r="L470" s="76">
        <v>45215</v>
      </c>
      <c r="M470" s="77">
        <f t="shared" ca="1" si="13"/>
        <v>45954</v>
      </c>
      <c r="N470" s="74" t="str">
        <f>_xlfn.IFNA(VLOOKUP(db_emp[[#This Row],[ID_DIV]],[1]!db_dpt[[Code_dpt]:[Departement]],2,0),"-")</f>
        <v>Innovation</v>
      </c>
      <c r="O470" s="74" t="str">
        <f>_xlfn.IFNA(VLOOKUP(db_emp[[#This Row],[ID_SDP]],[1]!db_div[[Code_div]:[Division]],2,0),"-")</f>
        <v>Admin</v>
      </c>
      <c r="P470" s="74" t="str">
        <f>_xlfn.IFNA(VLOOKUP(db_emp[[#This Row],[Code_lvl]],[1]!db_lvl[[#All],[ID_level]:[Leveling Name]],2,0),"-")</f>
        <v>Staff</v>
      </c>
      <c r="Q470" s="74" t="str">
        <f>_xlfn.IFNA(VLOOKUP(db_emp[[#This Row],[Code_site]],[1]!db_site[[ID_Site]:[Url_maps]],3,0),"-")</f>
        <v>Head Office - ASGO</v>
      </c>
      <c r="R4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231792,'Muhammad Rizal Rifa I','INO','ADMIN','Innovation Admin','LV12','HQ - All','O99','Employee','2023-10-16','2025-10-24'</v>
      </c>
      <c r="S470" s="74">
        <f>db_emp[[#This Row],[NIP (UPDATE)]]</f>
        <v>231792</v>
      </c>
    </row>
    <row r="471" spans="2:19" hidden="1" x14ac:dyDescent="0.25">
      <c r="B471" s="75">
        <v>32</v>
      </c>
      <c r="C471" s="75">
        <v>231996</v>
      </c>
      <c r="D471" s="74" t="s">
        <v>1555</v>
      </c>
      <c r="E471" s="75" t="s">
        <v>131</v>
      </c>
      <c r="F471" s="75" t="s">
        <v>1556</v>
      </c>
      <c r="G471" s="74" t="s">
        <v>1557</v>
      </c>
      <c r="H471" s="75" t="s">
        <v>848</v>
      </c>
      <c r="I471" s="74" t="s">
        <v>849</v>
      </c>
      <c r="J471" s="75" t="s">
        <v>315</v>
      </c>
      <c r="K471" s="75" t="s">
        <v>850</v>
      </c>
      <c r="L471" s="76">
        <v>43346</v>
      </c>
      <c r="M471" s="77">
        <f t="shared" ca="1" si="13"/>
        <v>45954</v>
      </c>
      <c r="N471" s="74" t="str">
        <f>_xlfn.IFNA(VLOOKUP(db_emp[[#This Row],[ID_DIV]],[1]!db_dpt[[Code_dpt]:[Departement]],2,0),"-")</f>
        <v>Internal Audit &amp; Business Process</v>
      </c>
      <c r="O471" s="74" t="str">
        <f>_xlfn.IFNA(VLOOKUP(db_emp[[#This Row],[ID_SDP]],[1]!db_div[[Code_div]:[Division]],2,0),"-")</f>
        <v>Internal Audit &amp; Business Process</v>
      </c>
      <c r="P471" s="74" t="str">
        <f>_xlfn.IFNA(VLOOKUP(db_emp[[#This Row],[Code_lvl]],[1]!db_lvl[[#All],[ID_level]:[Leveling Name]],2,0),"-")</f>
        <v>Assistant Manager</v>
      </c>
      <c r="Q471" s="74" t="str">
        <f>_xlfn.IFNA(VLOOKUP(db_emp[[#This Row],[Code_site]],[1]!db_site[[ID_Site]:[Url_maps]],3,0),"-")</f>
        <v>Head Office - ASGO</v>
      </c>
      <c r="R4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231996,'Tiana Dewi Andini','ISO','IABPS','Internal Audit &amp; Business Process Assistant Manager','LV07','Mall &amp; Cinema','O99','Employee','2018-09-03','2025-10-24'</v>
      </c>
      <c r="S471" s="74">
        <f>db_emp[[#This Row],[NIP (UPDATE)]]</f>
        <v>231996</v>
      </c>
    </row>
    <row r="472" spans="2:19" hidden="1" x14ac:dyDescent="0.25">
      <c r="B472" s="75">
        <v>30</v>
      </c>
      <c r="C472" s="75">
        <v>130358</v>
      </c>
      <c r="D472" s="74" t="s">
        <v>1558</v>
      </c>
      <c r="E472" s="75" t="s">
        <v>131</v>
      </c>
      <c r="F472" s="75" t="s">
        <v>1556</v>
      </c>
      <c r="G472" s="74" t="s">
        <v>1559</v>
      </c>
      <c r="H472" s="75" t="s">
        <v>953</v>
      </c>
      <c r="I472" s="74" t="s">
        <v>849</v>
      </c>
      <c r="J472" s="75" t="s">
        <v>315</v>
      </c>
      <c r="K472" s="75" t="s">
        <v>850</v>
      </c>
      <c r="L472" s="76">
        <v>41365</v>
      </c>
      <c r="M472" s="77">
        <f t="shared" ca="1" si="13"/>
        <v>45954</v>
      </c>
      <c r="N472" s="74" t="str">
        <f>_xlfn.IFNA(VLOOKUP(db_emp[[#This Row],[ID_DIV]],[1]!db_dpt[[Code_dpt]:[Departement]],2,0),"-")</f>
        <v>Internal Audit &amp; Business Process</v>
      </c>
      <c r="O472" s="74" t="str">
        <f>_xlfn.IFNA(VLOOKUP(db_emp[[#This Row],[ID_SDP]],[1]!db_div[[Code_div]:[Division]],2,0),"-")</f>
        <v>Internal Audit &amp; Business Process</v>
      </c>
      <c r="P472" s="74" t="str">
        <f>_xlfn.IFNA(VLOOKUP(db_emp[[#This Row],[Code_lvl]],[1]!db_lvl[[#All],[ID_level]:[Leveling Name]],2,0),"-")</f>
        <v>Manager</v>
      </c>
      <c r="Q472" s="74" t="str">
        <f>_xlfn.IFNA(VLOOKUP(db_emp[[#This Row],[Code_site]],[1]!db_site[[ID_Site]:[Url_maps]],3,0),"-")</f>
        <v>Head Office - ASGO</v>
      </c>
      <c r="R4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130358,'Sodri Karzinar','ISO','IABPS','Internal Audit &amp; Business Process Manager','LV05','Mall &amp; Cinema','O99','Employee','2013-04-01','2025-10-24'</v>
      </c>
      <c r="S472" s="74">
        <f>db_emp[[#This Row],[NIP (UPDATE)]]</f>
        <v>130358</v>
      </c>
    </row>
    <row r="473" spans="2:19" hidden="1" x14ac:dyDescent="0.25">
      <c r="B473" s="75">
        <v>31</v>
      </c>
      <c r="C473" s="75">
        <v>232311</v>
      </c>
      <c r="D473" s="74" t="s">
        <v>1560</v>
      </c>
      <c r="E473" s="75" t="s">
        <v>131</v>
      </c>
      <c r="F473" s="75" t="s">
        <v>1556</v>
      </c>
      <c r="G473" s="74" t="s">
        <v>1561</v>
      </c>
      <c r="H473" s="75" t="s">
        <v>885</v>
      </c>
      <c r="I473" s="74" t="s">
        <v>849</v>
      </c>
      <c r="J473" s="75" t="s">
        <v>315</v>
      </c>
      <c r="K473" s="75" t="s">
        <v>850</v>
      </c>
      <c r="L473" s="76">
        <v>43313</v>
      </c>
      <c r="M473" s="77">
        <f t="shared" ca="1" si="13"/>
        <v>45954</v>
      </c>
      <c r="N473" s="74" t="str">
        <f>_xlfn.IFNA(VLOOKUP(db_emp[[#This Row],[ID_DIV]],[1]!db_dpt[[Code_dpt]:[Departement]],2,0),"-")</f>
        <v>Internal Audit &amp; Business Process</v>
      </c>
      <c r="O473" s="74" t="str">
        <f>_xlfn.IFNA(VLOOKUP(db_emp[[#This Row],[ID_SDP]],[1]!db_div[[Code_div]:[Division]],2,0),"-")</f>
        <v>Internal Audit &amp; Business Process</v>
      </c>
      <c r="P473" s="74" t="str">
        <f>_xlfn.IFNA(VLOOKUP(db_emp[[#This Row],[Code_lvl]],[1]!db_lvl[[#All],[ID_level]:[Leveling Name]],2,0),"-")</f>
        <v>Senior Staff</v>
      </c>
      <c r="Q473" s="74" t="str">
        <f>_xlfn.IFNA(VLOOKUP(db_emp[[#This Row],[Code_site]],[1]!db_site[[ID_Site]:[Url_maps]],3,0),"-")</f>
        <v>Head Office - ASGO</v>
      </c>
      <c r="R4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232311,'Rachmat Hidayat','ISO','IABPS','Internal Audit &amp; Business Process Staff','LV11','Mall &amp; Cinema','O99','Employee','2018-08-01','2025-10-24'</v>
      </c>
      <c r="S473" s="74">
        <f>db_emp[[#This Row],[NIP (UPDATE)]]</f>
        <v>232311</v>
      </c>
    </row>
    <row r="474" spans="2:19" hidden="1" x14ac:dyDescent="0.25">
      <c r="B474" s="75">
        <v>52</v>
      </c>
      <c r="C474" s="75">
        <v>210948</v>
      </c>
      <c r="D474" s="74" t="s">
        <v>1562</v>
      </c>
      <c r="E474" s="75" t="s">
        <v>131</v>
      </c>
      <c r="F474" s="75" t="s">
        <v>1556</v>
      </c>
      <c r="G474" s="74" t="s">
        <v>1563</v>
      </c>
      <c r="H474" s="75" t="s">
        <v>870</v>
      </c>
      <c r="I474" s="74" t="s">
        <v>849</v>
      </c>
      <c r="J474" s="75" t="s">
        <v>315</v>
      </c>
      <c r="K474" s="75" t="s">
        <v>850</v>
      </c>
      <c r="L474" s="76">
        <v>44477</v>
      </c>
      <c r="M474" s="77">
        <f t="shared" ca="1" si="13"/>
        <v>45954</v>
      </c>
      <c r="N474" s="74" t="str">
        <f>_xlfn.IFNA(VLOOKUP(db_emp[[#This Row],[ID_DIV]],[1]!db_dpt[[Code_dpt]:[Departement]],2,0),"-")</f>
        <v>Internal Audit &amp; Business Process</v>
      </c>
      <c r="O474" s="74" t="str">
        <f>_xlfn.IFNA(VLOOKUP(db_emp[[#This Row],[ID_SDP]],[1]!db_div[[Code_div]:[Division]],2,0),"-")</f>
        <v>Internal Audit &amp; Business Process</v>
      </c>
      <c r="P474" s="74" t="str">
        <f>_xlfn.IFNA(VLOOKUP(db_emp[[#This Row],[Code_lvl]],[1]!db_lvl[[#All],[ID_level]:[Leveling Name]],2,0),"-")</f>
        <v>Supervisor</v>
      </c>
      <c r="Q474" s="74" t="str">
        <f>_xlfn.IFNA(VLOOKUP(db_emp[[#This Row],[Code_site]],[1]!db_site[[ID_Site]:[Url_maps]],3,0),"-")</f>
        <v>Head Office - ASGO</v>
      </c>
      <c r="R4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210948,'Herawati','ISO','IABPS','Internal Audit &amp; Business Process Supervisor','LV09','Mall &amp; Cinema','O99','Employee','2021-10-08','2025-10-24'</v>
      </c>
      <c r="S474" s="74">
        <f>db_emp[[#This Row],[NIP (UPDATE)]]</f>
        <v>210948</v>
      </c>
    </row>
    <row r="475" spans="2:19" hidden="1" x14ac:dyDescent="0.25">
      <c r="B475" s="75">
        <v>57</v>
      </c>
      <c r="C475" s="75">
        <v>170569</v>
      </c>
      <c r="D475" s="74" t="s">
        <v>1564</v>
      </c>
      <c r="E475" s="75" t="s">
        <v>131</v>
      </c>
      <c r="F475" s="75" t="s">
        <v>1556</v>
      </c>
      <c r="G475" s="74" t="s">
        <v>1563</v>
      </c>
      <c r="H475" s="75" t="s">
        <v>870</v>
      </c>
      <c r="I475" s="74" t="s">
        <v>849</v>
      </c>
      <c r="J475" s="75" t="s">
        <v>315</v>
      </c>
      <c r="K475" s="75" t="s">
        <v>850</v>
      </c>
      <c r="L475" s="76">
        <v>42919</v>
      </c>
      <c r="M475" s="77">
        <f t="shared" ref="M475:M516" ca="1" si="14">TODAY()+1</f>
        <v>45954</v>
      </c>
      <c r="N475" s="74" t="str">
        <f>_xlfn.IFNA(VLOOKUP(db_emp[[#This Row],[ID_DIV]],[1]!db_dpt[[Code_dpt]:[Departement]],2,0),"-")</f>
        <v>Internal Audit &amp; Business Process</v>
      </c>
      <c r="O475" s="74" t="str">
        <f>_xlfn.IFNA(VLOOKUP(db_emp[[#This Row],[ID_SDP]],[1]!db_div[[Code_div]:[Division]],2,0),"-")</f>
        <v>Internal Audit &amp; Business Process</v>
      </c>
      <c r="P475" s="74" t="str">
        <f>_xlfn.IFNA(VLOOKUP(db_emp[[#This Row],[Code_lvl]],[1]!db_lvl[[#All],[ID_level]:[Leveling Name]],2,0),"-")</f>
        <v>Supervisor</v>
      </c>
      <c r="Q475" s="74" t="str">
        <f>_xlfn.IFNA(VLOOKUP(db_emp[[#This Row],[Code_site]],[1]!db_site[[ID_Site]:[Url_maps]],3,0),"-")</f>
        <v>Head Office - ASGO</v>
      </c>
      <c r="R4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170569,'Alviral Muhamad','ISO','IABPS','Internal Audit &amp; Business Process Supervisor','LV09','Mall &amp; Cinema','O99','Employee','2017-07-03','2025-10-24'</v>
      </c>
      <c r="S475" s="74">
        <f>db_emp[[#This Row],[NIP (UPDATE)]]</f>
        <v>170569</v>
      </c>
    </row>
    <row r="476" spans="2:19" hidden="1" x14ac:dyDescent="0.25">
      <c r="B476" s="75">
        <v>153</v>
      </c>
      <c r="C476" s="75">
        <v>242284</v>
      </c>
      <c r="D476" s="74" t="s">
        <v>1565</v>
      </c>
      <c r="E476" s="75" t="s">
        <v>131</v>
      </c>
      <c r="F476" s="75" t="s">
        <v>1556</v>
      </c>
      <c r="G476" s="74" t="s">
        <v>1563</v>
      </c>
      <c r="H476" s="75" t="s">
        <v>870</v>
      </c>
      <c r="I476" s="74" t="s">
        <v>849</v>
      </c>
      <c r="J476" s="75" t="s">
        <v>315</v>
      </c>
      <c r="K476" s="75" t="s">
        <v>850</v>
      </c>
      <c r="L476" s="76">
        <v>45659</v>
      </c>
      <c r="M476" s="77">
        <f t="shared" ca="1" si="14"/>
        <v>45954</v>
      </c>
      <c r="N476" s="74" t="str">
        <f>_xlfn.IFNA(VLOOKUP(db_emp[[#This Row],[ID_DIV]],[1]!db_dpt[[Code_dpt]:[Departement]],2,0),"-")</f>
        <v>Internal Audit &amp; Business Process</v>
      </c>
      <c r="O476" s="74" t="str">
        <f>_xlfn.IFNA(VLOOKUP(db_emp[[#This Row],[ID_SDP]],[1]!db_div[[Code_div]:[Division]],2,0),"-")</f>
        <v>Internal Audit &amp; Business Process</v>
      </c>
      <c r="P476" s="74" t="str">
        <f>_xlfn.IFNA(VLOOKUP(db_emp[[#This Row],[Code_lvl]],[1]!db_lvl[[#All],[ID_level]:[Leveling Name]],2,0),"-")</f>
        <v>Supervisor</v>
      </c>
      <c r="Q476" s="74" t="str">
        <f>_xlfn.IFNA(VLOOKUP(db_emp[[#This Row],[Code_site]],[1]!db_site[[ID_Site]:[Url_maps]],3,0),"-")</f>
        <v>Head Office - ASGO</v>
      </c>
      <c r="R4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242284,'Eliezer Theodoric M Panjaitan','ISO','IABPS','Internal Audit &amp; Business Process Supervisor','LV09','Mall &amp; Cinema','O99','Employee','2025-01-02','2025-10-24'</v>
      </c>
      <c r="S476" s="74">
        <f>db_emp[[#This Row],[NIP (UPDATE)]]</f>
        <v>242284</v>
      </c>
    </row>
    <row r="477" spans="2:19" hidden="1" x14ac:dyDescent="0.25">
      <c r="B477" s="75" t="s">
        <v>2413</v>
      </c>
      <c r="C477" s="75">
        <v>180362</v>
      </c>
      <c r="D477" s="74" t="s">
        <v>262</v>
      </c>
      <c r="E477" s="75" t="s">
        <v>1566</v>
      </c>
      <c r="F477" s="75" t="s">
        <v>912</v>
      </c>
      <c r="G477" s="74" t="s">
        <v>1567</v>
      </c>
      <c r="H477" s="75" t="s">
        <v>853</v>
      </c>
      <c r="I477" s="74" t="s">
        <v>849</v>
      </c>
      <c r="J477" s="75" t="s">
        <v>315</v>
      </c>
      <c r="K477" s="75" t="s">
        <v>850</v>
      </c>
      <c r="L477" s="76">
        <v>43165</v>
      </c>
      <c r="M477" s="77">
        <f t="shared" ca="1" si="14"/>
        <v>45954</v>
      </c>
      <c r="N477" s="74" t="str">
        <f>_xlfn.IFNA(VLOOKUP(db_emp[[#This Row],[ID_DIV]],[1]!db_dpt[[Code_dpt]:[Departement]],2,0),"-")</f>
        <v>IT</v>
      </c>
      <c r="O477" s="74" t="str">
        <f>_xlfn.IFNA(VLOOKUP(db_emp[[#This Row],[ID_SDP]],[1]!db_div[[Code_div]:[Division]],2,0),"-")</f>
        <v>Admin</v>
      </c>
      <c r="P477" s="74" t="str">
        <f>_xlfn.IFNA(VLOOKUP(db_emp[[#This Row],[Code_lvl]],[1]!db_lvl[[#All],[ID_level]:[Leveling Name]],2,0),"-")</f>
        <v>Staff</v>
      </c>
      <c r="Q477" s="74" t="str">
        <f>_xlfn.IFNA(VLOOKUP(db_emp[[#This Row],[Code_site]],[1]!db_site[[ID_Site]:[Url_maps]],3,0),"-")</f>
        <v>Head Office - ASGO</v>
      </c>
      <c r="R4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180362,'Ariya Jaya Urip Ramsi','ITD','ADMIN','IT Admin','LV12','Mall &amp; Cinema','O99','Employee','2018-03-06','2025-10-24'</v>
      </c>
      <c r="S477" s="74">
        <f>db_emp[[#This Row],[NIP (UPDATE)]]</f>
        <v>180362</v>
      </c>
    </row>
    <row r="478" spans="2:19" hidden="1" x14ac:dyDescent="0.25">
      <c r="B478" s="75" t="s">
        <v>2413</v>
      </c>
      <c r="C478" s="75">
        <v>240763</v>
      </c>
      <c r="D478" s="74" t="s">
        <v>263</v>
      </c>
      <c r="E478" s="75" t="s">
        <v>1566</v>
      </c>
      <c r="F478" s="75" t="s">
        <v>1568</v>
      </c>
      <c r="G478" s="74" t="s">
        <v>1569</v>
      </c>
      <c r="H478" s="75" t="s">
        <v>968</v>
      </c>
      <c r="I478" s="74" t="s">
        <v>856</v>
      </c>
      <c r="J478" s="75" t="s">
        <v>315</v>
      </c>
      <c r="K478" s="75" t="s">
        <v>850</v>
      </c>
      <c r="L478" s="76">
        <v>45411</v>
      </c>
      <c r="M478" s="77">
        <f t="shared" ca="1" si="14"/>
        <v>45954</v>
      </c>
      <c r="N478" s="74" t="str">
        <f>_xlfn.IFNA(VLOOKUP(db_emp[[#This Row],[ID_DIV]],[1]!db_dpt[[Code_dpt]:[Departement]],2,0),"-")</f>
        <v>IT</v>
      </c>
      <c r="O478" s="74" t="str">
        <f>_xlfn.IFNA(VLOOKUP(db_emp[[#This Row],[ID_SDP]],[1]!db_div[[Code_div]:[Division]],2,0),"-")</f>
        <v>Application</v>
      </c>
      <c r="P478" s="74" t="str">
        <f>_xlfn.IFNA(VLOOKUP(db_emp[[#This Row],[Code_lvl]],[1]!db_lvl[[#All],[ID_level]:[Leveling Name]],2,0),"-")</f>
        <v>Senior Manager</v>
      </c>
      <c r="Q478" s="74" t="str">
        <f>_xlfn.IFNA(VLOOKUP(db_emp[[#This Row],[Code_site]],[1]!db_site[[ID_Site]:[Url_maps]],3,0),"-")</f>
        <v>Head Office - ASGO</v>
      </c>
      <c r="R4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240763,'Wuwanjie Septian','ITD','APPLS','IT Application Senior Manager','LV04','HQ - All','O99','Employee','2024-04-29','2025-10-24'</v>
      </c>
      <c r="S478" s="74">
        <f>db_emp[[#This Row],[NIP (UPDATE)]]</f>
        <v>240763</v>
      </c>
    </row>
    <row r="479" spans="2:19" hidden="1" x14ac:dyDescent="0.25">
      <c r="B479" s="75" t="s">
        <v>2413</v>
      </c>
      <c r="C479" s="75">
        <v>220909</v>
      </c>
      <c r="D479" s="74" t="s">
        <v>265</v>
      </c>
      <c r="E479" s="75" t="s">
        <v>1566</v>
      </c>
      <c r="F479" s="75" t="s">
        <v>1568</v>
      </c>
      <c r="G479" s="74" t="s">
        <v>1570</v>
      </c>
      <c r="H479" s="75" t="s">
        <v>853</v>
      </c>
      <c r="I479" s="74" t="s">
        <v>856</v>
      </c>
      <c r="J479" s="75" t="s">
        <v>315</v>
      </c>
      <c r="K479" s="75" t="s">
        <v>850</v>
      </c>
      <c r="L479" s="76">
        <v>44743</v>
      </c>
      <c r="M479" s="77">
        <f t="shared" ca="1" si="14"/>
        <v>45954</v>
      </c>
      <c r="N479" s="74" t="str">
        <f>_xlfn.IFNA(VLOOKUP(db_emp[[#This Row],[ID_DIV]],[1]!db_dpt[[Code_dpt]:[Departement]],2,0),"-")</f>
        <v>IT</v>
      </c>
      <c r="O479" s="74" t="str">
        <f>_xlfn.IFNA(VLOOKUP(db_emp[[#This Row],[ID_SDP]],[1]!db_div[[Code_div]:[Division]],2,0),"-")</f>
        <v>Application</v>
      </c>
      <c r="P479" s="74" t="str">
        <f>_xlfn.IFNA(VLOOKUP(db_emp[[#This Row],[Code_lvl]],[1]!db_lvl[[#All],[ID_level]:[Leveling Name]],2,0),"-")</f>
        <v>Staff</v>
      </c>
      <c r="Q479" s="74" t="str">
        <f>_xlfn.IFNA(VLOOKUP(db_emp[[#This Row],[Code_site]],[1]!db_site[[ID_Site]:[Url_maps]],3,0),"-")</f>
        <v>Head Office - ASGO</v>
      </c>
      <c r="R4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220909,'Wilson','ITD','APPLS','IT Application Staff','LV12','HQ - All','O99','Employee','2022-07-01','2025-10-24'</v>
      </c>
      <c r="S479" s="74">
        <f>db_emp[[#This Row],[NIP (UPDATE)]]</f>
        <v>220909</v>
      </c>
    </row>
    <row r="480" spans="2:19" hidden="1" x14ac:dyDescent="0.25">
      <c r="B480" s="75" t="s">
        <v>2413</v>
      </c>
      <c r="C480" s="75">
        <v>211054</v>
      </c>
      <c r="D480" s="74" t="s">
        <v>264</v>
      </c>
      <c r="E480" s="75" t="s">
        <v>1566</v>
      </c>
      <c r="F480" s="75" t="s">
        <v>1568</v>
      </c>
      <c r="G480" s="74" t="s">
        <v>1571</v>
      </c>
      <c r="H480" s="75" t="s">
        <v>870</v>
      </c>
      <c r="I480" s="74" t="s">
        <v>856</v>
      </c>
      <c r="J480" s="75" t="s">
        <v>315</v>
      </c>
      <c r="K480" s="75" t="s">
        <v>850</v>
      </c>
      <c r="L480" s="76">
        <v>44508</v>
      </c>
      <c r="M480" s="77">
        <f t="shared" ca="1" si="14"/>
        <v>45954</v>
      </c>
      <c r="N480" s="74" t="str">
        <f>_xlfn.IFNA(VLOOKUP(db_emp[[#This Row],[ID_DIV]],[1]!db_dpt[[Code_dpt]:[Departement]],2,0),"-")</f>
        <v>IT</v>
      </c>
      <c r="O480" s="74" t="str">
        <f>_xlfn.IFNA(VLOOKUP(db_emp[[#This Row],[ID_SDP]],[1]!db_div[[Code_div]:[Division]],2,0),"-")</f>
        <v>Application</v>
      </c>
      <c r="P480" s="74" t="str">
        <f>_xlfn.IFNA(VLOOKUP(db_emp[[#This Row],[Code_lvl]],[1]!db_lvl[[#All],[ID_level]:[Leveling Name]],2,0),"-")</f>
        <v>Supervisor</v>
      </c>
      <c r="Q480" s="74" t="str">
        <f>_xlfn.IFNA(VLOOKUP(db_emp[[#This Row],[Code_site]],[1]!db_site[[ID_Site]:[Url_maps]],3,0),"-")</f>
        <v>Head Office - ASGO</v>
      </c>
      <c r="R4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211054,'Romi Fusianto','ITD','APPLS','IT Application Supervisor','LV09','HQ - All','O99','Employee','2021-11-08','2025-10-24'</v>
      </c>
      <c r="S480" s="74">
        <f>db_emp[[#This Row],[NIP (UPDATE)]]</f>
        <v>211054</v>
      </c>
    </row>
    <row r="481" spans="2:19" hidden="1" x14ac:dyDescent="0.25">
      <c r="B481" s="75" t="s">
        <v>2413</v>
      </c>
      <c r="C481" s="75">
        <v>180426</v>
      </c>
      <c r="D481" s="74" t="s">
        <v>271</v>
      </c>
      <c r="E481" s="75" t="s">
        <v>1566</v>
      </c>
      <c r="F481" s="75" t="s">
        <v>1568</v>
      </c>
      <c r="G481" s="74" t="s">
        <v>1572</v>
      </c>
      <c r="H481" s="75" t="s">
        <v>870</v>
      </c>
      <c r="I481" s="74" t="s">
        <v>849</v>
      </c>
      <c r="J481" s="75" t="s">
        <v>314</v>
      </c>
      <c r="K481" s="75" t="s">
        <v>850</v>
      </c>
      <c r="L481" s="76">
        <v>43178</v>
      </c>
      <c r="M481" s="77">
        <f t="shared" ca="1" si="14"/>
        <v>45954</v>
      </c>
      <c r="N481" s="74" t="str">
        <f>_xlfn.IFNA(VLOOKUP(db_emp[[#This Row],[ID_DIV]],[1]!db_dpt[[Code_dpt]:[Departement]],2,0),"-")</f>
        <v>IT</v>
      </c>
      <c r="O481" s="74" t="str">
        <f>_xlfn.IFNA(VLOOKUP(db_emp[[#This Row],[ID_SDP]],[1]!db_div[[Code_div]:[Division]],2,0),"-")</f>
        <v>Application</v>
      </c>
      <c r="P481" s="74" t="str">
        <f>_xlfn.IFNA(VLOOKUP(db_emp[[#This Row],[Code_lvl]],[1]!db_lvl[[#All],[ID_level]:[Leveling Name]],2,0),"-")</f>
        <v>Supervisor</v>
      </c>
      <c r="Q481" s="74" t="str">
        <f>_xlfn.IFNA(VLOOKUP(db_emp[[#This Row],[Code_site]],[1]!db_site[[ID_Site]:[Url_maps]],3,0),"-")</f>
        <v>Unit - MOI</v>
      </c>
      <c r="R4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180426,'Hardi Wasisto','ITD','APPLS','IT Server Supervisor','LV09','Mall &amp; Cinema','M02','Employee','2018-03-19','2025-10-24'</v>
      </c>
      <c r="S481" s="74">
        <f>db_emp[[#This Row],[NIP (UPDATE)]]</f>
        <v>180426</v>
      </c>
    </row>
    <row r="482" spans="2:19" hidden="1" x14ac:dyDescent="0.25">
      <c r="B482" s="75" t="s">
        <v>2413</v>
      </c>
      <c r="C482" s="75">
        <v>150821</v>
      </c>
      <c r="D482" s="74" t="s">
        <v>266</v>
      </c>
      <c r="E482" s="75" t="s">
        <v>1566</v>
      </c>
      <c r="F482" s="75" t="s">
        <v>1573</v>
      </c>
      <c r="G482" s="74" t="s">
        <v>1574</v>
      </c>
      <c r="H482" s="75" t="s">
        <v>953</v>
      </c>
      <c r="I482" s="74" t="s">
        <v>856</v>
      </c>
      <c r="J482" s="75" t="s">
        <v>315</v>
      </c>
      <c r="K482" s="75" t="s">
        <v>850</v>
      </c>
      <c r="L482" s="76">
        <v>42275</v>
      </c>
      <c r="M482" s="77">
        <f t="shared" ca="1" si="14"/>
        <v>45954</v>
      </c>
      <c r="N482" s="74" t="str">
        <f>_xlfn.IFNA(VLOOKUP(db_emp[[#This Row],[ID_DIV]],[1]!db_dpt[[Code_dpt]:[Departement]],2,0),"-")</f>
        <v>IT</v>
      </c>
      <c r="O482" s="74" t="str">
        <f>_xlfn.IFNA(VLOOKUP(db_emp[[#This Row],[ID_SDP]],[1]!db_div[[Code_div]:[Division]],2,0),"-")</f>
        <v>Infrastructure</v>
      </c>
      <c r="P482" s="74" t="str">
        <f>_xlfn.IFNA(VLOOKUP(db_emp[[#This Row],[Code_lvl]],[1]!db_lvl[[#All],[ID_level]:[Leveling Name]],2,0),"-")</f>
        <v>Manager</v>
      </c>
      <c r="Q482" s="74" t="str">
        <f>_xlfn.IFNA(VLOOKUP(db_emp[[#This Row],[Code_site]],[1]!db_site[[ID_Site]:[Url_maps]],3,0),"-")</f>
        <v>Head Office - ASGO</v>
      </c>
      <c r="R4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150821,'Candra Segren','ITD','INFRA','IT Infrastructure Manager','LV05','HQ - All','O99','Employee','2015-09-28','2025-10-24'</v>
      </c>
      <c r="S482" s="74">
        <f>db_emp[[#This Row],[NIP (UPDATE)]]</f>
        <v>150821</v>
      </c>
    </row>
    <row r="483" spans="2:19" hidden="1" x14ac:dyDescent="0.25">
      <c r="B483" s="75" t="s">
        <v>2413</v>
      </c>
      <c r="C483" s="75">
        <v>241489</v>
      </c>
      <c r="D483" s="74" t="s">
        <v>270</v>
      </c>
      <c r="E483" s="75" t="s">
        <v>1566</v>
      </c>
      <c r="F483" s="75" t="s">
        <v>1573</v>
      </c>
      <c r="G483" s="74" t="s">
        <v>1575</v>
      </c>
      <c r="H483" s="75" t="s">
        <v>853</v>
      </c>
      <c r="I483" s="74" t="s">
        <v>856</v>
      </c>
      <c r="J483" s="75" t="s">
        <v>315</v>
      </c>
      <c r="K483" s="75" t="s">
        <v>850</v>
      </c>
      <c r="L483" s="76">
        <v>45523</v>
      </c>
      <c r="M483" s="77">
        <f t="shared" ca="1" si="14"/>
        <v>45954</v>
      </c>
      <c r="N483" s="74" t="str">
        <f>_xlfn.IFNA(VLOOKUP(db_emp[[#This Row],[ID_DIV]],[1]!db_dpt[[Code_dpt]:[Departement]],2,0),"-")</f>
        <v>IT</v>
      </c>
      <c r="O483" s="74" t="str">
        <f>_xlfn.IFNA(VLOOKUP(db_emp[[#This Row],[ID_SDP]],[1]!db_div[[Code_div]:[Division]],2,0),"-")</f>
        <v>Infrastructure</v>
      </c>
      <c r="P483" s="74" t="str">
        <f>_xlfn.IFNA(VLOOKUP(db_emp[[#This Row],[Code_lvl]],[1]!db_lvl[[#All],[ID_level]:[Leveling Name]],2,0),"-")</f>
        <v>Staff</v>
      </c>
      <c r="Q483" s="74" t="str">
        <f>_xlfn.IFNA(VLOOKUP(db_emp[[#This Row],[Code_site]],[1]!db_site[[ID_Site]:[Url_maps]],3,0),"-")</f>
        <v>Head Office - ASGO</v>
      </c>
      <c r="R4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241489,'Aditya Gustiyana','ITD','INFRA','IT Network Staff','LV12','HQ - All','O99','Employee','2024-08-19','2025-10-24'</v>
      </c>
      <c r="S483" s="74">
        <f>db_emp[[#This Row],[NIP (UPDATE)]]</f>
        <v>241489</v>
      </c>
    </row>
    <row r="484" spans="2:19" hidden="1" x14ac:dyDescent="0.25">
      <c r="B484" s="75" t="s">
        <v>2413</v>
      </c>
      <c r="C484" s="75">
        <v>220290</v>
      </c>
      <c r="D484" s="74" t="s">
        <v>269</v>
      </c>
      <c r="E484" s="75" t="s">
        <v>1566</v>
      </c>
      <c r="F484" s="75" t="s">
        <v>1573</v>
      </c>
      <c r="G484" s="74" t="s">
        <v>1576</v>
      </c>
      <c r="H484" s="75" t="s">
        <v>870</v>
      </c>
      <c r="I484" s="74" t="s">
        <v>856</v>
      </c>
      <c r="J484" s="75" t="s">
        <v>315</v>
      </c>
      <c r="K484" s="75" t="s">
        <v>850</v>
      </c>
      <c r="L484" s="76">
        <v>44621</v>
      </c>
      <c r="M484" s="77">
        <f t="shared" ca="1" si="14"/>
        <v>45954</v>
      </c>
      <c r="N484" s="74" t="str">
        <f>_xlfn.IFNA(VLOOKUP(db_emp[[#This Row],[ID_DIV]],[1]!db_dpt[[Code_dpt]:[Departement]],2,0),"-")</f>
        <v>IT</v>
      </c>
      <c r="O484" s="74" t="str">
        <f>_xlfn.IFNA(VLOOKUP(db_emp[[#This Row],[ID_SDP]],[1]!db_div[[Code_div]:[Division]],2,0),"-")</f>
        <v>Infrastructure</v>
      </c>
      <c r="P484" s="74" t="str">
        <f>_xlfn.IFNA(VLOOKUP(db_emp[[#This Row],[Code_lvl]],[1]!db_lvl[[#All],[ID_level]:[Leveling Name]],2,0),"-")</f>
        <v>Supervisor</v>
      </c>
      <c r="Q484" s="74" t="str">
        <f>_xlfn.IFNA(VLOOKUP(db_emp[[#This Row],[Code_site]],[1]!db_site[[ID_Site]:[Url_maps]],3,0),"-")</f>
        <v>Head Office - ASGO</v>
      </c>
      <c r="R4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220290,'Albin Patu Putra Wangsa','ITD','INFRA','IT Network Supervisor','LV09','HQ - All','O99','Employee','2022-03-01','2025-10-24'</v>
      </c>
      <c r="S484" s="74">
        <f>db_emp[[#This Row],[NIP (UPDATE)]]</f>
        <v>220290</v>
      </c>
    </row>
    <row r="485" spans="2:19" hidden="1" x14ac:dyDescent="0.25">
      <c r="B485" s="75" t="s">
        <v>2413</v>
      </c>
      <c r="C485" s="75">
        <v>100822</v>
      </c>
      <c r="D485" s="74" t="s">
        <v>273</v>
      </c>
      <c r="E485" s="75" t="s">
        <v>1566</v>
      </c>
      <c r="F485" s="75" t="s">
        <v>1577</v>
      </c>
      <c r="G485" s="74" t="s">
        <v>1578</v>
      </c>
      <c r="H485" s="75" t="s">
        <v>953</v>
      </c>
      <c r="I485" s="74" t="s">
        <v>856</v>
      </c>
      <c r="J485" s="75" t="s">
        <v>315</v>
      </c>
      <c r="K485" s="75" t="s">
        <v>850</v>
      </c>
      <c r="L485" s="76">
        <v>38498</v>
      </c>
      <c r="M485" s="77">
        <f t="shared" ca="1" si="14"/>
        <v>45954</v>
      </c>
      <c r="N485" s="74" t="str">
        <f>_xlfn.IFNA(VLOOKUP(db_emp[[#This Row],[ID_DIV]],[1]!db_dpt[[Code_dpt]:[Departement]],2,0),"-")</f>
        <v>IT</v>
      </c>
      <c r="O485" s="74" t="str">
        <f>_xlfn.IFNA(VLOOKUP(db_emp[[#This Row],[ID_SDP]],[1]!db_div[[Code_div]:[Division]],2,0),"-")</f>
        <v>Operation &amp; Project</v>
      </c>
      <c r="P485" s="74" t="str">
        <f>_xlfn.IFNA(VLOOKUP(db_emp[[#This Row],[Code_lvl]],[1]!db_lvl[[#All],[ID_level]:[Leveling Name]],2,0),"-")</f>
        <v>Manager</v>
      </c>
      <c r="Q485" s="74" t="str">
        <f>_xlfn.IFNA(VLOOKUP(db_emp[[#This Row],[Code_site]],[1]!db_site[[ID_Site]:[Url_maps]],3,0),"-")</f>
        <v>Head Office - ASGO</v>
      </c>
      <c r="R4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100822,'Johari.','ITD','OPRPJ','IT Operation &amp; Project Manager','LV05','HQ - All','O99','Employee','2005-05-26','2025-10-24'</v>
      </c>
      <c r="S485" s="74">
        <f>db_emp[[#This Row],[NIP (UPDATE)]]</f>
        <v>100822</v>
      </c>
    </row>
    <row r="486" spans="2:19" hidden="1" x14ac:dyDescent="0.25">
      <c r="B486" s="75" t="s">
        <v>2413</v>
      </c>
      <c r="C486" s="75">
        <v>240287</v>
      </c>
      <c r="D486" s="74" t="s">
        <v>260</v>
      </c>
      <c r="E486" s="75" t="s">
        <v>1566</v>
      </c>
      <c r="F486" s="75" t="s">
        <v>971</v>
      </c>
      <c r="G486" s="74" t="s">
        <v>1579</v>
      </c>
      <c r="H486" s="75" t="s">
        <v>973</v>
      </c>
      <c r="I486" s="74" t="s">
        <v>856</v>
      </c>
      <c r="J486" s="75" t="s">
        <v>315</v>
      </c>
      <c r="K486" s="75" t="s">
        <v>850</v>
      </c>
      <c r="L486" s="76">
        <v>45334</v>
      </c>
      <c r="M486" s="77">
        <f t="shared" ca="1" si="14"/>
        <v>45954</v>
      </c>
      <c r="N486" s="74" t="str">
        <f>_xlfn.IFNA(VLOOKUP(db_emp[[#This Row],[ID_DIV]],[1]!db_dpt[[Code_dpt]:[Departement]],2,0),"-")</f>
        <v>IT</v>
      </c>
      <c r="O486" s="74" t="str">
        <f>_xlfn.IFNA(VLOOKUP(db_emp[[#This Row],[ID_SDP]],[1]!db_div[[Code_div]:[Division]],2,0),"-")</f>
        <v>General Head Departement</v>
      </c>
      <c r="P486" s="74" t="str">
        <f>_xlfn.IFNA(VLOOKUP(db_emp[[#This Row],[Code_lvl]],[1]!db_lvl[[#All],[ID_level]:[Leveling Name]],2,0),"-")</f>
        <v>General Manager</v>
      </c>
      <c r="Q486" s="74" t="str">
        <f>_xlfn.IFNA(VLOOKUP(db_emp[[#This Row],[Code_site]],[1]!db_site[[ID_Site]:[Url_maps]],3,0),"-")</f>
        <v>Head Office - ASGO</v>
      </c>
      <c r="R4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240287,'Johnson Lopulisa','ITD','GNRAL','IT Operation General Manager','LV02','HQ - All','O99','Employee','2024-02-12','2025-10-24'</v>
      </c>
      <c r="S486" s="74">
        <f>db_emp[[#This Row],[NIP (UPDATE)]]</f>
        <v>240287</v>
      </c>
    </row>
    <row r="487" spans="2:19" hidden="1" x14ac:dyDescent="0.25">
      <c r="B487" s="75" t="s">
        <v>2413</v>
      </c>
      <c r="C487" s="75">
        <v>231399</v>
      </c>
      <c r="D487" s="74" t="s">
        <v>275</v>
      </c>
      <c r="E487" s="75" t="s">
        <v>1566</v>
      </c>
      <c r="F487" s="75" t="s">
        <v>1577</v>
      </c>
      <c r="G487" s="74" t="s">
        <v>1580</v>
      </c>
      <c r="H487" s="75" t="s">
        <v>853</v>
      </c>
      <c r="I487" s="74" t="s">
        <v>856</v>
      </c>
      <c r="J487" s="75" t="s">
        <v>315</v>
      </c>
      <c r="K487" s="75" t="s">
        <v>850</v>
      </c>
      <c r="L487" s="76">
        <v>45152</v>
      </c>
      <c r="M487" s="77">
        <f t="shared" ca="1" si="14"/>
        <v>45954</v>
      </c>
      <c r="N487" s="74" t="str">
        <f>_xlfn.IFNA(VLOOKUP(db_emp[[#This Row],[ID_DIV]],[1]!db_dpt[[Code_dpt]:[Departement]],2,0),"-")</f>
        <v>IT</v>
      </c>
      <c r="O487" s="74" t="str">
        <f>_xlfn.IFNA(VLOOKUP(db_emp[[#This Row],[ID_SDP]],[1]!db_div[[Code_div]:[Division]],2,0),"-")</f>
        <v>Operation &amp; Project</v>
      </c>
      <c r="P487" s="74" t="str">
        <f>_xlfn.IFNA(VLOOKUP(db_emp[[#This Row],[Code_lvl]],[1]!db_lvl[[#All],[ID_level]:[Leveling Name]],2,0),"-")</f>
        <v>Staff</v>
      </c>
      <c r="Q487" s="74" t="str">
        <f>_xlfn.IFNA(VLOOKUP(db_emp[[#This Row],[Code_site]],[1]!db_site[[ID_Site]:[Url_maps]],3,0),"-")</f>
        <v>Head Office - ASGO</v>
      </c>
      <c r="R4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231399,'Fransiskus Simson','ITD','OPRPJ','IT Operation Staff','LV12','HQ - All','O99','Employee','2023-08-14','2025-10-24'</v>
      </c>
      <c r="S487" s="74">
        <f>db_emp[[#This Row],[NIP (UPDATE)]]</f>
        <v>231399</v>
      </c>
    </row>
    <row r="488" spans="2:19" hidden="1" x14ac:dyDescent="0.25">
      <c r="B488" s="75" t="s">
        <v>2413</v>
      </c>
      <c r="C488" s="75">
        <v>240025</v>
      </c>
      <c r="D488" s="74" t="s">
        <v>276</v>
      </c>
      <c r="E488" s="75" t="s">
        <v>1566</v>
      </c>
      <c r="F488" s="75" t="s">
        <v>1577</v>
      </c>
      <c r="G488" s="74" t="s">
        <v>1580</v>
      </c>
      <c r="H488" s="75" t="s">
        <v>853</v>
      </c>
      <c r="I488" s="74" t="s">
        <v>856</v>
      </c>
      <c r="J488" s="75" t="s">
        <v>315</v>
      </c>
      <c r="K488" s="75" t="s">
        <v>850</v>
      </c>
      <c r="L488" s="76">
        <v>45299</v>
      </c>
      <c r="M488" s="77">
        <f t="shared" ca="1" si="14"/>
        <v>45954</v>
      </c>
      <c r="N488" s="74" t="str">
        <f>_xlfn.IFNA(VLOOKUP(db_emp[[#This Row],[ID_DIV]],[1]!db_dpt[[Code_dpt]:[Departement]],2,0),"-")</f>
        <v>IT</v>
      </c>
      <c r="O488" s="74" t="str">
        <f>_xlfn.IFNA(VLOOKUP(db_emp[[#This Row],[ID_SDP]],[1]!db_div[[Code_div]:[Division]],2,0),"-")</f>
        <v>Operation &amp; Project</v>
      </c>
      <c r="P488" s="74" t="str">
        <f>_xlfn.IFNA(VLOOKUP(db_emp[[#This Row],[Code_lvl]],[1]!db_lvl[[#All],[ID_level]:[Leveling Name]],2,0),"-")</f>
        <v>Staff</v>
      </c>
      <c r="Q488" s="74" t="str">
        <f>_xlfn.IFNA(VLOOKUP(db_emp[[#This Row],[Code_site]],[1]!db_site[[ID_Site]:[Url_maps]],3,0),"-")</f>
        <v>Head Office - ASGO</v>
      </c>
      <c r="R4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240025,'Hendry Prasetyo','ITD','OPRPJ','IT Operation Staff','LV12','HQ - All','O99','Employee','2024-01-08','2025-10-24'</v>
      </c>
      <c r="S488" s="74">
        <f>db_emp[[#This Row],[NIP (UPDATE)]]</f>
        <v>240025</v>
      </c>
    </row>
    <row r="489" spans="2:19" hidden="1" x14ac:dyDescent="0.25">
      <c r="B489" s="75" t="s">
        <v>2413</v>
      </c>
      <c r="C489" s="75">
        <v>241681</v>
      </c>
      <c r="D489" s="74" t="s">
        <v>277</v>
      </c>
      <c r="E489" s="75" t="s">
        <v>1566</v>
      </c>
      <c r="F489" s="75" t="s">
        <v>1577</v>
      </c>
      <c r="G489" s="74" t="s">
        <v>1580</v>
      </c>
      <c r="H489" s="75" t="s">
        <v>853</v>
      </c>
      <c r="I489" s="74" t="s">
        <v>856</v>
      </c>
      <c r="J489" s="75" t="s">
        <v>315</v>
      </c>
      <c r="K489" s="75" t="s">
        <v>850</v>
      </c>
      <c r="L489" s="76">
        <v>45552</v>
      </c>
      <c r="M489" s="77">
        <f t="shared" ca="1" si="14"/>
        <v>45954</v>
      </c>
      <c r="N489" s="74" t="str">
        <f>_xlfn.IFNA(VLOOKUP(db_emp[[#This Row],[ID_DIV]],[1]!db_dpt[[Code_dpt]:[Departement]],2,0),"-")</f>
        <v>IT</v>
      </c>
      <c r="O489" s="74" t="str">
        <f>_xlfn.IFNA(VLOOKUP(db_emp[[#This Row],[ID_SDP]],[1]!db_div[[Code_div]:[Division]],2,0),"-")</f>
        <v>Operation &amp; Project</v>
      </c>
      <c r="P489" s="74" t="str">
        <f>_xlfn.IFNA(VLOOKUP(db_emp[[#This Row],[Code_lvl]],[1]!db_lvl[[#All],[ID_level]:[Leveling Name]],2,0),"-")</f>
        <v>Staff</v>
      </c>
      <c r="Q489" s="74" t="str">
        <f>_xlfn.IFNA(VLOOKUP(db_emp[[#This Row],[Code_site]],[1]!db_site[[ID_Site]:[Url_maps]],3,0),"-")</f>
        <v>Head Office - ASGO</v>
      </c>
      <c r="R4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241681,'Irfan Suparman','ITD','OPRPJ','IT Operation Staff','LV12','HQ - All','O99','Employee','2024-09-17','2025-10-24'</v>
      </c>
      <c r="S489" s="74">
        <f>db_emp[[#This Row],[NIP (UPDATE)]]</f>
        <v>241681</v>
      </c>
    </row>
    <row r="490" spans="2:19" hidden="1" x14ac:dyDescent="0.25">
      <c r="B490" s="75" t="s">
        <v>2413</v>
      </c>
      <c r="C490" s="75">
        <v>241815</v>
      </c>
      <c r="D490" s="74" t="s">
        <v>278</v>
      </c>
      <c r="E490" s="75" t="s">
        <v>1566</v>
      </c>
      <c r="F490" s="75" t="s">
        <v>1577</v>
      </c>
      <c r="G490" s="74" t="s">
        <v>1580</v>
      </c>
      <c r="H490" s="75" t="s">
        <v>853</v>
      </c>
      <c r="I490" s="74" t="s">
        <v>856</v>
      </c>
      <c r="J490" s="75" t="s">
        <v>315</v>
      </c>
      <c r="K490" s="75" t="s">
        <v>850</v>
      </c>
      <c r="L490" s="76">
        <v>45572</v>
      </c>
      <c r="M490" s="77">
        <f t="shared" ca="1" si="14"/>
        <v>45954</v>
      </c>
      <c r="N490" s="74" t="str">
        <f>_xlfn.IFNA(VLOOKUP(db_emp[[#This Row],[ID_DIV]],[1]!db_dpt[[Code_dpt]:[Departement]],2,0),"-")</f>
        <v>IT</v>
      </c>
      <c r="O490" s="74" t="str">
        <f>_xlfn.IFNA(VLOOKUP(db_emp[[#This Row],[ID_SDP]],[1]!db_div[[Code_div]:[Division]],2,0),"-")</f>
        <v>Operation &amp; Project</v>
      </c>
      <c r="P490" s="74" t="str">
        <f>_xlfn.IFNA(VLOOKUP(db_emp[[#This Row],[Code_lvl]],[1]!db_lvl[[#All],[ID_level]:[Leveling Name]],2,0),"-")</f>
        <v>Staff</v>
      </c>
      <c r="Q490" s="74" t="str">
        <f>_xlfn.IFNA(VLOOKUP(db_emp[[#This Row],[Code_site]],[1]!db_site[[ID_Site]:[Url_maps]],3,0),"-")</f>
        <v>Head Office - ASGO</v>
      </c>
      <c r="R4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241815,'Patrick Lay','ITD','OPRPJ','IT Operation Staff','LV12','HQ - All','O99','Employee','2024-10-07','2025-10-24'</v>
      </c>
      <c r="S490" s="74">
        <f>db_emp[[#This Row],[NIP (UPDATE)]]</f>
        <v>241815</v>
      </c>
    </row>
    <row r="491" spans="2:19" hidden="1" x14ac:dyDescent="0.25">
      <c r="B491" s="75" t="s">
        <v>2413</v>
      </c>
      <c r="C491" s="75">
        <v>250501</v>
      </c>
      <c r="D491" s="74" t="s">
        <v>279</v>
      </c>
      <c r="E491" s="75" t="s">
        <v>1566</v>
      </c>
      <c r="F491" s="75" t="s">
        <v>1577</v>
      </c>
      <c r="G491" s="74" t="s">
        <v>1580</v>
      </c>
      <c r="H491" s="75" t="s">
        <v>853</v>
      </c>
      <c r="I491" s="74" t="s">
        <v>856</v>
      </c>
      <c r="J491" s="75" t="s">
        <v>315</v>
      </c>
      <c r="K491" s="75" t="s">
        <v>850</v>
      </c>
      <c r="L491" s="76"/>
      <c r="M491" s="77">
        <f t="shared" ca="1" si="14"/>
        <v>45954</v>
      </c>
      <c r="N491" s="74" t="str">
        <f>_xlfn.IFNA(VLOOKUP(db_emp[[#This Row],[ID_DIV]],[1]!db_dpt[[Code_dpt]:[Departement]],2,0),"-")</f>
        <v>IT</v>
      </c>
      <c r="O491" s="74" t="str">
        <f>_xlfn.IFNA(VLOOKUP(db_emp[[#This Row],[ID_SDP]],[1]!db_div[[Code_div]:[Division]],2,0),"-")</f>
        <v>Operation &amp; Project</v>
      </c>
      <c r="P491" s="74" t="str">
        <f>_xlfn.IFNA(VLOOKUP(db_emp[[#This Row],[Code_lvl]],[1]!db_lvl[[#All],[ID_level]:[Leveling Name]],2,0),"-")</f>
        <v>Staff</v>
      </c>
      <c r="Q491" s="74" t="str">
        <f>_xlfn.IFNA(VLOOKUP(db_emp[[#This Row],[Code_site]],[1]!db_site[[ID_Site]:[Url_maps]],3,0),"-")</f>
        <v>Head Office - ASGO</v>
      </c>
      <c r="R4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250501,'Toyyib Abdillah','ITD','OPRPJ','IT Operation Staff','LV12','HQ - All','O99','Employee','1900-01-00','2025-10-24'</v>
      </c>
      <c r="S491" s="74">
        <f>db_emp[[#This Row],[NIP (UPDATE)]]</f>
        <v>250501</v>
      </c>
    </row>
    <row r="492" spans="2:19" hidden="1" x14ac:dyDescent="0.25">
      <c r="B492" s="75" t="s">
        <v>2413</v>
      </c>
      <c r="C492" s="75">
        <v>221489</v>
      </c>
      <c r="D492" s="74" t="s">
        <v>274</v>
      </c>
      <c r="E492" s="75" t="s">
        <v>1566</v>
      </c>
      <c r="F492" s="75" t="s">
        <v>1577</v>
      </c>
      <c r="G492" s="74" t="s">
        <v>1581</v>
      </c>
      <c r="H492" s="75" t="s">
        <v>870</v>
      </c>
      <c r="I492" s="74" t="s">
        <v>856</v>
      </c>
      <c r="J492" s="75" t="s">
        <v>315</v>
      </c>
      <c r="K492" s="75" t="s">
        <v>850</v>
      </c>
      <c r="L492" s="76">
        <v>44837</v>
      </c>
      <c r="M492" s="77">
        <f t="shared" ca="1" si="14"/>
        <v>45954</v>
      </c>
      <c r="N492" s="74" t="str">
        <f>_xlfn.IFNA(VLOOKUP(db_emp[[#This Row],[ID_DIV]],[1]!db_dpt[[Code_dpt]:[Departement]],2,0),"-")</f>
        <v>IT</v>
      </c>
      <c r="O492" s="74" t="str">
        <f>_xlfn.IFNA(VLOOKUP(db_emp[[#This Row],[ID_SDP]],[1]!db_div[[Code_div]:[Division]],2,0),"-")</f>
        <v>Operation &amp; Project</v>
      </c>
      <c r="P492" s="74" t="str">
        <f>_xlfn.IFNA(VLOOKUP(db_emp[[#This Row],[Code_lvl]],[1]!db_lvl[[#All],[ID_level]:[Leveling Name]],2,0),"-")</f>
        <v>Supervisor</v>
      </c>
      <c r="Q492" s="74" t="str">
        <f>_xlfn.IFNA(VLOOKUP(db_emp[[#This Row],[Code_site]],[1]!db_site[[ID_Site]:[Url_maps]],3,0),"-")</f>
        <v>Head Office - ASGO</v>
      </c>
      <c r="R4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221489,'Degia Parlopa','ITD','OPRPJ','IT Operation Supervisor','LV09','HQ - All','O99','Employee','2022-10-03','2025-10-24'</v>
      </c>
      <c r="S492" s="74">
        <f>db_emp[[#This Row],[NIP (UPDATE)]]</f>
        <v>221489</v>
      </c>
    </row>
    <row r="493" spans="2:19" hidden="1" x14ac:dyDescent="0.25">
      <c r="B493" s="75" t="s">
        <v>2413</v>
      </c>
      <c r="C493" s="75">
        <v>232054</v>
      </c>
      <c r="D493" s="74" t="s">
        <v>280</v>
      </c>
      <c r="E493" s="75" t="s">
        <v>1566</v>
      </c>
      <c r="F493" s="75" t="s">
        <v>1577</v>
      </c>
      <c r="G493" s="74" t="s">
        <v>1582</v>
      </c>
      <c r="H493" s="75" t="s">
        <v>853</v>
      </c>
      <c r="I493" s="74" t="s">
        <v>849</v>
      </c>
      <c r="J493" s="75" t="s">
        <v>315</v>
      </c>
      <c r="K493" s="75" t="s">
        <v>850</v>
      </c>
      <c r="L493" s="76">
        <v>45243</v>
      </c>
      <c r="M493" s="77">
        <f t="shared" ca="1" si="14"/>
        <v>45954</v>
      </c>
      <c r="N493" s="74" t="str">
        <f>_xlfn.IFNA(VLOOKUP(db_emp[[#This Row],[ID_DIV]],[1]!db_dpt[[Code_dpt]:[Departement]],2,0),"-")</f>
        <v>IT</v>
      </c>
      <c r="O493" s="74" t="str">
        <f>_xlfn.IFNA(VLOOKUP(db_emp[[#This Row],[ID_SDP]],[1]!db_div[[Code_div]:[Division]],2,0),"-")</f>
        <v>Operation &amp; Project</v>
      </c>
      <c r="P493" s="74" t="str">
        <f>_xlfn.IFNA(VLOOKUP(db_emp[[#This Row],[Code_lvl]],[1]!db_lvl[[#All],[ID_level]:[Leveling Name]],2,0),"-")</f>
        <v>Staff</v>
      </c>
      <c r="Q493" s="74" t="str">
        <f>_xlfn.IFNA(VLOOKUP(db_emp[[#This Row],[Code_site]],[1]!db_site[[ID_Site]:[Url_maps]],3,0),"-")</f>
        <v>Head Office - ASGO</v>
      </c>
      <c r="R4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232054,'Moh. Gagas Sanda Ramadhan','ITD','OPRPJ','IT Project Staff','LV12','Mall &amp; Cinema','O99','Employee','2023-11-13','2025-10-24'</v>
      </c>
      <c r="S493" s="74">
        <f>db_emp[[#This Row],[NIP (UPDATE)]]</f>
        <v>232054</v>
      </c>
    </row>
    <row r="494" spans="2:19" hidden="1" x14ac:dyDescent="0.25">
      <c r="B494" s="75" t="s">
        <v>2413</v>
      </c>
      <c r="C494" s="75">
        <v>221284</v>
      </c>
      <c r="D494" s="74" t="s">
        <v>272</v>
      </c>
      <c r="E494" s="75" t="s">
        <v>1566</v>
      </c>
      <c r="F494" s="75" t="s">
        <v>1573</v>
      </c>
      <c r="G494" s="74" t="s">
        <v>1583</v>
      </c>
      <c r="H494" s="75" t="s">
        <v>853</v>
      </c>
      <c r="I494" s="74" t="s">
        <v>856</v>
      </c>
      <c r="J494" s="75" t="s">
        <v>315</v>
      </c>
      <c r="K494" s="75" t="s">
        <v>850</v>
      </c>
      <c r="L494" s="76">
        <v>44805</v>
      </c>
      <c r="M494" s="77">
        <f t="shared" ca="1" si="14"/>
        <v>45954</v>
      </c>
      <c r="N494" s="74" t="str">
        <f>_xlfn.IFNA(VLOOKUP(db_emp[[#This Row],[ID_DIV]],[1]!db_dpt[[Code_dpt]:[Departement]],2,0),"-")</f>
        <v>IT</v>
      </c>
      <c r="O494" s="74" t="str">
        <f>_xlfn.IFNA(VLOOKUP(db_emp[[#This Row],[ID_SDP]],[1]!db_div[[Code_div]:[Division]],2,0),"-")</f>
        <v>Infrastructure</v>
      </c>
      <c r="P494" s="74" t="str">
        <f>_xlfn.IFNA(VLOOKUP(db_emp[[#This Row],[Code_lvl]],[1]!db_lvl[[#All],[ID_level]:[Leveling Name]],2,0),"-")</f>
        <v>Staff</v>
      </c>
      <c r="Q494" s="74" t="str">
        <f>_xlfn.IFNA(VLOOKUP(db_emp[[#This Row],[Code_site]],[1]!db_site[[ID_Site]:[Url_maps]],3,0),"-")</f>
        <v>Head Office - ASGO</v>
      </c>
      <c r="R4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221284,'Aldo Jeffry F Wowor','ITD','INFRA','IT Server Staff','LV12','HQ - All','O99','Employee','2022-09-01','2025-10-24'</v>
      </c>
      <c r="S494" s="74">
        <f>db_emp[[#This Row],[NIP (UPDATE)]]</f>
        <v>221284</v>
      </c>
    </row>
    <row r="495" spans="2:19" hidden="1" x14ac:dyDescent="0.25">
      <c r="B495" s="75">
        <v>252</v>
      </c>
      <c r="C495" s="75">
        <v>241354</v>
      </c>
      <c r="D495" s="74" t="s">
        <v>1584</v>
      </c>
      <c r="E495" s="75" t="s">
        <v>1018</v>
      </c>
      <c r="F495" s="75" t="s">
        <v>1585</v>
      </c>
      <c r="G495" s="74" t="s">
        <v>1586</v>
      </c>
      <c r="H495" s="75" t="s">
        <v>870</v>
      </c>
      <c r="I495" s="74" t="s">
        <v>849</v>
      </c>
      <c r="J495" s="75" t="s">
        <v>314</v>
      </c>
      <c r="K495" s="75" t="s">
        <v>850</v>
      </c>
      <c r="L495" s="76">
        <v>45502</v>
      </c>
      <c r="M495" s="77">
        <f t="shared" ca="1" si="14"/>
        <v>45954</v>
      </c>
      <c r="N495" s="74" t="str">
        <f>_xlfn.IFNA(VLOOKUP(db_emp[[#This Row],[ID_DIV]],[1]!db_dpt[[Code_dpt]:[Departement]],2,0),"-")</f>
        <v>Operational</v>
      </c>
      <c r="O495" s="74" t="str">
        <f>_xlfn.IFNA(VLOOKUP(db_emp[[#This Row],[ID_SDP]],[1]!db_div[[Code_div]:[Division]],2,0),"-")</f>
        <v>Landscape</v>
      </c>
      <c r="P495" s="74" t="str">
        <f>_xlfn.IFNA(VLOOKUP(db_emp[[#This Row],[Code_lvl]],[1]!db_lvl[[#All],[ID_level]:[Leveling Name]],2,0),"-")</f>
        <v>Supervisor</v>
      </c>
      <c r="Q495" s="74" t="str">
        <f>_xlfn.IFNA(VLOOKUP(db_emp[[#This Row],[Code_site]],[1]!db_site[[ID_Site]:[Url_maps]],3,0),"-")</f>
        <v>Unit - MOI</v>
      </c>
      <c r="R4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241354,'Iklima Nurhanifah','OPR','LANDS','Landscape Supervisor','LV09','Mall &amp; Cinema','M02','Employee','2024-07-29','2025-10-24'</v>
      </c>
      <c r="S495" s="74">
        <f>db_emp[[#This Row],[NIP (UPDATE)]]</f>
        <v>241354</v>
      </c>
    </row>
    <row r="496" spans="2:19" hidden="1" x14ac:dyDescent="0.25">
      <c r="B496" s="75">
        <v>334</v>
      </c>
      <c r="C496" s="75">
        <v>241334</v>
      </c>
      <c r="D496" s="74" t="s">
        <v>1587</v>
      </c>
      <c r="E496" s="75" t="s">
        <v>1018</v>
      </c>
      <c r="F496" s="75" t="s">
        <v>1585</v>
      </c>
      <c r="G496" s="74" t="s">
        <v>1586</v>
      </c>
      <c r="H496" s="75" t="s">
        <v>870</v>
      </c>
      <c r="I496" s="74" t="s">
        <v>849</v>
      </c>
      <c r="J496" s="75" t="s">
        <v>484</v>
      </c>
      <c r="K496" s="75" t="s">
        <v>850</v>
      </c>
      <c r="L496" s="76">
        <v>45495</v>
      </c>
      <c r="M496" s="77">
        <f t="shared" ca="1" si="14"/>
        <v>45954</v>
      </c>
      <c r="N496" s="74" t="str">
        <f>_xlfn.IFNA(VLOOKUP(db_emp[[#This Row],[ID_DIV]],[1]!db_dpt[[Code_dpt]:[Departement]],2,0),"-")</f>
        <v>Operational</v>
      </c>
      <c r="O496" s="74" t="str">
        <f>_xlfn.IFNA(VLOOKUP(db_emp[[#This Row],[ID_SDP]],[1]!db_div[[Code_div]:[Division]],2,0),"-")</f>
        <v>Landscape</v>
      </c>
      <c r="P496" s="74" t="str">
        <f>_xlfn.IFNA(VLOOKUP(db_emp[[#This Row],[Code_lvl]],[1]!db_lvl[[#All],[ID_level]:[Leveling Name]],2,0),"-")</f>
        <v>Supervisor</v>
      </c>
      <c r="Q496" s="74" t="str">
        <f>_xlfn.IFNA(VLOOKUP(db_emp[[#This Row],[Code_site]],[1]!db_site[[ID_Site]:[Url_maps]],3,0),"-")</f>
        <v>Unit - PIK Avenue</v>
      </c>
      <c r="R4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241334,'Monica Theresia','OPR','LANDS','Landscape Supervisor','LV09','Mall &amp; Cinema','M01','Employee','2024-07-22','2025-10-24'</v>
      </c>
      <c r="S496" s="74">
        <f>db_emp[[#This Row],[NIP (UPDATE)]]</f>
        <v>241334</v>
      </c>
    </row>
    <row r="497" spans="2:19" hidden="1" x14ac:dyDescent="0.25">
      <c r="B497" s="75">
        <v>366</v>
      </c>
      <c r="C497" s="75">
        <v>242069</v>
      </c>
      <c r="D497" s="74" t="s">
        <v>1588</v>
      </c>
      <c r="E497" s="75" t="s">
        <v>1018</v>
      </c>
      <c r="F497" s="75" t="s">
        <v>1585</v>
      </c>
      <c r="G497" s="74" t="s">
        <v>1586</v>
      </c>
      <c r="H497" s="75" t="s">
        <v>870</v>
      </c>
      <c r="I497" s="74" t="s">
        <v>486</v>
      </c>
      <c r="J497" s="75" t="s">
        <v>492</v>
      </c>
      <c r="K497" s="75" t="s">
        <v>850</v>
      </c>
      <c r="L497" s="76">
        <v>45614</v>
      </c>
      <c r="M497" s="77">
        <f t="shared" ca="1" si="14"/>
        <v>45954</v>
      </c>
      <c r="N497" s="74" t="str">
        <f>_xlfn.IFNA(VLOOKUP(db_emp[[#This Row],[ID_DIV]],[1]!db_dpt[[Code_dpt]:[Departement]],2,0),"-")</f>
        <v>Operational</v>
      </c>
      <c r="O497" s="74" t="str">
        <f>_xlfn.IFNA(VLOOKUP(db_emp[[#This Row],[ID_SDP]],[1]!db_div[[Code_div]:[Division]],2,0),"-")</f>
        <v>Landscape</v>
      </c>
      <c r="P497" s="74" t="str">
        <f>_xlfn.IFNA(VLOOKUP(db_emp[[#This Row],[Code_lvl]],[1]!db_lvl[[#All],[ID_level]:[Leveling Name]],2,0),"-")</f>
        <v>Supervisor</v>
      </c>
      <c r="Q497" s="74" t="str">
        <f>_xlfn.IFNA(VLOOKUP(db_emp[[#This Row],[Code_site]],[1]!db_site[[ID_Site]:[Url_maps]],3,0),"-")</f>
        <v>Unit - Hublife</v>
      </c>
      <c r="R4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242069,'Inesia Melati','OPR','LANDS','Landscape Supervisor','LV09','Mall','M05','Employee','2024-11-18','2025-10-24'</v>
      </c>
      <c r="S497" s="74">
        <f>db_emp[[#This Row],[NIP (UPDATE)]]</f>
        <v>242069</v>
      </c>
    </row>
    <row r="498" spans="2:19" hidden="1" x14ac:dyDescent="0.25">
      <c r="B498" s="75">
        <v>409</v>
      </c>
      <c r="C498" s="75">
        <v>240172</v>
      </c>
      <c r="D498" s="74" t="s">
        <v>1589</v>
      </c>
      <c r="E498" s="75" t="s">
        <v>1018</v>
      </c>
      <c r="F498" s="75" t="s">
        <v>1585</v>
      </c>
      <c r="G498" s="74" t="s">
        <v>1586</v>
      </c>
      <c r="H498" s="75" t="s">
        <v>870</v>
      </c>
      <c r="I498" s="74" t="s">
        <v>849</v>
      </c>
      <c r="J498" s="75" t="s">
        <v>316</v>
      </c>
      <c r="K498" s="75" t="s">
        <v>850</v>
      </c>
      <c r="L498" s="76">
        <v>45323</v>
      </c>
      <c r="M498" s="77">
        <f t="shared" ca="1" si="14"/>
        <v>45954</v>
      </c>
      <c r="N498" s="74" t="str">
        <f>_xlfn.IFNA(VLOOKUP(db_emp[[#This Row],[ID_DIV]],[1]!db_dpt[[Code_dpt]:[Departement]],2,0),"-")</f>
        <v>Operational</v>
      </c>
      <c r="O498" s="74" t="str">
        <f>_xlfn.IFNA(VLOOKUP(db_emp[[#This Row],[ID_SDP]],[1]!db_div[[Code_div]:[Division]],2,0),"-")</f>
        <v>Landscape</v>
      </c>
      <c r="P498" s="74" t="str">
        <f>_xlfn.IFNA(VLOOKUP(db_emp[[#This Row],[Code_lvl]],[1]!db_lvl[[#All],[ID_level]:[Leveling Name]],2,0),"-")</f>
        <v>Supervisor</v>
      </c>
      <c r="Q498" s="74" t="str">
        <f>_xlfn.IFNA(VLOOKUP(db_emp[[#This Row],[Code_site]],[1]!db_site[[ID_Site]:[Url_maps]],3,0),"-")</f>
        <v>Unit - GGP</v>
      </c>
      <c r="R4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240172,'Erilia Oktriana','OPR','LANDS','Landscape Supervisor','LV09','Mall &amp; Cinema','M03','Employee','2024-02-01','2025-10-24'</v>
      </c>
      <c r="S498" s="74">
        <f>db_emp[[#This Row],[NIP (UPDATE)]]</f>
        <v>240172</v>
      </c>
    </row>
    <row r="499" spans="2:19" hidden="1" x14ac:dyDescent="0.25">
      <c r="B499" s="75">
        <v>449</v>
      </c>
      <c r="C499" s="75">
        <v>221363</v>
      </c>
      <c r="D499" s="74" t="s">
        <v>1590</v>
      </c>
      <c r="E499" s="75" t="s">
        <v>1018</v>
      </c>
      <c r="F499" s="75" t="s">
        <v>1585</v>
      </c>
      <c r="G499" s="74" t="s">
        <v>1586</v>
      </c>
      <c r="H499" s="75" t="s">
        <v>870</v>
      </c>
      <c r="I499" s="74" t="s">
        <v>849</v>
      </c>
      <c r="J499" s="75" t="s">
        <v>490</v>
      </c>
      <c r="K499" s="75" t="s">
        <v>850</v>
      </c>
      <c r="L499" s="76">
        <v>44816</v>
      </c>
      <c r="M499" s="77">
        <f t="shared" ca="1" si="14"/>
        <v>45954</v>
      </c>
      <c r="N499" s="74" t="str">
        <f>_xlfn.IFNA(VLOOKUP(db_emp[[#This Row],[ID_DIV]],[1]!db_dpt[[Code_dpt]:[Departement]],2,0),"-")</f>
        <v>Operational</v>
      </c>
      <c r="O499" s="74" t="str">
        <f>_xlfn.IFNA(VLOOKUP(db_emp[[#This Row],[ID_SDP]],[1]!db_div[[Code_div]:[Division]],2,0),"-")</f>
        <v>Landscape</v>
      </c>
      <c r="P499" s="74" t="str">
        <f>_xlfn.IFNA(VLOOKUP(db_emp[[#This Row],[Code_lvl]],[1]!db_lvl[[#All],[ID_level]:[Leveling Name]],2,0),"-")</f>
        <v>Supervisor</v>
      </c>
      <c r="Q499" s="74" t="str">
        <f>_xlfn.IFNA(VLOOKUP(db_emp[[#This Row],[Code_site]],[1]!db_site[[ID_Site]:[Url_maps]],3,0),"-")</f>
        <v>Unit - ASHTA</v>
      </c>
      <c r="R4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221363,'Dian Puspitasari','OPR','LANDS','Landscape Supervisor','LV09','Mall &amp; Cinema','M04','Employee','2022-09-12','2025-10-24'</v>
      </c>
      <c r="S499" s="74">
        <f>db_emp[[#This Row],[NIP (UPDATE)]]</f>
        <v>221363</v>
      </c>
    </row>
    <row r="500" spans="2:19" hidden="1" x14ac:dyDescent="0.25">
      <c r="B500" s="75">
        <v>452</v>
      </c>
      <c r="C500" s="75">
        <v>210877</v>
      </c>
      <c r="D500" s="74" t="s">
        <v>1591</v>
      </c>
      <c r="E500" s="75" t="s">
        <v>920</v>
      </c>
      <c r="F500" s="75" t="s">
        <v>912</v>
      </c>
      <c r="G500" s="74" t="s">
        <v>1592</v>
      </c>
      <c r="H500" s="75" t="s">
        <v>885</v>
      </c>
      <c r="I500" s="74" t="s">
        <v>849</v>
      </c>
      <c r="J500" s="75" t="s">
        <v>490</v>
      </c>
      <c r="K500" s="75" t="s">
        <v>850</v>
      </c>
      <c r="L500" s="76">
        <v>44475</v>
      </c>
      <c r="M500" s="77">
        <f t="shared" ca="1" si="14"/>
        <v>45954</v>
      </c>
      <c r="N500" s="74" t="str">
        <f>_xlfn.IFNA(VLOOKUP(db_emp[[#This Row],[ID_DIV]],[1]!db_dpt[[Code_dpt]:[Departement]],2,0),"-")</f>
        <v>Leasing</v>
      </c>
      <c r="O500" s="74" t="str">
        <f>_xlfn.IFNA(VLOOKUP(db_emp[[#This Row],[ID_SDP]],[1]!db_div[[Code_div]:[Division]],2,0),"-")</f>
        <v>Admin</v>
      </c>
      <c r="P500" s="74" t="str">
        <f>_xlfn.IFNA(VLOOKUP(db_emp[[#This Row],[Code_lvl]],[1]!db_lvl[[#All],[ID_level]:[Leveling Name]],2,0),"-")</f>
        <v>Senior Staff</v>
      </c>
      <c r="Q500" s="74" t="str">
        <f>_xlfn.IFNA(VLOOKUP(db_emp[[#This Row],[Code_site]],[1]!db_site[[ID_Site]:[Url_maps]],3,0),"-")</f>
        <v>Unit - ASHTA</v>
      </c>
      <c r="R5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210877,'Lianawati','LEA','ADMIN','Leasing Administration Staff','LV11','Mall &amp; Cinema','M04','Employee','2021-10-06','2025-10-24'</v>
      </c>
      <c r="S500" s="74">
        <f>db_emp[[#This Row],[NIP (UPDATE)]]</f>
        <v>210877</v>
      </c>
    </row>
    <row r="501" spans="2:19" hidden="1" x14ac:dyDescent="0.25">
      <c r="B501" s="75">
        <v>38</v>
      </c>
      <c r="C501" s="75">
        <v>140713</v>
      </c>
      <c r="D501" s="74" t="s">
        <v>1593</v>
      </c>
      <c r="E501" s="75" t="s">
        <v>970</v>
      </c>
      <c r="F501" s="75" t="s">
        <v>1175</v>
      </c>
      <c r="G501" s="74" t="s">
        <v>1594</v>
      </c>
      <c r="H501" s="75" t="s">
        <v>1177</v>
      </c>
      <c r="I501" s="74" t="s">
        <v>849</v>
      </c>
      <c r="J501" s="75" t="s">
        <v>315</v>
      </c>
      <c r="K501" s="75" t="s">
        <v>850</v>
      </c>
      <c r="L501" s="76">
        <v>41821</v>
      </c>
      <c r="M501" s="77">
        <f t="shared" ca="1" si="14"/>
        <v>45954</v>
      </c>
      <c r="N501" s="74" t="str">
        <f>_xlfn.IFNA(VLOOKUP(db_emp[[#This Row],[ID_DIV]],[1]!db_dpt[[Code_dpt]:[Departement]],2,0),"-")</f>
        <v>Management</v>
      </c>
      <c r="O501" s="74" t="str">
        <f>_xlfn.IFNA(VLOOKUP(db_emp[[#This Row],[ID_SDP]],[1]!db_div[[Code_div]:[Division]],2,0),"-")</f>
        <v>Top level</v>
      </c>
      <c r="P501" s="74" t="str">
        <f>_xlfn.IFNA(VLOOKUP(db_emp[[#This Row],[Code_lvl]],[1]!db_lvl[[#All],[ID_level]:[Leveling Name]],2,0),"-")</f>
        <v>Director</v>
      </c>
      <c r="Q501" s="74" t="str">
        <f>_xlfn.IFNA(VLOOKUP(db_emp[[#This Row],[Code_site]],[1]!db_site[[ID_Site]:[Url_maps]],3,0),"-")</f>
        <v>Head Office - ASGO</v>
      </c>
      <c r="R5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140713,'David Louis Hilman','MNG','CLVEL','Leasing Director','LV01','Mall &amp; Cinema','O99','Employee','2014-07-01','2025-10-24'</v>
      </c>
      <c r="S501" s="74">
        <f>db_emp[[#This Row],[NIP (UPDATE)]]</f>
        <v>140713</v>
      </c>
    </row>
    <row r="502" spans="2:19" hidden="1" x14ac:dyDescent="0.25">
      <c r="B502" s="75">
        <v>195</v>
      </c>
      <c r="C502" s="75">
        <v>181039</v>
      </c>
      <c r="D502" s="74" t="s">
        <v>1595</v>
      </c>
      <c r="E502" s="75" t="s">
        <v>920</v>
      </c>
      <c r="F502" s="75" t="s">
        <v>971</v>
      </c>
      <c r="G502" s="74" t="s">
        <v>1596</v>
      </c>
      <c r="H502" s="75" t="s">
        <v>953</v>
      </c>
      <c r="I502" s="74" t="s">
        <v>849</v>
      </c>
      <c r="J502" s="75" t="s">
        <v>314</v>
      </c>
      <c r="K502" s="75" t="s">
        <v>850</v>
      </c>
      <c r="L502" s="76">
        <v>43318</v>
      </c>
      <c r="M502" s="77">
        <f t="shared" ca="1" si="14"/>
        <v>45954</v>
      </c>
      <c r="N502" s="74" t="str">
        <f>_xlfn.IFNA(VLOOKUP(db_emp[[#This Row],[ID_DIV]],[1]!db_dpt[[Code_dpt]:[Departement]],2,0),"-")</f>
        <v>Leasing</v>
      </c>
      <c r="O502" s="74" t="str">
        <f>_xlfn.IFNA(VLOOKUP(db_emp[[#This Row],[ID_SDP]],[1]!db_div[[Code_div]:[Division]],2,0),"-")</f>
        <v>General Head Departement</v>
      </c>
      <c r="P502" s="74" t="str">
        <f>_xlfn.IFNA(VLOOKUP(db_emp[[#This Row],[Code_lvl]],[1]!db_lvl[[#All],[ID_level]:[Leveling Name]],2,0),"-")</f>
        <v>Manager</v>
      </c>
      <c r="Q502" s="74" t="str">
        <f>_xlfn.IFNA(VLOOKUP(db_emp[[#This Row],[Code_site]],[1]!db_site[[ID_Site]:[Url_maps]],3,0),"-")</f>
        <v>Unit - MOI</v>
      </c>
      <c r="R5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181039,'Ida Yusli','LEA','GNRAL','Leasing F &amp; B Manager','LV05','Mall &amp; Cinema','M02','Employee','2018-08-06','2025-10-24'</v>
      </c>
      <c r="S502" s="74">
        <f>db_emp[[#This Row],[NIP (UPDATE)]]</f>
        <v>181039</v>
      </c>
    </row>
    <row r="503" spans="2:19" hidden="1" x14ac:dyDescent="0.25">
      <c r="B503" s="75">
        <v>194</v>
      </c>
      <c r="C503" s="75">
        <v>181035</v>
      </c>
      <c r="D503" s="74" t="s">
        <v>1597</v>
      </c>
      <c r="E503" s="75" t="s">
        <v>920</v>
      </c>
      <c r="F503" s="75" t="s">
        <v>971</v>
      </c>
      <c r="G503" s="74" t="s">
        <v>1598</v>
      </c>
      <c r="H503" s="75" t="s">
        <v>973</v>
      </c>
      <c r="I503" s="74" t="s">
        <v>849</v>
      </c>
      <c r="J503" s="75" t="s">
        <v>314</v>
      </c>
      <c r="K503" s="75" t="s">
        <v>850</v>
      </c>
      <c r="L503" s="76">
        <v>43318</v>
      </c>
      <c r="M503" s="77">
        <f t="shared" ca="1" si="14"/>
        <v>45954</v>
      </c>
      <c r="N503" s="74" t="str">
        <f>_xlfn.IFNA(VLOOKUP(db_emp[[#This Row],[ID_DIV]],[1]!db_dpt[[Code_dpt]:[Departement]],2,0),"-")</f>
        <v>Leasing</v>
      </c>
      <c r="O503" s="74" t="str">
        <f>_xlfn.IFNA(VLOOKUP(db_emp[[#This Row],[ID_SDP]],[1]!db_div[[Code_div]:[Division]],2,0),"-")</f>
        <v>General Head Departement</v>
      </c>
      <c r="P503" s="74" t="str">
        <f>_xlfn.IFNA(VLOOKUP(db_emp[[#This Row],[Code_lvl]],[1]!db_lvl[[#All],[ID_level]:[Leveling Name]],2,0),"-")</f>
        <v>General Manager</v>
      </c>
      <c r="Q503" s="74" t="str">
        <f>_xlfn.IFNA(VLOOKUP(db_emp[[#This Row],[Code_site]],[1]!db_site[[ID_Site]:[Url_maps]],3,0),"-")</f>
        <v>Unit - MOI</v>
      </c>
      <c r="R5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181035,'Dewi Kartika.','LEA','GNRAL','Leasing General Manager','LV02','Mall &amp; Cinema','M02','Employee','2018-08-06','2025-10-24'</v>
      </c>
      <c r="S503" s="74">
        <f>db_emp[[#This Row],[NIP (UPDATE)]]</f>
        <v>181035</v>
      </c>
    </row>
    <row r="504" spans="2:19" hidden="1" x14ac:dyDescent="0.25">
      <c r="B504" s="75">
        <v>230</v>
      </c>
      <c r="C504" s="75">
        <v>231337</v>
      </c>
      <c r="D504" s="74" t="s">
        <v>1599</v>
      </c>
      <c r="E504" s="75" t="s">
        <v>920</v>
      </c>
      <c r="F504" s="75" t="s">
        <v>971</v>
      </c>
      <c r="G504" s="74" t="s">
        <v>1600</v>
      </c>
      <c r="H504" s="75" t="s">
        <v>953</v>
      </c>
      <c r="I504" s="74" t="s">
        <v>849</v>
      </c>
      <c r="J504" s="75" t="s">
        <v>314</v>
      </c>
      <c r="K504" s="75" t="s">
        <v>850</v>
      </c>
      <c r="L504" s="76">
        <v>45145</v>
      </c>
      <c r="M504" s="77">
        <f t="shared" ca="1" si="14"/>
        <v>45954</v>
      </c>
      <c r="N504" s="74" t="str">
        <f>_xlfn.IFNA(VLOOKUP(db_emp[[#This Row],[ID_DIV]],[1]!db_dpt[[Code_dpt]:[Departement]],2,0),"-")</f>
        <v>Leasing</v>
      </c>
      <c r="O504" s="74" t="str">
        <f>_xlfn.IFNA(VLOOKUP(db_emp[[#This Row],[ID_SDP]],[1]!db_div[[Code_div]:[Division]],2,0),"-")</f>
        <v>General Head Departement</v>
      </c>
      <c r="P504" s="74" t="str">
        <f>_xlfn.IFNA(VLOOKUP(db_emp[[#This Row],[Code_lvl]],[1]!db_lvl[[#All],[ID_level]:[Leveling Name]],2,0),"-")</f>
        <v>Manager</v>
      </c>
      <c r="Q504" s="74" t="str">
        <f>_xlfn.IFNA(VLOOKUP(db_emp[[#This Row],[Code_site]],[1]!db_site[[ID_Site]:[Url_maps]],3,0),"-")</f>
        <v>Unit - MOI</v>
      </c>
      <c r="R5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231337,'Anastasia Prisilla','LEA','GNRAL','Leasing Manager','LV05','Mall &amp; Cinema','M02','Employee','2023-08-07','2025-10-24'</v>
      </c>
      <c r="S504" s="74">
        <f>db_emp[[#This Row],[NIP (UPDATE)]]</f>
        <v>231337</v>
      </c>
    </row>
    <row r="505" spans="2:19" hidden="1" x14ac:dyDescent="0.25">
      <c r="B505" s="75">
        <v>267</v>
      </c>
      <c r="C505" s="75">
        <v>241957</v>
      </c>
      <c r="D505" s="74" t="s">
        <v>1601</v>
      </c>
      <c r="E505" s="75" t="s">
        <v>920</v>
      </c>
      <c r="F505" s="75" t="s">
        <v>971</v>
      </c>
      <c r="G505" s="74" t="s">
        <v>1600</v>
      </c>
      <c r="H505" s="75" t="s">
        <v>953</v>
      </c>
      <c r="I505" s="74" t="s">
        <v>849</v>
      </c>
      <c r="J505" s="75" t="s">
        <v>314</v>
      </c>
      <c r="K505" s="75" t="s">
        <v>850</v>
      </c>
      <c r="L505" s="76">
        <v>45595</v>
      </c>
      <c r="M505" s="77">
        <f t="shared" ca="1" si="14"/>
        <v>45954</v>
      </c>
      <c r="N505" s="74" t="str">
        <f>_xlfn.IFNA(VLOOKUP(db_emp[[#This Row],[ID_DIV]],[1]!db_dpt[[Code_dpt]:[Departement]],2,0),"-")</f>
        <v>Leasing</v>
      </c>
      <c r="O505" s="74" t="str">
        <f>_xlfn.IFNA(VLOOKUP(db_emp[[#This Row],[ID_SDP]],[1]!db_div[[Code_div]:[Division]],2,0),"-")</f>
        <v>General Head Departement</v>
      </c>
      <c r="P505" s="74" t="str">
        <f>_xlfn.IFNA(VLOOKUP(db_emp[[#This Row],[Code_lvl]],[1]!db_lvl[[#All],[ID_level]:[Leveling Name]],2,0),"-")</f>
        <v>Manager</v>
      </c>
      <c r="Q505" s="74" t="str">
        <f>_xlfn.IFNA(VLOOKUP(db_emp[[#This Row],[Code_site]],[1]!db_site[[ID_Site]:[Url_maps]],3,0),"-")</f>
        <v>Unit - MOI</v>
      </c>
      <c r="R5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241957,'Fera Yohanes','LEA','GNRAL','Leasing Manager','LV05','Mall &amp; Cinema','M02','Employee','2024-10-30','2025-10-24'</v>
      </c>
      <c r="S505" s="74">
        <f>db_emp[[#This Row],[NIP (UPDATE)]]</f>
        <v>241957</v>
      </c>
    </row>
    <row r="506" spans="2:19" hidden="1" x14ac:dyDescent="0.25">
      <c r="B506" s="75">
        <v>408</v>
      </c>
      <c r="C506" s="75">
        <v>240059</v>
      </c>
      <c r="D506" s="74" t="s">
        <v>1602</v>
      </c>
      <c r="E506" s="75" t="s">
        <v>920</v>
      </c>
      <c r="F506" s="75" t="s">
        <v>971</v>
      </c>
      <c r="G506" s="74" t="s">
        <v>1600</v>
      </c>
      <c r="H506" s="75" t="s">
        <v>953</v>
      </c>
      <c r="I506" s="74" t="s">
        <v>849</v>
      </c>
      <c r="J506" s="75" t="s">
        <v>316</v>
      </c>
      <c r="K506" s="75" t="s">
        <v>850</v>
      </c>
      <c r="L506" s="76">
        <v>45306</v>
      </c>
      <c r="M506" s="77">
        <f t="shared" ca="1" si="14"/>
        <v>45954</v>
      </c>
      <c r="N506" s="74" t="str">
        <f>_xlfn.IFNA(VLOOKUP(db_emp[[#This Row],[ID_DIV]],[1]!db_dpt[[Code_dpt]:[Departement]],2,0),"-")</f>
        <v>Leasing</v>
      </c>
      <c r="O506" s="74" t="str">
        <f>_xlfn.IFNA(VLOOKUP(db_emp[[#This Row],[ID_SDP]],[1]!db_div[[Code_div]:[Division]],2,0),"-")</f>
        <v>General Head Departement</v>
      </c>
      <c r="P506" s="74" t="str">
        <f>_xlfn.IFNA(VLOOKUP(db_emp[[#This Row],[Code_lvl]],[1]!db_lvl[[#All],[ID_level]:[Leveling Name]],2,0),"-")</f>
        <v>Manager</v>
      </c>
      <c r="Q506" s="74" t="str">
        <f>_xlfn.IFNA(VLOOKUP(db_emp[[#This Row],[Code_site]],[1]!db_site[[ID_Site]:[Url_maps]],3,0),"-")</f>
        <v>Unit - GGP</v>
      </c>
      <c r="R5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240059,'Elgaree Jane Hanna Zohnya','LEA','GNRAL','Leasing Manager','LV05','Mall &amp; Cinema','M03','Employee','2024-01-15','2025-10-24'</v>
      </c>
      <c r="S506" s="74">
        <f>db_emp[[#This Row],[NIP (UPDATE)]]</f>
        <v>240059</v>
      </c>
    </row>
    <row r="507" spans="2:19" hidden="1" x14ac:dyDescent="0.25">
      <c r="B507" s="75">
        <v>465</v>
      </c>
      <c r="C507" s="75">
        <v>191094</v>
      </c>
      <c r="D507" s="74" t="s">
        <v>1603</v>
      </c>
      <c r="E507" s="75" t="s">
        <v>920</v>
      </c>
      <c r="F507" s="75" t="s">
        <v>971</v>
      </c>
      <c r="G507" s="74" t="s">
        <v>1604</v>
      </c>
      <c r="H507" s="75" t="s">
        <v>968</v>
      </c>
      <c r="I507" s="74" t="s">
        <v>849</v>
      </c>
      <c r="J507" s="75" t="s">
        <v>490</v>
      </c>
      <c r="K507" s="75" t="s">
        <v>850</v>
      </c>
      <c r="L507" s="76">
        <v>43794</v>
      </c>
      <c r="M507" s="77">
        <f t="shared" ca="1" si="14"/>
        <v>45954</v>
      </c>
      <c r="N507" s="74" t="str">
        <f>_xlfn.IFNA(VLOOKUP(db_emp[[#This Row],[ID_DIV]],[1]!db_dpt[[Code_dpt]:[Departement]],2,0),"-")</f>
        <v>Leasing</v>
      </c>
      <c r="O507" s="74" t="str">
        <f>_xlfn.IFNA(VLOOKUP(db_emp[[#This Row],[ID_SDP]],[1]!db_div[[Code_div]:[Division]],2,0),"-")</f>
        <v>General Head Departement</v>
      </c>
      <c r="P507" s="74" t="str">
        <f>_xlfn.IFNA(VLOOKUP(db_emp[[#This Row],[Code_lvl]],[1]!db_lvl[[#All],[ID_level]:[Leveling Name]],2,0),"-")</f>
        <v>Senior Manager</v>
      </c>
      <c r="Q507" s="74" t="str">
        <f>_xlfn.IFNA(VLOOKUP(db_emp[[#This Row],[Code_site]],[1]!db_site[[ID_Site]:[Url_maps]],3,0),"-")</f>
        <v>Unit - ASHTA</v>
      </c>
      <c r="R5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191094,'Valerian Ivan Raharja','LEA','GNRAL','Leasing Senior Manager','LV04','Mall &amp; Cinema','M04','Employee','2019-11-25','2025-10-24'</v>
      </c>
      <c r="S507" s="74">
        <f>db_emp[[#This Row],[NIP (UPDATE)]]</f>
        <v>191094</v>
      </c>
    </row>
    <row r="508" spans="2:19" hidden="1" x14ac:dyDescent="0.25">
      <c r="B508" s="75">
        <v>212</v>
      </c>
      <c r="C508" s="75">
        <v>220037</v>
      </c>
      <c r="D508" s="74" t="s">
        <v>1605</v>
      </c>
      <c r="E508" s="75" t="s">
        <v>920</v>
      </c>
      <c r="F508" s="75" t="s">
        <v>971</v>
      </c>
      <c r="G508" s="74" t="s">
        <v>1606</v>
      </c>
      <c r="H508" s="75" t="s">
        <v>853</v>
      </c>
      <c r="I508" s="74" t="s">
        <v>849</v>
      </c>
      <c r="J508" s="75" t="s">
        <v>314</v>
      </c>
      <c r="K508" s="75" t="s">
        <v>850</v>
      </c>
      <c r="L508" s="76">
        <v>44585</v>
      </c>
      <c r="M508" s="77">
        <f t="shared" ca="1" si="14"/>
        <v>45954</v>
      </c>
      <c r="N508" s="74" t="str">
        <f>_xlfn.IFNA(VLOOKUP(db_emp[[#This Row],[ID_DIV]],[1]!db_dpt[[Code_dpt]:[Departement]],2,0),"-")</f>
        <v>Leasing</v>
      </c>
      <c r="O508" s="74" t="str">
        <f>_xlfn.IFNA(VLOOKUP(db_emp[[#This Row],[ID_SDP]],[1]!db_div[[Code_div]:[Division]],2,0),"-")</f>
        <v>General Head Departement</v>
      </c>
      <c r="P508" s="74" t="str">
        <f>_xlfn.IFNA(VLOOKUP(db_emp[[#This Row],[Code_lvl]],[1]!db_lvl[[#All],[ID_level]:[Leveling Name]],2,0),"-")</f>
        <v>Staff</v>
      </c>
      <c r="Q508" s="74" t="str">
        <f>_xlfn.IFNA(VLOOKUP(db_emp[[#This Row],[Code_site]],[1]!db_site[[ID_Site]:[Url_maps]],3,0),"-")</f>
        <v>Unit - MOI</v>
      </c>
      <c r="R5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220037,'Rachel Rouli Naibaho','LEA','GNRAL','Leasing Staff','LV12','Mall &amp; Cinema','M02','Employee','2022-01-24','2025-10-24'</v>
      </c>
      <c r="S508" s="74">
        <f>db_emp[[#This Row],[NIP (UPDATE)]]</f>
        <v>220037</v>
      </c>
    </row>
    <row r="509" spans="2:19" hidden="1" x14ac:dyDescent="0.25">
      <c r="B509" s="75">
        <v>223</v>
      </c>
      <c r="C509" s="75">
        <v>220902</v>
      </c>
      <c r="D509" s="74" t="s">
        <v>1607</v>
      </c>
      <c r="E509" s="75" t="s">
        <v>920</v>
      </c>
      <c r="F509" s="75" t="s">
        <v>971</v>
      </c>
      <c r="G509" s="74" t="s">
        <v>1606</v>
      </c>
      <c r="H509" s="75" t="s">
        <v>853</v>
      </c>
      <c r="I509" s="74" t="s">
        <v>849</v>
      </c>
      <c r="J509" s="75" t="s">
        <v>314</v>
      </c>
      <c r="K509" s="75" t="s">
        <v>850</v>
      </c>
      <c r="L509" s="76">
        <v>44739</v>
      </c>
      <c r="M509" s="77">
        <f t="shared" ca="1" si="14"/>
        <v>45954</v>
      </c>
      <c r="N509" s="74" t="str">
        <f>_xlfn.IFNA(VLOOKUP(db_emp[[#This Row],[ID_DIV]],[1]!db_dpt[[Code_dpt]:[Departement]],2,0),"-")</f>
        <v>Leasing</v>
      </c>
      <c r="O509" s="74" t="str">
        <f>_xlfn.IFNA(VLOOKUP(db_emp[[#This Row],[ID_SDP]],[1]!db_div[[Code_div]:[Division]],2,0),"-")</f>
        <v>General Head Departement</v>
      </c>
      <c r="P509" s="74" t="str">
        <f>_xlfn.IFNA(VLOOKUP(db_emp[[#This Row],[Code_lvl]],[1]!db_lvl[[#All],[ID_level]:[Leveling Name]],2,0),"-")</f>
        <v>Staff</v>
      </c>
      <c r="Q509" s="74" t="str">
        <f>_xlfn.IFNA(VLOOKUP(db_emp[[#This Row],[Code_site]],[1]!db_site[[ID_Site]:[Url_maps]],3,0),"-")</f>
        <v>Unit - MOI</v>
      </c>
      <c r="R5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220902,'Michelle Victoria Rahadi','LEA','GNRAL','Leasing Staff','LV12','Mall &amp; Cinema','M02','Employee','2022-06-27','2025-10-24'</v>
      </c>
      <c r="S509" s="74">
        <f>db_emp[[#This Row],[NIP (UPDATE)]]</f>
        <v>220902</v>
      </c>
    </row>
    <row r="510" spans="2:19" hidden="1" x14ac:dyDescent="0.25">
      <c r="B510" s="75">
        <v>240</v>
      </c>
      <c r="C510" s="75">
        <v>232245</v>
      </c>
      <c r="D510" s="74" t="s">
        <v>1608</v>
      </c>
      <c r="E510" s="75" t="s">
        <v>920</v>
      </c>
      <c r="F510" s="75" t="s">
        <v>971</v>
      </c>
      <c r="G510" s="74" t="s">
        <v>1606</v>
      </c>
      <c r="H510" s="75" t="s">
        <v>853</v>
      </c>
      <c r="I510" s="74" t="s">
        <v>849</v>
      </c>
      <c r="J510" s="75" t="s">
        <v>314</v>
      </c>
      <c r="K510" s="75" t="s">
        <v>850</v>
      </c>
      <c r="L510" s="76">
        <v>45271</v>
      </c>
      <c r="M510" s="77">
        <f t="shared" ca="1" si="14"/>
        <v>45954</v>
      </c>
      <c r="N510" s="74" t="str">
        <f>_xlfn.IFNA(VLOOKUP(db_emp[[#This Row],[ID_DIV]],[1]!db_dpt[[Code_dpt]:[Departement]],2,0),"-")</f>
        <v>Leasing</v>
      </c>
      <c r="O510" s="74" t="str">
        <f>_xlfn.IFNA(VLOOKUP(db_emp[[#This Row],[ID_SDP]],[1]!db_div[[Code_div]:[Division]],2,0),"-")</f>
        <v>General Head Departement</v>
      </c>
      <c r="P510" s="74" t="str">
        <f>_xlfn.IFNA(VLOOKUP(db_emp[[#This Row],[Code_lvl]],[1]!db_lvl[[#All],[ID_level]:[Leveling Name]],2,0),"-")</f>
        <v>Staff</v>
      </c>
      <c r="Q510" s="74" t="str">
        <f>_xlfn.IFNA(VLOOKUP(db_emp[[#This Row],[Code_site]],[1]!db_site[[ID_Site]:[Url_maps]],3,0),"-")</f>
        <v>Unit - MOI</v>
      </c>
      <c r="R5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232245,'Intan Natalia','LEA','GNRAL','Leasing Staff','LV12','Mall &amp; Cinema','M02','Employee','2023-12-11','2025-10-24'</v>
      </c>
      <c r="S510" s="74">
        <f>db_emp[[#This Row],[NIP (UPDATE)]]</f>
        <v>232245</v>
      </c>
    </row>
    <row r="511" spans="2:19" hidden="1" x14ac:dyDescent="0.25">
      <c r="B511" s="75">
        <v>263</v>
      </c>
      <c r="C511" s="75">
        <v>241823</v>
      </c>
      <c r="D511" s="74" t="s">
        <v>1609</v>
      </c>
      <c r="E511" s="75" t="s">
        <v>920</v>
      </c>
      <c r="F511" s="75" t="s">
        <v>971</v>
      </c>
      <c r="G511" s="74" t="s">
        <v>1606</v>
      </c>
      <c r="H511" s="75" t="s">
        <v>853</v>
      </c>
      <c r="I511" s="74" t="s">
        <v>849</v>
      </c>
      <c r="J511" s="75" t="s">
        <v>314</v>
      </c>
      <c r="K511" s="75" t="s">
        <v>850</v>
      </c>
      <c r="L511" s="76">
        <v>45572</v>
      </c>
      <c r="M511" s="77">
        <f t="shared" ca="1" si="14"/>
        <v>45954</v>
      </c>
      <c r="N511" s="74" t="str">
        <f>_xlfn.IFNA(VLOOKUP(db_emp[[#This Row],[ID_DIV]],[1]!db_dpt[[Code_dpt]:[Departement]],2,0),"-")</f>
        <v>Leasing</v>
      </c>
      <c r="O511" s="74" t="str">
        <f>_xlfn.IFNA(VLOOKUP(db_emp[[#This Row],[ID_SDP]],[1]!db_div[[Code_div]:[Division]],2,0),"-")</f>
        <v>General Head Departement</v>
      </c>
      <c r="P511" s="74" t="str">
        <f>_xlfn.IFNA(VLOOKUP(db_emp[[#This Row],[Code_lvl]],[1]!db_lvl[[#All],[ID_level]:[Leveling Name]],2,0),"-")</f>
        <v>Staff</v>
      </c>
      <c r="Q511" s="74" t="str">
        <f>_xlfn.IFNA(VLOOKUP(db_emp[[#This Row],[Code_site]],[1]!db_site[[ID_Site]:[Url_maps]],3,0),"-")</f>
        <v>Unit - MOI</v>
      </c>
      <c r="R5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241823,'Calvin Sutandi','LEA','GNRAL','Leasing Staff','LV12','Mall &amp; Cinema','M02','Employee','2024-10-07','2025-10-24'</v>
      </c>
      <c r="S511" s="74">
        <f>db_emp[[#This Row],[NIP (UPDATE)]]</f>
        <v>241823</v>
      </c>
    </row>
    <row r="512" spans="2:19" hidden="1" x14ac:dyDescent="0.25">
      <c r="B512" s="75">
        <v>380</v>
      </c>
      <c r="C512" s="75">
        <v>241831</v>
      </c>
      <c r="D512" s="74" t="s">
        <v>1610</v>
      </c>
      <c r="E512" s="75" t="s">
        <v>920</v>
      </c>
      <c r="F512" s="75" t="s">
        <v>971</v>
      </c>
      <c r="G512" s="74" t="s">
        <v>1606</v>
      </c>
      <c r="H512" s="75" t="s">
        <v>853</v>
      </c>
      <c r="I512" s="74" t="s">
        <v>486</v>
      </c>
      <c r="J512" s="75" t="s">
        <v>492</v>
      </c>
      <c r="K512" s="75" t="s">
        <v>850</v>
      </c>
      <c r="L512" s="76">
        <v>45572</v>
      </c>
      <c r="M512" s="77">
        <f t="shared" ca="1" si="14"/>
        <v>45954</v>
      </c>
      <c r="N512" s="74" t="str">
        <f>_xlfn.IFNA(VLOOKUP(db_emp[[#This Row],[ID_DIV]],[1]!db_dpt[[Code_dpt]:[Departement]],2,0),"-")</f>
        <v>Leasing</v>
      </c>
      <c r="O512" s="74" t="str">
        <f>_xlfn.IFNA(VLOOKUP(db_emp[[#This Row],[ID_SDP]],[1]!db_div[[Code_div]:[Division]],2,0),"-")</f>
        <v>General Head Departement</v>
      </c>
      <c r="P512" s="74" t="str">
        <f>_xlfn.IFNA(VLOOKUP(db_emp[[#This Row],[Code_lvl]],[1]!db_lvl[[#All],[ID_level]:[Leveling Name]],2,0),"-")</f>
        <v>Staff</v>
      </c>
      <c r="Q512" s="74" t="str">
        <f>_xlfn.IFNA(VLOOKUP(db_emp[[#This Row],[Code_site]],[1]!db_site[[ID_Site]:[Url_maps]],3,0),"-")</f>
        <v>Unit - Hublife</v>
      </c>
      <c r="R5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241831,'Ricky Ongko Susanto','LEA','GNRAL','Leasing Staff','LV12','Mall','M05','Employee','2024-10-07','2025-10-24'</v>
      </c>
      <c r="S512" s="74">
        <f>db_emp[[#This Row],[NIP (UPDATE)]]</f>
        <v>241831</v>
      </c>
    </row>
    <row r="513" spans="2:19" hidden="1" x14ac:dyDescent="0.25">
      <c r="B513" s="75">
        <v>421</v>
      </c>
      <c r="C513" s="75">
        <v>241185</v>
      </c>
      <c r="D513" s="74" t="s">
        <v>1611</v>
      </c>
      <c r="E513" s="75" t="s">
        <v>920</v>
      </c>
      <c r="F513" s="75" t="s">
        <v>971</v>
      </c>
      <c r="G513" s="74" t="s">
        <v>1606</v>
      </c>
      <c r="H513" s="75" t="s">
        <v>853</v>
      </c>
      <c r="I513" s="74" t="s">
        <v>849</v>
      </c>
      <c r="J513" s="75" t="s">
        <v>316</v>
      </c>
      <c r="K513" s="75" t="s">
        <v>850</v>
      </c>
      <c r="L513" s="76">
        <v>45474</v>
      </c>
      <c r="M513" s="77">
        <f t="shared" ca="1" si="14"/>
        <v>45954</v>
      </c>
      <c r="N513" s="74" t="str">
        <f>_xlfn.IFNA(VLOOKUP(db_emp[[#This Row],[ID_DIV]],[1]!db_dpt[[Code_dpt]:[Departement]],2,0),"-")</f>
        <v>Leasing</v>
      </c>
      <c r="O513" s="74" t="str">
        <f>_xlfn.IFNA(VLOOKUP(db_emp[[#This Row],[ID_SDP]],[1]!db_div[[Code_div]:[Division]],2,0),"-")</f>
        <v>General Head Departement</v>
      </c>
      <c r="P513" s="74" t="str">
        <f>_xlfn.IFNA(VLOOKUP(db_emp[[#This Row],[Code_lvl]],[1]!db_lvl[[#All],[ID_level]:[Leveling Name]],2,0),"-")</f>
        <v>Staff</v>
      </c>
      <c r="Q513" s="74" t="str">
        <f>_xlfn.IFNA(VLOOKUP(db_emp[[#This Row],[Code_site]],[1]!db_site[[ID_Site]:[Url_maps]],3,0),"-")</f>
        <v>Unit - GGP</v>
      </c>
      <c r="R5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241185,'Katarina Christine Wardani','LEA','GNRAL','Leasing Staff','LV12','Mall &amp; Cinema','M03','Employee','2024-07-01','2025-10-24'</v>
      </c>
      <c r="S513" s="74">
        <f>db_emp[[#This Row],[NIP (UPDATE)]]</f>
        <v>241185</v>
      </c>
    </row>
    <row r="514" spans="2:19" hidden="1" x14ac:dyDescent="0.25">
      <c r="B514" s="75">
        <v>226</v>
      </c>
      <c r="C514" s="75">
        <v>221576</v>
      </c>
      <c r="D514" s="74" t="s">
        <v>1612</v>
      </c>
      <c r="E514" s="75" t="s">
        <v>920</v>
      </c>
      <c r="F514" s="75" t="s">
        <v>971</v>
      </c>
      <c r="G514" s="74" t="s">
        <v>1613</v>
      </c>
      <c r="H514" s="75" t="s">
        <v>870</v>
      </c>
      <c r="I514" s="74" t="s">
        <v>849</v>
      </c>
      <c r="J514" s="75" t="s">
        <v>314</v>
      </c>
      <c r="K514" s="75" t="s">
        <v>850</v>
      </c>
      <c r="L514" s="76">
        <v>44858</v>
      </c>
      <c r="M514" s="77">
        <f t="shared" ca="1" si="14"/>
        <v>45954</v>
      </c>
      <c r="N514" s="74" t="str">
        <f>_xlfn.IFNA(VLOOKUP(db_emp[[#This Row],[ID_DIV]],[1]!db_dpt[[Code_dpt]:[Departement]],2,0),"-")</f>
        <v>Leasing</v>
      </c>
      <c r="O514" s="74" t="str">
        <f>_xlfn.IFNA(VLOOKUP(db_emp[[#This Row],[ID_SDP]],[1]!db_div[[Code_div]:[Division]],2,0),"-")</f>
        <v>General Head Departement</v>
      </c>
      <c r="P514" s="74" t="str">
        <f>_xlfn.IFNA(VLOOKUP(db_emp[[#This Row],[Code_lvl]],[1]!db_lvl[[#All],[ID_level]:[Leveling Name]],2,0),"-")</f>
        <v>Supervisor</v>
      </c>
      <c r="Q514" s="74" t="str">
        <f>_xlfn.IFNA(VLOOKUP(db_emp[[#This Row],[Code_site]],[1]!db_site[[ID_Site]:[Url_maps]],3,0),"-")</f>
        <v>Unit - MOI</v>
      </c>
      <c r="R5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221576,'Elizabeth Nataline Riama Tobing','LEA','GNRAL','Leasing Supervisor','LV09','Mall &amp; Cinema','M02','Employee','2022-10-24','2025-10-24'</v>
      </c>
      <c r="S514" s="74">
        <f>db_emp[[#This Row],[NIP (UPDATE)]]</f>
        <v>221576</v>
      </c>
    </row>
    <row r="515" spans="2:19" hidden="1" x14ac:dyDescent="0.25">
      <c r="B515" s="75">
        <v>381</v>
      </c>
      <c r="C515" s="75">
        <v>250276</v>
      </c>
      <c r="D515" s="74" t="s">
        <v>1614</v>
      </c>
      <c r="E515" s="75" t="s">
        <v>920</v>
      </c>
      <c r="F515" s="75" t="s">
        <v>971</v>
      </c>
      <c r="G515" s="74" t="s">
        <v>1613</v>
      </c>
      <c r="H515" s="75" t="s">
        <v>870</v>
      </c>
      <c r="I515" s="74" t="s">
        <v>486</v>
      </c>
      <c r="J515" s="75" t="s">
        <v>492</v>
      </c>
      <c r="K515" s="75" t="s">
        <v>850</v>
      </c>
      <c r="L515" s="76">
        <v>45733</v>
      </c>
      <c r="M515" s="77">
        <f t="shared" ca="1" si="14"/>
        <v>45954</v>
      </c>
      <c r="N515" s="74" t="str">
        <f>_xlfn.IFNA(VLOOKUP(db_emp[[#This Row],[ID_DIV]],[1]!db_dpt[[Code_dpt]:[Departement]],2,0),"-")</f>
        <v>Leasing</v>
      </c>
      <c r="O515" s="74" t="str">
        <f>_xlfn.IFNA(VLOOKUP(db_emp[[#This Row],[ID_SDP]],[1]!db_div[[Code_div]:[Division]],2,0),"-")</f>
        <v>General Head Departement</v>
      </c>
      <c r="P515" s="74" t="str">
        <f>_xlfn.IFNA(VLOOKUP(db_emp[[#This Row],[Code_lvl]],[1]!db_lvl[[#All],[ID_level]:[Leveling Name]],2,0),"-")</f>
        <v>Supervisor</v>
      </c>
      <c r="Q515" s="74" t="str">
        <f>_xlfn.IFNA(VLOOKUP(db_emp[[#This Row],[Code_site]],[1]!db_site[[ID_Site]:[Url_maps]],3,0),"-")</f>
        <v>Unit - Hublife</v>
      </c>
      <c r="R5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250276,'Hendry Vincent Wijaya','LEA','GNRAL','Leasing Supervisor','LV09','Mall','M05','Employee','2025-03-17','2025-10-24'</v>
      </c>
      <c r="S515" s="74">
        <f>db_emp[[#This Row],[NIP (UPDATE)]]</f>
        <v>250276</v>
      </c>
    </row>
    <row r="516" spans="2:19" hidden="1" x14ac:dyDescent="0.25">
      <c r="B516" s="75">
        <v>447</v>
      </c>
      <c r="C516" s="75">
        <v>221366</v>
      </c>
      <c r="D516" s="74" t="s">
        <v>1615</v>
      </c>
      <c r="E516" s="75" t="s">
        <v>920</v>
      </c>
      <c r="F516" s="75" t="s">
        <v>971</v>
      </c>
      <c r="G516" s="74" t="s">
        <v>1613</v>
      </c>
      <c r="H516" s="75" t="s">
        <v>1347</v>
      </c>
      <c r="I516" s="74" t="s">
        <v>849</v>
      </c>
      <c r="J516" s="75" t="s">
        <v>490</v>
      </c>
      <c r="K516" s="75" t="s">
        <v>850</v>
      </c>
      <c r="L516" s="76">
        <v>44823</v>
      </c>
      <c r="M516" s="77">
        <f t="shared" ca="1" si="14"/>
        <v>45954</v>
      </c>
      <c r="N516" s="74" t="str">
        <f>_xlfn.IFNA(VLOOKUP(db_emp[[#This Row],[ID_DIV]],[1]!db_dpt[[Code_dpt]:[Departement]],2,0),"-")</f>
        <v>Leasing</v>
      </c>
      <c r="O516" s="74" t="str">
        <f>_xlfn.IFNA(VLOOKUP(db_emp[[#This Row],[ID_SDP]],[1]!db_div[[Code_div]:[Division]],2,0),"-")</f>
        <v>General Head Departement</v>
      </c>
      <c r="P516" s="74" t="str">
        <f>_xlfn.IFNA(VLOOKUP(db_emp[[#This Row],[Code_lvl]],[1]!db_lvl[[#All],[ID_level]:[Leveling Name]],2,0),"-")</f>
        <v>Senior Supervisor</v>
      </c>
      <c r="Q516" s="74" t="str">
        <f>_xlfn.IFNA(VLOOKUP(db_emp[[#This Row],[Code_site]],[1]!db_site[[ID_Site]:[Url_maps]],3,0),"-")</f>
        <v>Unit - ASHTA</v>
      </c>
      <c r="R5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221366,'Celline Febianca','LEA','GNRAL','Leasing Supervisor','LV08','Mall &amp; Cinema','M04','Employee','2022-09-19','2025-10-24'</v>
      </c>
      <c r="S516" s="74">
        <f>db_emp[[#This Row],[NIP (UPDATE)]]</f>
        <v>221366</v>
      </c>
    </row>
    <row r="517" spans="2:19" hidden="1" x14ac:dyDescent="0.25">
      <c r="B517" s="75">
        <v>471</v>
      </c>
      <c r="C517" s="75">
        <v>240898</v>
      </c>
      <c r="D517" s="74" t="s">
        <v>1616</v>
      </c>
      <c r="E517" s="75" t="s">
        <v>920</v>
      </c>
      <c r="F517" s="75" t="s">
        <v>971</v>
      </c>
      <c r="G517" s="74" t="s">
        <v>1613</v>
      </c>
      <c r="H517" s="75" t="s">
        <v>870</v>
      </c>
      <c r="I517" s="74" t="s">
        <v>849</v>
      </c>
      <c r="J517" s="75" t="s">
        <v>490</v>
      </c>
      <c r="K517" s="75" t="s">
        <v>903</v>
      </c>
      <c r="L517" s="76">
        <v>45432</v>
      </c>
      <c r="M517" s="77">
        <v>45835</v>
      </c>
      <c r="N517" s="74" t="str">
        <f>_xlfn.IFNA(VLOOKUP(db_emp[[#This Row],[ID_DIV]],[1]!db_dpt[[Code_dpt]:[Departement]],2,0),"-")</f>
        <v>Leasing</v>
      </c>
      <c r="O517" s="74" t="str">
        <f>_xlfn.IFNA(VLOOKUP(db_emp[[#This Row],[ID_SDP]],[1]!db_div[[Code_div]:[Division]],2,0),"-")</f>
        <v>General Head Departement</v>
      </c>
      <c r="P517" s="74" t="str">
        <f>_xlfn.IFNA(VLOOKUP(db_emp[[#This Row],[Code_lvl]],[1]!db_lvl[[#All],[ID_level]:[Leveling Name]],2,0),"-")</f>
        <v>Supervisor</v>
      </c>
      <c r="Q517" s="74" t="str">
        <f>_xlfn.IFNA(VLOOKUP(db_emp[[#This Row],[Code_site]],[1]!db_site[[ID_Site]:[Url_maps]],3,0),"-")</f>
        <v>Unit - ASHTA</v>
      </c>
      <c r="R517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240898,'Vanessa Maria L','LEA','GNRAL','Leasing Supervisor','LV09','Mall &amp; Cinema','M04','Resign','2024-05-20','2025-06-27'</v>
      </c>
      <c r="S517" s="74">
        <f>db_emp[[#This Row],[NIP (UPDATE)]]</f>
        <v>240898</v>
      </c>
    </row>
    <row r="518" spans="2:19" hidden="1" x14ac:dyDescent="0.25">
      <c r="B518" s="75">
        <v>37</v>
      </c>
      <c r="C518" s="75">
        <v>191124</v>
      </c>
      <c r="D518" s="74" t="s">
        <v>1617</v>
      </c>
      <c r="E518" s="75" t="s">
        <v>1461</v>
      </c>
      <c r="F518" s="75" t="s">
        <v>1618</v>
      </c>
      <c r="G518" s="74" t="s">
        <v>1619</v>
      </c>
      <c r="H518" s="75" t="s">
        <v>848</v>
      </c>
      <c r="I518" s="74" t="s">
        <v>856</v>
      </c>
      <c r="J518" s="75" t="s">
        <v>315</v>
      </c>
      <c r="K518" s="75" t="s">
        <v>850</v>
      </c>
      <c r="L518" s="76">
        <v>43801</v>
      </c>
      <c r="M518" s="77">
        <f ca="1">TODAY()+1</f>
        <v>45954</v>
      </c>
      <c r="N518" s="74" t="str">
        <f>_xlfn.IFNA(VLOOKUP(db_emp[[#This Row],[ID_DIV]],[1]!db_dpt[[Code_dpt]:[Departement]],2,0),"-")</f>
        <v>Legal &amp; Govrel</v>
      </c>
      <c r="O518" s="74" t="str">
        <f>_xlfn.IFNA(VLOOKUP(db_emp[[#This Row],[ID_SDP]],[1]!db_div[[Code_div]:[Division]],2,0),"-")</f>
        <v>Legal</v>
      </c>
      <c r="P518" s="74" t="str">
        <f>_xlfn.IFNA(VLOOKUP(db_emp[[#This Row],[Code_lvl]],[1]!db_lvl[[#All],[ID_level]:[Leveling Name]],2,0),"-")</f>
        <v>Assistant Manager</v>
      </c>
      <c r="Q518" s="74" t="str">
        <f>_xlfn.IFNA(VLOOKUP(db_emp[[#This Row],[Code_site]],[1]!db_site[[ID_Site]:[Url_maps]],3,0),"-")</f>
        <v>Head Office - ASGO</v>
      </c>
      <c r="R5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191124,'Michiko Lidya','LEG','LEGAL','Legal Assistant Manager','LV07','HQ - All','O99','Employee','2019-12-02','2025-10-24'</v>
      </c>
      <c r="S518" s="74">
        <f>db_emp[[#This Row],[NIP (UPDATE)]]</f>
        <v>191124</v>
      </c>
    </row>
    <row r="519" spans="2:19" hidden="1" x14ac:dyDescent="0.25">
      <c r="B519" s="75">
        <v>104</v>
      </c>
      <c r="C519" s="75">
        <v>232062</v>
      </c>
      <c r="D519" s="74" t="s">
        <v>1620</v>
      </c>
      <c r="E519" s="75" t="s">
        <v>1461</v>
      </c>
      <c r="F519" s="75" t="s">
        <v>1618</v>
      </c>
      <c r="G519" s="74" t="s">
        <v>1619</v>
      </c>
      <c r="H519" s="75" t="s">
        <v>848</v>
      </c>
      <c r="I519" s="74" t="s">
        <v>856</v>
      </c>
      <c r="J519" s="75" t="s">
        <v>315</v>
      </c>
      <c r="K519" s="75" t="s">
        <v>850</v>
      </c>
      <c r="L519" s="76">
        <v>45250</v>
      </c>
      <c r="M519" s="77">
        <f ca="1">TODAY()+1</f>
        <v>45954</v>
      </c>
      <c r="N519" s="74" t="str">
        <f>_xlfn.IFNA(VLOOKUP(db_emp[[#This Row],[ID_DIV]],[1]!db_dpt[[Code_dpt]:[Departement]],2,0),"-")</f>
        <v>Legal &amp; Govrel</v>
      </c>
      <c r="O519" s="74" t="str">
        <f>_xlfn.IFNA(VLOOKUP(db_emp[[#This Row],[ID_SDP]],[1]!db_div[[Code_div]:[Division]],2,0),"-")</f>
        <v>Legal</v>
      </c>
      <c r="P519" s="74" t="str">
        <f>_xlfn.IFNA(VLOOKUP(db_emp[[#This Row],[Code_lvl]],[1]!db_lvl[[#All],[ID_level]:[Leveling Name]],2,0),"-")</f>
        <v>Assistant Manager</v>
      </c>
      <c r="Q519" s="74" t="str">
        <f>_xlfn.IFNA(VLOOKUP(db_emp[[#This Row],[Code_site]],[1]!db_site[[ID_Site]:[Url_maps]],3,0),"-")</f>
        <v>Head Office - ASGO</v>
      </c>
      <c r="R5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232062,'Diar Aulia Adang','LEG','LEGAL','Legal Assistant Manager','LV07','HQ - All','O99','Employee','2023-11-20','2025-10-24'</v>
      </c>
      <c r="S519" s="74">
        <f>db_emp[[#This Row],[NIP (UPDATE)]]</f>
        <v>232062</v>
      </c>
    </row>
    <row r="520" spans="2:19" hidden="1" x14ac:dyDescent="0.25">
      <c r="B520" s="75">
        <v>678</v>
      </c>
      <c r="C520" s="75">
        <v>220506</v>
      </c>
      <c r="D520" s="74" t="s">
        <v>1621</v>
      </c>
      <c r="E520" s="75" t="s">
        <v>1461</v>
      </c>
      <c r="F520" s="75" t="s">
        <v>1618</v>
      </c>
      <c r="G520" s="74" t="s">
        <v>1619</v>
      </c>
      <c r="H520" s="75" t="s">
        <v>848</v>
      </c>
      <c r="I520" s="74" t="s">
        <v>864</v>
      </c>
      <c r="J520" s="75" t="s">
        <v>501</v>
      </c>
      <c r="K520" s="75" t="s">
        <v>850</v>
      </c>
      <c r="L520" s="76"/>
      <c r="M520" s="77">
        <f ca="1">TODAY()+1</f>
        <v>45954</v>
      </c>
      <c r="N520" s="74" t="str">
        <f>_xlfn.IFNA(VLOOKUP(db_emp[[#This Row],[ID_DIV]],[1]!db_dpt[[Code_dpt]:[Departement]],2,0),"-")</f>
        <v>Legal &amp; Govrel</v>
      </c>
      <c r="O520" s="74" t="str">
        <f>_xlfn.IFNA(VLOOKUP(db_emp[[#This Row],[ID_SDP]],[1]!db_div[[Code_div]:[Division]],2,0),"-")</f>
        <v>Legal</v>
      </c>
      <c r="P520" s="74" t="str">
        <f>_xlfn.IFNA(VLOOKUP(db_emp[[#This Row],[Code_lvl]],[1]!db_lvl[[#All],[ID_level]:[Leveling Name]],2,0),"-")</f>
        <v>Assistant Manager</v>
      </c>
      <c r="Q520" s="74" t="str">
        <f>_xlfn.IFNA(VLOOKUP(db_emp[[#This Row],[Code_site]],[1]!db_site[[ID_Site]:[Url_maps]],3,0),"-")</f>
        <v>Unit - District 8</v>
      </c>
      <c r="R5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220506,'Deden Mulyana','LEG','LEGAL','Legal Assistant Manager','LV07','Corp. Supporting Property (POM)','OD8','Employee','1900-01-00','2025-10-24'</v>
      </c>
      <c r="S520" s="74">
        <f>db_emp[[#This Row],[NIP (UPDATE)]]</f>
        <v>220506</v>
      </c>
    </row>
    <row r="521" spans="2:19" hidden="1" x14ac:dyDescent="0.25">
      <c r="B521" s="75">
        <v>66</v>
      </c>
      <c r="C521" s="75">
        <v>220588</v>
      </c>
      <c r="D521" s="74" t="s">
        <v>1622</v>
      </c>
      <c r="E521" s="75" t="s">
        <v>1461</v>
      </c>
      <c r="F521" s="75" t="s">
        <v>1618</v>
      </c>
      <c r="G521" s="74" t="s">
        <v>1623</v>
      </c>
      <c r="H521" s="75" t="s">
        <v>953</v>
      </c>
      <c r="I521" s="74" t="s">
        <v>1464</v>
      </c>
      <c r="J521" s="75" t="s">
        <v>315</v>
      </c>
      <c r="K521" s="75" t="s">
        <v>850</v>
      </c>
      <c r="L521" s="76">
        <v>44669</v>
      </c>
      <c r="M521" s="77">
        <f ca="1">TODAY()+1</f>
        <v>45954</v>
      </c>
      <c r="N521" s="74" t="str">
        <f>_xlfn.IFNA(VLOOKUP(db_emp[[#This Row],[ID_DIV]],[1]!db_dpt[[Code_dpt]:[Departement]],2,0),"-")</f>
        <v>Legal &amp; Govrel</v>
      </c>
      <c r="O521" s="74" t="str">
        <f>_xlfn.IFNA(VLOOKUP(db_emp[[#This Row],[ID_SDP]],[1]!db_div[[Code_div]:[Division]],2,0),"-")</f>
        <v>Legal</v>
      </c>
      <c r="P521" s="74" t="str">
        <f>_xlfn.IFNA(VLOOKUP(db_emp[[#This Row],[Code_lvl]],[1]!db_lvl[[#All],[ID_level]:[Leveling Name]],2,0),"-")</f>
        <v>Manager</v>
      </c>
      <c r="Q521" s="74" t="str">
        <f>_xlfn.IFNA(VLOOKUP(db_emp[[#This Row],[Code_site]],[1]!db_site[[ID_Site]:[Url_maps]],3,0),"-")</f>
        <v>Head Office - ASGO</v>
      </c>
      <c r="R5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220588,'Antonius Wibowo','LEG','LEGAL','Legal Manager','LV05','HQ - ALL','O99','Employee','2022-04-18','2025-10-24'</v>
      </c>
      <c r="S521" s="74">
        <f>db_emp[[#This Row],[NIP (UPDATE)]]</f>
        <v>220588</v>
      </c>
    </row>
    <row r="522" spans="2:19" hidden="1" x14ac:dyDescent="0.25">
      <c r="B522" s="75">
        <v>74</v>
      </c>
      <c r="C522" s="75">
        <v>221443</v>
      </c>
      <c r="D522" s="74" t="s">
        <v>1624</v>
      </c>
      <c r="E522" s="75" t="s">
        <v>1461</v>
      </c>
      <c r="F522" s="75" t="s">
        <v>1618</v>
      </c>
      <c r="G522" s="74" t="s">
        <v>1625</v>
      </c>
      <c r="H522" s="75" t="s">
        <v>853</v>
      </c>
      <c r="I522" s="74" t="s">
        <v>856</v>
      </c>
      <c r="J522" s="75" t="s">
        <v>315</v>
      </c>
      <c r="K522" s="75" t="s">
        <v>850</v>
      </c>
      <c r="L522" s="76">
        <v>44830</v>
      </c>
      <c r="M522" s="77">
        <f ca="1">TODAY()+1</f>
        <v>45954</v>
      </c>
      <c r="N522" s="74" t="str">
        <f>_xlfn.IFNA(VLOOKUP(db_emp[[#This Row],[ID_DIV]],[1]!db_dpt[[Code_dpt]:[Departement]],2,0),"-")</f>
        <v>Legal &amp; Govrel</v>
      </c>
      <c r="O522" s="74" t="str">
        <f>_xlfn.IFNA(VLOOKUP(db_emp[[#This Row],[ID_SDP]],[1]!db_div[[Code_div]:[Division]],2,0),"-")</f>
        <v>Legal</v>
      </c>
      <c r="P522" s="74" t="str">
        <f>_xlfn.IFNA(VLOOKUP(db_emp[[#This Row],[Code_lvl]],[1]!db_lvl[[#All],[ID_level]:[Leveling Name]],2,0),"-")</f>
        <v>Staff</v>
      </c>
      <c r="Q522" s="74" t="str">
        <f>_xlfn.IFNA(VLOOKUP(db_emp[[#This Row],[Code_site]],[1]!db_site[[ID_Site]:[Url_maps]],3,0),"-")</f>
        <v>Head Office - ASGO</v>
      </c>
      <c r="R5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221443,'Komang Utami Dewi Artha','LEG','LEGAL','Legal Staff','LV12','HQ - All','O99','Employee','2022-09-26','2025-10-24'</v>
      </c>
      <c r="S522" s="74">
        <f>db_emp[[#This Row],[NIP (UPDATE)]]</f>
        <v>221443</v>
      </c>
    </row>
    <row r="523" spans="2:19" hidden="1" x14ac:dyDescent="0.25">
      <c r="B523" s="75">
        <v>89</v>
      </c>
      <c r="C523" s="75">
        <v>230819</v>
      </c>
      <c r="D523" s="74" t="s">
        <v>1626</v>
      </c>
      <c r="E523" s="75" t="s">
        <v>1461</v>
      </c>
      <c r="F523" s="75" t="s">
        <v>1618</v>
      </c>
      <c r="G523" s="74" t="s">
        <v>1625</v>
      </c>
      <c r="H523" s="75" t="s">
        <v>853</v>
      </c>
      <c r="I523" s="74" t="s">
        <v>856</v>
      </c>
      <c r="J523" s="75" t="s">
        <v>315</v>
      </c>
      <c r="K523" s="75" t="s">
        <v>903</v>
      </c>
      <c r="L523" s="76">
        <v>45082</v>
      </c>
      <c r="M523" s="77">
        <v>45855</v>
      </c>
      <c r="N523" s="74" t="str">
        <f>_xlfn.IFNA(VLOOKUP(db_emp[[#This Row],[ID_DIV]],[1]!db_dpt[[Code_dpt]:[Departement]],2,0),"-")</f>
        <v>Legal &amp; Govrel</v>
      </c>
      <c r="O523" s="74" t="str">
        <f>_xlfn.IFNA(VLOOKUP(db_emp[[#This Row],[ID_SDP]],[1]!db_div[[Code_div]:[Division]],2,0),"-")</f>
        <v>Legal</v>
      </c>
      <c r="P523" s="74" t="str">
        <f>_xlfn.IFNA(VLOOKUP(db_emp[[#This Row],[Code_lvl]],[1]!db_lvl[[#All],[ID_level]:[Leveling Name]],2,0),"-")</f>
        <v>Staff</v>
      </c>
      <c r="Q523" s="74" t="str">
        <f>_xlfn.IFNA(VLOOKUP(db_emp[[#This Row],[Code_site]],[1]!db_site[[ID_Site]:[Url_maps]],3,0),"-")</f>
        <v>Head Office - ASGO</v>
      </c>
      <c r="R523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230819,'Tania Imanuella Pasaka','LEG','LEGAL','Legal Staff','LV12','HQ - All','O99','Resign','2023-06-05','2025-07-17'</v>
      </c>
      <c r="S523" s="74">
        <f>db_emp[[#This Row],[NIP (UPDATE)]]</f>
        <v>230819</v>
      </c>
    </row>
    <row r="524" spans="2:19" hidden="1" x14ac:dyDescent="0.25">
      <c r="B524" s="75">
        <v>65</v>
      </c>
      <c r="C524" s="75">
        <v>220502</v>
      </c>
      <c r="D524" s="74" t="s">
        <v>1627</v>
      </c>
      <c r="E524" s="75" t="s">
        <v>1461</v>
      </c>
      <c r="F524" s="75" t="s">
        <v>1618</v>
      </c>
      <c r="G524" s="74" t="s">
        <v>1628</v>
      </c>
      <c r="H524" s="75" t="s">
        <v>870</v>
      </c>
      <c r="I524" s="74" t="s">
        <v>1464</v>
      </c>
      <c r="J524" s="75" t="s">
        <v>315</v>
      </c>
      <c r="K524" s="75" t="s">
        <v>850</v>
      </c>
      <c r="L524" s="76">
        <v>44655</v>
      </c>
      <c r="M524" s="77">
        <f t="shared" ref="M524:M561" ca="1" si="15">TODAY()+1</f>
        <v>45954</v>
      </c>
      <c r="N524" s="74" t="str">
        <f>_xlfn.IFNA(VLOOKUP(db_emp[[#This Row],[ID_DIV]],[1]!db_dpt[[Code_dpt]:[Departement]],2,0),"-")</f>
        <v>Legal &amp; Govrel</v>
      </c>
      <c r="O524" s="74" t="str">
        <f>_xlfn.IFNA(VLOOKUP(db_emp[[#This Row],[ID_SDP]],[1]!db_div[[Code_div]:[Division]],2,0),"-")</f>
        <v>Legal</v>
      </c>
      <c r="P524" s="74" t="str">
        <f>_xlfn.IFNA(VLOOKUP(db_emp[[#This Row],[Code_lvl]],[1]!db_lvl[[#All],[ID_level]:[Leveling Name]],2,0),"-")</f>
        <v>Supervisor</v>
      </c>
      <c r="Q524" s="74" t="str">
        <f>_xlfn.IFNA(VLOOKUP(db_emp[[#This Row],[Code_site]],[1]!db_site[[ID_Site]:[Url_maps]],3,0),"-")</f>
        <v>Head Office - ASGO</v>
      </c>
      <c r="R5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220502,'Citra Marina Napitupulu','LEG','LEGAL','Legal Supervisor','LV09','HQ - ALL','O99','Employee','2022-04-04','2025-10-24'</v>
      </c>
      <c r="S524" s="74">
        <f>db_emp[[#This Row],[NIP (UPDATE)]]</f>
        <v>220502</v>
      </c>
    </row>
    <row r="525" spans="2:19" hidden="1" x14ac:dyDescent="0.25">
      <c r="B525" s="75">
        <v>116</v>
      </c>
      <c r="C525" s="75">
        <v>240040</v>
      </c>
      <c r="D525" s="74" t="s">
        <v>1629</v>
      </c>
      <c r="E525" s="75" t="s">
        <v>1461</v>
      </c>
      <c r="F525" s="75" t="s">
        <v>1618</v>
      </c>
      <c r="G525" s="74" t="s">
        <v>1628</v>
      </c>
      <c r="H525" s="75" t="s">
        <v>870</v>
      </c>
      <c r="I525" s="74" t="s">
        <v>856</v>
      </c>
      <c r="J525" s="75" t="s">
        <v>315</v>
      </c>
      <c r="K525" s="75" t="s">
        <v>850</v>
      </c>
      <c r="L525" s="76">
        <v>45301</v>
      </c>
      <c r="M525" s="77">
        <f t="shared" ca="1" si="15"/>
        <v>45954</v>
      </c>
      <c r="N525" s="74" t="str">
        <f>_xlfn.IFNA(VLOOKUP(db_emp[[#This Row],[ID_DIV]],[1]!db_dpt[[Code_dpt]:[Departement]],2,0),"-")</f>
        <v>Legal &amp; Govrel</v>
      </c>
      <c r="O525" s="74" t="str">
        <f>_xlfn.IFNA(VLOOKUP(db_emp[[#This Row],[ID_SDP]],[1]!db_div[[Code_div]:[Division]],2,0),"-")</f>
        <v>Legal</v>
      </c>
      <c r="P525" s="74" t="str">
        <f>_xlfn.IFNA(VLOOKUP(db_emp[[#This Row],[Code_lvl]],[1]!db_lvl[[#All],[ID_level]:[Leveling Name]],2,0),"-")</f>
        <v>Supervisor</v>
      </c>
      <c r="Q525" s="74" t="str">
        <f>_xlfn.IFNA(VLOOKUP(db_emp[[#This Row],[Code_site]],[1]!db_site[[ID_Site]:[Url_maps]],3,0),"-")</f>
        <v>Head Office - ASGO</v>
      </c>
      <c r="R5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240040,'Puspa Ratih Trioktavira','LEG','LEGAL','Legal Supervisor','LV09','HQ - All','O99','Employee','2024-01-10','2025-10-24'</v>
      </c>
      <c r="S525" s="74">
        <f>db_emp[[#This Row],[NIP (UPDATE)]]</f>
        <v>240040</v>
      </c>
    </row>
    <row r="526" spans="2:19" hidden="1" x14ac:dyDescent="0.25">
      <c r="B526" s="75">
        <v>466</v>
      </c>
      <c r="C526" s="75">
        <v>160971</v>
      </c>
      <c r="D526" s="74" t="s">
        <v>1630</v>
      </c>
      <c r="E526" s="75" t="s">
        <v>964</v>
      </c>
      <c r="F526" s="75" t="s">
        <v>971</v>
      </c>
      <c r="G526" s="74" t="s">
        <v>1631</v>
      </c>
      <c r="H526" s="75" t="s">
        <v>973</v>
      </c>
      <c r="I526" s="74" t="s">
        <v>849</v>
      </c>
      <c r="J526" s="75" t="s">
        <v>490</v>
      </c>
      <c r="K526" s="75" t="s">
        <v>850</v>
      </c>
      <c r="L526" s="76">
        <v>42717</v>
      </c>
      <c r="M526" s="77">
        <f t="shared" ca="1" si="15"/>
        <v>45954</v>
      </c>
      <c r="N526" s="74" t="str">
        <f>_xlfn.IFNA(VLOOKUP(db_emp[[#This Row],[ID_DIV]],[1]!db_dpt[[Code_dpt]:[Departement]],2,0),"-")</f>
        <v>Marketing Communication</v>
      </c>
      <c r="O526" s="74" t="str">
        <f>_xlfn.IFNA(VLOOKUP(db_emp[[#This Row],[ID_SDP]],[1]!db_div[[Code_div]:[Division]],2,0),"-")</f>
        <v>General Head Departement</v>
      </c>
      <c r="P526" s="74" t="str">
        <f>_xlfn.IFNA(VLOOKUP(db_emp[[#This Row],[Code_lvl]],[1]!db_lvl[[#All],[ID_level]:[Leveling Name]],2,0),"-")</f>
        <v>General Manager</v>
      </c>
      <c r="Q526" s="74" t="str">
        <f>_xlfn.IFNA(VLOOKUP(db_emp[[#This Row],[Code_site]],[1]!db_site[[ID_Site]:[Url_maps]],3,0),"-")</f>
        <v>Unit - ASHTA</v>
      </c>
      <c r="R5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160971,'Zico Rossano Hansakarya','MAR','GNRAL','Marketing Communication General Manager','LV02','Mall &amp; Cinema','M04','Employee','2016-12-13','2025-10-24'</v>
      </c>
      <c r="S526" s="74">
        <f>db_emp[[#This Row],[NIP (UPDATE)]]</f>
        <v>160971</v>
      </c>
    </row>
    <row r="527" spans="2:19" hidden="1" x14ac:dyDescent="0.25">
      <c r="B527" s="75">
        <v>755</v>
      </c>
      <c r="C527" s="75">
        <v>242155</v>
      </c>
      <c r="D527" s="74" t="s">
        <v>1632</v>
      </c>
      <c r="E527" s="75" t="s">
        <v>964</v>
      </c>
      <c r="F527" s="75" t="s">
        <v>971</v>
      </c>
      <c r="G527" s="74" t="s">
        <v>1633</v>
      </c>
      <c r="H527" s="75" t="s">
        <v>870</v>
      </c>
      <c r="I527" s="74" t="s">
        <v>864</v>
      </c>
      <c r="J527" s="75" t="s">
        <v>501</v>
      </c>
      <c r="K527" s="75" t="s">
        <v>850</v>
      </c>
      <c r="L527" s="76"/>
      <c r="M527" s="77">
        <f t="shared" ca="1" si="15"/>
        <v>45954</v>
      </c>
      <c r="N527" s="74" t="str">
        <f>_xlfn.IFNA(VLOOKUP(db_emp[[#This Row],[ID_DIV]],[1]!db_dpt[[Code_dpt]:[Departement]],2,0),"-")</f>
        <v>Marketing Communication</v>
      </c>
      <c r="O527" s="74" t="str">
        <f>_xlfn.IFNA(VLOOKUP(db_emp[[#This Row],[ID_SDP]],[1]!db_div[[Code_div]:[Division]],2,0),"-")</f>
        <v>General Head Departement</v>
      </c>
      <c r="P527" s="74" t="str">
        <f>_xlfn.IFNA(VLOOKUP(db_emp[[#This Row],[Code_lvl]],[1]!db_lvl[[#All],[ID_level]:[Leveling Name]],2,0),"-")</f>
        <v>Supervisor</v>
      </c>
      <c r="Q527" s="74" t="str">
        <f>_xlfn.IFNA(VLOOKUP(db_emp[[#This Row],[Code_site]],[1]!db_site[[ID_Site]:[Url_maps]],3,0),"-")</f>
        <v>Unit - District 8</v>
      </c>
      <c r="R5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242155,'Ronal Riski Panjaitan','MAR','GNRAL','Marketing Communication Supervisor','LV09','Corp. Supporting Property (POM)','OD8','Employee','1900-01-00','2025-10-24'</v>
      </c>
      <c r="S527" s="74">
        <f>db_emp[[#This Row],[NIP (UPDATE)]]</f>
        <v>242155</v>
      </c>
    </row>
    <row r="528" spans="2:19" hidden="1" x14ac:dyDescent="0.25">
      <c r="B528" s="75">
        <v>129</v>
      </c>
      <c r="C528" s="75">
        <v>241251</v>
      </c>
      <c r="D528" s="74" t="s">
        <v>1634</v>
      </c>
      <c r="E528" s="75" t="s">
        <v>1159</v>
      </c>
      <c r="F528" s="75" t="s">
        <v>1635</v>
      </c>
      <c r="G528" s="74" t="s">
        <v>1636</v>
      </c>
      <c r="H528" s="75" t="s">
        <v>853</v>
      </c>
      <c r="I528" s="74" t="s">
        <v>856</v>
      </c>
      <c r="J528" s="75" t="s">
        <v>315</v>
      </c>
      <c r="K528" s="75" t="s">
        <v>850</v>
      </c>
      <c r="L528" s="76">
        <v>45488</v>
      </c>
      <c r="M528" s="77">
        <f t="shared" ca="1" si="15"/>
        <v>45954</v>
      </c>
      <c r="N528" s="74" t="str">
        <f>_xlfn.IFNA(VLOOKUP(db_emp[[#This Row],[ID_DIV]],[1]!db_dpt[[Code_dpt]:[Departement]],2,0),"-")</f>
        <v>Corporate Communication &amp; Affairs</v>
      </c>
      <c r="O528" s="74" t="str">
        <f>_xlfn.IFNA(VLOOKUP(db_emp[[#This Row],[ID_SDP]],[1]!db_div[[Code_div]:[Division]],2,0),"-")</f>
        <v>Media Relation</v>
      </c>
      <c r="P528" s="74" t="str">
        <f>_xlfn.IFNA(VLOOKUP(db_emp[[#This Row],[Code_lvl]],[1]!db_lvl[[#All],[ID_level]:[Leveling Name]],2,0),"-")</f>
        <v>Staff</v>
      </c>
      <c r="Q528" s="74" t="str">
        <f>_xlfn.IFNA(VLOOKUP(db_emp[[#This Row],[Code_site]],[1]!db_site[[ID_Site]:[Url_maps]],3,0),"-")</f>
        <v>Head Office - ASGO</v>
      </c>
      <c r="R5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241251,'Grace Rachel Oliva Hutabarat','CCA','MEREL','Media Relation Staff','LV12','HQ - All','O99','Employee','2024-07-15','2025-10-24'</v>
      </c>
      <c r="S528" s="74">
        <f>db_emp[[#This Row],[NIP (UPDATE)]]</f>
        <v>241251</v>
      </c>
    </row>
    <row r="529" spans="2:19" hidden="1" x14ac:dyDescent="0.25">
      <c r="B529" s="75">
        <v>358</v>
      </c>
      <c r="C529" s="75">
        <v>230676</v>
      </c>
      <c r="D529" s="74" t="s">
        <v>1637</v>
      </c>
      <c r="E529" s="75" t="s">
        <v>1123</v>
      </c>
      <c r="F529" s="75" t="s">
        <v>1638</v>
      </c>
      <c r="G529" s="74" t="s">
        <v>1639</v>
      </c>
      <c r="H529" s="75" t="s">
        <v>1640</v>
      </c>
      <c r="I529" s="74" t="s">
        <v>486</v>
      </c>
      <c r="J529" s="75" t="s">
        <v>492</v>
      </c>
      <c r="K529" s="75" t="s">
        <v>850</v>
      </c>
      <c r="L529" s="76">
        <v>43409</v>
      </c>
      <c r="M529" s="77">
        <f t="shared" ca="1" si="15"/>
        <v>45954</v>
      </c>
      <c r="N529" s="74" t="str">
        <f>_xlfn.IFNA(VLOOKUP(db_emp[[#This Row],[ID_DIV]],[1]!db_dpt[[Code_dpt]:[Departement]],2,0),"-")</f>
        <v>HR &amp; GA</v>
      </c>
      <c r="O529" s="74" t="str">
        <f>_xlfn.IFNA(VLOOKUP(db_emp[[#This Row],[ID_SDP]],[1]!db_div[[Code_div]:[Division]],2,0),"-")</f>
        <v>Messenger</v>
      </c>
      <c r="P529" s="74" t="str">
        <f>_xlfn.IFNA(VLOOKUP(db_emp[[#This Row],[Code_lvl]],[1]!db_lvl[[#All],[ID_level]:[Leveling Name]],2,0),"-")</f>
        <v>Non Staff</v>
      </c>
      <c r="Q529" s="74" t="str">
        <f>_xlfn.IFNA(VLOOKUP(db_emp[[#This Row],[Code_site]],[1]!db_site[[ID_Site]:[Url_maps]],3,0),"-")</f>
        <v>Unit - Hublife</v>
      </c>
      <c r="R5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230676,'Syahrulloh.','HRG','MSSGR','Messenger Non Staff','LV13','Mall','M05','Employee','2018-11-05','2025-10-24'</v>
      </c>
      <c r="S529" s="74">
        <f>db_emp[[#This Row],[NIP (UPDATE)]]</f>
        <v>230676</v>
      </c>
    </row>
    <row r="530" spans="2:19" hidden="1" x14ac:dyDescent="0.25">
      <c r="B530" s="75">
        <v>395</v>
      </c>
      <c r="C530" s="75">
        <v>231460</v>
      </c>
      <c r="D530" s="74" t="s">
        <v>1641</v>
      </c>
      <c r="E530" s="75" t="s">
        <v>1123</v>
      </c>
      <c r="F530" s="75" t="s">
        <v>1638</v>
      </c>
      <c r="G530" s="74" t="s">
        <v>1639</v>
      </c>
      <c r="H530" s="75" t="s">
        <v>1640</v>
      </c>
      <c r="I530" s="74" t="s">
        <v>849</v>
      </c>
      <c r="J530" s="75" t="s">
        <v>316</v>
      </c>
      <c r="K530" s="75" t="s">
        <v>850</v>
      </c>
      <c r="L530" s="76">
        <v>43018</v>
      </c>
      <c r="M530" s="77">
        <f t="shared" ca="1" si="15"/>
        <v>45954</v>
      </c>
      <c r="N530" s="74" t="str">
        <f>_xlfn.IFNA(VLOOKUP(db_emp[[#This Row],[ID_DIV]],[1]!db_dpt[[Code_dpt]:[Departement]],2,0),"-")</f>
        <v>HR &amp; GA</v>
      </c>
      <c r="O530" s="74" t="str">
        <f>_xlfn.IFNA(VLOOKUP(db_emp[[#This Row],[ID_SDP]],[1]!db_div[[Code_div]:[Division]],2,0),"-")</f>
        <v>Messenger</v>
      </c>
      <c r="P530" s="74" t="str">
        <f>_xlfn.IFNA(VLOOKUP(db_emp[[#This Row],[Code_lvl]],[1]!db_lvl[[#All],[ID_level]:[Leveling Name]],2,0),"-")</f>
        <v>Non Staff</v>
      </c>
      <c r="Q530" s="74" t="str">
        <f>_xlfn.IFNA(VLOOKUP(db_emp[[#This Row],[Code_site]],[1]!db_site[[ID_Site]:[Url_maps]],3,0),"-")</f>
        <v>Unit - GGP</v>
      </c>
      <c r="R5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231460,'Azistia Kurniadi','HRG','MSSGR','Messenger Non Staff','LV13','Mall &amp; Cinema','M03','Employee','2017-10-10','2025-10-24'</v>
      </c>
      <c r="S530" s="74">
        <f>db_emp[[#This Row],[NIP (UPDATE)]]</f>
        <v>231460</v>
      </c>
    </row>
    <row r="531" spans="2:19" hidden="1" x14ac:dyDescent="0.25">
      <c r="B531" s="75">
        <v>510</v>
      </c>
      <c r="C531" s="75">
        <v>140975</v>
      </c>
      <c r="D531" s="74" t="s">
        <v>1642</v>
      </c>
      <c r="E531" s="75" t="s">
        <v>1123</v>
      </c>
      <c r="F531" s="75" t="s">
        <v>1638</v>
      </c>
      <c r="G531" s="74" t="s">
        <v>1639</v>
      </c>
      <c r="H531" s="75" t="s">
        <v>1640</v>
      </c>
      <c r="I531" s="74" t="s">
        <v>864</v>
      </c>
      <c r="J531" s="75" t="s">
        <v>441</v>
      </c>
      <c r="K531" s="75" t="s">
        <v>850</v>
      </c>
      <c r="L531" s="76">
        <v>41890</v>
      </c>
      <c r="M531" s="77">
        <f t="shared" ca="1" si="15"/>
        <v>45954</v>
      </c>
      <c r="N531" s="74" t="str">
        <f>_xlfn.IFNA(VLOOKUP(db_emp[[#This Row],[ID_DIV]],[1]!db_dpt[[Code_dpt]:[Departement]],2,0),"-")</f>
        <v>HR &amp; GA</v>
      </c>
      <c r="O531" s="74" t="str">
        <f>_xlfn.IFNA(VLOOKUP(db_emp[[#This Row],[ID_SDP]],[1]!db_div[[Code_div]:[Division]],2,0),"-")</f>
        <v>Messenger</v>
      </c>
      <c r="P531" s="74" t="str">
        <f>_xlfn.IFNA(VLOOKUP(db_emp[[#This Row],[Code_lvl]],[1]!db_lvl[[#All],[ID_level]:[Leveling Name]],2,0),"-")</f>
        <v>Non Staff</v>
      </c>
      <c r="Q531" s="74" t="str">
        <f>_xlfn.IFNA(VLOOKUP(db_emp[[#This Row],[Code_site]],[1]!db_site[[ID_Site]:[Url_maps]],3,0),"-")</f>
        <v>Unit - Fatmawati City Center</v>
      </c>
      <c r="R5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140975,'Achmad Ardita','HRG','MSSGR','Messenger Non Staff','LV13','Corp. Supporting Property (POM)','A02','Employee','2014-09-08','2025-10-24'</v>
      </c>
      <c r="S531" s="74">
        <f>db_emp[[#This Row],[NIP (UPDATE)]]</f>
        <v>140975</v>
      </c>
    </row>
    <row r="532" spans="2:19" hidden="1" x14ac:dyDescent="0.25">
      <c r="B532" s="75">
        <v>543</v>
      </c>
      <c r="C532" s="75">
        <v>232082</v>
      </c>
      <c r="D532" s="74" t="s">
        <v>1643</v>
      </c>
      <c r="E532" s="75" t="s">
        <v>1123</v>
      </c>
      <c r="F532" s="75" t="s">
        <v>1638</v>
      </c>
      <c r="G532" s="74" t="s">
        <v>1639</v>
      </c>
      <c r="H532" s="75" t="s">
        <v>1640</v>
      </c>
      <c r="I532" s="74" t="s">
        <v>864</v>
      </c>
      <c r="J532" s="75" t="s">
        <v>446</v>
      </c>
      <c r="K532" s="75" t="s">
        <v>850</v>
      </c>
      <c r="L532" s="76">
        <v>43444</v>
      </c>
      <c r="M532" s="77">
        <f t="shared" ca="1" si="15"/>
        <v>45954</v>
      </c>
      <c r="N532" s="74" t="str">
        <f>_xlfn.IFNA(VLOOKUP(db_emp[[#This Row],[ID_DIV]],[1]!db_dpt[[Code_dpt]:[Departement]],2,0),"-")</f>
        <v>HR &amp; GA</v>
      </c>
      <c r="O532" s="74" t="str">
        <f>_xlfn.IFNA(VLOOKUP(db_emp[[#This Row],[ID_SDP]],[1]!db_div[[Code_div]:[Division]],2,0),"-")</f>
        <v>Messenger</v>
      </c>
      <c r="P532" s="74" t="str">
        <f>_xlfn.IFNA(VLOOKUP(db_emp[[#This Row],[Code_lvl]],[1]!db_lvl[[#All],[ID_level]:[Leveling Name]],2,0),"-")</f>
        <v>Non Staff</v>
      </c>
      <c r="Q532" s="74" t="str">
        <f>_xlfn.IFNA(VLOOKUP(db_emp[[#This Row],[Code_site]],[1]!db_site[[ID_Site]:[Url_maps]],3,0),"-")</f>
        <v>Unit - Menara Jakarta POM</v>
      </c>
      <c r="R5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232082,'Unang Satyanggara','HRG','MSSGR','Messenger Non Staff','LV13','Corp. Supporting Property (POM)','A03','Employee','2018-12-10','2025-10-24'</v>
      </c>
      <c r="S532" s="74">
        <f>db_emp[[#This Row],[NIP (UPDATE)]]</f>
        <v>232082</v>
      </c>
    </row>
    <row r="533" spans="2:19" hidden="1" x14ac:dyDescent="0.25">
      <c r="B533" s="75">
        <v>191</v>
      </c>
      <c r="C533" s="75">
        <v>120787</v>
      </c>
      <c r="D533" s="74" t="s">
        <v>1644</v>
      </c>
      <c r="E533" s="75" t="s">
        <v>1123</v>
      </c>
      <c r="F533" s="75" t="s">
        <v>1638</v>
      </c>
      <c r="G533" s="74" t="s">
        <v>1639</v>
      </c>
      <c r="H533" s="75" t="s">
        <v>1640</v>
      </c>
      <c r="I533" s="74" t="s">
        <v>849</v>
      </c>
      <c r="J533" s="75" t="s">
        <v>314</v>
      </c>
      <c r="K533" s="75" t="s">
        <v>850</v>
      </c>
      <c r="L533" s="76">
        <v>41099</v>
      </c>
      <c r="M533" s="77">
        <f t="shared" ca="1" si="15"/>
        <v>45954</v>
      </c>
      <c r="N533" s="74" t="str">
        <f>_xlfn.IFNA(VLOOKUP(db_emp[[#This Row],[ID_DIV]],[1]!db_dpt[[Code_dpt]:[Departement]],2,0),"-")</f>
        <v>HR &amp; GA</v>
      </c>
      <c r="O533" s="74" t="str">
        <f>_xlfn.IFNA(VLOOKUP(db_emp[[#This Row],[ID_SDP]],[1]!db_div[[Code_div]:[Division]],2,0),"-")</f>
        <v>Messenger</v>
      </c>
      <c r="P533" s="74" t="str">
        <f>_xlfn.IFNA(VLOOKUP(db_emp[[#This Row],[Code_lvl]],[1]!db_lvl[[#All],[ID_level]:[Leveling Name]],2,0),"-")</f>
        <v>Non Staff</v>
      </c>
      <c r="Q533" s="74" t="str">
        <f>_xlfn.IFNA(VLOOKUP(db_emp[[#This Row],[Code_site]],[1]!db_site[[ID_Site]:[Url_maps]],3,0),"-")</f>
        <v>Unit - MOI</v>
      </c>
      <c r="R5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120787,'Sugeng.','HRG','MSSGR','Messenger Non Staff','LV13','Mall &amp; Cinema','M02','Employee','2012-07-09','2025-10-24'</v>
      </c>
      <c r="S533" s="74">
        <f>db_emp[[#This Row],[NIP (UPDATE)]]</f>
        <v>120787</v>
      </c>
    </row>
    <row r="534" spans="2:19" hidden="1" x14ac:dyDescent="0.25">
      <c r="B534" s="75">
        <v>300</v>
      </c>
      <c r="C534" s="75">
        <v>230713</v>
      </c>
      <c r="D534" s="74" t="s">
        <v>1645</v>
      </c>
      <c r="E534" s="75" t="s">
        <v>1123</v>
      </c>
      <c r="F534" s="75" t="s">
        <v>1638</v>
      </c>
      <c r="G534" s="74" t="s">
        <v>1639</v>
      </c>
      <c r="H534" s="75" t="s">
        <v>1640</v>
      </c>
      <c r="I534" s="74" t="s">
        <v>849</v>
      </c>
      <c r="J534" s="75" t="s">
        <v>484</v>
      </c>
      <c r="K534" s="75" t="s">
        <v>850</v>
      </c>
      <c r="L534" s="76">
        <v>42928</v>
      </c>
      <c r="M534" s="77">
        <f t="shared" ca="1" si="15"/>
        <v>45954</v>
      </c>
      <c r="N534" s="74" t="str">
        <f>_xlfn.IFNA(VLOOKUP(db_emp[[#This Row],[ID_DIV]],[1]!db_dpt[[Code_dpt]:[Departement]],2,0),"-")</f>
        <v>HR &amp; GA</v>
      </c>
      <c r="O534" s="74" t="str">
        <f>_xlfn.IFNA(VLOOKUP(db_emp[[#This Row],[ID_SDP]],[1]!db_div[[Code_div]:[Division]],2,0),"-")</f>
        <v>Messenger</v>
      </c>
      <c r="P534" s="74" t="str">
        <f>_xlfn.IFNA(VLOOKUP(db_emp[[#This Row],[Code_lvl]],[1]!db_lvl[[#All],[ID_level]:[Leveling Name]],2,0),"-")</f>
        <v>Non Staff</v>
      </c>
      <c r="Q534" s="74" t="str">
        <f>_xlfn.IFNA(VLOOKUP(db_emp[[#This Row],[Code_site]],[1]!db_site[[ID_Site]:[Url_maps]],3,0),"-")</f>
        <v>Unit - PIK Avenue</v>
      </c>
      <c r="R5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230713,'Deri Ardiansyah','HRG','MSSGR','Messenger Non Staff','LV13','Mall &amp; Cinema','M01','Employee','2017-07-12','2025-10-24'</v>
      </c>
      <c r="S534" s="74">
        <f>db_emp[[#This Row],[NIP (UPDATE)]]</f>
        <v>230713</v>
      </c>
    </row>
    <row r="535" spans="2:19" hidden="1" x14ac:dyDescent="0.25">
      <c r="B535" s="75">
        <v>615</v>
      </c>
      <c r="C535" s="75">
        <v>232130</v>
      </c>
      <c r="D535" s="74" t="s">
        <v>1646</v>
      </c>
      <c r="E535" s="75" t="s">
        <v>1123</v>
      </c>
      <c r="F535" s="75" t="s">
        <v>1638</v>
      </c>
      <c r="G535" s="74" t="s">
        <v>1639</v>
      </c>
      <c r="H535" s="75" t="s">
        <v>1640</v>
      </c>
      <c r="I535" s="74" t="s">
        <v>864</v>
      </c>
      <c r="J535" s="75" t="s">
        <v>433</v>
      </c>
      <c r="K535" s="75" t="s">
        <v>850</v>
      </c>
      <c r="L535" s="76">
        <v>43276</v>
      </c>
      <c r="M535" s="77">
        <f t="shared" ca="1" si="15"/>
        <v>45954</v>
      </c>
      <c r="N535" s="74" t="str">
        <f>_xlfn.IFNA(VLOOKUP(db_emp[[#This Row],[ID_DIV]],[1]!db_dpt[[Code_dpt]:[Departement]],2,0),"-")</f>
        <v>HR &amp; GA</v>
      </c>
      <c r="O535" s="74" t="str">
        <f>_xlfn.IFNA(VLOOKUP(db_emp[[#This Row],[ID_SDP]],[1]!db_div[[Code_div]:[Division]],2,0),"-")</f>
        <v>Messenger</v>
      </c>
      <c r="P535" s="74" t="str">
        <f>_xlfn.IFNA(VLOOKUP(db_emp[[#This Row],[Code_lvl]],[1]!db_lvl[[#All],[ID_level]:[Leveling Name]],2,0),"-")</f>
        <v>Non Staff</v>
      </c>
      <c r="Q535" s="74" t="str">
        <f>_xlfn.IFNA(VLOOKUP(db_emp[[#This Row],[Code_site]],[1]!db_site[[ID_Site]:[Url_maps]],3,0),"-")</f>
        <v>Unit - Taman Anggrek Residences</v>
      </c>
      <c r="R5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232130,'Muhamad Haris','HRG','MSSGR','Messenger Non Staff','LV13','Corp. Supporting Property (POM)','A01','Employee','2018-06-25','2025-10-24'</v>
      </c>
      <c r="S535" s="74">
        <f>db_emp[[#This Row],[NIP (UPDATE)]]</f>
        <v>232130</v>
      </c>
    </row>
    <row r="536" spans="2:19" hidden="1" x14ac:dyDescent="0.25">
      <c r="B536" s="75">
        <v>689</v>
      </c>
      <c r="C536" s="75">
        <v>230894</v>
      </c>
      <c r="D536" s="74" t="s">
        <v>1647</v>
      </c>
      <c r="E536" s="75" t="s">
        <v>1123</v>
      </c>
      <c r="F536" s="75" t="s">
        <v>1638</v>
      </c>
      <c r="G536" s="74" t="s">
        <v>1639</v>
      </c>
      <c r="H536" s="75" t="s">
        <v>1640</v>
      </c>
      <c r="I536" s="74" t="s">
        <v>864</v>
      </c>
      <c r="J536" s="75" t="s">
        <v>501</v>
      </c>
      <c r="K536" s="75" t="s">
        <v>850</v>
      </c>
      <c r="L536" s="76"/>
      <c r="M536" s="77">
        <f t="shared" ca="1" si="15"/>
        <v>45954</v>
      </c>
      <c r="N536" s="74" t="str">
        <f>_xlfn.IFNA(VLOOKUP(db_emp[[#This Row],[ID_DIV]],[1]!db_dpt[[Code_dpt]:[Departement]],2,0),"-")</f>
        <v>HR &amp; GA</v>
      </c>
      <c r="O536" s="74" t="str">
        <f>_xlfn.IFNA(VLOOKUP(db_emp[[#This Row],[ID_SDP]],[1]!db_div[[Code_div]:[Division]],2,0),"-")</f>
        <v>Messenger</v>
      </c>
      <c r="P536" s="74" t="str">
        <f>_xlfn.IFNA(VLOOKUP(db_emp[[#This Row],[Code_lvl]],[1]!db_lvl[[#All],[ID_level]:[Leveling Name]],2,0),"-")</f>
        <v>Non Staff</v>
      </c>
      <c r="Q536" s="74" t="str">
        <f>_xlfn.IFNA(VLOOKUP(db_emp[[#This Row],[Code_site]],[1]!db_site[[ID_Site]:[Url_maps]],3,0),"-")</f>
        <v>Unit - District 8</v>
      </c>
      <c r="R5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230894,'Djamal Syaiful Nur Hakim','HRG','MSSGR','Messenger Non Staff','LV13','Corp. Supporting Property (POM)','OD8','Employee','1900-01-00','2025-10-24'</v>
      </c>
      <c r="S536" s="74">
        <f>db_emp[[#This Row],[NIP (UPDATE)]]</f>
        <v>230894</v>
      </c>
    </row>
    <row r="537" spans="2:19" hidden="1" x14ac:dyDescent="0.25">
      <c r="B537" s="75">
        <v>177</v>
      </c>
      <c r="C537" s="75">
        <v>131280</v>
      </c>
      <c r="D537" s="74" t="s">
        <v>1648</v>
      </c>
      <c r="E537" s="75" t="s">
        <v>911</v>
      </c>
      <c r="F537" s="75" t="s">
        <v>1649</v>
      </c>
      <c r="G537" s="74" t="s">
        <v>1650</v>
      </c>
      <c r="H537" s="75" t="s">
        <v>853</v>
      </c>
      <c r="I537" s="74" t="s">
        <v>849</v>
      </c>
      <c r="J537" s="75" t="s">
        <v>314</v>
      </c>
      <c r="K537" s="75" t="s">
        <v>850</v>
      </c>
      <c r="L537" s="76">
        <v>41596</v>
      </c>
      <c r="M537" s="77">
        <f t="shared" ca="1" si="15"/>
        <v>45954</v>
      </c>
      <c r="N537" s="74" t="str">
        <f>_xlfn.IFNA(VLOOKUP(db_emp[[#This Row],[ID_DIV]],[1]!db_dpt[[Code_dpt]:[Departement]],2,0),"-")</f>
        <v>Engineering</v>
      </c>
      <c r="O537" s="74" t="str">
        <f>_xlfn.IFNA(VLOOKUP(db_emp[[#This Row],[ID_SDP]],[1]!db_div[[Code_div]:[Division]],2,0),"-")</f>
        <v>MVAC</v>
      </c>
      <c r="P537" s="74" t="str">
        <f>_xlfn.IFNA(VLOOKUP(db_emp[[#This Row],[Code_lvl]],[1]!db_lvl[[#All],[ID_level]:[Leveling Name]],2,0),"-")</f>
        <v>Staff</v>
      </c>
      <c r="Q537" s="74" t="str">
        <f>_xlfn.IFNA(VLOOKUP(db_emp[[#This Row],[Code_site]],[1]!db_site[[ID_Site]:[Url_maps]],3,0),"-")</f>
        <v>Unit - MOI</v>
      </c>
      <c r="R5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131280,'Abdul Chalim','ENG','MVACD','MVAC Staff','LV12','Mall &amp; Cinema','M02','Employee','2013-11-18','2025-10-24'</v>
      </c>
      <c r="S537" s="74">
        <f>db_emp[[#This Row],[NIP (UPDATE)]]</f>
        <v>131280</v>
      </c>
    </row>
    <row r="538" spans="2:19" hidden="1" x14ac:dyDescent="0.25">
      <c r="B538" s="75">
        <v>179</v>
      </c>
      <c r="C538" s="75">
        <v>102151</v>
      </c>
      <c r="D538" s="74" t="s">
        <v>1651</v>
      </c>
      <c r="E538" s="75" t="s">
        <v>911</v>
      </c>
      <c r="F538" s="75" t="s">
        <v>1649</v>
      </c>
      <c r="G538" s="74" t="s">
        <v>1650</v>
      </c>
      <c r="H538" s="75" t="s">
        <v>853</v>
      </c>
      <c r="I538" s="74" t="s">
        <v>849</v>
      </c>
      <c r="J538" s="75" t="s">
        <v>314</v>
      </c>
      <c r="K538" s="75" t="s">
        <v>850</v>
      </c>
      <c r="L538" s="76">
        <v>39995</v>
      </c>
      <c r="M538" s="77">
        <f t="shared" ca="1" si="15"/>
        <v>45954</v>
      </c>
      <c r="N538" s="74" t="str">
        <f>_xlfn.IFNA(VLOOKUP(db_emp[[#This Row],[ID_DIV]],[1]!db_dpt[[Code_dpt]:[Departement]],2,0),"-")</f>
        <v>Engineering</v>
      </c>
      <c r="O538" s="74" t="str">
        <f>_xlfn.IFNA(VLOOKUP(db_emp[[#This Row],[ID_SDP]],[1]!db_div[[Code_div]:[Division]],2,0),"-")</f>
        <v>MVAC</v>
      </c>
      <c r="P538" s="74" t="str">
        <f>_xlfn.IFNA(VLOOKUP(db_emp[[#This Row],[Code_lvl]],[1]!db_lvl[[#All],[ID_level]:[Leveling Name]],2,0),"-")</f>
        <v>Staff</v>
      </c>
      <c r="Q538" s="74" t="str">
        <f>_xlfn.IFNA(VLOOKUP(db_emp[[#This Row],[Code_site]],[1]!db_site[[ID_Site]:[Url_maps]],3,0),"-")</f>
        <v>Unit - MOI</v>
      </c>
      <c r="R5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102151,'Harun Rizal','ENG','MVACD','MVAC Staff','LV12','Mall &amp; Cinema','M02','Employee','2009-07-01','2025-10-24'</v>
      </c>
      <c r="S538" s="74">
        <f>db_emp[[#This Row],[NIP (UPDATE)]]</f>
        <v>102151</v>
      </c>
    </row>
    <row r="539" spans="2:19" hidden="1" x14ac:dyDescent="0.25">
      <c r="B539" s="75">
        <v>185</v>
      </c>
      <c r="C539" s="75">
        <v>130971</v>
      </c>
      <c r="D539" s="74" t="s">
        <v>1652</v>
      </c>
      <c r="E539" s="75" t="s">
        <v>911</v>
      </c>
      <c r="F539" s="75" t="s">
        <v>1649</v>
      </c>
      <c r="G539" s="74" t="s">
        <v>1650</v>
      </c>
      <c r="H539" s="75" t="s">
        <v>853</v>
      </c>
      <c r="I539" s="74" t="s">
        <v>849</v>
      </c>
      <c r="J539" s="75" t="s">
        <v>314</v>
      </c>
      <c r="K539" s="75" t="s">
        <v>850</v>
      </c>
      <c r="L539" s="76">
        <v>41528</v>
      </c>
      <c r="M539" s="77">
        <f t="shared" ca="1" si="15"/>
        <v>45954</v>
      </c>
      <c r="N539" s="74" t="str">
        <f>_xlfn.IFNA(VLOOKUP(db_emp[[#This Row],[ID_DIV]],[1]!db_dpt[[Code_dpt]:[Departement]],2,0),"-")</f>
        <v>Engineering</v>
      </c>
      <c r="O539" s="74" t="str">
        <f>_xlfn.IFNA(VLOOKUP(db_emp[[#This Row],[ID_SDP]],[1]!db_div[[Code_div]:[Division]],2,0),"-")</f>
        <v>MVAC</v>
      </c>
      <c r="P539" s="74" t="str">
        <f>_xlfn.IFNA(VLOOKUP(db_emp[[#This Row],[Code_lvl]],[1]!db_lvl[[#All],[ID_level]:[Leveling Name]],2,0),"-")</f>
        <v>Staff</v>
      </c>
      <c r="Q539" s="74" t="str">
        <f>_xlfn.IFNA(VLOOKUP(db_emp[[#This Row],[Code_site]],[1]!db_site[[ID_Site]:[Url_maps]],3,0),"-")</f>
        <v>Unit - MOI</v>
      </c>
      <c r="R5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130971,'Sugeng Iswanto','ENG','MVACD','MVAC Staff','LV12','Mall &amp; Cinema','M02','Employee','2013-09-11','2025-10-24'</v>
      </c>
      <c r="S539" s="74">
        <f>db_emp[[#This Row],[NIP (UPDATE)]]</f>
        <v>130971</v>
      </c>
    </row>
    <row r="540" spans="2:19" hidden="1" x14ac:dyDescent="0.25">
      <c r="B540" s="75">
        <v>221</v>
      </c>
      <c r="C540" s="75">
        <v>220775</v>
      </c>
      <c r="D540" s="74" t="s">
        <v>1653</v>
      </c>
      <c r="E540" s="75" t="s">
        <v>911</v>
      </c>
      <c r="F540" s="75" t="s">
        <v>1649</v>
      </c>
      <c r="G540" s="74" t="s">
        <v>1650</v>
      </c>
      <c r="H540" s="75" t="s">
        <v>853</v>
      </c>
      <c r="I540" s="74" t="s">
        <v>849</v>
      </c>
      <c r="J540" s="75" t="s">
        <v>314</v>
      </c>
      <c r="K540" s="75" t="s">
        <v>850</v>
      </c>
      <c r="L540" s="76">
        <v>44714</v>
      </c>
      <c r="M540" s="77">
        <f t="shared" ca="1" si="15"/>
        <v>45954</v>
      </c>
      <c r="N540" s="74" t="str">
        <f>_xlfn.IFNA(VLOOKUP(db_emp[[#This Row],[ID_DIV]],[1]!db_dpt[[Code_dpt]:[Departement]],2,0),"-")</f>
        <v>Engineering</v>
      </c>
      <c r="O540" s="74" t="str">
        <f>_xlfn.IFNA(VLOOKUP(db_emp[[#This Row],[ID_SDP]],[1]!db_div[[Code_div]:[Division]],2,0),"-")</f>
        <v>MVAC</v>
      </c>
      <c r="P540" s="74" t="str">
        <f>_xlfn.IFNA(VLOOKUP(db_emp[[#This Row],[Code_lvl]],[1]!db_lvl[[#All],[ID_level]:[Leveling Name]],2,0),"-")</f>
        <v>Staff</v>
      </c>
      <c r="Q540" s="74" t="str">
        <f>_xlfn.IFNA(VLOOKUP(db_emp[[#This Row],[Code_site]],[1]!db_site[[ID_Site]:[Url_maps]],3,0),"-")</f>
        <v>Unit - MOI</v>
      </c>
      <c r="R5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220775,'Noer Achmad Fachreza','ENG','MVACD','MVAC Staff','LV12','Mall &amp; Cinema','M02','Employee','2022-06-02','2025-10-24'</v>
      </c>
      <c r="S540" s="74">
        <f>db_emp[[#This Row],[NIP (UPDATE)]]</f>
        <v>220775</v>
      </c>
    </row>
    <row r="541" spans="2:19" hidden="1" x14ac:dyDescent="0.25">
      <c r="B541" s="75">
        <v>225</v>
      </c>
      <c r="C541" s="75">
        <v>221468</v>
      </c>
      <c r="D541" s="74" t="s">
        <v>1654</v>
      </c>
      <c r="E541" s="75" t="s">
        <v>911</v>
      </c>
      <c r="F541" s="75" t="s">
        <v>1649</v>
      </c>
      <c r="G541" s="74" t="s">
        <v>1650</v>
      </c>
      <c r="H541" s="75" t="s">
        <v>853</v>
      </c>
      <c r="I541" s="74" t="s">
        <v>849</v>
      </c>
      <c r="J541" s="75" t="s">
        <v>314</v>
      </c>
      <c r="K541" s="75" t="s">
        <v>850</v>
      </c>
      <c r="L541" s="76">
        <v>44830</v>
      </c>
      <c r="M541" s="77">
        <f t="shared" ca="1" si="15"/>
        <v>45954</v>
      </c>
      <c r="N541" s="74" t="str">
        <f>_xlfn.IFNA(VLOOKUP(db_emp[[#This Row],[ID_DIV]],[1]!db_dpt[[Code_dpt]:[Departement]],2,0),"-")</f>
        <v>Engineering</v>
      </c>
      <c r="O541" s="74" t="str">
        <f>_xlfn.IFNA(VLOOKUP(db_emp[[#This Row],[ID_SDP]],[1]!db_div[[Code_div]:[Division]],2,0),"-")</f>
        <v>MVAC</v>
      </c>
      <c r="P541" s="74" t="str">
        <f>_xlfn.IFNA(VLOOKUP(db_emp[[#This Row],[Code_lvl]],[1]!db_lvl[[#All],[ID_level]:[Leveling Name]],2,0),"-")</f>
        <v>Staff</v>
      </c>
      <c r="Q541" s="74" t="str">
        <f>_xlfn.IFNA(VLOOKUP(db_emp[[#This Row],[Code_site]],[1]!db_site[[ID_Site]:[Url_maps]],3,0),"-")</f>
        <v>Unit - MOI</v>
      </c>
      <c r="R5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221468,'Nahdi Eko Wisnu Brata','ENG','MVACD','MVAC Staff','LV12','Mall &amp; Cinema','M02','Employee','2022-09-26','2025-10-24'</v>
      </c>
      <c r="S541" s="74">
        <f>db_emp[[#This Row],[NIP (UPDATE)]]</f>
        <v>221468</v>
      </c>
    </row>
    <row r="542" spans="2:19" hidden="1" x14ac:dyDescent="0.25">
      <c r="B542" s="75">
        <v>270</v>
      </c>
      <c r="C542" s="75">
        <v>242068</v>
      </c>
      <c r="D542" s="74" t="s">
        <v>1655</v>
      </c>
      <c r="E542" s="75" t="s">
        <v>911</v>
      </c>
      <c r="F542" s="75" t="s">
        <v>1649</v>
      </c>
      <c r="G542" s="74" t="s">
        <v>1650</v>
      </c>
      <c r="H542" s="75" t="s">
        <v>853</v>
      </c>
      <c r="I542" s="74" t="s">
        <v>849</v>
      </c>
      <c r="J542" s="75" t="s">
        <v>314</v>
      </c>
      <c r="K542" s="75" t="s">
        <v>850</v>
      </c>
      <c r="L542" s="76">
        <v>45611</v>
      </c>
      <c r="M542" s="77">
        <f t="shared" ca="1" si="15"/>
        <v>45954</v>
      </c>
      <c r="N542" s="74" t="str">
        <f>_xlfn.IFNA(VLOOKUP(db_emp[[#This Row],[ID_DIV]],[1]!db_dpt[[Code_dpt]:[Departement]],2,0),"-")</f>
        <v>Engineering</v>
      </c>
      <c r="O542" s="74" t="str">
        <f>_xlfn.IFNA(VLOOKUP(db_emp[[#This Row],[ID_SDP]],[1]!db_div[[Code_div]:[Division]],2,0),"-")</f>
        <v>MVAC</v>
      </c>
      <c r="P542" s="74" t="str">
        <f>_xlfn.IFNA(VLOOKUP(db_emp[[#This Row],[Code_lvl]],[1]!db_lvl[[#All],[ID_level]:[Leveling Name]],2,0),"-")</f>
        <v>Staff</v>
      </c>
      <c r="Q542" s="74" t="str">
        <f>_xlfn.IFNA(VLOOKUP(db_emp[[#This Row],[Code_site]],[1]!db_site[[ID_Site]:[Url_maps]],3,0),"-")</f>
        <v>Unit - MOI</v>
      </c>
      <c r="R5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242068,'Iqbal Sahputra','ENG','MVACD','MVAC Staff','LV12','Mall &amp; Cinema','M02','Employee','2024-11-15','2025-10-24'</v>
      </c>
      <c r="S542" s="74">
        <f>db_emp[[#This Row],[NIP (UPDATE)]]</f>
        <v>242068</v>
      </c>
    </row>
    <row r="543" spans="2:19" hidden="1" x14ac:dyDescent="0.25">
      <c r="B543" s="75">
        <v>321</v>
      </c>
      <c r="C543" s="75">
        <v>120207</v>
      </c>
      <c r="D543" s="74" t="s">
        <v>1656</v>
      </c>
      <c r="E543" s="75" t="s">
        <v>911</v>
      </c>
      <c r="F543" s="75" t="s">
        <v>1649</v>
      </c>
      <c r="G543" s="74" t="s">
        <v>1650</v>
      </c>
      <c r="H543" s="75" t="s">
        <v>853</v>
      </c>
      <c r="I543" s="74" t="s">
        <v>849</v>
      </c>
      <c r="J543" s="75" t="s">
        <v>484</v>
      </c>
      <c r="K543" s="75" t="s">
        <v>850</v>
      </c>
      <c r="L543" s="76">
        <v>40945</v>
      </c>
      <c r="M543" s="77">
        <f t="shared" ca="1" si="15"/>
        <v>45954</v>
      </c>
      <c r="N543" s="74" t="str">
        <f>_xlfn.IFNA(VLOOKUP(db_emp[[#This Row],[ID_DIV]],[1]!db_dpt[[Code_dpt]:[Departement]],2,0),"-")</f>
        <v>Engineering</v>
      </c>
      <c r="O543" s="74" t="str">
        <f>_xlfn.IFNA(VLOOKUP(db_emp[[#This Row],[ID_SDP]],[1]!db_div[[Code_div]:[Division]],2,0),"-")</f>
        <v>MVAC</v>
      </c>
      <c r="P543" s="74" t="str">
        <f>_xlfn.IFNA(VLOOKUP(db_emp[[#This Row],[Code_lvl]],[1]!db_lvl[[#All],[ID_level]:[Leveling Name]],2,0),"-")</f>
        <v>Staff</v>
      </c>
      <c r="Q543" s="74" t="str">
        <f>_xlfn.IFNA(VLOOKUP(db_emp[[#This Row],[Code_site]],[1]!db_site[[ID_Site]:[Url_maps]],3,0),"-")</f>
        <v>Unit - PIK Avenue</v>
      </c>
      <c r="R5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120207,'Verry Pratama','ENG','MVACD','MVAC Staff','LV12','Mall &amp; Cinema','M01','Employee','2012-02-06','2025-10-24'</v>
      </c>
      <c r="S543" s="74">
        <f>db_emp[[#This Row],[NIP (UPDATE)]]</f>
        <v>120207</v>
      </c>
    </row>
    <row r="544" spans="2:19" hidden="1" x14ac:dyDescent="0.25">
      <c r="B544" s="75">
        <v>325</v>
      </c>
      <c r="C544" s="75">
        <v>220602</v>
      </c>
      <c r="D544" s="74" t="s">
        <v>1657</v>
      </c>
      <c r="E544" s="75" t="s">
        <v>911</v>
      </c>
      <c r="F544" s="75" t="s">
        <v>1649</v>
      </c>
      <c r="G544" s="74" t="s">
        <v>1650</v>
      </c>
      <c r="H544" s="75" t="s">
        <v>853</v>
      </c>
      <c r="I544" s="74" t="s">
        <v>849</v>
      </c>
      <c r="J544" s="75" t="s">
        <v>484</v>
      </c>
      <c r="K544" s="75" t="s">
        <v>850</v>
      </c>
      <c r="L544" s="76">
        <v>44676</v>
      </c>
      <c r="M544" s="77">
        <f t="shared" ca="1" si="15"/>
        <v>45954</v>
      </c>
      <c r="N544" s="74" t="str">
        <f>_xlfn.IFNA(VLOOKUP(db_emp[[#This Row],[ID_DIV]],[1]!db_dpt[[Code_dpt]:[Departement]],2,0),"-")</f>
        <v>Engineering</v>
      </c>
      <c r="O544" s="74" t="str">
        <f>_xlfn.IFNA(VLOOKUP(db_emp[[#This Row],[ID_SDP]],[1]!db_div[[Code_div]:[Division]],2,0),"-")</f>
        <v>MVAC</v>
      </c>
      <c r="P544" s="74" t="str">
        <f>_xlfn.IFNA(VLOOKUP(db_emp[[#This Row],[Code_lvl]],[1]!db_lvl[[#All],[ID_level]:[Leveling Name]],2,0),"-")</f>
        <v>Staff</v>
      </c>
      <c r="Q544" s="74" t="str">
        <f>_xlfn.IFNA(VLOOKUP(db_emp[[#This Row],[Code_site]],[1]!db_site[[ID_Site]:[Url_maps]],3,0),"-")</f>
        <v>Unit - PIK Avenue</v>
      </c>
      <c r="R5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220602,'Anif Furqon','ENG','MVACD','MVAC Staff','LV12','Mall &amp; Cinema','M01','Employee','2022-04-25','2025-10-24'</v>
      </c>
      <c r="S544" s="74">
        <f>db_emp[[#This Row],[NIP (UPDATE)]]</f>
        <v>220602</v>
      </c>
    </row>
    <row r="545" spans="2:19" hidden="1" x14ac:dyDescent="0.25">
      <c r="B545" s="75">
        <v>330</v>
      </c>
      <c r="C545" s="75">
        <v>240831</v>
      </c>
      <c r="D545" s="74" t="s">
        <v>1658</v>
      </c>
      <c r="E545" s="75" t="s">
        <v>911</v>
      </c>
      <c r="F545" s="75" t="s">
        <v>1649</v>
      </c>
      <c r="G545" s="74" t="s">
        <v>1650</v>
      </c>
      <c r="H545" s="75" t="s">
        <v>853</v>
      </c>
      <c r="I545" s="74" t="s">
        <v>849</v>
      </c>
      <c r="J545" s="75" t="s">
        <v>484</v>
      </c>
      <c r="K545" s="75" t="s">
        <v>850</v>
      </c>
      <c r="L545" s="76">
        <v>45418</v>
      </c>
      <c r="M545" s="77">
        <f t="shared" ca="1" si="15"/>
        <v>45954</v>
      </c>
      <c r="N545" s="74" t="str">
        <f>_xlfn.IFNA(VLOOKUP(db_emp[[#This Row],[ID_DIV]],[1]!db_dpt[[Code_dpt]:[Departement]],2,0),"-")</f>
        <v>Engineering</v>
      </c>
      <c r="O545" s="74" t="str">
        <f>_xlfn.IFNA(VLOOKUP(db_emp[[#This Row],[ID_SDP]],[1]!db_div[[Code_div]:[Division]],2,0),"-")</f>
        <v>MVAC</v>
      </c>
      <c r="P545" s="74" t="str">
        <f>_xlfn.IFNA(VLOOKUP(db_emp[[#This Row],[Code_lvl]],[1]!db_lvl[[#All],[ID_level]:[Leveling Name]],2,0),"-")</f>
        <v>Staff</v>
      </c>
      <c r="Q545" s="74" t="str">
        <f>_xlfn.IFNA(VLOOKUP(db_emp[[#This Row],[Code_site]],[1]!db_site[[ID_Site]:[Url_maps]],3,0),"-")</f>
        <v>Unit - PIK Avenue</v>
      </c>
      <c r="R5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240831,'Aris Setiyo','ENG','MVACD','MVAC Staff','LV12','Mall &amp; Cinema','M01','Employee','2024-05-06','2025-10-24'</v>
      </c>
      <c r="S545" s="74">
        <f>db_emp[[#This Row],[NIP (UPDATE)]]</f>
        <v>240831</v>
      </c>
    </row>
    <row r="546" spans="2:19" hidden="1" x14ac:dyDescent="0.25">
      <c r="B546" s="75">
        <v>351</v>
      </c>
      <c r="C546" s="75">
        <v>250297</v>
      </c>
      <c r="D546" s="74" t="s">
        <v>1659</v>
      </c>
      <c r="E546" s="75" t="s">
        <v>911</v>
      </c>
      <c r="F546" s="75" t="s">
        <v>1649</v>
      </c>
      <c r="G546" s="74" t="s">
        <v>1650</v>
      </c>
      <c r="H546" s="75" t="s">
        <v>853</v>
      </c>
      <c r="I546" s="74" t="s">
        <v>849</v>
      </c>
      <c r="J546" s="75" t="s">
        <v>484</v>
      </c>
      <c r="K546" s="75" t="s">
        <v>862</v>
      </c>
      <c r="L546" s="76">
        <v>45755</v>
      </c>
      <c r="M546" s="77">
        <f t="shared" ca="1" si="15"/>
        <v>45954</v>
      </c>
      <c r="N546" s="74" t="str">
        <f>_xlfn.IFNA(VLOOKUP(db_emp[[#This Row],[ID_DIV]],[1]!db_dpt[[Code_dpt]:[Departement]],2,0),"-")</f>
        <v>Engineering</v>
      </c>
      <c r="O546" s="74" t="str">
        <f>_xlfn.IFNA(VLOOKUP(db_emp[[#This Row],[ID_SDP]],[1]!db_div[[Code_div]:[Division]],2,0),"-")</f>
        <v>MVAC</v>
      </c>
      <c r="P546" s="74" t="str">
        <f>_xlfn.IFNA(VLOOKUP(db_emp[[#This Row],[Code_lvl]],[1]!db_lvl[[#All],[ID_level]:[Leveling Name]],2,0),"-")</f>
        <v>Staff</v>
      </c>
      <c r="Q546" s="74" t="str">
        <f>_xlfn.IFNA(VLOOKUP(db_emp[[#This Row],[Code_site]],[1]!db_site[[ID_Site]:[Url_maps]],3,0),"-")</f>
        <v>Unit - PIK Avenue</v>
      </c>
      <c r="R5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250297,'Tris Setiawan','ENG','MVACD','MVAC Staff','LV12','Mall &amp; Cinema','M01','Not Employee','2025-04-08','2025-10-24'</v>
      </c>
      <c r="S546" s="74">
        <f>db_emp[[#This Row],[NIP (UPDATE)]]</f>
        <v>250297</v>
      </c>
    </row>
    <row r="547" spans="2:19" hidden="1" x14ac:dyDescent="0.25">
      <c r="B547" s="75">
        <v>368</v>
      </c>
      <c r="C547" s="75">
        <v>180167</v>
      </c>
      <c r="D547" s="74" t="s">
        <v>1660</v>
      </c>
      <c r="E547" s="75" t="s">
        <v>911</v>
      </c>
      <c r="F547" s="75" t="s">
        <v>1649</v>
      </c>
      <c r="G547" s="74" t="s">
        <v>1650</v>
      </c>
      <c r="H547" s="75" t="s">
        <v>853</v>
      </c>
      <c r="I547" s="74" t="s">
        <v>486</v>
      </c>
      <c r="J547" s="75" t="s">
        <v>492</v>
      </c>
      <c r="K547" s="75" t="s">
        <v>903</v>
      </c>
      <c r="L547" s="76">
        <v>43132</v>
      </c>
      <c r="M547" s="77">
        <f t="shared" ca="1" si="15"/>
        <v>45954</v>
      </c>
      <c r="N547" s="74" t="str">
        <f>_xlfn.IFNA(VLOOKUP(db_emp[[#This Row],[ID_DIV]],[1]!db_dpt[[Code_dpt]:[Departement]],2,0),"-")</f>
        <v>Engineering</v>
      </c>
      <c r="O547" s="74" t="str">
        <f>_xlfn.IFNA(VLOOKUP(db_emp[[#This Row],[ID_SDP]],[1]!db_div[[Code_div]:[Division]],2,0),"-")</f>
        <v>MVAC</v>
      </c>
      <c r="P547" s="74" t="str">
        <f>_xlfn.IFNA(VLOOKUP(db_emp[[#This Row],[Code_lvl]],[1]!db_lvl[[#All],[ID_level]:[Leveling Name]],2,0),"-")</f>
        <v>Staff</v>
      </c>
      <c r="Q547" s="74" t="str">
        <f>_xlfn.IFNA(VLOOKUP(db_emp[[#This Row],[Code_site]],[1]!db_site[[ID_Site]:[Url_maps]],3,0),"-")</f>
        <v>Unit - Hublife</v>
      </c>
      <c r="R5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180167,'Tordi Agus Prasaska','ENG','MVACD','MVAC Staff','LV12','Mall','M05','Resign','2018-02-01','2025-10-24'</v>
      </c>
      <c r="S547" s="74">
        <f>db_emp[[#This Row],[NIP (UPDATE)]]</f>
        <v>180167</v>
      </c>
    </row>
    <row r="548" spans="2:19" hidden="1" x14ac:dyDescent="0.25">
      <c r="B548" s="75">
        <v>387</v>
      </c>
      <c r="C548" s="75">
        <v>140645</v>
      </c>
      <c r="D548" s="74" t="s">
        <v>1661</v>
      </c>
      <c r="E548" s="75" t="s">
        <v>911</v>
      </c>
      <c r="F548" s="75" t="s">
        <v>1649</v>
      </c>
      <c r="G548" s="74" t="s">
        <v>1650</v>
      </c>
      <c r="H548" s="75" t="s">
        <v>853</v>
      </c>
      <c r="I548" s="74" t="s">
        <v>849</v>
      </c>
      <c r="J548" s="75" t="s">
        <v>316</v>
      </c>
      <c r="K548" s="75" t="s">
        <v>850</v>
      </c>
      <c r="L548" s="76">
        <v>41794</v>
      </c>
      <c r="M548" s="77">
        <f t="shared" ca="1" si="15"/>
        <v>45954</v>
      </c>
      <c r="N548" s="74" t="str">
        <f>_xlfn.IFNA(VLOOKUP(db_emp[[#This Row],[ID_DIV]],[1]!db_dpt[[Code_dpt]:[Departement]],2,0),"-")</f>
        <v>Engineering</v>
      </c>
      <c r="O548" s="74" t="str">
        <f>_xlfn.IFNA(VLOOKUP(db_emp[[#This Row],[ID_SDP]],[1]!db_div[[Code_div]:[Division]],2,0),"-")</f>
        <v>MVAC</v>
      </c>
      <c r="P548" s="74" t="str">
        <f>_xlfn.IFNA(VLOOKUP(db_emp[[#This Row],[Code_lvl]],[1]!db_lvl[[#All],[ID_level]:[Leveling Name]],2,0),"-")</f>
        <v>Staff</v>
      </c>
      <c r="Q548" s="74" t="str">
        <f>_xlfn.IFNA(VLOOKUP(db_emp[[#This Row],[Code_site]],[1]!db_site[[ID_Site]:[Url_maps]],3,0),"-")</f>
        <v>Unit - GGP</v>
      </c>
      <c r="R5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140645,'Hasan Toat','ENG','MVACD','MVAC Staff','LV12','Mall &amp; Cinema','M03','Employee','2014-06-04','2025-10-24'</v>
      </c>
      <c r="S548" s="74">
        <f>db_emp[[#This Row],[NIP (UPDATE)]]</f>
        <v>140645</v>
      </c>
    </row>
    <row r="549" spans="2:19" hidden="1" x14ac:dyDescent="0.25">
      <c r="B549" s="75">
        <v>388</v>
      </c>
      <c r="C549" s="75">
        <v>141413</v>
      </c>
      <c r="D549" s="74" t="s">
        <v>1662</v>
      </c>
      <c r="E549" s="75" t="s">
        <v>911</v>
      </c>
      <c r="F549" s="75" t="s">
        <v>1649</v>
      </c>
      <c r="G549" s="74" t="s">
        <v>1650</v>
      </c>
      <c r="H549" s="75" t="s">
        <v>853</v>
      </c>
      <c r="I549" s="74" t="s">
        <v>849</v>
      </c>
      <c r="J549" s="75" t="s">
        <v>316</v>
      </c>
      <c r="K549" s="75" t="s">
        <v>850</v>
      </c>
      <c r="L549" s="76">
        <v>41974</v>
      </c>
      <c r="M549" s="77">
        <f t="shared" ca="1" si="15"/>
        <v>45954</v>
      </c>
      <c r="N549" s="74" t="str">
        <f>_xlfn.IFNA(VLOOKUP(db_emp[[#This Row],[ID_DIV]],[1]!db_dpt[[Code_dpt]:[Departement]],2,0),"-")</f>
        <v>Engineering</v>
      </c>
      <c r="O549" s="74" t="str">
        <f>_xlfn.IFNA(VLOOKUP(db_emp[[#This Row],[ID_SDP]],[1]!db_div[[Code_div]:[Division]],2,0),"-")</f>
        <v>MVAC</v>
      </c>
      <c r="P549" s="74" t="str">
        <f>_xlfn.IFNA(VLOOKUP(db_emp[[#This Row],[Code_lvl]],[1]!db_lvl[[#All],[ID_level]:[Leveling Name]],2,0),"-")</f>
        <v>Staff</v>
      </c>
      <c r="Q549" s="74" t="str">
        <f>_xlfn.IFNA(VLOOKUP(db_emp[[#This Row],[Code_site]],[1]!db_site[[ID_Site]:[Url_maps]],3,0),"-")</f>
        <v>Unit - GGP</v>
      </c>
      <c r="R5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141413,'Dodi.','ENG','MVACD','MVAC Staff','LV12','Mall &amp; Cinema','M03','Employee','2014-12-01','2025-10-24'</v>
      </c>
      <c r="S549" s="74">
        <f>db_emp[[#This Row],[NIP (UPDATE)]]</f>
        <v>141413</v>
      </c>
    </row>
    <row r="550" spans="2:19" hidden="1" x14ac:dyDescent="0.25">
      <c r="B550" s="75">
        <v>390</v>
      </c>
      <c r="C550" s="75">
        <v>150973</v>
      </c>
      <c r="D550" s="74" t="s">
        <v>1663</v>
      </c>
      <c r="E550" s="75" t="s">
        <v>911</v>
      </c>
      <c r="F550" s="75" t="s">
        <v>1649</v>
      </c>
      <c r="G550" s="74" t="s">
        <v>1650</v>
      </c>
      <c r="H550" s="75" t="s">
        <v>853</v>
      </c>
      <c r="I550" s="74" t="s">
        <v>849</v>
      </c>
      <c r="J550" s="75" t="s">
        <v>316</v>
      </c>
      <c r="K550" s="75" t="s">
        <v>850</v>
      </c>
      <c r="L550" s="76">
        <v>42310</v>
      </c>
      <c r="M550" s="77">
        <f t="shared" ca="1" si="15"/>
        <v>45954</v>
      </c>
      <c r="N550" s="74" t="str">
        <f>_xlfn.IFNA(VLOOKUP(db_emp[[#This Row],[ID_DIV]],[1]!db_dpt[[Code_dpt]:[Departement]],2,0),"-")</f>
        <v>Engineering</v>
      </c>
      <c r="O550" s="74" t="str">
        <f>_xlfn.IFNA(VLOOKUP(db_emp[[#This Row],[ID_SDP]],[1]!db_div[[Code_div]:[Division]],2,0),"-")</f>
        <v>MVAC</v>
      </c>
      <c r="P550" s="74" t="str">
        <f>_xlfn.IFNA(VLOOKUP(db_emp[[#This Row],[Code_lvl]],[1]!db_lvl[[#All],[ID_level]:[Leveling Name]],2,0),"-")</f>
        <v>Staff</v>
      </c>
      <c r="Q550" s="74" t="str">
        <f>_xlfn.IFNA(VLOOKUP(db_emp[[#This Row],[Code_site]],[1]!db_site[[ID_Site]:[Url_maps]],3,0),"-")</f>
        <v>Unit - GGP</v>
      </c>
      <c r="R5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150973,'Taufiqurrohman.','ENG','MVACD','MVAC Staff','LV12','Mall &amp; Cinema','M03','Employee','2015-11-02','2025-10-24'</v>
      </c>
      <c r="S550" s="74">
        <f>db_emp[[#This Row],[NIP (UPDATE)]]</f>
        <v>150973</v>
      </c>
    </row>
    <row r="551" spans="2:19" hidden="1" x14ac:dyDescent="0.25">
      <c r="B551" s="75">
        <v>417</v>
      </c>
      <c r="C551" s="75">
        <v>240932</v>
      </c>
      <c r="D551" s="74" t="s">
        <v>1664</v>
      </c>
      <c r="E551" s="75" t="s">
        <v>911</v>
      </c>
      <c r="F551" s="75" t="s">
        <v>1649</v>
      </c>
      <c r="G551" s="74" t="s">
        <v>1650</v>
      </c>
      <c r="H551" s="75" t="s">
        <v>853</v>
      </c>
      <c r="I551" s="74" t="s">
        <v>849</v>
      </c>
      <c r="J551" s="75" t="s">
        <v>316</v>
      </c>
      <c r="K551" s="75" t="s">
        <v>850</v>
      </c>
      <c r="L551" s="76">
        <v>45446</v>
      </c>
      <c r="M551" s="77">
        <f t="shared" ca="1" si="15"/>
        <v>45954</v>
      </c>
      <c r="N551" s="74" t="str">
        <f>_xlfn.IFNA(VLOOKUP(db_emp[[#This Row],[ID_DIV]],[1]!db_dpt[[Code_dpt]:[Departement]],2,0),"-")</f>
        <v>Engineering</v>
      </c>
      <c r="O551" s="74" t="str">
        <f>_xlfn.IFNA(VLOOKUP(db_emp[[#This Row],[ID_SDP]],[1]!db_div[[Code_div]:[Division]],2,0),"-")</f>
        <v>MVAC</v>
      </c>
      <c r="P551" s="74" t="str">
        <f>_xlfn.IFNA(VLOOKUP(db_emp[[#This Row],[Code_lvl]],[1]!db_lvl[[#All],[ID_level]:[Leveling Name]],2,0),"-")</f>
        <v>Staff</v>
      </c>
      <c r="Q551" s="74" t="str">
        <f>_xlfn.IFNA(VLOOKUP(db_emp[[#This Row],[Code_site]],[1]!db_site[[ID_Site]:[Url_maps]],3,0),"-")</f>
        <v>Unit - GGP</v>
      </c>
      <c r="R5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240932,'Danu Wardoyo','ENG','MVACD','MVAC Staff','LV12','Mall &amp; Cinema','M03','Employee','2024-06-03','2025-10-24'</v>
      </c>
      <c r="S551" s="74">
        <f>db_emp[[#This Row],[NIP (UPDATE)]]</f>
        <v>240932</v>
      </c>
    </row>
    <row r="552" spans="2:19" hidden="1" x14ac:dyDescent="0.25">
      <c r="B552" s="75">
        <v>420</v>
      </c>
      <c r="C552" s="75">
        <v>241174</v>
      </c>
      <c r="D552" s="74" t="s">
        <v>1665</v>
      </c>
      <c r="E552" s="75" t="s">
        <v>911</v>
      </c>
      <c r="F552" s="75" t="s">
        <v>1649</v>
      </c>
      <c r="G552" s="74" t="s">
        <v>1650</v>
      </c>
      <c r="H552" s="75" t="s">
        <v>853</v>
      </c>
      <c r="I552" s="74" t="s">
        <v>849</v>
      </c>
      <c r="J552" s="75" t="s">
        <v>316</v>
      </c>
      <c r="K552" s="75" t="s">
        <v>850</v>
      </c>
      <c r="L552" s="76">
        <v>45474</v>
      </c>
      <c r="M552" s="77">
        <f t="shared" ca="1" si="15"/>
        <v>45954</v>
      </c>
      <c r="N552" s="74" t="str">
        <f>_xlfn.IFNA(VLOOKUP(db_emp[[#This Row],[ID_DIV]],[1]!db_dpt[[Code_dpt]:[Departement]],2,0),"-")</f>
        <v>Engineering</v>
      </c>
      <c r="O552" s="74" t="str">
        <f>_xlfn.IFNA(VLOOKUP(db_emp[[#This Row],[ID_SDP]],[1]!db_div[[Code_div]:[Division]],2,0),"-")</f>
        <v>MVAC</v>
      </c>
      <c r="P552" s="74" t="str">
        <f>_xlfn.IFNA(VLOOKUP(db_emp[[#This Row],[Code_lvl]],[1]!db_lvl[[#All],[ID_level]:[Leveling Name]],2,0),"-")</f>
        <v>Staff</v>
      </c>
      <c r="Q552" s="74" t="str">
        <f>_xlfn.IFNA(VLOOKUP(db_emp[[#This Row],[Code_site]],[1]!db_site[[ID_Site]:[Url_maps]],3,0),"-")</f>
        <v>Unit - GGP</v>
      </c>
      <c r="R5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241174,'Muhammad Reski','ENG','MVACD','MVAC Staff','LV12','Mall &amp; Cinema','M03','Employee','2024-07-01','2025-10-24'</v>
      </c>
      <c r="S552" s="74">
        <f>db_emp[[#This Row],[NIP (UPDATE)]]</f>
        <v>241174</v>
      </c>
    </row>
    <row r="553" spans="2:19" hidden="1" x14ac:dyDescent="0.25">
      <c r="B553" s="75">
        <v>445</v>
      </c>
      <c r="C553" s="75">
        <v>221136</v>
      </c>
      <c r="D553" s="74" t="s">
        <v>1666</v>
      </c>
      <c r="E553" s="75" t="s">
        <v>911</v>
      </c>
      <c r="F553" s="75" t="s">
        <v>1649</v>
      </c>
      <c r="G553" s="74" t="s">
        <v>1650</v>
      </c>
      <c r="H553" s="75" t="s">
        <v>853</v>
      </c>
      <c r="I553" s="74" t="s">
        <v>849</v>
      </c>
      <c r="J553" s="75" t="s">
        <v>490</v>
      </c>
      <c r="K553" s="75" t="s">
        <v>850</v>
      </c>
      <c r="L553" s="76">
        <v>44781</v>
      </c>
      <c r="M553" s="77">
        <f t="shared" ca="1" si="15"/>
        <v>45954</v>
      </c>
      <c r="N553" s="74" t="str">
        <f>_xlfn.IFNA(VLOOKUP(db_emp[[#This Row],[ID_DIV]],[1]!db_dpt[[Code_dpt]:[Departement]],2,0),"-")</f>
        <v>Engineering</v>
      </c>
      <c r="O553" s="74" t="str">
        <f>_xlfn.IFNA(VLOOKUP(db_emp[[#This Row],[ID_SDP]],[1]!db_div[[Code_div]:[Division]],2,0),"-")</f>
        <v>MVAC</v>
      </c>
      <c r="P553" s="74" t="str">
        <f>_xlfn.IFNA(VLOOKUP(db_emp[[#This Row],[Code_lvl]],[1]!db_lvl[[#All],[ID_level]:[Leveling Name]],2,0),"-")</f>
        <v>Staff</v>
      </c>
      <c r="Q553" s="74" t="str">
        <f>_xlfn.IFNA(VLOOKUP(db_emp[[#This Row],[Code_site]],[1]!db_site[[ID_Site]:[Url_maps]],3,0),"-")</f>
        <v>Unit - ASHTA</v>
      </c>
      <c r="R5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221136,'Arlis','ENG','MVACD','MVAC Staff','LV12','Mall &amp; Cinema','M04','Employee','2022-08-08','2025-10-24'</v>
      </c>
      <c r="S553" s="74">
        <f>db_emp[[#This Row],[NIP (UPDATE)]]</f>
        <v>221136</v>
      </c>
    </row>
    <row r="554" spans="2:19" hidden="1" x14ac:dyDescent="0.25">
      <c r="B554" s="75">
        <v>481</v>
      </c>
      <c r="C554" s="75">
        <v>170360</v>
      </c>
      <c r="D554" s="74" t="s">
        <v>1667</v>
      </c>
      <c r="E554" s="75" t="s">
        <v>911</v>
      </c>
      <c r="F554" s="75" t="s">
        <v>1649</v>
      </c>
      <c r="G554" s="74" t="s">
        <v>1650</v>
      </c>
      <c r="H554" s="75" t="s">
        <v>853</v>
      </c>
      <c r="I554" s="74" t="s">
        <v>849</v>
      </c>
      <c r="J554" s="75" t="s">
        <v>490</v>
      </c>
      <c r="K554" s="75" t="s">
        <v>903</v>
      </c>
      <c r="L554" s="76">
        <v>42846</v>
      </c>
      <c r="M554" s="77">
        <f t="shared" ca="1" si="15"/>
        <v>45954</v>
      </c>
      <c r="N554" s="74" t="str">
        <f>_xlfn.IFNA(VLOOKUP(db_emp[[#This Row],[ID_DIV]],[1]!db_dpt[[Code_dpt]:[Departement]],2,0),"-")</f>
        <v>Engineering</v>
      </c>
      <c r="O554" s="74" t="str">
        <f>_xlfn.IFNA(VLOOKUP(db_emp[[#This Row],[ID_SDP]],[1]!db_div[[Code_div]:[Division]],2,0),"-")</f>
        <v>MVAC</v>
      </c>
      <c r="P554" s="74" t="str">
        <f>_xlfn.IFNA(VLOOKUP(db_emp[[#This Row],[Code_lvl]],[1]!db_lvl[[#All],[ID_level]:[Leveling Name]],2,0),"-")</f>
        <v>Staff</v>
      </c>
      <c r="Q554" s="74" t="str">
        <f>_xlfn.IFNA(VLOOKUP(db_emp[[#This Row],[Code_site]],[1]!db_site[[ID_Site]:[Url_maps]],3,0),"-")</f>
        <v>Unit - ASHTA</v>
      </c>
      <c r="R5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170360,'Herman Sudrajat','ENG','MVACD','MVAC Staff','LV12','Mall &amp; Cinema','M04','Resign','2017-04-21','2025-10-24'</v>
      </c>
      <c r="S554" s="74">
        <f>db_emp[[#This Row],[NIP (UPDATE)]]</f>
        <v>170360</v>
      </c>
    </row>
    <row r="555" spans="2:19" hidden="1" x14ac:dyDescent="0.25">
      <c r="B555" s="75">
        <v>372</v>
      </c>
      <c r="C555" s="75">
        <v>241376</v>
      </c>
      <c r="D555" s="74" t="s">
        <v>1668</v>
      </c>
      <c r="E555" s="75" t="s">
        <v>911</v>
      </c>
      <c r="F555" s="75" t="s">
        <v>1649</v>
      </c>
      <c r="G555" s="74" t="s">
        <v>1669</v>
      </c>
      <c r="H555" s="75" t="s">
        <v>870</v>
      </c>
      <c r="I555" s="74" t="s">
        <v>486</v>
      </c>
      <c r="J555" s="75" t="s">
        <v>492</v>
      </c>
      <c r="K555" s="75" t="s">
        <v>850</v>
      </c>
      <c r="L555" s="76">
        <v>45505</v>
      </c>
      <c r="M555" s="77">
        <f t="shared" ca="1" si="15"/>
        <v>45954</v>
      </c>
      <c r="N555" s="74" t="str">
        <f>_xlfn.IFNA(VLOOKUP(db_emp[[#This Row],[ID_DIV]],[1]!db_dpt[[Code_dpt]:[Departement]],2,0),"-")</f>
        <v>Engineering</v>
      </c>
      <c r="O555" s="74" t="str">
        <f>_xlfn.IFNA(VLOOKUP(db_emp[[#This Row],[ID_SDP]],[1]!db_div[[Code_div]:[Division]],2,0),"-")</f>
        <v>MVAC</v>
      </c>
      <c r="P555" s="74" t="str">
        <f>_xlfn.IFNA(VLOOKUP(db_emp[[#This Row],[Code_lvl]],[1]!db_lvl[[#All],[ID_level]:[Leveling Name]],2,0),"-")</f>
        <v>Supervisor</v>
      </c>
      <c r="Q555" s="74" t="str">
        <f>_xlfn.IFNA(VLOOKUP(db_emp[[#This Row],[Code_site]],[1]!db_site[[ID_Site]:[Url_maps]],3,0),"-")</f>
        <v>Unit - Hublife</v>
      </c>
      <c r="R5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241376,'Muhamad Dicki Ade Saputra','ENG','MVACD','MVAC Supervisor','LV09','Mall','M05','Employee','2024-08-01','2025-10-24'</v>
      </c>
      <c r="S555" s="74">
        <f>db_emp[[#This Row],[NIP (UPDATE)]]</f>
        <v>241376</v>
      </c>
    </row>
    <row r="556" spans="2:19" hidden="1" x14ac:dyDescent="0.25">
      <c r="B556" s="75">
        <v>446</v>
      </c>
      <c r="C556" s="75">
        <v>210263</v>
      </c>
      <c r="D556" s="74" t="s">
        <v>1670</v>
      </c>
      <c r="E556" s="75" t="s">
        <v>911</v>
      </c>
      <c r="F556" s="75" t="s">
        <v>1649</v>
      </c>
      <c r="G556" s="74" t="s">
        <v>1669</v>
      </c>
      <c r="H556" s="75" t="s">
        <v>870</v>
      </c>
      <c r="I556" s="74" t="s">
        <v>849</v>
      </c>
      <c r="J556" s="75" t="s">
        <v>490</v>
      </c>
      <c r="K556" s="75" t="s">
        <v>850</v>
      </c>
      <c r="L556" s="76">
        <v>44298</v>
      </c>
      <c r="M556" s="77">
        <f t="shared" ca="1" si="15"/>
        <v>45954</v>
      </c>
      <c r="N556" s="74" t="str">
        <f>_xlfn.IFNA(VLOOKUP(db_emp[[#This Row],[ID_DIV]],[1]!db_dpt[[Code_dpt]:[Departement]],2,0),"-")</f>
        <v>Engineering</v>
      </c>
      <c r="O556" s="74" t="str">
        <f>_xlfn.IFNA(VLOOKUP(db_emp[[#This Row],[ID_SDP]],[1]!db_div[[Code_div]:[Division]],2,0),"-")</f>
        <v>MVAC</v>
      </c>
      <c r="P556" s="74" t="str">
        <f>_xlfn.IFNA(VLOOKUP(db_emp[[#This Row],[Code_lvl]],[1]!db_lvl[[#All],[ID_level]:[Leveling Name]],2,0),"-")</f>
        <v>Supervisor</v>
      </c>
      <c r="Q556" s="74" t="str">
        <f>_xlfn.IFNA(VLOOKUP(db_emp[[#This Row],[Code_site]],[1]!db_site[[ID_Site]:[Url_maps]],3,0),"-")</f>
        <v>Unit - ASHTA</v>
      </c>
      <c r="R5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210263,'Barus N','ENG','MVACD','MVAC Supervisor','LV09','Mall &amp; Cinema','M04','Employee','2021-04-12','2025-10-24'</v>
      </c>
      <c r="S556" s="74">
        <f>db_emp[[#This Row],[NIP (UPDATE)]]</f>
        <v>210263</v>
      </c>
    </row>
    <row r="557" spans="2:19" hidden="1" x14ac:dyDescent="0.25">
      <c r="B557" s="75">
        <v>350</v>
      </c>
      <c r="C557" s="75">
        <v>250303</v>
      </c>
      <c r="D557" s="74" t="s">
        <v>1671</v>
      </c>
      <c r="E557" s="75" t="s">
        <v>1018</v>
      </c>
      <c r="F557" s="75" t="s">
        <v>971</v>
      </c>
      <c r="G557" s="74" t="s">
        <v>1672</v>
      </c>
      <c r="H557" s="75" t="s">
        <v>1673</v>
      </c>
      <c r="I557" s="74" t="s">
        <v>849</v>
      </c>
      <c r="J557" s="75" t="s">
        <v>484</v>
      </c>
      <c r="K557" s="75" t="s">
        <v>850</v>
      </c>
      <c r="L557" s="76">
        <v>45756</v>
      </c>
      <c r="M557" s="77">
        <f t="shared" ca="1" si="15"/>
        <v>45954</v>
      </c>
      <c r="N557" s="74" t="str">
        <f>_xlfn.IFNA(VLOOKUP(db_emp[[#This Row],[ID_DIV]],[1]!db_dpt[[Code_dpt]:[Departement]],2,0),"-")</f>
        <v>Operational</v>
      </c>
      <c r="O557" s="74" t="str">
        <f>_xlfn.IFNA(VLOOKUP(db_emp[[#This Row],[ID_SDP]],[1]!db_div[[Code_div]:[Division]],2,0),"-")</f>
        <v>General Head Departement</v>
      </c>
      <c r="P557" s="74" t="str">
        <f>_xlfn.IFNA(VLOOKUP(db_emp[[#This Row],[Code_lvl]],[1]!db_lvl[[#All],[ID_level]:[Leveling Name]],2,0),"-")</f>
        <v>Deputy General Manager</v>
      </c>
      <c r="Q557" s="74" t="str">
        <f>_xlfn.IFNA(VLOOKUP(db_emp[[#This Row],[Code_site]],[1]!db_site[[ID_Site]:[Url_maps]],3,0),"-")</f>
        <v>Unit - PIK Avenue</v>
      </c>
      <c r="R5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250303,'Redian Sutanto','OPR','GNRAL','Operation General Deputy Manager','LV03','Mall &amp; Cinema','M01','Employee','2025-04-09','2025-10-24'</v>
      </c>
      <c r="S557" s="74">
        <f>db_emp[[#This Row],[NIP (UPDATE)]]</f>
        <v>250303</v>
      </c>
    </row>
    <row r="558" spans="2:19" hidden="1" x14ac:dyDescent="0.25">
      <c r="B558" s="75">
        <v>202</v>
      </c>
      <c r="C558" s="75">
        <v>101834</v>
      </c>
      <c r="D558" s="74" t="s">
        <v>1674</v>
      </c>
      <c r="E558" s="75" t="s">
        <v>1018</v>
      </c>
      <c r="F558" s="75" t="s">
        <v>912</v>
      </c>
      <c r="G558" s="74" t="s">
        <v>1675</v>
      </c>
      <c r="H558" s="75" t="s">
        <v>853</v>
      </c>
      <c r="I558" s="74" t="s">
        <v>849</v>
      </c>
      <c r="J558" s="75" t="s">
        <v>314</v>
      </c>
      <c r="K558" s="75" t="s">
        <v>850</v>
      </c>
      <c r="L558" s="76">
        <v>39706</v>
      </c>
      <c r="M558" s="77">
        <f t="shared" ca="1" si="15"/>
        <v>45954</v>
      </c>
      <c r="N558" s="74" t="str">
        <f>_xlfn.IFNA(VLOOKUP(db_emp[[#This Row],[ID_DIV]],[1]!db_dpt[[Code_dpt]:[Departement]],2,0),"-")</f>
        <v>Operational</v>
      </c>
      <c r="O558" s="74" t="str">
        <f>_xlfn.IFNA(VLOOKUP(db_emp[[#This Row],[ID_SDP]],[1]!db_div[[Code_div]:[Division]],2,0),"-")</f>
        <v>Admin</v>
      </c>
      <c r="P558" s="74" t="str">
        <f>_xlfn.IFNA(VLOOKUP(db_emp[[#This Row],[Code_lvl]],[1]!db_lvl[[#All],[ID_level]:[Leveling Name]],2,0),"-")</f>
        <v>Staff</v>
      </c>
      <c r="Q558" s="74" t="str">
        <f>_xlfn.IFNA(VLOOKUP(db_emp[[#This Row],[Code_site]],[1]!db_site[[ID_Site]:[Url_maps]],3,0),"-")</f>
        <v>Unit - MOI</v>
      </c>
      <c r="R5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101834,'Sukmawati Suaji','OPR','ADMIN','Operation Mall Administration Staff','LV12','Mall &amp; Cinema','M02','Employee','2008-09-15','2025-10-24'</v>
      </c>
      <c r="S558" s="74">
        <f>db_emp[[#This Row],[NIP (UPDATE)]]</f>
        <v>101834</v>
      </c>
    </row>
    <row r="559" spans="2:19" hidden="1" x14ac:dyDescent="0.25">
      <c r="B559" s="75">
        <v>362</v>
      </c>
      <c r="C559" s="75">
        <v>240208</v>
      </c>
      <c r="D559" s="74" t="s">
        <v>1676</v>
      </c>
      <c r="E559" s="75" t="s">
        <v>1018</v>
      </c>
      <c r="F559" s="75" t="s">
        <v>912</v>
      </c>
      <c r="G559" s="74" t="s">
        <v>1675</v>
      </c>
      <c r="H559" s="75" t="s">
        <v>853</v>
      </c>
      <c r="I559" s="74" t="s">
        <v>486</v>
      </c>
      <c r="J559" s="75" t="s">
        <v>492</v>
      </c>
      <c r="K559" s="75" t="s">
        <v>850</v>
      </c>
      <c r="L559" s="76">
        <v>45327</v>
      </c>
      <c r="M559" s="77">
        <f t="shared" ca="1" si="15"/>
        <v>45954</v>
      </c>
      <c r="N559" s="74" t="str">
        <f>_xlfn.IFNA(VLOOKUP(db_emp[[#This Row],[ID_DIV]],[1]!db_dpt[[Code_dpt]:[Departement]],2,0),"-")</f>
        <v>Operational</v>
      </c>
      <c r="O559" s="74" t="str">
        <f>_xlfn.IFNA(VLOOKUP(db_emp[[#This Row],[ID_SDP]],[1]!db_div[[Code_div]:[Division]],2,0),"-")</f>
        <v>Admin</v>
      </c>
      <c r="P559" s="74" t="str">
        <f>_xlfn.IFNA(VLOOKUP(db_emp[[#This Row],[Code_lvl]],[1]!db_lvl[[#All],[ID_level]:[Leveling Name]],2,0),"-")</f>
        <v>Staff</v>
      </c>
      <c r="Q559" s="74" t="str">
        <f>_xlfn.IFNA(VLOOKUP(db_emp[[#This Row],[Code_site]],[1]!db_site[[ID_Site]:[Url_maps]],3,0),"-")</f>
        <v>Unit - Hublife</v>
      </c>
      <c r="R5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240208,'Ida Minda','OPR','ADMIN','Operation Mall Administration Staff','LV12','Mall','M05','Employee','2024-02-05','2025-10-24'</v>
      </c>
      <c r="S559" s="74">
        <f>db_emp[[#This Row],[NIP (UPDATE)]]</f>
        <v>240208</v>
      </c>
    </row>
    <row r="560" spans="2:19" hidden="1" x14ac:dyDescent="0.25">
      <c r="B560" s="75">
        <v>407</v>
      </c>
      <c r="C560" s="75">
        <v>232321</v>
      </c>
      <c r="D560" s="74" t="s">
        <v>1677</v>
      </c>
      <c r="E560" s="75" t="s">
        <v>1018</v>
      </c>
      <c r="F560" s="75" t="s">
        <v>912</v>
      </c>
      <c r="G560" s="74" t="s">
        <v>1675</v>
      </c>
      <c r="H560" s="75" t="s">
        <v>853</v>
      </c>
      <c r="I560" s="74" t="s">
        <v>849</v>
      </c>
      <c r="J560" s="75" t="s">
        <v>316</v>
      </c>
      <c r="K560" s="75" t="s">
        <v>850</v>
      </c>
      <c r="L560" s="76">
        <v>45280</v>
      </c>
      <c r="M560" s="77">
        <f t="shared" ca="1" si="15"/>
        <v>45954</v>
      </c>
      <c r="N560" s="74" t="str">
        <f>_xlfn.IFNA(VLOOKUP(db_emp[[#This Row],[ID_DIV]],[1]!db_dpt[[Code_dpt]:[Departement]],2,0),"-")</f>
        <v>Operational</v>
      </c>
      <c r="O560" s="74" t="str">
        <f>_xlfn.IFNA(VLOOKUP(db_emp[[#This Row],[ID_SDP]],[1]!db_div[[Code_div]:[Division]],2,0),"-")</f>
        <v>Admin</v>
      </c>
      <c r="P560" s="74" t="str">
        <f>_xlfn.IFNA(VLOOKUP(db_emp[[#This Row],[Code_lvl]],[1]!db_lvl[[#All],[ID_level]:[Leveling Name]],2,0),"-")</f>
        <v>Staff</v>
      </c>
      <c r="Q560" s="74" t="str">
        <f>_xlfn.IFNA(VLOOKUP(db_emp[[#This Row],[Code_site]],[1]!db_site[[ID_Site]:[Url_maps]],3,0),"-")</f>
        <v>Unit - GGP</v>
      </c>
      <c r="R5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232321,'Cita Budi Riandini','OPR','ADMIN','Operation Mall Administration Staff','LV12','Mall &amp; Cinema','M03','Employee','2023-12-20','2025-10-24'</v>
      </c>
      <c r="S560" s="74">
        <f>db_emp[[#This Row],[NIP (UPDATE)]]</f>
        <v>232321</v>
      </c>
    </row>
    <row r="561" spans="2:19" hidden="1" x14ac:dyDescent="0.25">
      <c r="B561" s="75">
        <v>473</v>
      </c>
      <c r="C561" s="75">
        <v>232369</v>
      </c>
      <c r="D561" s="74" t="s">
        <v>1678</v>
      </c>
      <c r="E561" s="75" t="s">
        <v>1018</v>
      </c>
      <c r="F561" s="75" t="s">
        <v>912</v>
      </c>
      <c r="G561" s="74" t="s">
        <v>1675</v>
      </c>
      <c r="H561" s="75" t="s">
        <v>853</v>
      </c>
      <c r="I561" s="74" t="s">
        <v>849</v>
      </c>
      <c r="J561" s="75" t="s">
        <v>490</v>
      </c>
      <c r="K561" s="75" t="s">
        <v>850</v>
      </c>
      <c r="L561" s="76">
        <v>45293</v>
      </c>
      <c r="M561" s="77">
        <f t="shared" ca="1" si="15"/>
        <v>45954</v>
      </c>
      <c r="N561" s="74" t="str">
        <f>_xlfn.IFNA(VLOOKUP(db_emp[[#This Row],[ID_DIV]],[1]!db_dpt[[Code_dpt]:[Departement]],2,0),"-")</f>
        <v>Operational</v>
      </c>
      <c r="O561" s="74" t="str">
        <f>_xlfn.IFNA(VLOOKUP(db_emp[[#This Row],[ID_SDP]],[1]!db_div[[Code_div]:[Division]],2,0),"-")</f>
        <v>Admin</v>
      </c>
      <c r="P561" s="74" t="str">
        <f>_xlfn.IFNA(VLOOKUP(db_emp[[#This Row],[Code_lvl]],[1]!db_lvl[[#All],[ID_level]:[Leveling Name]],2,0),"-")</f>
        <v>Staff</v>
      </c>
      <c r="Q561" s="74" t="str">
        <f>_xlfn.IFNA(VLOOKUP(db_emp[[#This Row],[Code_site]],[1]!db_site[[ID_Site]:[Url_maps]],3,0),"-")</f>
        <v>Unit - ASHTA</v>
      </c>
      <c r="R5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232369,'Rosmainia Alfandari','OPR','ADMIN','Operation Mall Administration Staff','LV12','Mall &amp; Cinema','M04','Employee','2024-01-02','2025-10-24'</v>
      </c>
      <c r="S561" s="74">
        <f>db_emp[[#This Row],[NIP (UPDATE)]]</f>
        <v>232369</v>
      </c>
    </row>
    <row r="562" spans="2:19" hidden="1" x14ac:dyDescent="0.25">
      <c r="B562" s="75">
        <v>244</v>
      </c>
      <c r="C562" s="75">
        <v>240193</v>
      </c>
      <c r="D562" s="74" t="s">
        <v>1679</v>
      </c>
      <c r="E562" s="75" t="s">
        <v>1018</v>
      </c>
      <c r="F562" s="75" t="s">
        <v>971</v>
      </c>
      <c r="G562" s="74" t="s">
        <v>1680</v>
      </c>
      <c r="H562" s="75" t="s">
        <v>953</v>
      </c>
      <c r="I562" s="74" t="s">
        <v>849</v>
      </c>
      <c r="J562" s="75" t="s">
        <v>314</v>
      </c>
      <c r="K562" s="75" t="s">
        <v>903</v>
      </c>
      <c r="L562" s="76">
        <v>45323</v>
      </c>
      <c r="M562" s="77">
        <v>45853</v>
      </c>
      <c r="N562" s="74" t="str">
        <f>_xlfn.IFNA(VLOOKUP(db_emp[[#This Row],[ID_DIV]],[1]!db_dpt[[Code_dpt]:[Departement]],2,0),"-")</f>
        <v>Operational</v>
      </c>
      <c r="O562" s="74" t="str">
        <f>_xlfn.IFNA(VLOOKUP(db_emp[[#This Row],[ID_SDP]],[1]!db_div[[Code_div]:[Division]],2,0),"-")</f>
        <v>General Head Departement</v>
      </c>
      <c r="P562" s="74" t="str">
        <f>_xlfn.IFNA(VLOOKUP(db_emp[[#This Row],[Code_lvl]],[1]!db_lvl[[#All],[ID_level]:[Leveling Name]],2,0),"-")</f>
        <v>Manager</v>
      </c>
      <c r="Q562" s="74" t="str">
        <f>_xlfn.IFNA(VLOOKUP(db_emp[[#This Row],[Code_site]],[1]!db_site[[ID_Site]:[Url_maps]],3,0),"-")</f>
        <v>Unit - MOI</v>
      </c>
      <c r="R562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240193,'Danny Stephanus Christian','OPR','GNRAL','Operation Mall Manager','LV05','Mall &amp; Cinema','M02','Resign','2024-02-01','2025-07-15'</v>
      </c>
      <c r="S562" s="74">
        <f>db_emp[[#This Row],[NIP (UPDATE)]]</f>
        <v>240193</v>
      </c>
    </row>
    <row r="563" spans="2:19" hidden="1" x14ac:dyDescent="0.25">
      <c r="B563" s="75">
        <v>332</v>
      </c>
      <c r="C563" s="75">
        <v>241046</v>
      </c>
      <c r="D563" s="74" t="s">
        <v>1681</v>
      </c>
      <c r="E563" s="75" t="s">
        <v>1018</v>
      </c>
      <c r="F563" s="75" t="s">
        <v>971</v>
      </c>
      <c r="G563" s="74" t="s">
        <v>1680</v>
      </c>
      <c r="H563" s="75" t="s">
        <v>953</v>
      </c>
      <c r="I563" s="74" t="s">
        <v>849</v>
      </c>
      <c r="J563" s="75" t="s">
        <v>484</v>
      </c>
      <c r="K563" s="75" t="s">
        <v>850</v>
      </c>
      <c r="L563" s="76">
        <v>45461</v>
      </c>
      <c r="M563" s="77">
        <f t="shared" ref="M563:M582" ca="1" si="16">TODAY()+1</f>
        <v>45954</v>
      </c>
      <c r="N563" s="74" t="str">
        <f>_xlfn.IFNA(VLOOKUP(db_emp[[#This Row],[ID_DIV]],[1]!db_dpt[[Code_dpt]:[Departement]],2,0),"-")</f>
        <v>Operational</v>
      </c>
      <c r="O563" s="74" t="str">
        <f>_xlfn.IFNA(VLOOKUP(db_emp[[#This Row],[ID_SDP]],[1]!db_div[[Code_div]:[Division]],2,0),"-")</f>
        <v>General Head Departement</v>
      </c>
      <c r="P563" s="74" t="str">
        <f>_xlfn.IFNA(VLOOKUP(db_emp[[#This Row],[Code_lvl]],[1]!db_lvl[[#All],[ID_level]:[Leveling Name]],2,0),"-")</f>
        <v>Manager</v>
      </c>
      <c r="Q563" s="74" t="str">
        <f>_xlfn.IFNA(VLOOKUP(db_emp[[#This Row],[Code_site]],[1]!db_site[[ID_Site]:[Url_maps]],3,0),"-")</f>
        <v>Unit - PIK Avenue</v>
      </c>
      <c r="R5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241046,'Willy Andreas','OPR','GNRAL','Operation Mall Manager','LV05','Mall &amp; Cinema','M01','Employee','2024-06-18','2025-10-24'</v>
      </c>
      <c r="S563" s="74">
        <f>db_emp[[#This Row],[NIP (UPDATE)]]</f>
        <v>241046</v>
      </c>
    </row>
    <row r="564" spans="2:19" hidden="1" x14ac:dyDescent="0.25">
      <c r="B564" s="75">
        <v>365</v>
      </c>
      <c r="C564" s="75">
        <v>241616</v>
      </c>
      <c r="D564" s="74" t="s">
        <v>1682</v>
      </c>
      <c r="E564" s="75" t="s">
        <v>1018</v>
      </c>
      <c r="F564" s="75" t="s">
        <v>971</v>
      </c>
      <c r="G564" s="74" t="s">
        <v>1680</v>
      </c>
      <c r="H564" s="75" t="s">
        <v>953</v>
      </c>
      <c r="I564" s="74" t="s">
        <v>486</v>
      </c>
      <c r="J564" s="75" t="s">
        <v>492</v>
      </c>
      <c r="K564" s="75" t="s">
        <v>850</v>
      </c>
      <c r="L564" s="76">
        <v>45544</v>
      </c>
      <c r="M564" s="77">
        <f t="shared" ca="1" si="16"/>
        <v>45954</v>
      </c>
      <c r="N564" s="74" t="str">
        <f>_xlfn.IFNA(VLOOKUP(db_emp[[#This Row],[ID_DIV]],[1]!db_dpt[[Code_dpt]:[Departement]],2,0),"-")</f>
        <v>Operational</v>
      </c>
      <c r="O564" s="74" t="str">
        <f>_xlfn.IFNA(VLOOKUP(db_emp[[#This Row],[ID_SDP]],[1]!db_div[[Code_div]:[Division]],2,0),"-")</f>
        <v>General Head Departement</v>
      </c>
      <c r="P564" s="74" t="str">
        <f>_xlfn.IFNA(VLOOKUP(db_emp[[#This Row],[Code_lvl]],[1]!db_lvl[[#All],[ID_level]:[Leveling Name]],2,0),"-")</f>
        <v>Manager</v>
      </c>
      <c r="Q564" s="74" t="str">
        <f>_xlfn.IFNA(VLOOKUP(db_emp[[#This Row],[Code_site]],[1]!db_site[[ID_Site]:[Url_maps]],3,0),"-")</f>
        <v>Unit - Hublife</v>
      </c>
      <c r="R5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241616,'Anton Cahyono','OPR','GNRAL','Operation Mall Manager','LV05','Mall','M05','Employee','2024-09-09','2025-10-24'</v>
      </c>
      <c r="S564" s="74">
        <f>db_emp[[#This Row],[NIP (UPDATE)]]</f>
        <v>241616</v>
      </c>
    </row>
    <row r="565" spans="2:19" hidden="1" x14ac:dyDescent="0.25">
      <c r="B565" s="75">
        <v>234</v>
      </c>
      <c r="C565" s="75">
        <v>101808</v>
      </c>
      <c r="D565" s="74" t="s">
        <v>1683</v>
      </c>
      <c r="E565" s="75" t="s">
        <v>911</v>
      </c>
      <c r="F565" s="75" t="s">
        <v>1684</v>
      </c>
      <c r="G565" s="74" t="s">
        <v>1685</v>
      </c>
      <c r="H565" s="75" t="s">
        <v>885</v>
      </c>
      <c r="I565" s="74" t="s">
        <v>849</v>
      </c>
      <c r="J565" s="75" t="s">
        <v>314</v>
      </c>
      <c r="K565" s="75" t="s">
        <v>850</v>
      </c>
      <c r="L565" s="76">
        <v>39692</v>
      </c>
      <c r="M565" s="77">
        <f t="shared" ca="1" si="16"/>
        <v>45954</v>
      </c>
      <c r="N565" s="74" t="str">
        <f>_xlfn.IFNA(VLOOKUP(db_emp[[#This Row],[ID_DIV]],[1]!db_dpt[[Code_dpt]:[Departement]],2,0),"-")</f>
        <v>Engineering</v>
      </c>
      <c r="O565" s="74" t="str">
        <f>_xlfn.IFNA(VLOOKUP(db_emp[[#This Row],[ID_SDP]],[1]!db_div[[Code_div]:[Division]],2,0),"-")</f>
        <v>Operation Power Plant</v>
      </c>
      <c r="P565" s="74" t="str">
        <f>_xlfn.IFNA(VLOOKUP(db_emp[[#This Row],[Code_lvl]],[1]!db_lvl[[#All],[ID_level]:[Leveling Name]],2,0),"-")</f>
        <v>Senior Staff</v>
      </c>
      <c r="Q565" s="74" t="str">
        <f>_xlfn.IFNA(VLOOKUP(db_emp[[#This Row],[Code_site]],[1]!db_site[[ID_Site]:[Url_maps]],3,0),"-")</f>
        <v>Unit - MOI</v>
      </c>
      <c r="R5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101808,'Eko Purwanto','ENG','OPRPP','Operation Power Plant Staff','LV11','Mall &amp; Cinema','M02','Employee','2008-09-01','2025-10-24'</v>
      </c>
      <c r="S565" s="74">
        <f>db_emp[[#This Row],[NIP (UPDATE)]]</f>
        <v>101808</v>
      </c>
    </row>
    <row r="566" spans="2:19" hidden="1" x14ac:dyDescent="0.25">
      <c r="B566" s="75">
        <v>235</v>
      </c>
      <c r="C566" s="75">
        <v>102078</v>
      </c>
      <c r="D566" s="74" t="s">
        <v>1686</v>
      </c>
      <c r="E566" s="75" t="s">
        <v>911</v>
      </c>
      <c r="F566" s="75" t="s">
        <v>1684</v>
      </c>
      <c r="G566" s="74" t="s">
        <v>1685</v>
      </c>
      <c r="H566" s="75" t="s">
        <v>885</v>
      </c>
      <c r="I566" s="74" t="s">
        <v>849</v>
      </c>
      <c r="J566" s="75" t="s">
        <v>314</v>
      </c>
      <c r="K566" s="75" t="s">
        <v>850</v>
      </c>
      <c r="L566" s="76">
        <v>39948</v>
      </c>
      <c r="M566" s="77">
        <f t="shared" ca="1" si="16"/>
        <v>45954</v>
      </c>
      <c r="N566" s="74" t="str">
        <f>_xlfn.IFNA(VLOOKUP(db_emp[[#This Row],[ID_DIV]],[1]!db_dpt[[Code_dpt]:[Departement]],2,0),"-")</f>
        <v>Engineering</v>
      </c>
      <c r="O566" s="74" t="str">
        <f>_xlfn.IFNA(VLOOKUP(db_emp[[#This Row],[ID_SDP]],[1]!db_div[[Code_div]:[Division]],2,0),"-")</f>
        <v>Operation Power Plant</v>
      </c>
      <c r="P566" s="74" t="str">
        <f>_xlfn.IFNA(VLOOKUP(db_emp[[#This Row],[Code_lvl]],[1]!db_lvl[[#All],[ID_level]:[Leveling Name]],2,0),"-")</f>
        <v>Senior Staff</v>
      </c>
      <c r="Q566" s="74" t="str">
        <f>_xlfn.IFNA(VLOOKUP(db_emp[[#This Row],[Code_site]],[1]!db_site[[ID_Site]:[Url_maps]],3,0),"-")</f>
        <v>Unit - MOI</v>
      </c>
      <c r="R5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102078,'Otong.','ENG','OPRPP','Operation Power Plant Staff','LV11','Mall &amp; Cinema','M02','Employee','2009-05-15','2025-10-24'</v>
      </c>
      <c r="S566" s="74">
        <f>db_emp[[#This Row],[NIP (UPDATE)]]</f>
        <v>102078</v>
      </c>
    </row>
    <row r="567" spans="2:19" hidden="1" x14ac:dyDescent="0.25">
      <c r="B567" s="75">
        <v>236</v>
      </c>
      <c r="C567" s="75">
        <v>102507</v>
      </c>
      <c r="D567" s="74" t="s">
        <v>1687</v>
      </c>
      <c r="E567" s="75" t="s">
        <v>911</v>
      </c>
      <c r="F567" s="75" t="s">
        <v>1684</v>
      </c>
      <c r="G567" s="74" t="s">
        <v>1685</v>
      </c>
      <c r="H567" s="75" t="s">
        <v>853</v>
      </c>
      <c r="I567" s="74" t="s">
        <v>849</v>
      </c>
      <c r="J567" s="75" t="s">
        <v>314</v>
      </c>
      <c r="K567" s="75" t="s">
        <v>850</v>
      </c>
      <c r="L567" s="76">
        <v>40196</v>
      </c>
      <c r="M567" s="77">
        <f t="shared" ca="1" si="16"/>
        <v>45954</v>
      </c>
      <c r="N567" s="74" t="str">
        <f>_xlfn.IFNA(VLOOKUP(db_emp[[#This Row],[ID_DIV]],[1]!db_dpt[[Code_dpt]:[Departement]],2,0),"-")</f>
        <v>Engineering</v>
      </c>
      <c r="O567" s="74" t="str">
        <f>_xlfn.IFNA(VLOOKUP(db_emp[[#This Row],[ID_SDP]],[1]!db_div[[Code_div]:[Division]],2,0),"-")</f>
        <v>Operation Power Plant</v>
      </c>
      <c r="P567" s="74" t="str">
        <f>_xlfn.IFNA(VLOOKUP(db_emp[[#This Row],[Code_lvl]],[1]!db_lvl[[#All],[ID_level]:[Leveling Name]],2,0),"-")</f>
        <v>Staff</v>
      </c>
      <c r="Q567" s="74" t="str">
        <f>_xlfn.IFNA(VLOOKUP(db_emp[[#This Row],[Code_site]],[1]!db_site[[ID_Site]:[Url_maps]],3,0),"-")</f>
        <v>Unit - MOI</v>
      </c>
      <c r="R5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102507,'Antonius Anang Prasetyo','ENG','OPRPP','Operation Power Plant Staff','LV12','Mall &amp; Cinema','M02','Employee','2010-01-18','2025-10-24'</v>
      </c>
      <c r="S567" s="74">
        <f>db_emp[[#This Row],[NIP (UPDATE)]]</f>
        <v>102507</v>
      </c>
    </row>
    <row r="568" spans="2:19" hidden="1" x14ac:dyDescent="0.25">
      <c r="B568" s="75">
        <v>237</v>
      </c>
      <c r="C568" s="75">
        <v>102952</v>
      </c>
      <c r="D568" s="74" t="s">
        <v>1688</v>
      </c>
      <c r="E568" s="75" t="s">
        <v>911</v>
      </c>
      <c r="F568" s="75" t="s">
        <v>1684</v>
      </c>
      <c r="G568" s="74" t="s">
        <v>1685</v>
      </c>
      <c r="H568" s="75" t="s">
        <v>885</v>
      </c>
      <c r="I568" s="74" t="s">
        <v>849</v>
      </c>
      <c r="J568" s="75" t="s">
        <v>314</v>
      </c>
      <c r="K568" s="75" t="s">
        <v>850</v>
      </c>
      <c r="L568" s="76">
        <v>40360</v>
      </c>
      <c r="M568" s="77">
        <f t="shared" ca="1" si="16"/>
        <v>45954</v>
      </c>
      <c r="N568" s="74" t="str">
        <f>_xlfn.IFNA(VLOOKUP(db_emp[[#This Row],[ID_DIV]],[1]!db_dpt[[Code_dpt]:[Departement]],2,0),"-")</f>
        <v>Engineering</v>
      </c>
      <c r="O568" s="74" t="str">
        <f>_xlfn.IFNA(VLOOKUP(db_emp[[#This Row],[ID_SDP]],[1]!db_div[[Code_div]:[Division]],2,0),"-")</f>
        <v>Operation Power Plant</v>
      </c>
      <c r="P568" s="74" t="str">
        <f>_xlfn.IFNA(VLOOKUP(db_emp[[#This Row],[Code_lvl]],[1]!db_lvl[[#All],[ID_level]:[Leveling Name]],2,0),"-")</f>
        <v>Senior Staff</v>
      </c>
      <c r="Q568" s="74" t="str">
        <f>_xlfn.IFNA(VLOOKUP(db_emp[[#This Row],[Code_site]],[1]!db_site[[ID_Site]:[Url_maps]],3,0),"-")</f>
        <v>Unit - MOI</v>
      </c>
      <c r="R5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102952,'Agung Tri Suseno','ENG','OPRPP','Operation Power Plant Staff','LV11','Mall &amp; Cinema','M02','Employee','2010-07-01','2025-10-24'</v>
      </c>
      <c r="S568" s="74">
        <f>db_emp[[#This Row],[NIP (UPDATE)]]</f>
        <v>102952</v>
      </c>
    </row>
    <row r="569" spans="2:19" hidden="1" x14ac:dyDescent="0.25">
      <c r="B569" s="75">
        <v>238</v>
      </c>
      <c r="C569" s="75">
        <v>130126</v>
      </c>
      <c r="D569" s="74" t="s">
        <v>1689</v>
      </c>
      <c r="E569" s="75" t="s">
        <v>911</v>
      </c>
      <c r="F569" s="75" t="s">
        <v>1684</v>
      </c>
      <c r="G569" s="74" t="s">
        <v>1685</v>
      </c>
      <c r="H569" s="75" t="s">
        <v>853</v>
      </c>
      <c r="I569" s="74" t="s">
        <v>849</v>
      </c>
      <c r="J569" s="75" t="s">
        <v>314</v>
      </c>
      <c r="K569" s="75" t="s">
        <v>850</v>
      </c>
      <c r="L569" s="76">
        <v>41306</v>
      </c>
      <c r="M569" s="77">
        <f t="shared" ca="1" si="16"/>
        <v>45954</v>
      </c>
      <c r="N569" s="74" t="str">
        <f>_xlfn.IFNA(VLOOKUP(db_emp[[#This Row],[ID_DIV]],[1]!db_dpt[[Code_dpt]:[Departement]],2,0),"-")</f>
        <v>Engineering</v>
      </c>
      <c r="O569" s="74" t="str">
        <f>_xlfn.IFNA(VLOOKUP(db_emp[[#This Row],[ID_SDP]],[1]!db_div[[Code_div]:[Division]],2,0),"-")</f>
        <v>Operation Power Plant</v>
      </c>
      <c r="P569" s="74" t="str">
        <f>_xlfn.IFNA(VLOOKUP(db_emp[[#This Row],[Code_lvl]],[1]!db_lvl[[#All],[ID_level]:[Leveling Name]],2,0),"-")</f>
        <v>Staff</v>
      </c>
      <c r="Q569" s="74" t="str">
        <f>_xlfn.IFNA(VLOOKUP(db_emp[[#This Row],[Code_site]],[1]!db_site[[ID_Site]:[Url_maps]],3,0),"-")</f>
        <v>Unit - MOI</v>
      </c>
      <c r="R5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130126,'Sutisna.','ENG','OPRPP','Operation Power Plant Staff','LV12','Mall &amp; Cinema','M02','Employee','2013-02-01','2025-10-24'</v>
      </c>
      <c r="S569" s="74">
        <f>db_emp[[#This Row],[NIP (UPDATE)]]</f>
        <v>130126</v>
      </c>
    </row>
    <row r="570" spans="2:19" hidden="1" x14ac:dyDescent="0.25">
      <c r="B570" s="75">
        <v>239</v>
      </c>
      <c r="C570" s="75">
        <v>231099</v>
      </c>
      <c r="D570" s="74" t="s">
        <v>1690</v>
      </c>
      <c r="E570" s="75" t="s">
        <v>911</v>
      </c>
      <c r="F570" s="75" t="s">
        <v>1684</v>
      </c>
      <c r="G570" s="74" t="s">
        <v>1685</v>
      </c>
      <c r="H570" s="75" t="s">
        <v>853</v>
      </c>
      <c r="I570" s="74" t="s">
        <v>849</v>
      </c>
      <c r="J570" s="75" t="s">
        <v>314</v>
      </c>
      <c r="K570" s="75" t="s">
        <v>850</v>
      </c>
      <c r="L570" s="76">
        <v>43221</v>
      </c>
      <c r="M570" s="77">
        <f t="shared" ca="1" si="16"/>
        <v>45954</v>
      </c>
      <c r="N570" s="74" t="str">
        <f>_xlfn.IFNA(VLOOKUP(db_emp[[#This Row],[ID_DIV]],[1]!db_dpt[[Code_dpt]:[Departement]],2,0),"-")</f>
        <v>Engineering</v>
      </c>
      <c r="O570" s="74" t="str">
        <f>_xlfn.IFNA(VLOOKUP(db_emp[[#This Row],[ID_SDP]],[1]!db_div[[Code_div]:[Division]],2,0),"-")</f>
        <v>Operation Power Plant</v>
      </c>
      <c r="P570" s="74" t="str">
        <f>_xlfn.IFNA(VLOOKUP(db_emp[[#This Row],[Code_lvl]],[1]!db_lvl[[#All],[ID_level]:[Leveling Name]],2,0),"-")</f>
        <v>Staff</v>
      </c>
      <c r="Q570" s="74" t="str">
        <f>_xlfn.IFNA(VLOOKUP(db_emp[[#This Row],[Code_site]],[1]!db_site[[ID_Site]:[Url_maps]],3,0),"-")</f>
        <v>Unit - MOI</v>
      </c>
      <c r="R5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231099,'Triyono.','ENG','OPRPP','Operation Power Plant Staff','LV12','Mall &amp; Cinema','M02','Employee','2018-05-01','2025-10-24'</v>
      </c>
      <c r="S570" s="74">
        <f>db_emp[[#This Row],[NIP (UPDATE)]]</f>
        <v>231099</v>
      </c>
    </row>
    <row r="571" spans="2:19" hidden="1" x14ac:dyDescent="0.25">
      <c r="B571" s="75">
        <v>520</v>
      </c>
      <c r="C571" s="75">
        <v>241711</v>
      </c>
      <c r="D571" s="74" t="s">
        <v>1691</v>
      </c>
      <c r="E571" s="75" t="s">
        <v>1018</v>
      </c>
      <c r="F571" s="75" t="s">
        <v>971</v>
      </c>
      <c r="G571" s="74" t="s">
        <v>1692</v>
      </c>
      <c r="H571" s="75" t="s">
        <v>870</v>
      </c>
      <c r="I571" s="74" t="s">
        <v>864</v>
      </c>
      <c r="J571" s="75" t="s">
        <v>441</v>
      </c>
      <c r="K571" s="75" t="s">
        <v>850</v>
      </c>
      <c r="L571" s="76">
        <v>45558</v>
      </c>
      <c r="M571" s="77">
        <f t="shared" ca="1" si="16"/>
        <v>45954</v>
      </c>
      <c r="N571" s="74" t="str">
        <f>_xlfn.IFNA(VLOOKUP(db_emp[[#This Row],[ID_DIV]],[1]!db_dpt[[Code_dpt]:[Departement]],2,0),"-")</f>
        <v>Operational</v>
      </c>
      <c r="O571" s="74" t="str">
        <f>_xlfn.IFNA(VLOOKUP(db_emp[[#This Row],[ID_SDP]],[1]!db_div[[Code_div]:[Division]],2,0),"-")</f>
        <v>General Head Departement</v>
      </c>
      <c r="P571" s="74" t="str">
        <f>_xlfn.IFNA(VLOOKUP(db_emp[[#This Row],[Code_lvl]],[1]!db_lvl[[#All],[ID_level]:[Leveling Name]],2,0),"-")</f>
        <v>Supervisor</v>
      </c>
      <c r="Q571" s="74" t="str">
        <f>_xlfn.IFNA(VLOOKUP(db_emp[[#This Row],[Code_site]],[1]!db_site[[ID_Site]:[Url_maps]],3,0),"-")</f>
        <v>Unit - Fatmawati City Center</v>
      </c>
      <c r="R5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241711,'Adi Brama','OPR','GNRAL','Operation Supervisor','LV09','Corp. Supporting Property (POM)','A02','Employee','2024-09-23','2025-10-24'</v>
      </c>
      <c r="S571" s="74">
        <f>db_emp[[#This Row],[NIP (UPDATE)]]</f>
        <v>241711</v>
      </c>
    </row>
    <row r="572" spans="2:19" hidden="1" x14ac:dyDescent="0.25">
      <c r="B572" s="75">
        <v>541</v>
      </c>
      <c r="C572" s="75">
        <v>231075</v>
      </c>
      <c r="D572" s="74" t="s">
        <v>1693</v>
      </c>
      <c r="E572" s="75" t="s">
        <v>1018</v>
      </c>
      <c r="F572" s="75" t="s">
        <v>971</v>
      </c>
      <c r="G572" s="74" t="s">
        <v>1692</v>
      </c>
      <c r="H572" s="75" t="s">
        <v>870</v>
      </c>
      <c r="I572" s="74" t="s">
        <v>864</v>
      </c>
      <c r="J572" s="75" t="s">
        <v>446</v>
      </c>
      <c r="K572" s="75" t="s">
        <v>850</v>
      </c>
      <c r="L572" s="76">
        <v>45112</v>
      </c>
      <c r="M572" s="77">
        <f t="shared" ca="1" si="16"/>
        <v>45954</v>
      </c>
      <c r="N572" s="74" t="str">
        <f>_xlfn.IFNA(VLOOKUP(db_emp[[#This Row],[ID_DIV]],[1]!db_dpt[[Code_dpt]:[Departement]],2,0),"-")</f>
        <v>Operational</v>
      </c>
      <c r="O572" s="74" t="str">
        <f>_xlfn.IFNA(VLOOKUP(db_emp[[#This Row],[ID_SDP]],[1]!db_div[[Code_div]:[Division]],2,0),"-")</f>
        <v>General Head Departement</v>
      </c>
      <c r="P572" s="74" t="str">
        <f>_xlfn.IFNA(VLOOKUP(db_emp[[#This Row],[Code_lvl]],[1]!db_lvl[[#All],[ID_level]:[Leveling Name]],2,0),"-")</f>
        <v>Supervisor</v>
      </c>
      <c r="Q572" s="74" t="str">
        <f>_xlfn.IFNA(VLOOKUP(db_emp[[#This Row],[Code_site]],[1]!db_site[[ID_Site]:[Url_maps]],3,0),"-")</f>
        <v>Unit - Menara Jakarta POM</v>
      </c>
      <c r="R5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231075,'Reza Palevy Aman Suwandono','OPR','GNRAL','Operation Supervisor','LV09','Corp. Supporting Property (POM)','A03','Employee','2023-07-05','2025-10-24'</v>
      </c>
      <c r="S572" s="74">
        <f>db_emp[[#This Row],[NIP (UPDATE)]]</f>
        <v>231075</v>
      </c>
    </row>
    <row r="573" spans="2:19" hidden="1" x14ac:dyDescent="0.25">
      <c r="B573" s="75">
        <v>664</v>
      </c>
      <c r="C573" s="75">
        <v>180423</v>
      </c>
      <c r="D573" s="74" t="s">
        <v>1694</v>
      </c>
      <c r="E573" s="75" t="s">
        <v>1018</v>
      </c>
      <c r="F573" s="75" t="s">
        <v>1071</v>
      </c>
      <c r="G573" s="74" t="s">
        <v>1695</v>
      </c>
      <c r="H573" s="75" t="s">
        <v>853</v>
      </c>
      <c r="I573" s="74" t="s">
        <v>864</v>
      </c>
      <c r="J573" s="75" t="s">
        <v>501</v>
      </c>
      <c r="K573" s="75" t="s">
        <v>850</v>
      </c>
      <c r="L573" s="76"/>
      <c r="M573" s="77">
        <f t="shared" ca="1" si="16"/>
        <v>45954</v>
      </c>
      <c r="N573" s="74" t="str">
        <f>_xlfn.IFNA(VLOOKUP(db_emp[[#This Row],[ID_DIV]],[1]!db_dpt[[Code_dpt]:[Departement]],2,0),"-")</f>
        <v>Operational</v>
      </c>
      <c r="O573" s="74" t="str">
        <f>_xlfn.IFNA(VLOOKUP(db_emp[[#This Row],[ID_SDP]],[1]!db_div[[Code_div]:[Division]],2,0),"-")</f>
        <v>Civil</v>
      </c>
      <c r="P573" s="74" t="str">
        <f>_xlfn.IFNA(VLOOKUP(db_emp[[#This Row],[Code_lvl]],[1]!db_lvl[[#All],[ID_level]:[Leveling Name]],2,0),"-")</f>
        <v>Staff</v>
      </c>
      <c r="Q573" s="74" t="str">
        <f>_xlfn.IFNA(VLOOKUP(db_emp[[#This Row],[Code_site]],[1]!db_site[[ID_Site]:[Url_maps]],3,0),"-")</f>
        <v>Unit - District 8</v>
      </c>
      <c r="R5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180423,'David Petrus','OPR','CIVIL','Operational Civil Staff','LV12','Corp. Supporting Property (POM)','OD8','Employee','1900-01-00','2025-10-24'</v>
      </c>
      <c r="S573" s="74">
        <f>db_emp[[#This Row],[NIP (UPDATE)]]</f>
        <v>180423</v>
      </c>
    </row>
    <row r="574" spans="2:19" hidden="1" x14ac:dyDescent="0.25">
      <c r="B574" s="75">
        <v>725</v>
      </c>
      <c r="C574" s="75">
        <v>240470</v>
      </c>
      <c r="D574" s="74" t="s">
        <v>1696</v>
      </c>
      <c r="E574" s="75" t="s">
        <v>1018</v>
      </c>
      <c r="F574" s="75" t="s">
        <v>1071</v>
      </c>
      <c r="G574" s="74" t="s">
        <v>1695</v>
      </c>
      <c r="H574" s="75" t="s">
        <v>853</v>
      </c>
      <c r="I574" s="74" t="s">
        <v>864</v>
      </c>
      <c r="J574" s="75" t="s">
        <v>501</v>
      </c>
      <c r="K574" s="75" t="s">
        <v>850</v>
      </c>
      <c r="L574" s="76"/>
      <c r="M574" s="77">
        <f t="shared" ca="1" si="16"/>
        <v>45954</v>
      </c>
      <c r="N574" s="74" t="str">
        <f>_xlfn.IFNA(VLOOKUP(db_emp[[#This Row],[ID_DIV]],[1]!db_dpt[[Code_dpt]:[Departement]],2,0),"-")</f>
        <v>Operational</v>
      </c>
      <c r="O574" s="74" t="str">
        <f>_xlfn.IFNA(VLOOKUP(db_emp[[#This Row],[ID_SDP]],[1]!db_div[[Code_div]:[Division]],2,0),"-")</f>
        <v>Civil</v>
      </c>
      <c r="P574" s="74" t="str">
        <f>_xlfn.IFNA(VLOOKUP(db_emp[[#This Row],[Code_lvl]],[1]!db_lvl[[#All],[ID_level]:[Leveling Name]],2,0),"-")</f>
        <v>Staff</v>
      </c>
      <c r="Q574" s="74" t="str">
        <f>_xlfn.IFNA(VLOOKUP(db_emp[[#This Row],[Code_site]],[1]!db_site[[ID_Site]:[Url_maps]],3,0),"-")</f>
        <v>Unit - District 8</v>
      </c>
      <c r="R5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240470,'Wahidin.','OPR','CIVIL','Operational Civil Staff','LV12','Corp. Supporting Property (POM)','OD8','Employee','1900-01-00','2025-10-24'</v>
      </c>
      <c r="S574" s="74">
        <f>db_emp[[#This Row],[NIP (UPDATE)]]</f>
        <v>240470</v>
      </c>
    </row>
    <row r="575" spans="2:19" hidden="1" x14ac:dyDescent="0.25">
      <c r="B575" s="75">
        <v>726</v>
      </c>
      <c r="C575" s="75">
        <v>240471</v>
      </c>
      <c r="D575" s="74" t="s">
        <v>1697</v>
      </c>
      <c r="E575" s="75" t="s">
        <v>1018</v>
      </c>
      <c r="F575" s="75" t="s">
        <v>1071</v>
      </c>
      <c r="G575" s="74" t="s">
        <v>1695</v>
      </c>
      <c r="H575" s="75" t="s">
        <v>853</v>
      </c>
      <c r="I575" s="74" t="s">
        <v>864</v>
      </c>
      <c r="J575" s="75" t="s">
        <v>501</v>
      </c>
      <c r="K575" s="75" t="s">
        <v>850</v>
      </c>
      <c r="L575" s="76"/>
      <c r="M575" s="77">
        <f t="shared" ca="1" si="16"/>
        <v>45954</v>
      </c>
      <c r="N575" s="74" t="str">
        <f>_xlfn.IFNA(VLOOKUP(db_emp[[#This Row],[ID_DIV]],[1]!db_dpt[[Code_dpt]:[Departement]],2,0),"-")</f>
        <v>Operational</v>
      </c>
      <c r="O575" s="74" t="str">
        <f>_xlfn.IFNA(VLOOKUP(db_emp[[#This Row],[ID_SDP]],[1]!db_div[[Code_div]:[Division]],2,0),"-")</f>
        <v>Civil</v>
      </c>
      <c r="P575" s="74" t="str">
        <f>_xlfn.IFNA(VLOOKUP(db_emp[[#This Row],[Code_lvl]],[1]!db_lvl[[#All],[ID_level]:[Leveling Name]],2,0),"-")</f>
        <v>Staff</v>
      </c>
      <c r="Q575" s="74" t="str">
        <f>_xlfn.IFNA(VLOOKUP(db_emp[[#This Row],[Code_site]],[1]!db_site[[ID_Site]:[Url_maps]],3,0),"-")</f>
        <v>Unit - District 8</v>
      </c>
      <c r="R5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240471,'Agus Triyanto','OPR','CIVIL','Operational Civil Staff','LV12','Corp. Supporting Property (POM)','OD8','Employee','1900-01-00','2025-10-24'</v>
      </c>
      <c r="S575" s="74">
        <f>db_emp[[#This Row],[NIP (UPDATE)]]</f>
        <v>240471</v>
      </c>
    </row>
    <row r="576" spans="2:19" hidden="1" x14ac:dyDescent="0.25">
      <c r="B576" s="75">
        <v>713</v>
      </c>
      <c r="C576" s="75">
        <v>240446</v>
      </c>
      <c r="D576" s="74" t="s">
        <v>1698</v>
      </c>
      <c r="E576" s="75" t="s">
        <v>1018</v>
      </c>
      <c r="F576" s="75" t="s">
        <v>1699</v>
      </c>
      <c r="G576" s="74" t="s">
        <v>1700</v>
      </c>
      <c r="H576" s="75" t="s">
        <v>853</v>
      </c>
      <c r="I576" s="74" t="s">
        <v>864</v>
      </c>
      <c r="J576" s="75" t="s">
        <v>501</v>
      </c>
      <c r="K576" s="75" t="s">
        <v>850</v>
      </c>
      <c r="L576" s="76"/>
      <c r="M576" s="77">
        <f t="shared" ca="1" si="16"/>
        <v>45954</v>
      </c>
      <c r="N576" s="74" t="str">
        <f>_xlfn.IFNA(VLOOKUP(db_emp[[#This Row],[ID_DIV]],[1]!db_dpt[[Code_dpt]:[Departement]],2,0),"-")</f>
        <v>Operational</v>
      </c>
      <c r="O576" s="74" t="str">
        <f>_xlfn.IFNA(VLOOKUP(db_emp[[#This Row],[ID_SDP]],[1]!db_div[[Code_div]:[Division]],2,0),"-")</f>
        <v>Operational Genset &amp; Control Room</v>
      </c>
      <c r="P576" s="74" t="str">
        <f>_xlfn.IFNA(VLOOKUP(db_emp[[#This Row],[Code_lvl]],[1]!db_lvl[[#All],[ID_level]:[Leveling Name]],2,0),"-")</f>
        <v>Staff</v>
      </c>
      <c r="Q576" s="74" t="str">
        <f>_xlfn.IFNA(VLOOKUP(db_emp[[#This Row],[Code_site]],[1]!db_site[[ID_Site]:[Url_maps]],3,0),"-")</f>
        <v>Unit - District 8</v>
      </c>
      <c r="R5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240446,'Erwin Raharja','OPR','OPGCR','Operational Genset &amp; Control Room Staff','LV12','Corp. Supporting Property (POM)','OD8','Employee','1900-01-00','2025-10-24'</v>
      </c>
      <c r="S576" s="74">
        <f>db_emp[[#This Row],[NIP (UPDATE)]]</f>
        <v>240446</v>
      </c>
    </row>
    <row r="577" spans="2:19" hidden="1" x14ac:dyDescent="0.25">
      <c r="B577" s="75">
        <v>668</v>
      </c>
      <c r="C577" s="75">
        <v>180623</v>
      </c>
      <c r="D577" s="74" t="s">
        <v>1701</v>
      </c>
      <c r="E577" s="75" t="s">
        <v>1018</v>
      </c>
      <c r="F577" s="75" t="s">
        <v>1702</v>
      </c>
      <c r="G577" s="74" t="s">
        <v>1703</v>
      </c>
      <c r="H577" s="75" t="s">
        <v>853</v>
      </c>
      <c r="I577" s="74" t="s">
        <v>864</v>
      </c>
      <c r="J577" s="75" t="s">
        <v>501</v>
      </c>
      <c r="K577" s="75" t="s">
        <v>850</v>
      </c>
      <c r="L577" s="76"/>
      <c r="M577" s="77">
        <f t="shared" ca="1" si="16"/>
        <v>45954</v>
      </c>
      <c r="N577" s="74" t="str">
        <f>_xlfn.IFNA(VLOOKUP(db_emp[[#This Row],[ID_DIV]],[1]!db_dpt[[Code_dpt]:[Departement]],2,0),"-")</f>
        <v>Operational</v>
      </c>
      <c r="O577" s="74" t="str">
        <f>_xlfn.IFNA(VLOOKUP(db_emp[[#This Row],[ID_SDP]],[1]!db_div[[Code_div]:[Division]],2,0),"-")</f>
        <v>Handling Complaint</v>
      </c>
      <c r="P577" s="74" t="str">
        <f>_xlfn.IFNA(VLOOKUP(db_emp[[#This Row],[Code_lvl]],[1]!db_lvl[[#All],[ID_level]:[Leveling Name]],2,0),"-")</f>
        <v>Staff</v>
      </c>
      <c r="Q577" s="74" t="str">
        <f>_xlfn.IFNA(VLOOKUP(db_emp[[#This Row],[Code_site]],[1]!db_site[[ID_Site]:[Url_maps]],3,0),"-")</f>
        <v>Unit - District 8</v>
      </c>
      <c r="R5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180623,'Rezha Waasthia Arvian','OPR','OPHCO','Operational Handling Complaint Staff','LV12','Corp. Supporting Property (POM)','OD8','Employee','1900-01-00','2025-10-24'</v>
      </c>
      <c r="S577" s="74">
        <f>db_emp[[#This Row],[NIP (UPDATE)]]</f>
        <v>180623</v>
      </c>
    </row>
    <row r="578" spans="2:19" hidden="1" x14ac:dyDescent="0.25">
      <c r="B578" s="75">
        <v>720</v>
      </c>
      <c r="C578" s="75">
        <v>240464</v>
      </c>
      <c r="D578" s="74" t="s">
        <v>1704</v>
      </c>
      <c r="E578" s="75" t="s">
        <v>1018</v>
      </c>
      <c r="F578" s="75" t="s">
        <v>1702</v>
      </c>
      <c r="G578" s="74" t="s">
        <v>1705</v>
      </c>
      <c r="H578" s="75" t="s">
        <v>870</v>
      </c>
      <c r="I578" s="74" t="s">
        <v>864</v>
      </c>
      <c r="J578" s="75" t="s">
        <v>501</v>
      </c>
      <c r="K578" s="75" t="s">
        <v>850</v>
      </c>
      <c r="L578" s="76"/>
      <c r="M578" s="77">
        <f t="shared" ca="1" si="16"/>
        <v>45954</v>
      </c>
      <c r="N578" s="74" t="str">
        <f>_xlfn.IFNA(VLOOKUP(db_emp[[#This Row],[ID_DIV]],[1]!db_dpt[[Code_dpt]:[Departement]],2,0),"-")</f>
        <v>Operational</v>
      </c>
      <c r="O578" s="74" t="str">
        <f>_xlfn.IFNA(VLOOKUP(db_emp[[#This Row],[ID_SDP]],[1]!db_div[[Code_div]:[Division]],2,0),"-")</f>
        <v>Handling Complaint</v>
      </c>
      <c r="P578" s="74" t="str">
        <f>_xlfn.IFNA(VLOOKUP(db_emp[[#This Row],[Code_lvl]],[1]!db_lvl[[#All],[ID_level]:[Leveling Name]],2,0),"-")</f>
        <v>Supervisor</v>
      </c>
      <c r="Q578" s="74" t="str">
        <f>_xlfn.IFNA(VLOOKUP(db_emp[[#This Row],[Code_site]],[1]!db_site[[ID_Site]:[Url_maps]],3,0),"-")</f>
        <v>Unit - District 8</v>
      </c>
      <c r="R5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240464,'Waluyo.','OPR','OPHCO','Operational Handling Complaint Supervisor','LV09','Corp. Supporting Property (POM)','OD8','Employee','1900-01-00','2025-10-24'</v>
      </c>
      <c r="S578" s="74">
        <f>db_emp[[#This Row],[NIP (UPDATE)]]</f>
        <v>240464</v>
      </c>
    </row>
    <row r="579" spans="2:19" hidden="1" x14ac:dyDescent="0.25">
      <c r="B579" s="75">
        <v>314</v>
      </c>
      <c r="C579" s="75">
        <v>220244</v>
      </c>
      <c r="D579" s="74" t="s">
        <v>1706</v>
      </c>
      <c r="E579" s="75" t="s">
        <v>1018</v>
      </c>
      <c r="F579" s="75" t="s">
        <v>912</v>
      </c>
      <c r="G579" s="74" t="s">
        <v>1707</v>
      </c>
      <c r="H579" s="75" t="s">
        <v>853</v>
      </c>
      <c r="I579" s="74" t="s">
        <v>849</v>
      </c>
      <c r="J579" s="75" t="s">
        <v>484</v>
      </c>
      <c r="K579" s="75" t="s">
        <v>850</v>
      </c>
      <c r="L579" s="76">
        <v>44613</v>
      </c>
      <c r="M579" s="77">
        <f t="shared" ca="1" si="16"/>
        <v>45954</v>
      </c>
      <c r="N579" s="74" t="str">
        <f>_xlfn.IFNA(VLOOKUP(db_emp[[#This Row],[ID_DIV]],[1]!db_dpt[[Code_dpt]:[Departement]],2,0),"-")</f>
        <v>Operational</v>
      </c>
      <c r="O579" s="74" t="str">
        <f>_xlfn.IFNA(VLOOKUP(db_emp[[#This Row],[ID_SDP]],[1]!db_div[[Code_div]:[Division]],2,0),"-")</f>
        <v>Admin</v>
      </c>
      <c r="P579" s="74" t="str">
        <f>_xlfn.IFNA(VLOOKUP(db_emp[[#This Row],[Code_lvl]],[1]!db_lvl[[#All],[ID_level]:[Leveling Name]],2,0),"-")</f>
        <v>Staff</v>
      </c>
      <c r="Q579" s="74" t="str">
        <f>_xlfn.IFNA(VLOOKUP(db_emp[[#This Row],[Code_site]],[1]!db_site[[ID_Site]:[Url_maps]],3,0),"-")</f>
        <v>Unit - PIK Avenue</v>
      </c>
      <c r="R5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220244,'Esti Dwipiani','OPR','ADMIN','Operational Mall Administration','LV12','Mall &amp; Cinema','M01','Employee','2022-02-21','2025-10-24'</v>
      </c>
      <c r="S579" s="74">
        <f>db_emp[[#This Row],[NIP (UPDATE)]]</f>
        <v>220244</v>
      </c>
    </row>
    <row r="580" spans="2:19" hidden="1" x14ac:dyDescent="0.25">
      <c r="B580" s="75">
        <v>247</v>
      </c>
      <c r="C580" s="75">
        <v>240796</v>
      </c>
      <c r="D580" s="74" t="s">
        <v>1708</v>
      </c>
      <c r="E580" s="75" t="s">
        <v>1018</v>
      </c>
      <c r="F580" s="75" t="s">
        <v>1495</v>
      </c>
      <c r="G580" s="74" t="s">
        <v>1709</v>
      </c>
      <c r="H580" s="75" t="s">
        <v>853</v>
      </c>
      <c r="I580" s="74" t="s">
        <v>849</v>
      </c>
      <c r="J580" s="75" t="s">
        <v>314</v>
      </c>
      <c r="K580" s="75" t="s">
        <v>850</v>
      </c>
      <c r="L580" s="76">
        <v>45414</v>
      </c>
      <c r="M580" s="77">
        <f t="shared" ca="1" si="16"/>
        <v>45954</v>
      </c>
      <c r="N580" s="74" t="str">
        <f>_xlfn.IFNA(VLOOKUP(db_emp[[#This Row],[ID_DIV]],[1]!db_dpt[[Code_dpt]:[Departement]],2,0),"-")</f>
        <v>Operational</v>
      </c>
      <c r="O580" s="74" t="str">
        <f>_xlfn.IFNA(VLOOKUP(db_emp[[#This Row],[ID_SDP]],[1]!db_div[[Code_div]:[Division]],2,0),"-")</f>
        <v>Housekeeping &amp;Parking</v>
      </c>
      <c r="P580" s="74" t="str">
        <f>_xlfn.IFNA(VLOOKUP(db_emp[[#This Row],[Code_lvl]],[1]!db_lvl[[#All],[ID_level]:[Leveling Name]],2,0),"-")</f>
        <v>Staff</v>
      </c>
      <c r="Q580" s="74" t="str">
        <f>_xlfn.IFNA(VLOOKUP(db_emp[[#This Row],[Code_site]],[1]!db_site[[ID_Site]:[Url_maps]],3,0),"-")</f>
        <v>Unit - MOI</v>
      </c>
      <c r="R5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240796,'Annisa Ratika Syahni','OPR','HSKPK','Parking &amp; Housekeeping Staff','LV12','Mall &amp; Cinema','M02','Employee','2024-05-02','2025-10-24'</v>
      </c>
      <c r="S580" s="74">
        <f>db_emp[[#This Row],[NIP (UPDATE)]]</f>
        <v>240796</v>
      </c>
    </row>
    <row r="581" spans="2:19" hidden="1" x14ac:dyDescent="0.25">
      <c r="B581" s="75">
        <v>429</v>
      </c>
      <c r="C581" s="75">
        <v>241983</v>
      </c>
      <c r="D581" s="74" t="s">
        <v>1710</v>
      </c>
      <c r="E581" s="75" t="s">
        <v>1018</v>
      </c>
      <c r="F581" s="75" t="s">
        <v>1495</v>
      </c>
      <c r="G581" s="74" t="s">
        <v>1709</v>
      </c>
      <c r="H581" s="75" t="s">
        <v>853</v>
      </c>
      <c r="I581" s="74" t="s">
        <v>849</v>
      </c>
      <c r="J581" s="75" t="s">
        <v>316</v>
      </c>
      <c r="K581" s="75" t="s">
        <v>850</v>
      </c>
      <c r="L581" s="76">
        <v>45600</v>
      </c>
      <c r="M581" s="77">
        <f t="shared" ca="1" si="16"/>
        <v>45954</v>
      </c>
      <c r="N581" s="74" t="str">
        <f>_xlfn.IFNA(VLOOKUP(db_emp[[#This Row],[ID_DIV]],[1]!db_dpt[[Code_dpt]:[Departement]],2,0),"-")</f>
        <v>Operational</v>
      </c>
      <c r="O581" s="74" t="str">
        <f>_xlfn.IFNA(VLOOKUP(db_emp[[#This Row],[ID_SDP]],[1]!db_div[[Code_div]:[Division]],2,0),"-")</f>
        <v>Housekeeping &amp;Parking</v>
      </c>
      <c r="P581" s="74" t="str">
        <f>_xlfn.IFNA(VLOOKUP(db_emp[[#This Row],[Code_lvl]],[1]!db_lvl[[#All],[ID_level]:[Leveling Name]],2,0),"-")</f>
        <v>Staff</v>
      </c>
      <c r="Q581" s="74" t="str">
        <f>_xlfn.IFNA(VLOOKUP(db_emp[[#This Row],[Code_site]],[1]!db_site[[ID_Site]:[Url_maps]],3,0),"-")</f>
        <v>Unit - GGP</v>
      </c>
      <c r="R5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241983,'Ika Retna Wati','OPR','HSKPK','Parking &amp; Housekeeping Staff','LV12','Mall &amp; Cinema','M03','Employee','2024-11-04','2025-10-24'</v>
      </c>
      <c r="S581" s="74">
        <f>db_emp[[#This Row],[NIP (UPDATE)]]</f>
        <v>241983</v>
      </c>
    </row>
    <row r="582" spans="2:19" hidden="1" x14ac:dyDescent="0.25">
      <c r="B582" s="75">
        <v>254</v>
      </c>
      <c r="C582" s="75">
        <v>241473</v>
      </c>
      <c r="D582" s="74" t="s">
        <v>1711</v>
      </c>
      <c r="E582" s="75" t="s">
        <v>1018</v>
      </c>
      <c r="F582" s="75" t="s">
        <v>1495</v>
      </c>
      <c r="G582" s="74" t="s">
        <v>1712</v>
      </c>
      <c r="H582" s="75" t="s">
        <v>870</v>
      </c>
      <c r="I582" s="74" t="s">
        <v>849</v>
      </c>
      <c r="J582" s="75" t="s">
        <v>314</v>
      </c>
      <c r="K582" s="75" t="s">
        <v>850</v>
      </c>
      <c r="L582" s="76">
        <v>45516</v>
      </c>
      <c r="M582" s="77">
        <f t="shared" ca="1" si="16"/>
        <v>45954</v>
      </c>
      <c r="N582" s="74" t="str">
        <f>_xlfn.IFNA(VLOOKUP(db_emp[[#This Row],[ID_DIV]],[1]!db_dpt[[Code_dpt]:[Departement]],2,0),"-")</f>
        <v>Operational</v>
      </c>
      <c r="O582" s="74" t="str">
        <f>_xlfn.IFNA(VLOOKUP(db_emp[[#This Row],[ID_SDP]],[1]!db_div[[Code_div]:[Division]],2,0),"-")</f>
        <v>Housekeeping &amp;Parking</v>
      </c>
      <c r="P582" s="74" t="str">
        <f>_xlfn.IFNA(VLOOKUP(db_emp[[#This Row],[Code_lvl]],[1]!db_lvl[[#All],[ID_level]:[Leveling Name]],2,0),"-")</f>
        <v>Supervisor</v>
      </c>
      <c r="Q582" s="74" t="str">
        <f>_xlfn.IFNA(VLOOKUP(db_emp[[#This Row],[Code_site]],[1]!db_site[[ID_Site]:[Url_maps]],3,0),"-")</f>
        <v>Unit - MOI</v>
      </c>
      <c r="R5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241473,'Muhammad Ma'ruf Kurniawan','OPR','HSKPK','Parking &amp; Housekeeping Supervisor','LV09','Mall &amp; Cinema','M02','Employee','2024-08-12','2025-10-24'</v>
      </c>
      <c r="S582" s="74">
        <f>db_emp[[#This Row],[NIP (UPDATE)]]</f>
        <v>241473</v>
      </c>
    </row>
    <row r="583" spans="2:19" hidden="1" x14ac:dyDescent="0.25">
      <c r="B583" s="75">
        <v>714</v>
      </c>
      <c r="C583" s="75">
        <v>240449</v>
      </c>
      <c r="D583" s="74" t="s">
        <v>1713</v>
      </c>
      <c r="E583" s="75" t="s">
        <v>1018</v>
      </c>
      <c r="F583" s="75" t="s">
        <v>912</v>
      </c>
      <c r="G583" s="74" t="s">
        <v>1714</v>
      </c>
      <c r="H583" s="75" t="s">
        <v>870</v>
      </c>
      <c r="I583" s="74" t="s">
        <v>864</v>
      </c>
      <c r="J583" s="75" t="s">
        <v>501</v>
      </c>
      <c r="K583" s="75" t="s">
        <v>903</v>
      </c>
      <c r="L583" s="76"/>
      <c r="M583" s="77">
        <v>45869</v>
      </c>
      <c r="N583" s="74" t="str">
        <f>_xlfn.IFNA(VLOOKUP(db_emp[[#This Row],[ID_DIV]],[1]!db_dpt[[Code_dpt]:[Departement]],2,0),"-")</f>
        <v>Operational</v>
      </c>
      <c r="O583" s="74" t="str">
        <f>_xlfn.IFNA(VLOOKUP(db_emp[[#This Row],[ID_SDP]],[1]!db_div[[Code_div]:[Division]],2,0),"-")</f>
        <v>Admin</v>
      </c>
      <c r="P583" s="74" t="str">
        <f>_xlfn.IFNA(VLOOKUP(db_emp[[#This Row],[Code_lvl]],[1]!db_lvl[[#All],[ID_level]:[Leveling Name]],2,0),"-")</f>
        <v>Supervisor</v>
      </c>
      <c r="Q583" s="74" t="str">
        <f>_xlfn.IFNA(VLOOKUP(db_emp[[#This Row],[Code_site]],[1]!db_site[[ID_Site]:[Url_maps]],3,0),"-")</f>
        <v>Unit - District 8</v>
      </c>
      <c r="R583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240449,'Lenny Adriany D','OPR','ADMIN','Parking Administration Supervisor','LV09','Corp. Supporting Property (POM)','OD8','Resign','1900-01-00','2025-07-31'</v>
      </c>
      <c r="S583" s="74">
        <f>db_emp[[#This Row],[NIP (UPDATE)]]</f>
        <v>240449</v>
      </c>
    </row>
    <row r="584" spans="2:19" hidden="1" x14ac:dyDescent="0.25">
      <c r="B584" s="75">
        <v>253</v>
      </c>
      <c r="C584" s="75">
        <v>241356</v>
      </c>
      <c r="D584" s="74" t="s">
        <v>1715</v>
      </c>
      <c r="E584" s="75" t="s">
        <v>1018</v>
      </c>
      <c r="F584" s="75" t="s">
        <v>1716</v>
      </c>
      <c r="G584" s="74" t="s">
        <v>1717</v>
      </c>
      <c r="H584" s="75" t="s">
        <v>853</v>
      </c>
      <c r="I584" s="74" t="s">
        <v>849</v>
      </c>
      <c r="J584" s="75" t="s">
        <v>314</v>
      </c>
      <c r="K584" s="75" t="s">
        <v>850</v>
      </c>
      <c r="L584" s="76">
        <v>45505</v>
      </c>
      <c r="M584" s="77">
        <f ca="1">TODAY()+1</f>
        <v>45954</v>
      </c>
      <c r="N584" s="74" t="str">
        <f>_xlfn.IFNA(VLOOKUP(db_emp[[#This Row],[ID_DIV]],[1]!db_dpt[[Code_dpt]:[Departement]],2,0),"-")</f>
        <v>Operational</v>
      </c>
      <c r="O584" s="74" t="str">
        <f>_xlfn.IFNA(VLOOKUP(db_emp[[#This Row],[ID_SDP]],[1]!db_div[[Code_div]:[Division]],2,0),"-")</f>
        <v>Parking</v>
      </c>
      <c r="P584" s="74" t="str">
        <f>_xlfn.IFNA(VLOOKUP(db_emp[[#This Row],[Code_lvl]],[1]!db_lvl[[#All],[ID_level]:[Leveling Name]],2,0),"-")</f>
        <v>Staff</v>
      </c>
      <c r="Q584" s="74" t="str">
        <f>_xlfn.IFNA(VLOOKUP(db_emp[[#This Row],[Code_site]],[1]!db_site[[ID_Site]:[Url_maps]],3,0),"-")</f>
        <v>Unit - MOI</v>
      </c>
      <c r="R5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241356,'Ade Kurniawan','OPR','PARKG','Parking Staff','LV12','Mall &amp; Cinema','M02','Employee','2024-08-01','2025-10-24'</v>
      </c>
      <c r="S584" s="74">
        <f>db_emp[[#This Row],[NIP (UPDATE)]]</f>
        <v>241356</v>
      </c>
    </row>
    <row r="585" spans="2:19" hidden="1" x14ac:dyDescent="0.25">
      <c r="B585" s="75">
        <v>259</v>
      </c>
      <c r="C585" s="75">
        <v>241713</v>
      </c>
      <c r="D585" s="74" t="s">
        <v>1718</v>
      </c>
      <c r="E585" s="75" t="s">
        <v>1018</v>
      </c>
      <c r="F585" s="75" t="s">
        <v>1716</v>
      </c>
      <c r="G585" s="74" t="s">
        <v>1717</v>
      </c>
      <c r="H585" s="75" t="s">
        <v>853</v>
      </c>
      <c r="I585" s="74" t="s">
        <v>849</v>
      </c>
      <c r="J585" s="75" t="s">
        <v>314</v>
      </c>
      <c r="K585" s="75" t="s">
        <v>850</v>
      </c>
      <c r="L585" s="76">
        <v>45558</v>
      </c>
      <c r="M585" s="77">
        <f ca="1">TODAY()+1</f>
        <v>45954</v>
      </c>
      <c r="N585" s="74" t="str">
        <f>_xlfn.IFNA(VLOOKUP(db_emp[[#This Row],[ID_DIV]],[1]!db_dpt[[Code_dpt]:[Departement]],2,0),"-")</f>
        <v>Operational</v>
      </c>
      <c r="O585" s="74" t="str">
        <f>_xlfn.IFNA(VLOOKUP(db_emp[[#This Row],[ID_SDP]],[1]!db_div[[Code_div]:[Division]],2,0),"-")</f>
        <v>Parking</v>
      </c>
      <c r="P585" s="74" t="str">
        <f>_xlfn.IFNA(VLOOKUP(db_emp[[#This Row],[Code_lvl]],[1]!db_lvl[[#All],[ID_level]:[Leveling Name]],2,0),"-")</f>
        <v>Staff</v>
      </c>
      <c r="Q585" s="74" t="str">
        <f>_xlfn.IFNA(VLOOKUP(db_emp[[#This Row],[Code_site]],[1]!db_site[[ID_Site]:[Url_maps]],3,0),"-")</f>
        <v>Unit - MOI</v>
      </c>
      <c r="R5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241713,'Chairul Anwar','OPR','PARKG','Parking Staff','LV12','Mall &amp; Cinema','M02','Employee','2024-09-23','2025-10-24'</v>
      </c>
      <c r="S585" s="74">
        <f>db_emp[[#This Row],[NIP (UPDATE)]]</f>
        <v>241713</v>
      </c>
    </row>
    <row r="586" spans="2:19" hidden="1" x14ac:dyDescent="0.25">
      <c r="B586" s="75">
        <v>95</v>
      </c>
      <c r="C586" s="75">
        <v>231721</v>
      </c>
      <c r="D586" s="74" t="s">
        <v>1719</v>
      </c>
      <c r="E586" s="75" t="s">
        <v>1123</v>
      </c>
      <c r="F586" s="75" t="s">
        <v>1720</v>
      </c>
      <c r="G586" s="74" t="s">
        <v>1721</v>
      </c>
      <c r="H586" s="75" t="s">
        <v>953</v>
      </c>
      <c r="I586" s="74" t="s">
        <v>856</v>
      </c>
      <c r="J586" s="75" t="s">
        <v>315</v>
      </c>
      <c r="K586" s="75" t="s">
        <v>850</v>
      </c>
      <c r="L586" s="76">
        <v>45201</v>
      </c>
      <c r="M586" s="77">
        <f ca="1">TODAY()+1</f>
        <v>45954</v>
      </c>
      <c r="N586" s="74" t="str">
        <f>_xlfn.IFNA(VLOOKUP(db_emp[[#This Row],[ID_DIV]],[1]!db_dpt[[Code_dpt]:[Departement]],2,0),"-")</f>
        <v>HR &amp; GA</v>
      </c>
      <c r="O586" s="74" t="str">
        <f>_xlfn.IFNA(VLOOKUP(db_emp[[#This Row],[ID_SDP]],[1]!db_div[[Code_div]:[Division]],2,0),"-")</f>
        <v>People Development &amp; Career Management</v>
      </c>
      <c r="P586" s="74" t="str">
        <f>_xlfn.IFNA(VLOOKUP(db_emp[[#This Row],[Code_lvl]],[1]!db_lvl[[#All],[ID_level]:[Leveling Name]],2,0),"-")</f>
        <v>Manager</v>
      </c>
      <c r="Q586" s="74" t="str">
        <f>_xlfn.IFNA(VLOOKUP(db_emp[[#This Row],[Code_site]],[1]!db_site[[ID_Site]:[Url_maps]],3,0),"-")</f>
        <v>Head Office - ASGO</v>
      </c>
      <c r="R5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231721,'Helmi Rinaldi','HRG','PDCMT','People Development &amp; Career Management Manager','LV05','HQ - All','O99','Employee','2023-10-02','2025-10-24'</v>
      </c>
      <c r="S586" s="74">
        <f>db_emp[[#This Row],[NIP (UPDATE)]]</f>
        <v>231721</v>
      </c>
    </row>
    <row r="587" spans="2:19" hidden="1" x14ac:dyDescent="0.25">
      <c r="B587" s="75">
        <v>157</v>
      </c>
      <c r="C587" s="75">
        <v>250295</v>
      </c>
      <c r="D587" s="74" t="s">
        <v>1722</v>
      </c>
      <c r="E587" s="75" t="s">
        <v>1123</v>
      </c>
      <c r="F587" s="75" t="s">
        <v>1720</v>
      </c>
      <c r="G587" s="74" t="s">
        <v>1723</v>
      </c>
      <c r="H587" s="75" t="s">
        <v>870</v>
      </c>
      <c r="I587" s="74" t="s">
        <v>856</v>
      </c>
      <c r="J587" s="75" t="s">
        <v>315</v>
      </c>
      <c r="K587" s="75" t="s">
        <v>903</v>
      </c>
      <c r="L587" s="76">
        <v>45740</v>
      </c>
      <c r="M587" s="77">
        <v>45847</v>
      </c>
      <c r="N587" s="74" t="str">
        <f>_xlfn.IFNA(VLOOKUP(db_emp[[#This Row],[ID_DIV]],[1]!db_dpt[[Code_dpt]:[Departement]],2,0),"-")</f>
        <v>HR &amp; GA</v>
      </c>
      <c r="O587" s="74" t="str">
        <f>_xlfn.IFNA(VLOOKUP(db_emp[[#This Row],[ID_SDP]],[1]!db_div[[Code_div]:[Division]],2,0),"-")</f>
        <v>People Development &amp; Career Management</v>
      </c>
      <c r="P587" s="74" t="str">
        <f>_xlfn.IFNA(VLOOKUP(db_emp[[#This Row],[Code_lvl]],[1]!db_lvl[[#All],[ID_level]:[Leveling Name]],2,0),"-")</f>
        <v>Supervisor</v>
      </c>
      <c r="Q587" s="74" t="str">
        <f>_xlfn.IFNA(VLOOKUP(db_emp[[#This Row],[Code_site]],[1]!db_site[[ID_Site]:[Url_maps]],3,0),"-")</f>
        <v>Head Office - ASGO</v>
      </c>
      <c r="R587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250295,'Bernike Jacinta Effendi','HRG','PDCMT','People Development Supervisor','LV09','HQ - All','O99','Resign','2025-03-24','2025-07-09'</v>
      </c>
      <c r="S587" s="74">
        <f>db_emp[[#This Row],[NIP (UPDATE)]]</f>
        <v>250295</v>
      </c>
    </row>
    <row r="588" spans="2:19" hidden="1" x14ac:dyDescent="0.25">
      <c r="B588" s="75">
        <v>444</v>
      </c>
      <c r="C588" s="75">
        <v>250345</v>
      </c>
      <c r="D588" s="74" t="s">
        <v>1724</v>
      </c>
      <c r="E588" s="75" t="s">
        <v>911</v>
      </c>
      <c r="F588" s="75" t="s">
        <v>1246</v>
      </c>
      <c r="G588" s="74" t="s">
        <v>1725</v>
      </c>
      <c r="H588" s="75" t="s">
        <v>870</v>
      </c>
      <c r="I588" s="74" t="s">
        <v>962</v>
      </c>
      <c r="J588" s="75" t="s">
        <v>496</v>
      </c>
      <c r="K588" s="75" t="s">
        <v>850</v>
      </c>
      <c r="L588" s="76">
        <v>45761</v>
      </c>
      <c r="M588" s="77">
        <f t="shared" ref="M588:M602" ca="1" si="17">TODAY()+1</f>
        <v>45954</v>
      </c>
      <c r="N588" s="74" t="str">
        <f>_xlfn.IFNA(VLOOKUP(db_emp[[#This Row],[ID_DIV]],[1]!db_dpt[[Code_dpt]:[Departement]],2,0),"-")</f>
        <v>Engineering</v>
      </c>
      <c r="O588" s="74" t="str">
        <f>_xlfn.IFNA(VLOOKUP(db_emp[[#This Row],[ID_SDP]],[1]!db_div[[Code_div]:[Division]],2,0),"-")</f>
        <v>Plumbing</v>
      </c>
      <c r="P588" s="74" t="str">
        <f>_xlfn.IFNA(VLOOKUP(db_emp[[#This Row],[Code_lvl]],[1]!db_lvl[[#All],[ID_level]:[Leveling Name]],2,0),"-")</f>
        <v>Supervisor</v>
      </c>
      <c r="Q588" s="74" t="str">
        <f>_xlfn.IFNA(VLOOKUP(db_emp[[#This Row],[Code_site]],[1]!db_site[[ID_Site]:[Url_maps]],3,0),"-")</f>
        <v>Unit - Menara Jakarta</v>
      </c>
      <c r="R5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250345,'Angga Fabriharda','ENG','PLUMB','Plumbing &amp; Civil Supervisor','LV09','Mall &amp; Hotel','M06','Employee','2025-04-14','2025-10-24'</v>
      </c>
      <c r="S588" s="74">
        <f>db_emp[[#This Row],[NIP (UPDATE)]]</f>
        <v>250345</v>
      </c>
    </row>
    <row r="589" spans="2:19" hidden="1" x14ac:dyDescent="0.25">
      <c r="B589" s="75">
        <v>178</v>
      </c>
      <c r="C589" s="75">
        <v>120424</v>
      </c>
      <c r="D589" s="74" t="s">
        <v>1726</v>
      </c>
      <c r="E589" s="75" t="s">
        <v>911</v>
      </c>
      <c r="F589" s="75" t="s">
        <v>1246</v>
      </c>
      <c r="G589" s="74" t="s">
        <v>1727</v>
      </c>
      <c r="H589" s="75" t="s">
        <v>853</v>
      </c>
      <c r="I589" s="74" t="s">
        <v>849</v>
      </c>
      <c r="J589" s="75" t="s">
        <v>314</v>
      </c>
      <c r="K589" s="75" t="s">
        <v>850</v>
      </c>
      <c r="L589" s="76">
        <v>41015</v>
      </c>
      <c r="M589" s="77">
        <f t="shared" ca="1" si="17"/>
        <v>45954</v>
      </c>
      <c r="N589" s="74" t="str">
        <f>_xlfn.IFNA(VLOOKUP(db_emp[[#This Row],[ID_DIV]],[1]!db_dpt[[Code_dpt]:[Departement]],2,0),"-")</f>
        <v>Engineering</v>
      </c>
      <c r="O589" s="74" t="str">
        <f>_xlfn.IFNA(VLOOKUP(db_emp[[#This Row],[ID_SDP]],[1]!db_div[[Code_div]:[Division]],2,0),"-")</f>
        <v>Plumbing</v>
      </c>
      <c r="P589" s="74" t="str">
        <f>_xlfn.IFNA(VLOOKUP(db_emp[[#This Row],[Code_lvl]],[1]!db_lvl[[#All],[ID_level]:[Leveling Name]],2,0),"-")</f>
        <v>Staff</v>
      </c>
      <c r="Q589" s="74" t="str">
        <f>_xlfn.IFNA(VLOOKUP(db_emp[[#This Row],[Code_site]],[1]!db_site[[ID_Site]:[Url_maps]],3,0),"-")</f>
        <v>Unit - MOI</v>
      </c>
      <c r="R5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120424,'Ade Hendria','ENG','PLUMB','Plumbing Staff','LV12','Mall &amp; Cinema','M02','Employee','2012-04-16','2025-10-24'</v>
      </c>
      <c r="S589" s="74">
        <f>db_emp[[#This Row],[NIP (UPDATE)]]</f>
        <v>120424</v>
      </c>
    </row>
    <row r="590" spans="2:19" hidden="1" x14ac:dyDescent="0.25">
      <c r="B590" s="75">
        <v>219</v>
      </c>
      <c r="C590" s="75">
        <v>220778</v>
      </c>
      <c r="D590" s="74" t="s">
        <v>1728</v>
      </c>
      <c r="E590" s="75" t="s">
        <v>911</v>
      </c>
      <c r="F590" s="75" t="s">
        <v>1246</v>
      </c>
      <c r="G590" s="74" t="s">
        <v>1727</v>
      </c>
      <c r="H590" s="75" t="s">
        <v>853</v>
      </c>
      <c r="I590" s="74" t="s">
        <v>849</v>
      </c>
      <c r="J590" s="75" t="s">
        <v>314</v>
      </c>
      <c r="K590" s="75" t="s">
        <v>850</v>
      </c>
      <c r="L590" s="76">
        <v>44714</v>
      </c>
      <c r="M590" s="77">
        <f t="shared" ca="1" si="17"/>
        <v>45954</v>
      </c>
      <c r="N590" s="74" t="str">
        <f>_xlfn.IFNA(VLOOKUP(db_emp[[#This Row],[ID_DIV]],[1]!db_dpt[[Code_dpt]:[Departement]],2,0),"-")</f>
        <v>Engineering</v>
      </c>
      <c r="O590" s="74" t="str">
        <f>_xlfn.IFNA(VLOOKUP(db_emp[[#This Row],[ID_SDP]],[1]!db_div[[Code_div]:[Division]],2,0),"-")</f>
        <v>Plumbing</v>
      </c>
      <c r="P590" s="74" t="str">
        <f>_xlfn.IFNA(VLOOKUP(db_emp[[#This Row],[Code_lvl]],[1]!db_lvl[[#All],[ID_level]:[Leveling Name]],2,0),"-")</f>
        <v>Staff</v>
      </c>
      <c r="Q590" s="74" t="str">
        <f>_xlfn.IFNA(VLOOKUP(db_emp[[#This Row],[Code_site]],[1]!db_site[[ID_Site]:[Url_maps]],3,0),"-")</f>
        <v>Unit - MOI</v>
      </c>
      <c r="R5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220778,'Mukti Ahmad','ENG','PLUMB','Plumbing Staff','LV12','Mall &amp; Cinema','M02','Employee','2022-06-02','2025-10-24'</v>
      </c>
      <c r="S590" s="74">
        <f>db_emp[[#This Row],[NIP (UPDATE)]]</f>
        <v>220778</v>
      </c>
    </row>
    <row r="591" spans="2:19" hidden="1" x14ac:dyDescent="0.25">
      <c r="B591" s="75">
        <v>229</v>
      </c>
      <c r="C591" s="75">
        <v>231150</v>
      </c>
      <c r="D591" s="74" t="s">
        <v>1729</v>
      </c>
      <c r="E591" s="75" t="s">
        <v>911</v>
      </c>
      <c r="F591" s="75" t="s">
        <v>1246</v>
      </c>
      <c r="G591" s="74" t="s">
        <v>1727</v>
      </c>
      <c r="H591" s="75" t="s">
        <v>853</v>
      </c>
      <c r="I591" s="74" t="s">
        <v>849</v>
      </c>
      <c r="J591" s="75" t="s">
        <v>314</v>
      </c>
      <c r="K591" s="75" t="s">
        <v>850</v>
      </c>
      <c r="L591" s="76">
        <v>45119</v>
      </c>
      <c r="M591" s="77">
        <f t="shared" ca="1" si="17"/>
        <v>45954</v>
      </c>
      <c r="N591" s="74" t="str">
        <f>_xlfn.IFNA(VLOOKUP(db_emp[[#This Row],[ID_DIV]],[1]!db_dpt[[Code_dpt]:[Departement]],2,0),"-")</f>
        <v>Engineering</v>
      </c>
      <c r="O591" s="74" t="str">
        <f>_xlfn.IFNA(VLOOKUP(db_emp[[#This Row],[ID_SDP]],[1]!db_div[[Code_div]:[Division]],2,0),"-")</f>
        <v>Plumbing</v>
      </c>
      <c r="P591" s="74" t="str">
        <f>_xlfn.IFNA(VLOOKUP(db_emp[[#This Row],[Code_lvl]],[1]!db_lvl[[#All],[ID_level]:[Leveling Name]],2,0),"-")</f>
        <v>Staff</v>
      </c>
      <c r="Q591" s="74" t="str">
        <f>_xlfn.IFNA(VLOOKUP(db_emp[[#This Row],[Code_site]],[1]!db_site[[ID_Site]:[Url_maps]],3,0),"-")</f>
        <v>Unit - MOI</v>
      </c>
      <c r="R5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231150,'Jeffrey Lee Kuan Yew Langoday','ENG','PLUMB','Plumbing Staff','LV12','Mall &amp; Cinema','M02','Employee','2023-07-12','2025-10-24'</v>
      </c>
      <c r="S591" s="74">
        <f>db_emp[[#This Row],[NIP (UPDATE)]]</f>
        <v>231150</v>
      </c>
    </row>
    <row r="592" spans="2:19" hidden="1" x14ac:dyDescent="0.25">
      <c r="B592" s="75">
        <v>275</v>
      </c>
      <c r="C592" s="75">
        <v>250173</v>
      </c>
      <c r="D592" s="74" t="s">
        <v>1730</v>
      </c>
      <c r="E592" s="75" t="s">
        <v>911</v>
      </c>
      <c r="F592" s="75" t="s">
        <v>1246</v>
      </c>
      <c r="G592" s="74" t="s">
        <v>1727</v>
      </c>
      <c r="H592" s="75" t="s">
        <v>853</v>
      </c>
      <c r="I592" s="74" t="s">
        <v>849</v>
      </c>
      <c r="J592" s="75" t="s">
        <v>314</v>
      </c>
      <c r="K592" s="75" t="s">
        <v>862</v>
      </c>
      <c r="L592" s="76">
        <v>45705</v>
      </c>
      <c r="M592" s="77">
        <f t="shared" ca="1" si="17"/>
        <v>45954</v>
      </c>
      <c r="N592" s="74" t="str">
        <f>_xlfn.IFNA(VLOOKUP(db_emp[[#This Row],[ID_DIV]],[1]!db_dpt[[Code_dpt]:[Departement]],2,0),"-")</f>
        <v>Engineering</v>
      </c>
      <c r="O592" s="74" t="str">
        <f>_xlfn.IFNA(VLOOKUP(db_emp[[#This Row],[ID_SDP]],[1]!db_div[[Code_div]:[Division]],2,0),"-")</f>
        <v>Plumbing</v>
      </c>
      <c r="P592" s="74" t="str">
        <f>_xlfn.IFNA(VLOOKUP(db_emp[[#This Row],[Code_lvl]],[1]!db_lvl[[#All],[ID_level]:[Leveling Name]],2,0),"-")</f>
        <v>Staff</v>
      </c>
      <c r="Q592" s="74" t="str">
        <f>_xlfn.IFNA(VLOOKUP(db_emp[[#This Row],[Code_site]],[1]!db_site[[ID_Site]:[Url_maps]],3,0),"-")</f>
        <v>Unit - MOI</v>
      </c>
      <c r="R5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250173,'Ayi Muflihuddin','ENG','PLUMB','Plumbing Staff','LV12','Mall &amp; Cinema','M02','Not Employee','2025-02-17','2025-10-24'</v>
      </c>
      <c r="S592" s="74">
        <f>db_emp[[#This Row],[NIP (UPDATE)]]</f>
        <v>250173</v>
      </c>
    </row>
    <row r="593" spans="2:19" hidden="1" x14ac:dyDescent="0.25">
      <c r="B593" s="75">
        <v>322</v>
      </c>
      <c r="C593" s="75">
        <v>160624</v>
      </c>
      <c r="D593" s="74" t="s">
        <v>1731</v>
      </c>
      <c r="E593" s="75" t="s">
        <v>911</v>
      </c>
      <c r="F593" s="75" t="s">
        <v>1246</v>
      </c>
      <c r="G593" s="74" t="s">
        <v>1727</v>
      </c>
      <c r="H593" s="75" t="s">
        <v>853</v>
      </c>
      <c r="I593" s="74" t="s">
        <v>849</v>
      </c>
      <c r="J593" s="75" t="s">
        <v>484</v>
      </c>
      <c r="K593" s="75" t="s">
        <v>850</v>
      </c>
      <c r="L593" s="76">
        <v>42593</v>
      </c>
      <c r="M593" s="77">
        <f t="shared" ca="1" si="17"/>
        <v>45954</v>
      </c>
      <c r="N593" s="74" t="str">
        <f>_xlfn.IFNA(VLOOKUP(db_emp[[#This Row],[ID_DIV]],[1]!db_dpt[[Code_dpt]:[Departement]],2,0),"-")</f>
        <v>Engineering</v>
      </c>
      <c r="O593" s="74" t="str">
        <f>_xlfn.IFNA(VLOOKUP(db_emp[[#This Row],[ID_SDP]],[1]!db_div[[Code_div]:[Division]],2,0),"-")</f>
        <v>Plumbing</v>
      </c>
      <c r="P593" s="74" t="str">
        <f>_xlfn.IFNA(VLOOKUP(db_emp[[#This Row],[Code_lvl]],[1]!db_lvl[[#All],[ID_level]:[Leveling Name]],2,0),"-")</f>
        <v>Staff</v>
      </c>
      <c r="Q593" s="74" t="str">
        <f>_xlfn.IFNA(VLOOKUP(db_emp[[#This Row],[Code_site]],[1]!db_site[[ID_Site]:[Url_maps]],3,0),"-")</f>
        <v>Unit - PIK Avenue</v>
      </c>
      <c r="R5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160624,'Dwi Joko Supriyono','ENG','PLUMB','Plumbing Staff','LV12','Mall &amp; Cinema','M01','Employee','2016-08-11','2025-10-24'</v>
      </c>
      <c r="S593" s="74">
        <f>db_emp[[#This Row],[NIP (UPDATE)]]</f>
        <v>160624</v>
      </c>
    </row>
    <row r="594" spans="2:19" hidden="1" x14ac:dyDescent="0.25">
      <c r="B594" s="75">
        <v>328</v>
      </c>
      <c r="C594" s="75">
        <v>240424</v>
      </c>
      <c r="D594" s="74" t="s">
        <v>1732</v>
      </c>
      <c r="E594" s="75" t="s">
        <v>911</v>
      </c>
      <c r="F594" s="75" t="s">
        <v>1246</v>
      </c>
      <c r="G594" s="74" t="s">
        <v>1727</v>
      </c>
      <c r="H594" s="75" t="s">
        <v>853</v>
      </c>
      <c r="I594" s="74" t="s">
        <v>849</v>
      </c>
      <c r="J594" s="75" t="s">
        <v>484</v>
      </c>
      <c r="K594" s="75" t="s">
        <v>850</v>
      </c>
      <c r="L594" s="76">
        <v>45352</v>
      </c>
      <c r="M594" s="77">
        <f t="shared" ca="1" si="17"/>
        <v>45954</v>
      </c>
      <c r="N594" s="74" t="str">
        <f>_xlfn.IFNA(VLOOKUP(db_emp[[#This Row],[ID_DIV]],[1]!db_dpt[[Code_dpt]:[Departement]],2,0),"-")</f>
        <v>Engineering</v>
      </c>
      <c r="O594" s="74" t="str">
        <f>_xlfn.IFNA(VLOOKUP(db_emp[[#This Row],[ID_SDP]],[1]!db_div[[Code_div]:[Division]],2,0),"-")</f>
        <v>Plumbing</v>
      </c>
      <c r="P594" s="74" t="str">
        <f>_xlfn.IFNA(VLOOKUP(db_emp[[#This Row],[Code_lvl]],[1]!db_lvl[[#All],[ID_level]:[Leveling Name]],2,0),"-")</f>
        <v>Staff</v>
      </c>
      <c r="Q594" s="74" t="str">
        <f>_xlfn.IFNA(VLOOKUP(db_emp[[#This Row],[Code_site]],[1]!db_site[[ID_Site]:[Url_maps]],3,0),"-")</f>
        <v>Unit - PIK Avenue</v>
      </c>
      <c r="R5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240424,'Muhammad Andiyani','ENG','PLUMB','Plumbing Staff','LV12','Mall &amp; Cinema','M01','Employee','2024-03-01','2025-10-24'</v>
      </c>
      <c r="S594" s="74">
        <f>db_emp[[#This Row],[NIP (UPDATE)]]</f>
        <v>240424</v>
      </c>
    </row>
    <row r="595" spans="2:19" hidden="1" x14ac:dyDescent="0.25">
      <c r="B595" s="75">
        <v>341</v>
      </c>
      <c r="C595" s="75">
        <v>241697</v>
      </c>
      <c r="D595" s="74" t="s">
        <v>1733</v>
      </c>
      <c r="E595" s="75" t="s">
        <v>911</v>
      </c>
      <c r="F595" s="75" t="s">
        <v>1246</v>
      </c>
      <c r="G595" s="74" t="s">
        <v>1727</v>
      </c>
      <c r="H595" s="75" t="s">
        <v>853</v>
      </c>
      <c r="I595" s="74" t="s">
        <v>849</v>
      </c>
      <c r="J595" s="75" t="s">
        <v>484</v>
      </c>
      <c r="K595" s="75" t="s">
        <v>850</v>
      </c>
      <c r="L595" s="76">
        <v>45552</v>
      </c>
      <c r="M595" s="77">
        <f t="shared" ca="1" si="17"/>
        <v>45954</v>
      </c>
      <c r="N595" s="74" t="str">
        <f>_xlfn.IFNA(VLOOKUP(db_emp[[#This Row],[ID_DIV]],[1]!db_dpt[[Code_dpt]:[Departement]],2,0),"-")</f>
        <v>Engineering</v>
      </c>
      <c r="O595" s="74" t="str">
        <f>_xlfn.IFNA(VLOOKUP(db_emp[[#This Row],[ID_SDP]],[1]!db_div[[Code_div]:[Division]],2,0),"-")</f>
        <v>Plumbing</v>
      </c>
      <c r="P595" s="74" t="str">
        <f>_xlfn.IFNA(VLOOKUP(db_emp[[#This Row],[Code_lvl]],[1]!db_lvl[[#All],[ID_level]:[Leveling Name]],2,0),"-")</f>
        <v>Staff</v>
      </c>
      <c r="Q595" s="74" t="str">
        <f>_xlfn.IFNA(VLOOKUP(db_emp[[#This Row],[Code_site]],[1]!db_site[[ID_Site]:[Url_maps]],3,0),"-")</f>
        <v>Unit - PIK Avenue</v>
      </c>
      <c r="R5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241697,'Deriansyah','ENG','PLUMB','Plumbing Staff','LV12','Mall &amp; Cinema','M01','Employee','2024-09-17','2025-10-24'</v>
      </c>
      <c r="S595" s="74">
        <f>db_emp[[#This Row],[NIP (UPDATE)]]</f>
        <v>241697</v>
      </c>
    </row>
    <row r="596" spans="2:19" hidden="1" x14ac:dyDescent="0.25">
      <c r="B596" s="75">
        <v>386</v>
      </c>
      <c r="C596" s="75">
        <v>140646</v>
      </c>
      <c r="D596" s="74" t="s">
        <v>1734</v>
      </c>
      <c r="E596" s="75" t="s">
        <v>911</v>
      </c>
      <c r="F596" s="75" t="s">
        <v>1246</v>
      </c>
      <c r="G596" s="74" t="s">
        <v>1727</v>
      </c>
      <c r="H596" s="75" t="s">
        <v>853</v>
      </c>
      <c r="I596" s="74" t="s">
        <v>849</v>
      </c>
      <c r="J596" s="75" t="s">
        <v>316</v>
      </c>
      <c r="K596" s="75" t="s">
        <v>850</v>
      </c>
      <c r="L596" s="76">
        <v>41794</v>
      </c>
      <c r="M596" s="77">
        <f t="shared" ca="1" si="17"/>
        <v>45954</v>
      </c>
      <c r="N596" s="74" t="str">
        <f>_xlfn.IFNA(VLOOKUP(db_emp[[#This Row],[ID_DIV]],[1]!db_dpt[[Code_dpt]:[Departement]],2,0),"-")</f>
        <v>Engineering</v>
      </c>
      <c r="O596" s="74" t="str">
        <f>_xlfn.IFNA(VLOOKUP(db_emp[[#This Row],[ID_SDP]],[1]!db_div[[Code_div]:[Division]],2,0),"-")</f>
        <v>Plumbing</v>
      </c>
      <c r="P596" s="74" t="str">
        <f>_xlfn.IFNA(VLOOKUP(db_emp[[#This Row],[Code_lvl]],[1]!db_lvl[[#All],[ID_level]:[Leveling Name]],2,0),"-")</f>
        <v>Staff</v>
      </c>
      <c r="Q596" s="74" t="str">
        <f>_xlfn.IFNA(VLOOKUP(db_emp[[#This Row],[Code_site]],[1]!db_site[[ID_Site]:[Url_maps]],3,0),"-")</f>
        <v>Unit - GGP</v>
      </c>
      <c r="R5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140646,'Siswardaya','ENG','PLUMB','Plumbing Staff','LV12','Mall &amp; Cinema','M03','Employee','2014-06-04','2025-10-24'</v>
      </c>
      <c r="S596" s="74">
        <f>db_emp[[#This Row],[NIP (UPDATE)]]</f>
        <v>140646</v>
      </c>
    </row>
    <row r="597" spans="2:19" hidden="1" x14ac:dyDescent="0.25">
      <c r="B597" s="75">
        <v>413</v>
      </c>
      <c r="C597" s="75">
        <v>240789</v>
      </c>
      <c r="D597" s="74" t="s">
        <v>1735</v>
      </c>
      <c r="E597" s="75" t="s">
        <v>911</v>
      </c>
      <c r="F597" s="75" t="s">
        <v>1246</v>
      </c>
      <c r="G597" s="74" t="s">
        <v>1727</v>
      </c>
      <c r="H597" s="75" t="s">
        <v>853</v>
      </c>
      <c r="I597" s="74" t="s">
        <v>849</v>
      </c>
      <c r="J597" s="75" t="s">
        <v>316</v>
      </c>
      <c r="K597" s="75" t="s">
        <v>850</v>
      </c>
      <c r="L597" s="76">
        <v>45411</v>
      </c>
      <c r="M597" s="77">
        <f t="shared" ca="1" si="17"/>
        <v>45954</v>
      </c>
      <c r="N597" s="74" t="str">
        <f>_xlfn.IFNA(VLOOKUP(db_emp[[#This Row],[ID_DIV]],[1]!db_dpt[[Code_dpt]:[Departement]],2,0),"-")</f>
        <v>Engineering</v>
      </c>
      <c r="O597" s="74" t="str">
        <f>_xlfn.IFNA(VLOOKUP(db_emp[[#This Row],[ID_SDP]],[1]!db_div[[Code_div]:[Division]],2,0),"-")</f>
        <v>Plumbing</v>
      </c>
      <c r="P597" s="74" t="str">
        <f>_xlfn.IFNA(VLOOKUP(db_emp[[#This Row],[Code_lvl]],[1]!db_lvl[[#All],[ID_level]:[Leveling Name]],2,0),"-")</f>
        <v>Staff</v>
      </c>
      <c r="Q597" s="74" t="str">
        <f>_xlfn.IFNA(VLOOKUP(db_emp[[#This Row],[Code_site]],[1]!db_site[[ID_Site]:[Url_maps]],3,0),"-")</f>
        <v>Unit - GGP</v>
      </c>
      <c r="R5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240789,'Muhammad Iqbal Ibrahihm','ENG','PLUMB','Plumbing Staff','LV12','Mall &amp; Cinema','M03','Employee','2024-04-29','2025-10-24'</v>
      </c>
      <c r="S597" s="74">
        <f>db_emp[[#This Row],[NIP (UPDATE)]]</f>
        <v>240789</v>
      </c>
    </row>
    <row r="598" spans="2:19" hidden="1" x14ac:dyDescent="0.25">
      <c r="B598" s="75">
        <v>480</v>
      </c>
      <c r="C598" s="75">
        <v>160534</v>
      </c>
      <c r="D598" s="74" t="s">
        <v>1736</v>
      </c>
      <c r="E598" s="75" t="s">
        <v>911</v>
      </c>
      <c r="F598" s="75" t="s">
        <v>1246</v>
      </c>
      <c r="G598" s="74" t="s">
        <v>1727</v>
      </c>
      <c r="H598" s="75" t="s">
        <v>853</v>
      </c>
      <c r="I598" s="74" t="s">
        <v>849</v>
      </c>
      <c r="J598" s="75" t="s">
        <v>490</v>
      </c>
      <c r="K598" s="75" t="s">
        <v>903</v>
      </c>
      <c r="L598" s="76">
        <v>42552</v>
      </c>
      <c r="M598" s="77">
        <f t="shared" ca="1" si="17"/>
        <v>45954</v>
      </c>
      <c r="N598" s="74" t="str">
        <f>_xlfn.IFNA(VLOOKUP(db_emp[[#This Row],[ID_DIV]],[1]!db_dpt[[Code_dpt]:[Departement]],2,0),"-")</f>
        <v>Engineering</v>
      </c>
      <c r="O598" s="74" t="str">
        <f>_xlfn.IFNA(VLOOKUP(db_emp[[#This Row],[ID_SDP]],[1]!db_div[[Code_div]:[Division]],2,0),"-")</f>
        <v>Plumbing</v>
      </c>
      <c r="P598" s="74" t="str">
        <f>_xlfn.IFNA(VLOOKUP(db_emp[[#This Row],[Code_lvl]],[1]!db_lvl[[#All],[ID_level]:[Leveling Name]],2,0),"-")</f>
        <v>Staff</v>
      </c>
      <c r="Q598" s="74" t="str">
        <f>_xlfn.IFNA(VLOOKUP(db_emp[[#This Row],[Code_site]],[1]!db_site[[ID_Site]:[Url_maps]],3,0),"-")</f>
        <v>Unit - ASHTA</v>
      </c>
      <c r="R5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160534,'Setyawan.','ENG','PLUMB','Plumbing Staff','LV12','Mall &amp; Cinema','M04','Resign','2016-07-01','2025-10-24'</v>
      </c>
      <c r="S598" s="74">
        <f>db_emp[[#This Row],[NIP (UPDATE)]]</f>
        <v>160534</v>
      </c>
    </row>
    <row r="599" spans="2:19" hidden="1" x14ac:dyDescent="0.25">
      <c r="B599" s="75">
        <v>183</v>
      </c>
      <c r="C599" s="75">
        <v>100830</v>
      </c>
      <c r="D599" s="74" t="s">
        <v>1737</v>
      </c>
      <c r="E599" s="75" t="s">
        <v>911</v>
      </c>
      <c r="F599" s="75" t="s">
        <v>1246</v>
      </c>
      <c r="G599" s="74" t="s">
        <v>1738</v>
      </c>
      <c r="H599" s="75" t="s">
        <v>870</v>
      </c>
      <c r="I599" s="74" t="s">
        <v>849</v>
      </c>
      <c r="J599" s="75" t="s">
        <v>314</v>
      </c>
      <c r="K599" s="75" t="s">
        <v>850</v>
      </c>
      <c r="L599" s="76">
        <v>38506</v>
      </c>
      <c r="M599" s="77">
        <f t="shared" ca="1" si="17"/>
        <v>45954</v>
      </c>
      <c r="N599" s="74" t="str">
        <f>_xlfn.IFNA(VLOOKUP(db_emp[[#This Row],[ID_DIV]],[1]!db_dpt[[Code_dpt]:[Departement]],2,0),"-")</f>
        <v>Engineering</v>
      </c>
      <c r="O599" s="74" t="str">
        <f>_xlfn.IFNA(VLOOKUP(db_emp[[#This Row],[ID_SDP]],[1]!db_div[[Code_div]:[Division]],2,0),"-")</f>
        <v>Plumbing</v>
      </c>
      <c r="P599" s="74" t="str">
        <f>_xlfn.IFNA(VLOOKUP(db_emp[[#This Row],[Code_lvl]],[1]!db_lvl[[#All],[ID_level]:[Leveling Name]],2,0),"-")</f>
        <v>Supervisor</v>
      </c>
      <c r="Q599" s="74" t="str">
        <f>_xlfn.IFNA(VLOOKUP(db_emp[[#This Row],[Code_site]],[1]!db_site[[ID_Site]:[Url_maps]],3,0),"-")</f>
        <v>Unit - MOI</v>
      </c>
      <c r="R5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100830,'Rifai.','ENG','PLUMB','Plumbing Supervisor','LV09','Mall &amp; Cinema','M02','Employee','2005-06-03','2025-10-24'</v>
      </c>
      <c r="S599" s="74">
        <f>db_emp[[#This Row],[NIP (UPDATE)]]</f>
        <v>100830</v>
      </c>
    </row>
    <row r="600" spans="2:19" hidden="1" x14ac:dyDescent="0.25">
      <c r="B600" s="75">
        <v>324</v>
      </c>
      <c r="C600" s="75">
        <v>230826</v>
      </c>
      <c r="D600" s="74" t="s">
        <v>1739</v>
      </c>
      <c r="E600" s="75" t="s">
        <v>911</v>
      </c>
      <c r="F600" s="75" t="s">
        <v>1246</v>
      </c>
      <c r="G600" s="74" t="s">
        <v>1738</v>
      </c>
      <c r="H600" s="75" t="s">
        <v>870</v>
      </c>
      <c r="I600" s="74" t="s">
        <v>849</v>
      </c>
      <c r="J600" s="75" t="s">
        <v>484</v>
      </c>
      <c r="K600" s="75" t="s">
        <v>850</v>
      </c>
      <c r="L600" s="76">
        <v>42802</v>
      </c>
      <c r="M600" s="77">
        <f t="shared" ca="1" si="17"/>
        <v>45954</v>
      </c>
      <c r="N600" s="74" t="str">
        <f>_xlfn.IFNA(VLOOKUP(db_emp[[#This Row],[ID_DIV]],[1]!db_dpt[[Code_dpt]:[Departement]],2,0),"-")</f>
        <v>Engineering</v>
      </c>
      <c r="O600" s="74" t="str">
        <f>_xlfn.IFNA(VLOOKUP(db_emp[[#This Row],[ID_SDP]],[1]!db_div[[Code_div]:[Division]],2,0),"-")</f>
        <v>Plumbing</v>
      </c>
      <c r="P600" s="74" t="str">
        <f>_xlfn.IFNA(VLOOKUP(db_emp[[#This Row],[Code_lvl]],[1]!db_lvl[[#All],[ID_level]:[Leveling Name]],2,0),"-")</f>
        <v>Supervisor</v>
      </c>
      <c r="Q600" s="74" t="str">
        <f>_xlfn.IFNA(VLOOKUP(db_emp[[#This Row],[Code_site]],[1]!db_site[[ID_Site]:[Url_maps]],3,0),"-")</f>
        <v>Unit - PIK Avenue</v>
      </c>
      <c r="R6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230826,'Moh Nur hadi Kusuma','ENG','PLUMB','Plumbing Supervisor','LV09','Mall &amp; Cinema','M01','Employee','2017-03-08','2025-10-24'</v>
      </c>
      <c r="S600" s="74">
        <f>db_emp[[#This Row],[NIP (UPDATE)]]</f>
        <v>230826</v>
      </c>
    </row>
    <row r="601" spans="2:19" hidden="1" x14ac:dyDescent="0.25">
      <c r="B601" s="75">
        <v>392</v>
      </c>
      <c r="C601" s="75">
        <v>131262</v>
      </c>
      <c r="D601" s="74" t="s">
        <v>1740</v>
      </c>
      <c r="E601" s="75" t="s">
        <v>911</v>
      </c>
      <c r="F601" s="75" t="s">
        <v>1246</v>
      </c>
      <c r="G601" s="74" t="s">
        <v>1738</v>
      </c>
      <c r="H601" s="75" t="s">
        <v>870</v>
      </c>
      <c r="I601" s="74" t="s">
        <v>849</v>
      </c>
      <c r="J601" s="75" t="s">
        <v>316</v>
      </c>
      <c r="K601" s="75" t="s">
        <v>850</v>
      </c>
      <c r="L601" s="76">
        <v>41591</v>
      </c>
      <c r="M601" s="77">
        <f t="shared" ca="1" si="17"/>
        <v>45954</v>
      </c>
      <c r="N601" s="74" t="str">
        <f>_xlfn.IFNA(VLOOKUP(db_emp[[#This Row],[ID_DIV]],[1]!db_dpt[[Code_dpt]:[Departement]],2,0),"-")</f>
        <v>Engineering</v>
      </c>
      <c r="O601" s="74" t="str">
        <f>_xlfn.IFNA(VLOOKUP(db_emp[[#This Row],[ID_SDP]],[1]!db_div[[Code_div]:[Division]],2,0),"-")</f>
        <v>Plumbing</v>
      </c>
      <c r="P601" s="74" t="str">
        <f>_xlfn.IFNA(VLOOKUP(db_emp[[#This Row],[Code_lvl]],[1]!db_lvl[[#All],[ID_level]:[Leveling Name]],2,0),"-")</f>
        <v>Supervisor</v>
      </c>
      <c r="Q601" s="74" t="str">
        <f>_xlfn.IFNA(VLOOKUP(db_emp[[#This Row],[Code_site]],[1]!db_site[[ID_Site]:[Url_maps]],3,0),"-")</f>
        <v>Unit - GGP</v>
      </c>
      <c r="R6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131262,'Agus Pranowo','ENG','PLUMB','Plumbing Supervisor','LV09','Mall &amp; Cinema','M03','Employee','2013-11-13','2025-10-24'</v>
      </c>
      <c r="S601" s="74">
        <f>db_emp[[#This Row],[NIP (UPDATE)]]</f>
        <v>131262</v>
      </c>
    </row>
    <row r="602" spans="2:19" hidden="1" x14ac:dyDescent="0.25">
      <c r="B602" s="75">
        <v>456</v>
      </c>
      <c r="C602" s="75">
        <v>210176</v>
      </c>
      <c r="D602" s="74" t="s">
        <v>1741</v>
      </c>
      <c r="E602" s="75" t="s">
        <v>911</v>
      </c>
      <c r="F602" s="75" t="s">
        <v>1246</v>
      </c>
      <c r="G602" s="74" t="s">
        <v>1738</v>
      </c>
      <c r="H602" s="75" t="s">
        <v>870</v>
      </c>
      <c r="I602" s="74" t="s">
        <v>849</v>
      </c>
      <c r="J602" s="75" t="s">
        <v>490</v>
      </c>
      <c r="K602" s="75" t="s">
        <v>850</v>
      </c>
      <c r="L602" s="76">
        <v>44287</v>
      </c>
      <c r="M602" s="77">
        <f t="shared" ca="1" si="17"/>
        <v>45954</v>
      </c>
      <c r="N602" s="74" t="str">
        <f>_xlfn.IFNA(VLOOKUP(db_emp[[#This Row],[ID_DIV]],[1]!db_dpt[[Code_dpt]:[Departement]],2,0),"-")</f>
        <v>Engineering</v>
      </c>
      <c r="O602" s="74" t="str">
        <f>_xlfn.IFNA(VLOOKUP(db_emp[[#This Row],[ID_SDP]],[1]!db_div[[Code_div]:[Division]],2,0),"-")</f>
        <v>Plumbing</v>
      </c>
      <c r="P602" s="74" t="str">
        <f>_xlfn.IFNA(VLOOKUP(db_emp[[#This Row],[Code_lvl]],[1]!db_lvl[[#All],[ID_level]:[Leveling Name]],2,0),"-")</f>
        <v>Supervisor</v>
      </c>
      <c r="Q602" s="74" t="str">
        <f>_xlfn.IFNA(VLOOKUP(db_emp[[#This Row],[Code_site]],[1]!db_site[[ID_Site]:[Url_maps]],3,0),"-")</f>
        <v>Unit - ASHTA</v>
      </c>
      <c r="R6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210176,'Mustofa','ENG','PLUMB','Plumbing Supervisor','LV09','Mall &amp; Cinema','M04','Employee','2021-04-01','2025-10-24'</v>
      </c>
      <c r="S602" s="74">
        <f>db_emp[[#This Row],[NIP (UPDATE)]]</f>
        <v>210176</v>
      </c>
    </row>
    <row r="603" spans="2:19" hidden="1" x14ac:dyDescent="0.25">
      <c r="B603" s="75">
        <v>100</v>
      </c>
      <c r="C603" s="75">
        <v>231882</v>
      </c>
      <c r="D603" s="74" t="s">
        <v>1742</v>
      </c>
      <c r="E603" s="75" t="s">
        <v>1491</v>
      </c>
      <c r="F603" s="75" t="s">
        <v>1492</v>
      </c>
      <c r="G603" s="74" t="s">
        <v>1743</v>
      </c>
      <c r="H603" s="75" t="s">
        <v>853</v>
      </c>
      <c r="I603" s="74" t="s">
        <v>849</v>
      </c>
      <c r="J603" s="75" t="s">
        <v>315</v>
      </c>
      <c r="K603" s="75" t="s">
        <v>903</v>
      </c>
      <c r="L603" s="76">
        <v>45222</v>
      </c>
      <c r="M603" s="77">
        <v>45869</v>
      </c>
      <c r="N603" s="74" t="str">
        <f>_xlfn.IFNA(VLOOKUP(db_emp[[#This Row],[ID_DIV]],[1]!db_dpt[[Code_dpt]:[Departement]],2,0),"-")</f>
        <v>Purchasing &amp; Procurement</v>
      </c>
      <c r="O603" s="74" t="str">
        <f>_xlfn.IFNA(VLOOKUP(db_emp[[#This Row],[ID_SDP]],[1]!db_div[[Code_div]:[Division]],2,0),"-")</f>
        <v>Procurement</v>
      </c>
      <c r="P603" s="74" t="str">
        <f>_xlfn.IFNA(VLOOKUP(db_emp[[#This Row],[Code_lvl]],[1]!db_lvl[[#All],[ID_level]:[Leveling Name]],2,0),"-")</f>
        <v>Staff</v>
      </c>
      <c r="Q603" s="74" t="str">
        <f>_xlfn.IFNA(VLOOKUP(db_emp[[#This Row],[Code_site]],[1]!db_site[[ID_Site]:[Url_maps]],3,0),"-")</f>
        <v>Head Office - ASGO</v>
      </c>
      <c r="R603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231882,'Bella Jade Khadidjaah','PRC','PCUMT','Procurement Administration Staff','LV12','Mall &amp; Cinema','O99','Resign','2023-10-23','2025-07-31'</v>
      </c>
      <c r="S603" s="74">
        <f>db_emp[[#This Row],[NIP (UPDATE)]]</f>
        <v>231882</v>
      </c>
    </row>
    <row r="604" spans="2:19" hidden="1" x14ac:dyDescent="0.25">
      <c r="B604" s="75">
        <v>135</v>
      </c>
      <c r="C604" s="75">
        <v>241539</v>
      </c>
      <c r="D604" s="74" t="s">
        <v>1744</v>
      </c>
      <c r="E604" s="75" t="s">
        <v>1491</v>
      </c>
      <c r="F604" s="75" t="s">
        <v>1492</v>
      </c>
      <c r="G604" s="74" t="s">
        <v>1743</v>
      </c>
      <c r="H604" s="75" t="s">
        <v>853</v>
      </c>
      <c r="I604" s="74" t="s">
        <v>849</v>
      </c>
      <c r="J604" s="75" t="s">
        <v>315</v>
      </c>
      <c r="K604" s="75" t="s">
        <v>903</v>
      </c>
      <c r="L604" s="76">
        <v>45530</v>
      </c>
      <c r="M604" s="77">
        <v>45869</v>
      </c>
      <c r="N604" s="74" t="str">
        <f>_xlfn.IFNA(VLOOKUP(db_emp[[#This Row],[ID_DIV]],[1]!db_dpt[[Code_dpt]:[Departement]],2,0),"-")</f>
        <v>Purchasing &amp; Procurement</v>
      </c>
      <c r="O604" s="74" t="str">
        <f>_xlfn.IFNA(VLOOKUP(db_emp[[#This Row],[ID_SDP]],[1]!db_div[[Code_div]:[Division]],2,0),"-")</f>
        <v>Procurement</v>
      </c>
      <c r="P604" s="74" t="str">
        <f>_xlfn.IFNA(VLOOKUP(db_emp[[#This Row],[Code_lvl]],[1]!db_lvl[[#All],[ID_level]:[Leveling Name]],2,0),"-")</f>
        <v>Staff</v>
      </c>
      <c r="Q604" s="74" t="str">
        <f>_xlfn.IFNA(VLOOKUP(db_emp[[#This Row],[Code_site]],[1]!db_site[[ID_Site]:[Url_maps]],3,0),"-")</f>
        <v>Head Office - ASGO</v>
      </c>
      <c r="R604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241539,'Andina Nabila Hasnah','PRC','PCUMT','Procurement Administration Staff','LV12','Mall &amp; Cinema','O99','Resign','2024-08-26','2025-07-31'</v>
      </c>
      <c r="S604" s="74">
        <f>db_emp[[#This Row],[NIP (UPDATE)]]</f>
        <v>241539</v>
      </c>
    </row>
    <row r="605" spans="2:19" hidden="1" x14ac:dyDescent="0.25">
      <c r="B605" s="75">
        <v>44</v>
      </c>
      <c r="C605" s="75">
        <v>190766</v>
      </c>
      <c r="D605" s="74" t="s">
        <v>1745</v>
      </c>
      <c r="E605" s="75" t="s">
        <v>1491</v>
      </c>
      <c r="F605" s="75" t="s">
        <v>1492</v>
      </c>
      <c r="G605" s="74" t="s">
        <v>1746</v>
      </c>
      <c r="H605" s="75" t="s">
        <v>848</v>
      </c>
      <c r="I605" s="74" t="s">
        <v>849</v>
      </c>
      <c r="J605" s="75" t="s">
        <v>315</v>
      </c>
      <c r="K605" s="75" t="s">
        <v>850</v>
      </c>
      <c r="L605" s="76">
        <v>43703</v>
      </c>
      <c r="M605" s="77">
        <f t="shared" ref="M605:M613" ca="1" si="18">TODAY()+1</f>
        <v>45954</v>
      </c>
      <c r="N605" s="74" t="str">
        <f>_xlfn.IFNA(VLOOKUP(db_emp[[#This Row],[ID_DIV]],[1]!db_dpt[[Code_dpt]:[Departement]],2,0),"-")</f>
        <v>Purchasing &amp; Procurement</v>
      </c>
      <c r="O605" s="74" t="str">
        <f>_xlfn.IFNA(VLOOKUP(db_emp[[#This Row],[ID_SDP]],[1]!db_div[[Code_div]:[Division]],2,0),"-")</f>
        <v>Procurement</v>
      </c>
      <c r="P605" s="74" t="str">
        <f>_xlfn.IFNA(VLOOKUP(db_emp[[#This Row],[Code_lvl]],[1]!db_lvl[[#All],[ID_level]:[Leveling Name]],2,0),"-")</f>
        <v>Assistant Manager</v>
      </c>
      <c r="Q605" s="74" t="str">
        <f>_xlfn.IFNA(VLOOKUP(db_emp[[#This Row],[Code_site]],[1]!db_site[[ID_Site]:[Url_maps]],3,0),"-")</f>
        <v>Head Office - ASGO</v>
      </c>
      <c r="R6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190766,'Yosua Bonny Rosalina','PRC','PCUMT','Procurement Assistant Manager','LV07','Mall &amp; Cinema','O99','Employee','2019-08-26','2025-10-24'</v>
      </c>
      <c r="S605" s="74">
        <f>db_emp[[#This Row],[NIP (UPDATE)]]</f>
        <v>190766</v>
      </c>
    </row>
    <row r="606" spans="2:19" hidden="1" x14ac:dyDescent="0.25">
      <c r="B606" s="75">
        <v>156</v>
      </c>
      <c r="C606" s="75">
        <v>250199</v>
      </c>
      <c r="D606" s="74" t="s">
        <v>1747</v>
      </c>
      <c r="E606" s="75" t="s">
        <v>1491</v>
      </c>
      <c r="F606" s="75" t="s">
        <v>1492</v>
      </c>
      <c r="G606" s="74" t="s">
        <v>1746</v>
      </c>
      <c r="H606" s="75" t="s">
        <v>848</v>
      </c>
      <c r="I606" s="74" t="s">
        <v>849</v>
      </c>
      <c r="J606" s="75" t="s">
        <v>315</v>
      </c>
      <c r="K606" s="75" t="s">
        <v>862</v>
      </c>
      <c r="L606" s="76">
        <v>45712</v>
      </c>
      <c r="M606" s="77">
        <f t="shared" ca="1" si="18"/>
        <v>45954</v>
      </c>
      <c r="N606" s="74" t="str">
        <f>_xlfn.IFNA(VLOOKUP(db_emp[[#This Row],[ID_DIV]],[1]!db_dpt[[Code_dpt]:[Departement]],2,0),"-")</f>
        <v>Purchasing &amp; Procurement</v>
      </c>
      <c r="O606" s="74" t="str">
        <f>_xlfn.IFNA(VLOOKUP(db_emp[[#This Row],[ID_SDP]],[1]!db_div[[Code_div]:[Division]],2,0),"-")</f>
        <v>Procurement</v>
      </c>
      <c r="P606" s="74" t="str">
        <f>_xlfn.IFNA(VLOOKUP(db_emp[[#This Row],[Code_lvl]],[1]!db_lvl[[#All],[ID_level]:[Leveling Name]],2,0),"-")</f>
        <v>Assistant Manager</v>
      </c>
      <c r="Q606" s="74" t="str">
        <f>_xlfn.IFNA(VLOOKUP(db_emp[[#This Row],[Code_site]],[1]!db_site[[ID_Site]:[Url_maps]],3,0),"-")</f>
        <v>Head Office - ASGO</v>
      </c>
      <c r="R6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250199,'Eka Meifiliyanti','PRC','PCUMT','Procurement Assistant Manager','LV07','Mall &amp; Cinema','O99','Not Employee','2025-02-24','2025-10-24'</v>
      </c>
      <c r="S606" s="74">
        <f>db_emp[[#This Row],[NIP (UPDATE)]]</f>
        <v>250199</v>
      </c>
    </row>
    <row r="607" spans="2:19" hidden="1" x14ac:dyDescent="0.25">
      <c r="B607" s="75">
        <v>756</v>
      </c>
      <c r="C607" s="75">
        <v>250006</v>
      </c>
      <c r="D607" s="74" t="s">
        <v>1748</v>
      </c>
      <c r="E607" s="75" t="s">
        <v>1491</v>
      </c>
      <c r="F607" s="75" t="s">
        <v>1492</v>
      </c>
      <c r="G607" s="74" t="s">
        <v>1746</v>
      </c>
      <c r="H607" s="75" t="s">
        <v>848</v>
      </c>
      <c r="I607" s="74" t="s">
        <v>864</v>
      </c>
      <c r="J607" s="75" t="s">
        <v>501</v>
      </c>
      <c r="K607" s="75" t="s">
        <v>850</v>
      </c>
      <c r="L607" s="76"/>
      <c r="M607" s="77">
        <f t="shared" ca="1" si="18"/>
        <v>45954</v>
      </c>
      <c r="N607" s="74" t="str">
        <f>_xlfn.IFNA(VLOOKUP(db_emp[[#This Row],[ID_DIV]],[1]!db_dpt[[Code_dpt]:[Departement]],2,0),"-")</f>
        <v>Purchasing &amp; Procurement</v>
      </c>
      <c r="O607" s="74" t="str">
        <f>_xlfn.IFNA(VLOOKUP(db_emp[[#This Row],[ID_SDP]],[1]!db_div[[Code_div]:[Division]],2,0),"-")</f>
        <v>Procurement</v>
      </c>
      <c r="P607" s="74" t="str">
        <f>_xlfn.IFNA(VLOOKUP(db_emp[[#This Row],[Code_lvl]],[1]!db_lvl[[#All],[ID_level]:[Leveling Name]],2,0),"-")</f>
        <v>Assistant Manager</v>
      </c>
      <c r="Q607" s="74" t="str">
        <f>_xlfn.IFNA(VLOOKUP(db_emp[[#This Row],[Code_site]],[1]!db_site[[ID_Site]:[Url_maps]],3,0),"-")</f>
        <v>Unit - District 8</v>
      </c>
      <c r="R6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250006,'Elizabeth Putri','PRC','PCUMT','Procurement Assistant Manager','LV07','Corp. Supporting Property (POM)','OD8','Employee','1900-01-00','2025-10-24'</v>
      </c>
      <c r="S607" s="74">
        <f>db_emp[[#This Row],[NIP (UPDATE)]]</f>
        <v>250006</v>
      </c>
    </row>
    <row r="608" spans="2:19" hidden="1" x14ac:dyDescent="0.25">
      <c r="B608" s="75">
        <v>29</v>
      </c>
      <c r="C608" s="75">
        <v>111077</v>
      </c>
      <c r="D608" s="74" t="s">
        <v>1749</v>
      </c>
      <c r="E608" s="75" t="s">
        <v>1491</v>
      </c>
      <c r="F608" s="75" t="s">
        <v>971</v>
      </c>
      <c r="G608" s="74" t="s">
        <v>1750</v>
      </c>
      <c r="H608" s="75" t="s">
        <v>973</v>
      </c>
      <c r="I608" s="74" t="s">
        <v>849</v>
      </c>
      <c r="J608" s="75" t="s">
        <v>315</v>
      </c>
      <c r="K608" s="75" t="s">
        <v>850</v>
      </c>
      <c r="L608" s="76">
        <v>40861</v>
      </c>
      <c r="M608" s="77">
        <f t="shared" ca="1" si="18"/>
        <v>45954</v>
      </c>
      <c r="N608" s="74" t="str">
        <f>_xlfn.IFNA(VLOOKUP(db_emp[[#This Row],[ID_DIV]],[1]!db_dpt[[Code_dpt]:[Departement]],2,0),"-")</f>
        <v>Purchasing &amp; Procurement</v>
      </c>
      <c r="O608" s="74" t="str">
        <f>_xlfn.IFNA(VLOOKUP(db_emp[[#This Row],[ID_SDP]],[1]!db_div[[Code_div]:[Division]],2,0),"-")</f>
        <v>General Head Departement</v>
      </c>
      <c r="P608" s="74" t="str">
        <f>_xlfn.IFNA(VLOOKUP(db_emp[[#This Row],[Code_lvl]],[1]!db_lvl[[#All],[ID_level]:[Leveling Name]],2,0),"-")</f>
        <v>General Manager</v>
      </c>
      <c r="Q608" s="74" t="str">
        <f>_xlfn.IFNA(VLOOKUP(db_emp[[#This Row],[Code_site]],[1]!db_site[[ID_Site]:[Url_maps]],3,0),"-")</f>
        <v>Head Office - ASGO</v>
      </c>
      <c r="R6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111077,'Liang Ronny','PRC','GNRAL','Procurement General Manager','LV02','Mall &amp; Cinema','O99','Employee','2011-11-14','2025-10-24'</v>
      </c>
      <c r="S608" s="74">
        <f>db_emp[[#This Row],[NIP (UPDATE)]]</f>
        <v>111077</v>
      </c>
    </row>
    <row r="609" spans="2:19" hidden="1" x14ac:dyDescent="0.25">
      <c r="B609" s="75">
        <v>43</v>
      </c>
      <c r="C609" s="75">
        <v>170618</v>
      </c>
      <c r="D609" s="74" t="s">
        <v>1751</v>
      </c>
      <c r="E609" s="75" t="s">
        <v>1491</v>
      </c>
      <c r="F609" s="75" t="s">
        <v>1492</v>
      </c>
      <c r="G609" s="74" t="s">
        <v>1752</v>
      </c>
      <c r="H609" s="75" t="s">
        <v>953</v>
      </c>
      <c r="I609" s="74" t="s">
        <v>849</v>
      </c>
      <c r="J609" s="75" t="s">
        <v>315</v>
      </c>
      <c r="K609" s="75" t="s">
        <v>850</v>
      </c>
      <c r="L609" s="76">
        <v>42928</v>
      </c>
      <c r="M609" s="77">
        <f t="shared" ca="1" si="18"/>
        <v>45954</v>
      </c>
      <c r="N609" s="74" t="str">
        <f>_xlfn.IFNA(VLOOKUP(db_emp[[#This Row],[ID_DIV]],[1]!db_dpt[[Code_dpt]:[Departement]],2,0),"-")</f>
        <v>Purchasing &amp; Procurement</v>
      </c>
      <c r="O609" s="74" t="str">
        <f>_xlfn.IFNA(VLOOKUP(db_emp[[#This Row],[ID_SDP]],[1]!db_div[[Code_div]:[Division]],2,0),"-")</f>
        <v>Procurement</v>
      </c>
      <c r="P609" s="74" t="str">
        <f>_xlfn.IFNA(VLOOKUP(db_emp[[#This Row],[Code_lvl]],[1]!db_lvl[[#All],[ID_level]:[Leveling Name]],2,0),"-")</f>
        <v>Manager</v>
      </c>
      <c r="Q609" s="74" t="str">
        <f>_xlfn.IFNA(VLOOKUP(db_emp[[#This Row],[Code_site]],[1]!db_site[[ID_Site]:[Url_maps]],3,0),"-")</f>
        <v>Head Office - ASGO</v>
      </c>
      <c r="R6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170618,'Togu Rizki Nasution','PRC','PCUMT','Procurement Manager','LV05','Mall &amp; Cinema','O99','Employee','2017-07-12','2025-10-24'</v>
      </c>
      <c r="S609" s="74">
        <f>db_emp[[#This Row],[NIP (UPDATE)]]</f>
        <v>170618</v>
      </c>
    </row>
    <row r="610" spans="2:19" hidden="1" x14ac:dyDescent="0.25">
      <c r="B610" s="75">
        <v>671</v>
      </c>
      <c r="C610" s="75">
        <v>181061</v>
      </c>
      <c r="D610" s="74" t="s">
        <v>1753</v>
      </c>
      <c r="E610" s="75" t="s">
        <v>1491</v>
      </c>
      <c r="F610" s="75" t="s">
        <v>1492</v>
      </c>
      <c r="G610" s="74" t="s">
        <v>1752</v>
      </c>
      <c r="H610" s="75" t="s">
        <v>953</v>
      </c>
      <c r="I610" s="74" t="s">
        <v>864</v>
      </c>
      <c r="J610" s="75" t="s">
        <v>501</v>
      </c>
      <c r="K610" s="75" t="s">
        <v>850</v>
      </c>
      <c r="L610" s="76"/>
      <c r="M610" s="77">
        <f t="shared" ca="1" si="18"/>
        <v>45954</v>
      </c>
      <c r="N610" s="74" t="str">
        <f>_xlfn.IFNA(VLOOKUP(db_emp[[#This Row],[ID_DIV]],[1]!db_dpt[[Code_dpt]:[Departement]],2,0),"-")</f>
        <v>Purchasing &amp; Procurement</v>
      </c>
      <c r="O610" s="74" t="str">
        <f>_xlfn.IFNA(VLOOKUP(db_emp[[#This Row],[ID_SDP]],[1]!db_div[[Code_div]:[Division]],2,0),"-")</f>
        <v>Procurement</v>
      </c>
      <c r="P610" s="74" t="str">
        <f>_xlfn.IFNA(VLOOKUP(db_emp[[#This Row],[Code_lvl]],[1]!db_lvl[[#All],[ID_level]:[Leveling Name]],2,0),"-")</f>
        <v>Manager</v>
      </c>
      <c r="Q610" s="74" t="str">
        <f>_xlfn.IFNA(VLOOKUP(db_emp[[#This Row],[Code_site]],[1]!db_site[[ID_Site]:[Url_maps]],3,0),"-")</f>
        <v>Unit - District 8</v>
      </c>
      <c r="R6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181061,'Vinka Novelia','PRC','PCUMT','Procurement Manager','LV05','Corp. Supporting Property (POM)','OD8','Employee','1900-01-00','2025-10-24'</v>
      </c>
      <c r="S610" s="74">
        <f>db_emp[[#This Row],[NIP (UPDATE)]]</f>
        <v>181061</v>
      </c>
    </row>
    <row r="611" spans="2:19" hidden="1" x14ac:dyDescent="0.25">
      <c r="B611" s="75">
        <v>143</v>
      </c>
      <c r="C611" s="75">
        <v>241851</v>
      </c>
      <c r="D611" s="74" t="s">
        <v>1754</v>
      </c>
      <c r="E611" s="75" t="s">
        <v>1491</v>
      </c>
      <c r="F611" s="75" t="s">
        <v>1492</v>
      </c>
      <c r="G611" s="74" t="s">
        <v>1755</v>
      </c>
      <c r="H611" s="75" t="s">
        <v>853</v>
      </c>
      <c r="I611" s="74" t="s">
        <v>849</v>
      </c>
      <c r="J611" s="75" t="s">
        <v>315</v>
      </c>
      <c r="K611" s="75" t="s">
        <v>850</v>
      </c>
      <c r="L611" s="76">
        <v>45579</v>
      </c>
      <c r="M611" s="77">
        <f t="shared" ca="1" si="18"/>
        <v>45954</v>
      </c>
      <c r="N611" s="74" t="str">
        <f>_xlfn.IFNA(VLOOKUP(db_emp[[#This Row],[ID_DIV]],[1]!db_dpt[[Code_dpt]:[Departement]],2,0),"-")</f>
        <v>Purchasing &amp; Procurement</v>
      </c>
      <c r="O611" s="74" t="str">
        <f>_xlfn.IFNA(VLOOKUP(db_emp[[#This Row],[ID_SDP]],[1]!db_div[[Code_div]:[Division]],2,0),"-")</f>
        <v>Procurement</v>
      </c>
      <c r="P611" s="74" t="str">
        <f>_xlfn.IFNA(VLOOKUP(db_emp[[#This Row],[Code_lvl]],[1]!db_lvl[[#All],[ID_level]:[Leveling Name]],2,0),"-")</f>
        <v>Staff</v>
      </c>
      <c r="Q611" s="74" t="str">
        <f>_xlfn.IFNA(VLOOKUP(db_emp[[#This Row],[Code_site]],[1]!db_site[[ID_Site]:[Url_maps]],3,0),"-")</f>
        <v>Head Office - ASGO</v>
      </c>
      <c r="R6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241851,'Fahmi Sam Zariulhaq','PRC','PCUMT','Procurement Staff','LV12','Mall &amp; Cinema','O99','Employee','2024-10-14','2025-10-24'</v>
      </c>
      <c r="S611" s="74">
        <f>db_emp[[#This Row],[NIP (UPDATE)]]</f>
        <v>241851</v>
      </c>
    </row>
    <row r="612" spans="2:19" hidden="1" x14ac:dyDescent="0.25">
      <c r="B612" s="75">
        <v>160</v>
      </c>
      <c r="C612" s="75">
        <v>250296</v>
      </c>
      <c r="D612" s="74" t="s">
        <v>1756</v>
      </c>
      <c r="E612" s="75" t="s">
        <v>1491</v>
      </c>
      <c r="F612" s="75" t="s">
        <v>1492</v>
      </c>
      <c r="G612" s="74" t="s">
        <v>1755</v>
      </c>
      <c r="H612" s="75" t="s">
        <v>853</v>
      </c>
      <c r="I612" s="74" t="s">
        <v>849</v>
      </c>
      <c r="J612" s="75" t="s">
        <v>315</v>
      </c>
      <c r="K612" s="75" t="s">
        <v>862</v>
      </c>
      <c r="L612" s="76">
        <v>45755</v>
      </c>
      <c r="M612" s="77">
        <f t="shared" ca="1" si="18"/>
        <v>45954</v>
      </c>
      <c r="N612" s="74" t="str">
        <f>_xlfn.IFNA(VLOOKUP(db_emp[[#This Row],[ID_DIV]],[1]!db_dpt[[Code_dpt]:[Departement]],2,0),"-")</f>
        <v>Purchasing &amp; Procurement</v>
      </c>
      <c r="O612" s="74" t="str">
        <f>_xlfn.IFNA(VLOOKUP(db_emp[[#This Row],[ID_SDP]],[1]!db_div[[Code_div]:[Division]],2,0),"-")</f>
        <v>Procurement</v>
      </c>
      <c r="P612" s="74" t="str">
        <f>_xlfn.IFNA(VLOOKUP(db_emp[[#This Row],[Code_lvl]],[1]!db_lvl[[#All],[ID_level]:[Leveling Name]],2,0),"-")</f>
        <v>Staff</v>
      </c>
      <c r="Q612" s="74" t="str">
        <f>_xlfn.IFNA(VLOOKUP(db_emp[[#This Row],[Code_site]],[1]!db_site[[ID_Site]:[Url_maps]],3,0),"-")</f>
        <v>Head Office - ASGO</v>
      </c>
      <c r="R6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250296,'Cicilya Graciela Mautofani','PRC','PCUMT','Procurement Staff','LV12','Mall &amp; Cinema','O99','Not Employee','2025-04-08','2025-10-24'</v>
      </c>
      <c r="S612" s="74">
        <f>db_emp[[#This Row],[NIP (UPDATE)]]</f>
        <v>250296</v>
      </c>
    </row>
    <row r="613" spans="2:19" hidden="1" x14ac:dyDescent="0.25">
      <c r="B613" s="75">
        <v>693</v>
      </c>
      <c r="C613" s="75">
        <v>231474</v>
      </c>
      <c r="D613" s="74" t="s">
        <v>1757</v>
      </c>
      <c r="E613" s="75" t="s">
        <v>1491</v>
      </c>
      <c r="F613" s="75" t="s">
        <v>1492</v>
      </c>
      <c r="G613" s="74" t="s">
        <v>1755</v>
      </c>
      <c r="H613" s="75" t="s">
        <v>853</v>
      </c>
      <c r="I613" s="74" t="s">
        <v>864</v>
      </c>
      <c r="J613" s="75" t="s">
        <v>501</v>
      </c>
      <c r="K613" s="75" t="s">
        <v>850</v>
      </c>
      <c r="L613" s="76"/>
      <c r="M613" s="77">
        <f t="shared" ca="1" si="18"/>
        <v>45954</v>
      </c>
      <c r="N613" s="74" t="str">
        <f>_xlfn.IFNA(VLOOKUP(db_emp[[#This Row],[ID_DIV]],[1]!db_dpt[[Code_dpt]:[Departement]],2,0),"-")</f>
        <v>Purchasing &amp; Procurement</v>
      </c>
      <c r="O613" s="74" t="str">
        <f>_xlfn.IFNA(VLOOKUP(db_emp[[#This Row],[ID_SDP]],[1]!db_div[[Code_div]:[Division]],2,0),"-")</f>
        <v>Procurement</v>
      </c>
      <c r="P613" s="74" t="str">
        <f>_xlfn.IFNA(VLOOKUP(db_emp[[#This Row],[Code_lvl]],[1]!db_lvl[[#All],[ID_level]:[Leveling Name]],2,0),"-")</f>
        <v>Staff</v>
      </c>
      <c r="Q613" s="74" t="str">
        <f>_xlfn.IFNA(VLOOKUP(db_emp[[#This Row],[Code_site]],[1]!db_site[[ID_Site]:[Url_maps]],3,0),"-")</f>
        <v>Unit - District 8</v>
      </c>
      <c r="R6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231474,'Tiur Lamria Br Sitinjak','PRC','PCUMT','Procurement Staff','LV12','Corp. Supporting Property (POM)','OD8','Employee','1900-01-00','2025-10-24'</v>
      </c>
      <c r="S613" s="74">
        <f>db_emp[[#This Row],[NIP (UPDATE)]]</f>
        <v>231474</v>
      </c>
    </row>
    <row r="614" spans="2:19" hidden="1" x14ac:dyDescent="0.25">
      <c r="B614" s="75">
        <v>751</v>
      </c>
      <c r="C614" s="75">
        <v>242020</v>
      </c>
      <c r="D614" s="74" t="s">
        <v>1758</v>
      </c>
      <c r="E614" s="75" t="s">
        <v>1491</v>
      </c>
      <c r="F614" s="75" t="s">
        <v>1492</v>
      </c>
      <c r="G614" s="74" t="s">
        <v>1755</v>
      </c>
      <c r="H614" s="75" t="s">
        <v>853</v>
      </c>
      <c r="I614" s="74" t="s">
        <v>864</v>
      </c>
      <c r="J614" s="75" t="s">
        <v>501</v>
      </c>
      <c r="K614" s="75" t="s">
        <v>903</v>
      </c>
      <c r="L614" s="76"/>
      <c r="M614" s="77">
        <v>45863</v>
      </c>
      <c r="N614" s="74" t="str">
        <f>_xlfn.IFNA(VLOOKUP(db_emp[[#This Row],[ID_DIV]],[1]!db_dpt[[Code_dpt]:[Departement]],2,0),"-")</f>
        <v>Purchasing &amp; Procurement</v>
      </c>
      <c r="O614" s="74" t="str">
        <f>_xlfn.IFNA(VLOOKUP(db_emp[[#This Row],[ID_SDP]],[1]!db_div[[Code_div]:[Division]],2,0),"-")</f>
        <v>Procurement</v>
      </c>
      <c r="P614" s="74" t="str">
        <f>_xlfn.IFNA(VLOOKUP(db_emp[[#This Row],[Code_lvl]],[1]!db_lvl[[#All],[ID_level]:[Leveling Name]],2,0),"-")</f>
        <v>Staff</v>
      </c>
      <c r="Q614" s="74" t="str">
        <f>_xlfn.IFNA(VLOOKUP(db_emp[[#This Row],[Code_site]],[1]!db_site[[ID_Site]:[Url_maps]],3,0),"-")</f>
        <v>Unit - District 8</v>
      </c>
      <c r="R614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242020,'Nikodemus Budi Prajitno','PRC','PCUMT','Procurement Staff','LV12','Corp. Supporting Property (POM)','OD8','Resign','1900-01-00','2025-07-25'</v>
      </c>
      <c r="S614" s="74">
        <f>db_emp[[#This Row],[NIP (UPDATE)]]</f>
        <v>242020</v>
      </c>
    </row>
    <row r="615" spans="2:19" hidden="1" x14ac:dyDescent="0.25">
      <c r="B615" s="75">
        <v>42</v>
      </c>
      <c r="C615" s="75">
        <v>150591</v>
      </c>
      <c r="D615" s="74" t="s">
        <v>1759</v>
      </c>
      <c r="E615" s="75" t="s">
        <v>1491</v>
      </c>
      <c r="F615" s="75" t="s">
        <v>1492</v>
      </c>
      <c r="G615" s="74" t="s">
        <v>1760</v>
      </c>
      <c r="H615" s="75" t="s">
        <v>870</v>
      </c>
      <c r="I615" s="74" t="s">
        <v>849</v>
      </c>
      <c r="J615" s="75" t="s">
        <v>315</v>
      </c>
      <c r="K615" s="75" t="s">
        <v>850</v>
      </c>
      <c r="L615" s="76">
        <v>42191</v>
      </c>
      <c r="M615" s="77">
        <f t="shared" ref="M615:M621" ca="1" si="19">TODAY()+1</f>
        <v>45954</v>
      </c>
      <c r="N615" s="74" t="str">
        <f>_xlfn.IFNA(VLOOKUP(db_emp[[#This Row],[ID_DIV]],[1]!db_dpt[[Code_dpt]:[Departement]],2,0),"-")</f>
        <v>Purchasing &amp; Procurement</v>
      </c>
      <c r="O615" s="74" t="str">
        <f>_xlfn.IFNA(VLOOKUP(db_emp[[#This Row],[ID_SDP]],[1]!db_div[[Code_div]:[Division]],2,0),"-")</f>
        <v>Procurement</v>
      </c>
      <c r="P615" s="74" t="str">
        <f>_xlfn.IFNA(VLOOKUP(db_emp[[#This Row],[Code_lvl]],[1]!db_lvl[[#All],[ID_level]:[Leveling Name]],2,0),"-")</f>
        <v>Supervisor</v>
      </c>
      <c r="Q615" s="74" t="str">
        <f>_xlfn.IFNA(VLOOKUP(db_emp[[#This Row],[Code_site]],[1]!db_site[[ID_Site]:[Url_maps]],3,0),"-")</f>
        <v>Head Office - ASGO</v>
      </c>
      <c r="R6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150591,'Wisnu Setiawan','PRC','PCUMT','Procurement Supervisor','LV09','Mall &amp; Cinema','O99','Employee','2015-07-06','2025-10-24'</v>
      </c>
      <c r="S615" s="74">
        <f>db_emp[[#This Row],[NIP (UPDATE)]]</f>
        <v>150591</v>
      </c>
    </row>
    <row r="616" spans="2:19" hidden="1" x14ac:dyDescent="0.25">
      <c r="B616" s="75">
        <v>83</v>
      </c>
      <c r="C616" s="75">
        <v>230435</v>
      </c>
      <c r="D616" s="74" t="s">
        <v>1761</v>
      </c>
      <c r="E616" s="75" t="s">
        <v>1491</v>
      </c>
      <c r="F616" s="75" t="s">
        <v>1492</v>
      </c>
      <c r="G616" s="74" t="s">
        <v>1760</v>
      </c>
      <c r="H616" s="75" t="s">
        <v>870</v>
      </c>
      <c r="I616" s="74" t="s">
        <v>860</v>
      </c>
      <c r="J616" s="75" t="s">
        <v>315</v>
      </c>
      <c r="K616" s="75" t="s">
        <v>850</v>
      </c>
      <c r="L616" s="76">
        <v>45026</v>
      </c>
      <c r="M616" s="77">
        <f t="shared" ca="1" si="19"/>
        <v>45954</v>
      </c>
      <c r="N616" s="74" t="str">
        <f>_xlfn.IFNA(VLOOKUP(db_emp[[#This Row],[ID_DIV]],[1]!db_dpt[[Code_dpt]:[Departement]],2,0),"-")</f>
        <v>Purchasing &amp; Procurement</v>
      </c>
      <c r="O616" s="74" t="str">
        <f>_xlfn.IFNA(VLOOKUP(db_emp[[#This Row],[ID_SDP]],[1]!db_div[[Code_div]:[Division]],2,0),"-")</f>
        <v>Procurement</v>
      </c>
      <c r="P616" s="74" t="str">
        <f>_xlfn.IFNA(VLOOKUP(db_emp[[#This Row],[Code_lvl]],[1]!db_lvl[[#All],[ID_level]:[Leveling Name]],2,0),"-")</f>
        <v>Supervisor</v>
      </c>
      <c r="Q616" s="74" t="str">
        <f>_xlfn.IFNA(VLOOKUP(db_emp[[#This Row],[Code_site]],[1]!db_site[[ID_Site]:[Url_maps]],3,0),"-")</f>
        <v>Head Office - ASGO</v>
      </c>
      <c r="R6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230435,'Muhammad Noer Seto','PRC','PCUMT','Procurement Supervisor','LV09','HQ - M&amp;C','O99','Employee','2023-04-10','2025-10-24'</v>
      </c>
      <c r="S616" s="74">
        <f>db_emp[[#This Row],[NIP (UPDATE)]]</f>
        <v>230435</v>
      </c>
    </row>
    <row r="617" spans="2:19" hidden="1" x14ac:dyDescent="0.25">
      <c r="B617" s="75">
        <v>106</v>
      </c>
      <c r="C617" s="75">
        <v>232298</v>
      </c>
      <c r="D617" s="74" t="s">
        <v>1762</v>
      </c>
      <c r="E617" s="75" t="s">
        <v>1491</v>
      </c>
      <c r="F617" s="75" t="s">
        <v>1492</v>
      </c>
      <c r="G617" s="74" t="s">
        <v>1760</v>
      </c>
      <c r="H617" s="75" t="s">
        <v>870</v>
      </c>
      <c r="I617" s="74" t="s">
        <v>849</v>
      </c>
      <c r="J617" s="75" t="s">
        <v>315</v>
      </c>
      <c r="K617" s="75" t="s">
        <v>850</v>
      </c>
      <c r="L617" s="76">
        <v>45278</v>
      </c>
      <c r="M617" s="77">
        <f t="shared" ca="1" si="19"/>
        <v>45954</v>
      </c>
      <c r="N617" s="74" t="str">
        <f>_xlfn.IFNA(VLOOKUP(db_emp[[#This Row],[ID_DIV]],[1]!db_dpt[[Code_dpt]:[Departement]],2,0),"-")</f>
        <v>Purchasing &amp; Procurement</v>
      </c>
      <c r="O617" s="74" t="str">
        <f>_xlfn.IFNA(VLOOKUP(db_emp[[#This Row],[ID_SDP]],[1]!db_div[[Code_div]:[Division]],2,0),"-")</f>
        <v>Procurement</v>
      </c>
      <c r="P617" s="74" t="str">
        <f>_xlfn.IFNA(VLOOKUP(db_emp[[#This Row],[Code_lvl]],[1]!db_lvl[[#All],[ID_level]:[Leveling Name]],2,0),"-")</f>
        <v>Supervisor</v>
      </c>
      <c r="Q617" s="74" t="str">
        <f>_xlfn.IFNA(VLOOKUP(db_emp[[#This Row],[Code_site]],[1]!db_site[[ID_Site]:[Url_maps]],3,0),"-")</f>
        <v>Head Office - ASGO</v>
      </c>
      <c r="R6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232298,'Hadinata','PRC','PCUMT','Procurement Supervisor','LV09','Mall &amp; Cinema','O99','Employee','2023-12-18','2025-10-24'</v>
      </c>
      <c r="S617" s="74">
        <f>db_emp[[#This Row],[NIP (UPDATE)]]</f>
        <v>232298</v>
      </c>
    </row>
    <row r="618" spans="2:19" hidden="1" x14ac:dyDescent="0.25">
      <c r="B618" s="75">
        <v>121</v>
      </c>
      <c r="C618" s="75">
        <v>240762</v>
      </c>
      <c r="D618" s="74" t="s">
        <v>1763</v>
      </c>
      <c r="E618" s="75" t="s">
        <v>1491</v>
      </c>
      <c r="F618" s="75" t="s">
        <v>1492</v>
      </c>
      <c r="G618" s="74" t="s">
        <v>1760</v>
      </c>
      <c r="H618" s="75" t="s">
        <v>870</v>
      </c>
      <c r="I618" s="74" t="s">
        <v>849</v>
      </c>
      <c r="J618" s="75" t="s">
        <v>315</v>
      </c>
      <c r="K618" s="75" t="s">
        <v>850</v>
      </c>
      <c r="L618" s="76">
        <v>45411</v>
      </c>
      <c r="M618" s="77">
        <f t="shared" ca="1" si="19"/>
        <v>45954</v>
      </c>
      <c r="N618" s="74" t="str">
        <f>_xlfn.IFNA(VLOOKUP(db_emp[[#This Row],[ID_DIV]],[1]!db_dpt[[Code_dpt]:[Departement]],2,0),"-")</f>
        <v>Purchasing &amp; Procurement</v>
      </c>
      <c r="O618" s="74" t="str">
        <f>_xlfn.IFNA(VLOOKUP(db_emp[[#This Row],[ID_SDP]],[1]!db_div[[Code_div]:[Division]],2,0),"-")</f>
        <v>Procurement</v>
      </c>
      <c r="P618" s="74" t="str">
        <f>_xlfn.IFNA(VLOOKUP(db_emp[[#This Row],[Code_lvl]],[1]!db_lvl[[#All],[ID_level]:[Leveling Name]],2,0),"-")</f>
        <v>Supervisor</v>
      </c>
      <c r="Q618" s="74" t="str">
        <f>_xlfn.IFNA(VLOOKUP(db_emp[[#This Row],[Code_site]],[1]!db_site[[ID_Site]:[Url_maps]],3,0),"-")</f>
        <v>Head Office - ASGO</v>
      </c>
      <c r="R6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240762,'Chichilia Clarasati','PRC','PCUMT','Procurement Supervisor','LV09','Mall &amp; Cinema','O99','Employee','2024-04-29','2025-10-24'</v>
      </c>
      <c r="S618" s="74">
        <f>db_emp[[#This Row],[NIP (UPDATE)]]</f>
        <v>240762</v>
      </c>
    </row>
    <row r="619" spans="2:19" hidden="1" x14ac:dyDescent="0.25">
      <c r="B619" s="75">
        <v>125</v>
      </c>
      <c r="C619" s="75">
        <v>241106</v>
      </c>
      <c r="D619" s="74" t="s">
        <v>1764</v>
      </c>
      <c r="E619" s="75" t="s">
        <v>1491</v>
      </c>
      <c r="F619" s="75" t="s">
        <v>1492</v>
      </c>
      <c r="G619" s="74" t="s">
        <v>1760</v>
      </c>
      <c r="H619" s="75" t="s">
        <v>870</v>
      </c>
      <c r="I619" s="74" t="s">
        <v>849</v>
      </c>
      <c r="J619" s="75" t="s">
        <v>315</v>
      </c>
      <c r="K619" s="75" t="s">
        <v>850</v>
      </c>
      <c r="L619" s="76">
        <v>45467</v>
      </c>
      <c r="M619" s="77">
        <f t="shared" ca="1" si="19"/>
        <v>45954</v>
      </c>
      <c r="N619" s="74" t="str">
        <f>_xlfn.IFNA(VLOOKUP(db_emp[[#This Row],[ID_DIV]],[1]!db_dpt[[Code_dpt]:[Departement]],2,0),"-")</f>
        <v>Purchasing &amp; Procurement</v>
      </c>
      <c r="O619" s="74" t="str">
        <f>_xlfn.IFNA(VLOOKUP(db_emp[[#This Row],[ID_SDP]],[1]!db_div[[Code_div]:[Division]],2,0),"-")</f>
        <v>Procurement</v>
      </c>
      <c r="P619" s="74" t="str">
        <f>_xlfn.IFNA(VLOOKUP(db_emp[[#This Row],[Code_lvl]],[1]!db_lvl[[#All],[ID_level]:[Leveling Name]],2,0),"-")</f>
        <v>Supervisor</v>
      </c>
      <c r="Q619" s="74" t="str">
        <f>_xlfn.IFNA(VLOOKUP(db_emp[[#This Row],[Code_site]],[1]!db_site[[ID_Site]:[Url_maps]],3,0),"-")</f>
        <v>Head Office - ASGO</v>
      </c>
      <c r="R6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241106,'Muhammad Adi Septyan','PRC','PCUMT','Procurement Supervisor','LV09','Mall &amp; Cinema','O99','Employee','2024-06-24','2025-10-24'</v>
      </c>
      <c r="S619" s="74">
        <f>db_emp[[#This Row],[NIP (UPDATE)]]</f>
        <v>241106</v>
      </c>
    </row>
    <row r="620" spans="2:19" hidden="1" x14ac:dyDescent="0.25">
      <c r="B620" s="75">
        <v>128</v>
      </c>
      <c r="C620" s="75">
        <v>241247</v>
      </c>
      <c r="D620" s="74" t="s">
        <v>1765</v>
      </c>
      <c r="E620" s="75" t="s">
        <v>1491</v>
      </c>
      <c r="F620" s="75" t="s">
        <v>1492</v>
      </c>
      <c r="G620" s="74" t="s">
        <v>1760</v>
      </c>
      <c r="H620" s="75" t="s">
        <v>870</v>
      </c>
      <c r="I620" s="74" t="s">
        <v>849</v>
      </c>
      <c r="J620" s="75" t="s">
        <v>315</v>
      </c>
      <c r="K620" s="75" t="s">
        <v>850</v>
      </c>
      <c r="L620" s="76">
        <v>45488</v>
      </c>
      <c r="M620" s="77">
        <f t="shared" ca="1" si="19"/>
        <v>45954</v>
      </c>
      <c r="N620" s="74" t="str">
        <f>_xlfn.IFNA(VLOOKUP(db_emp[[#This Row],[ID_DIV]],[1]!db_dpt[[Code_dpt]:[Departement]],2,0),"-")</f>
        <v>Purchasing &amp; Procurement</v>
      </c>
      <c r="O620" s="74" t="str">
        <f>_xlfn.IFNA(VLOOKUP(db_emp[[#This Row],[ID_SDP]],[1]!db_div[[Code_div]:[Division]],2,0),"-")</f>
        <v>Procurement</v>
      </c>
      <c r="P620" s="74" t="str">
        <f>_xlfn.IFNA(VLOOKUP(db_emp[[#This Row],[Code_lvl]],[1]!db_lvl[[#All],[ID_level]:[Leveling Name]],2,0),"-")</f>
        <v>Supervisor</v>
      </c>
      <c r="Q620" s="74" t="str">
        <f>_xlfn.IFNA(VLOOKUP(db_emp[[#This Row],[Code_site]],[1]!db_site[[ID_Site]:[Url_maps]],3,0),"-")</f>
        <v>Head Office - ASGO</v>
      </c>
      <c r="R6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241247,'Ilona Tessa Vanya Mamesah','PRC','PCUMT','Procurement Supervisor','LV09','Mall &amp; Cinema','O99','Employee','2024-07-15','2025-10-24'</v>
      </c>
      <c r="S620" s="74">
        <f>db_emp[[#This Row],[NIP (UPDATE)]]</f>
        <v>241247</v>
      </c>
    </row>
    <row r="621" spans="2:19" hidden="1" x14ac:dyDescent="0.25">
      <c r="B621" s="75">
        <v>132</v>
      </c>
      <c r="C621" s="75">
        <v>241461</v>
      </c>
      <c r="D621" s="74" t="s">
        <v>1766</v>
      </c>
      <c r="E621" s="75" t="s">
        <v>1491</v>
      </c>
      <c r="F621" s="75" t="s">
        <v>1492</v>
      </c>
      <c r="G621" s="74" t="s">
        <v>1760</v>
      </c>
      <c r="H621" s="75" t="s">
        <v>870</v>
      </c>
      <c r="I621" s="74" t="s">
        <v>849</v>
      </c>
      <c r="J621" s="75" t="s">
        <v>315</v>
      </c>
      <c r="K621" s="75" t="s">
        <v>850</v>
      </c>
      <c r="L621" s="76">
        <v>45516</v>
      </c>
      <c r="M621" s="77">
        <f t="shared" ca="1" si="19"/>
        <v>45954</v>
      </c>
      <c r="N621" s="74" t="str">
        <f>_xlfn.IFNA(VLOOKUP(db_emp[[#This Row],[ID_DIV]],[1]!db_dpt[[Code_dpt]:[Departement]],2,0),"-")</f>
        <v>Purchasing &amp; Procurement</v>
      </c>
      <c r="O621" s="74" t="str">
        <f>_xlfn.IFNA(VLOOKUP(db_emp[[#This Row],[ID_SDP]],[1]!db_div[[Code_div]:[Division]],2,0),"-")</f>
        <v>Procurement</v>
      </c>
      <c r="P621" s="74" t="str">
        <f>_xlfn.IFNA(VLOOKUP(db_emp[[#This Row],[Code_lvl]],[1]!db_lvl[[#All],[ID_level]:[Leveling Name]],2,0),"-")</f>
        <v>Supervisor</v>
      </c>
      <c r="Q621" s="74" t="str">
        <f>_xlfn.IFNA(VLOOKUP(db_emp[[#This Row],[Code_site]],[1]!db_site[[ID_Site]:[Url_maps]],3,0),"-")</f>
        <v>Head Office - ASGO</v>
      </c>
      <c r="R6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241461,'Melania Agustiana','PRC','PCUMT','Procurement Supervisor','LV09','Mall &amp; Cinema','O99','Employee','2024-08-12','2025-10-24'</v>
      </c>
      <c r="S621" s="74">
        <f>db_emp[[#This Row],[NIP (UPDATE)]]</f>
        <v>241461</v>
      </c>
    </row>
    <row r="622" spans="2:19" hidden="1" x14ac:dyDescent="0.25">
      <c r="B622" s="75">
        <v>139</v>
      </c>
      <c r="C622" s="75">
        <v>241736</v>
      </c>
      <c r="D622" s="74" t="s">
        <v>1767</v>
      </c>
      <c r="E622" s="75" t="s">
        <v>1491</v>
      </c>
      <c r="F622" s="75" t="s">
        <v>1492</v>
      </c>
      <c r="G622" s="74" t="s">
        <v>1760</v>
      </c>
      <c r="H622" s="75" t="s">
        <v>870</v>
      </c>
      <c r="I622" s="74" t="s">
        <v>849</v>
      </c>
      <c r="J622" s="75" t="s">
        <v>315</v>
      </c>
      <c r="K622" s="75" t="s">
        <v>903</v>
      </c>
      <c r="L622" s="76">
        <v>45560</v>
      </c>
      <c r="M622" s="77">
        <v>45840</v>
      </c>
      <c r="N622" s="74" t="str">
        <f>_xlfn.IFNA(VLOOKUP(db_emp[[#This Row],[ID_DIV]],[1]!db_dpt[[Code_dpt]:[Departement]],2,0),"-")</f>
        <v>Purchasing &amp; Procurement</v>
      </c>
      <c r="O622" s="74" t="str">
        <f>_xlfn.IFNA(VLOOKUP(db_emp[[#This Row],[ID_SDP]],[1]!db_div[[Code_div]:[Division]],2,0),"-")</f>
        <v>Procurement</v>
      </c>
      <c r="P622" s="74" t="str">
        <f>_xlfn.IFNA(VLOOKUP(db_emp[[#This Row],[Code_lvl]],[1]!db_lvl[[#All],[ID_level]:[Leveling Name]],2,0),"-")</f>
        <v>Supervisor</v>
      </c>
      <c r="Q622" s="74" t="str">
        <f>_xlfn.IFNA(VLOOKUP(db_emp[[#This Row],[Code_site]],[1]!db_site[[ID_Site]:[Url_maps]],3,0),"-")</f>
        <v>Head Office - ASGO</v>
      </c>
      <c r="R622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241736,'Adam Firdaus','PRC','PCUMT','Procurement Supervisor','LV09','Mall &amp; Cinema','O99','Resign','2024-09-25','2025-07-02'</v>
      </c>
      <c r="S622" s="74">
        <f>db_emp[[#This Row],[NIP (UPDATE)]]</f>
        <v>241736</v>
      </c>
    </row>
    <row r="623" spans="2:19" hidden="1" x14ac:dyDescent="0.25">
      <c r="B623" s="75">
        <v>146</v>
      </c>
      <c r="C623" s="75">
        <v>241897</v>
      </c>
      <c r="D623" s="74" t="s">
        <v>1768</v>
      </c>
      <c r="E623" s="75" t="s">
        <v>1491</v>
      </c>
      <c r="F623" s="75" t="s">
        <v>1492</v>
      </c>
      <c r="G623" s="74" t="s">
        <v>1760</v>
      </c>
      <c r="H623" s="75" t="s">
        <v>870</v>
      </c>
      <c r="I623" s="74" t="s">
        <v>849</v>
      </c>
      <c r="J623" s="75" t="s">
        <v>315</v>
      </c>
      <c r="K623" s="75" t="s">
        <v>850</v>
      </c>
      <c r="L623" s="76">
        <v>45593</v>
      </c>
      <c r="M623" s="77">
        <f ca="1">TODAY()+1</f>
        <v>45954</v>
      </c>
      <c r="N623" s="74" t="str">
        <f>_xlfn.IFNA(VLOOKUP(db_emp[[#This Row],[ID_DIV]],[1]!db_dpt[[Code_dpt]:[Departement]],2,0),"-")</f>
        <v>Purchasing &amp; Procurement</v>
      </c>
      <c r="O623" s="74" t="str">
        <f>_xlfn.IFNA(VLOOKUP(db_emp[[#This Row],[ID_SDP]],[1]!db_div[[Code_div]:[Division]],2,0),"-")</f>
        <v>Procurement</v>
      </c>
      <c r="P623" s="74" t="str">
        <f>_xlfn.IFNA(VLOOKUP(db_emp[[#This Row],[Code_lvl]],[1]!db_lvl[[#All],[ID_level]:[Leveling Name]],2,0),"-")</f>
        <v>Supervisor</v>
      </c>
      <c r="Q623" s="74" t="str">
        <f>_xlfn.IFNA(VLOOKUP(db_emp[[#This Row],[Code_site]],[1]!db_site[[ID_Site]:[Url_maps]],3,0),"-")</f>
        <v>Head Office - ASGO</v>
      </c>
      <c r="R6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241897,'Hendy Darmawan','PRC','PCUMT','Procurement Supervisor','LV09','Mall &amp; Cinema','O99','Employee','2024-10-28','2025-10-24'</v>
      </c>
      <c r="S623" s="74">
        <f>db_emp[[#This Row],[NIP (UPDATE)]]</f>
        <v>241897</v>
      </c>
    </row>
    <row r="624" spans="2:19" hidden="1" x14ac:dyDescent="0.25">
      <c r="B624" s="75">
        <v>162</v>
      </c>
      <c r="C624" s="75">
        <v>250357</v>
      </c>
      <c r="D624" s="74" t="s">
        <v>1769</v>
      </c>
      <c r="E624" s="75" t="s">
        <v>1491</v>
      </c>
      <c r="F624" s="75" t="s">
        <v>1492</v>
      </c>
      <c r="G624" s="74" t="s">
        <v>1760</v>
      </c>
      <c r="H624" s="75" t="s">
        <v>870</v>
      </c>
      <c r="I624" s="74" t="s">
        <v>849</v>
      </c>
      <c r="J624" s="75" t="s">
        <v>315</v>
      </c>
      <c r="K624" s="75" t="s">
        <v>850</v>
      </c>
      <c r="L624" s="76">
        <v>45768</v>
      </c>
      <c r="M624" s="77">
        <f ca="1">TODAY()+1</f>
        <v>45954</v>
      </c>
      <c r="N624" s="74" t="str">
        <f>_xlfn.IFNA(VLOOKUP(db_emp[[#This Row],[ID_DIV]],[1]!db_dpt[[Code_dpt]:[Departement]],2,0),"-")</f>
        <v>Purchasing &amp; Procurement</v>
      </c>
      <c r="O624" s="74" t="str">
        <f>_xlfn.IFNA(VLOOKUP(db_emp[[#This Row],[ID_SDP]],[1]!db_div[[Code_div]:[Division]],2,0),"-")</f>
        <v>Procurement</v>
      </c>
      <c r="P624" s="74" t="str">
        <f>_xlfn.IFNA(VLOOKUP(db_emp[[#This Row],[Code_lvl]],[1]!db_lvl[[#All],[ID_level]:[Leveling Name]],2,0),"-")</f>
        <v>Supervisor</v>
      </c>
      <c r="Q624" s="74" t="str">
        <f>_xlfn.IFNA(VLOOKUP(db_emp[[#This Row],[Code_site]],[1]!db_site[[ID_Site]:[Url_maps]],3,0),"-")</f>
        <v>Head Office - ASGO</v>
      </c>
      <c r="R6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250357,'Kintan Asmarandani','PRC','PCUMT','Procurement Supervisor','LV09','Mall &amp; Cinema','O99','Employee','2025-04-21','2025-10-24'</v>
      </c>
      <c r="S624" s="74">
        <f>db_emp[[#This Row],[NIP (UPDATE)]]</f>
        <v>250357</v>
      </c>
    </row>
    <row r="625" spans="2:19" hidden="1" x14ac:dyDescent="0.25">
      <c r="B625" s="75">
        <v>614</v>
      </c>
      <c r="C625" s="75">
        <v>241335</v>
      </c>
      <c r="D625" s="74" t="s">
        <v>1770</v>
      </c>
      <c r="E625" s="75" t="s">
        <v>1491</v>
      </c>
      <c r="F625" s="75" t="s">
        <v>1492</v>
      </c>
      <c r="G625" s="74" t="s">
        <v>1760</v>
      </c>
      <c r="H625" s="75" t="s">
        <v>870</v>
      </c>
      <c r="I625" s="74" t="s">
        <v>864</v>
      </c>
      <c r="J625" s="75" t="s">
        <v>433</v>
      </c>
      <c r="K625" s="75" t="s">
        <v>850</v>
      </c>
      <c r="L625" s="76">
        <v>45497</v>
      </c>
      <c r="M625" s="77">
        <f ca="1">TODAY()+1</f>
        <v>45954</v>
      </c>
      <c r="N625" s="74" t="str">
        <f>_xlfn.IFNA(VLOOKUP(db_emp[[#This Row],[ID_DIV]],[1]!db_dpt[[Code_dpt]:[Departement]],2,0),"-")</f>
        <v>Purchasing &amp; Procurement</v>
      </c>
      <c r="O625" s="74" t="str">
        <f>_xlfn.IFNA(VLOOKUP(db_emp[[#This Row],[ID_SDP]],[1]!db_div[[Code_div]:[Division]],2,0),"-")</f>
        <v>Procurement</v>
      </c>
      <c r="P625" s="74" t="str">
        <f>_xlfn.IFNA(VLOOKUP(db_emp[[#This Row],[Code_lvl]],[1]!db_lvl[[#All],[ID_level]:[Leveling Name]],2,0),"-")</f>
        <v>Supervisor</v>
      </c>
      <c r="Q625" s="74" t="str">
        <f>_xlfn.IFNA(VLOOKUP(db_emp[[#This Row],[Code_site]],[1]!db_site[[ID_Site]:[Url_maps]],3,0),"-")</f>
        <v>Unit - Taman Anggrek Residences</v>
      </c>
      <c r="R6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241335,'Ikrima Catrik Pratiwi','PRC','PCUMT','Procurement Supervisor','LV09','Corp. Supporting Property (POM)','A01','Employee','2024-07-24','2025-10-24'</v>
      </c>
      <c r="S625" s="74">
        <f>db_emp[[#This Row],[NIP (UPDATE)]]</f>
        <v>241335</v>
      </c>
    </row>
    <row r="626" spans="2:19" hidden="1" x14ac:dyDescent="0.25">
      <c r="B626" s="75">
        <v>688</v>
      </c>
      <c r="C626" s="75">
        <v>230888</v>
      </c>
      <c r="D626" s="74" t="s">
        <v>1771</v>
      </c>
      <c r="E626" s="75" t="s">
        <v>1491</v>
      </c>
      <c r="F626" s="75" t="s">
        <v>1492</v>
      </c>
      <c r="G626" s="74" t="s">
        <v>1760</v>
      </c>
      <c r="H626" s="75" t="s">
        <v>870</v>
      </c>
      <c r="I626" s="74" t="s">
        <v>864</v>
      </c>
      <c r="J626" s="75" t="s">
        <v>501</v>
      </c>
      <c r="K626" s="75" t="s">
        <v>850</v>
      </c>
      <c r="L626" s="76"/>
      <c r="M626" s="77">
        <f ca="1">TODAY()+1</f>
        <v>45954</v>
      </c>
      <c r="N626" s="74" t="str">
        <f>_xlfn.IFNA(VLOOKUP(db_emp[[#This Row],[ID_DIV]],[1]!db_dpt[[Code_dpt]:[Departement]],2,0),"-")</f>
        <v>Purchasing &amp; Procurement</v>
      </c>
      <c r="O626" s="74" t="str">
        <f>_xlfn.IFNA(VLOOKUP(db_emp[[#This Row],[ID_SDP]],[1]!db_div[[Code_div]:[Division]],2,0),"-")</f>
        <v>Procurement</v>
      </c>
      <c r="P626" s="74" t="str">
        <f>_xlfn.IFNA(VLOOKUP(db_emp[[#This Row],[Code_lvl]],[1]!db_lvl[[#All],[ID_level]:[Leveling Name]],2,0),"-")</f>
        <v>Supervisor</v>
      </c>
      <c r="Q626" s="74" t="str">
        <f>_xlfn.IFNA(VLOOKUP(db_emp[[#This Row],[Code_site]],[1]!db_site[[ID_Site]:[Url_maps]],3,0),"-")</f>
        <v>Unit - District 8</v>
      </c>
      <c r="R6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230888,'Kartika Hilda','PRC','PCUMT','Procurement Supervisor','LV09','Corp. Supporting Property (POM)','OD8','Employee','1900-01-00','2025-10-24'</v>
      </c>
      <c r="S626" s="74">
        <f>db_emp[[#This Row],[NIP (UPDATE)]]</f>
        <v>230888</v>
      </c>
    </row>
    <row r="627" spans="2:19" hidden="1" x14ac:dyDescent="0.25">
      <c r="B627" s="75">
        <v>733</v>
      </c>
      <c r="C627" s="75">
        <v>240947</v>
      </c>
      <c r="D627" s="74" t="s">
        <v>1772</v>
      </c>
      <c r="E627" s="75" t="s">
        <v>1491</v>
      </c>
      <c r="F627" s="75" t="s">
        <v>1492</v>
      </c>
      <c r="G627" s="74" t="s">
        <v>1760</v>
      </c>
      <c r="H627" s="75" t="s">
        <v>870</v>
      </c>
      <c r="I627" s="74" t="s">
        <v>864</v>
      </c>
      <c r="J627" s="75" t="s">
        <v>501</v>
      </c>
      <c r="K627" s="75" t="s">
        <v>903</v>
      </c>
      <c r="L627" s="76"/>
      <c r="M627" s="77">
        <v>45869</v>
      </c>
      <c r="N627" s="74" t="str">
        <f>_xlfn.IFNA(VLOOKUP(db_emp[[#This Row],[ID_DIV]],[1]!db_dpt[[Code_dpt]:[Departement]],2,0),"-")</f>
        <v>Purchasing &amp; Procurement</v>
      </c>
      <c r="O627" s="74" t="str">
        <f>_xlfn.IFNA(VLOOKUP(db_emp[[#This Row],[ID_SDP]],[1]!db_div[[Code_div]:[Division]],2,0),"-")</f>
        <v>Procurement</v>
      </c>
      <c r="P627" s="74" t="str">
        <f>_xlfn.IFNA(VLOOKUP(db_emp[[#This Row],[Code_lvl]],[1]!db_lvl[[#All],[ID_level]:[Leveling Name]],2,0),"-")</f>
        <v>Supervisor</v>
      </c>
      <c r="Q627" s="74" t="str">
        <f>_xlfn.IFNA(VLOOKUP(db_emp[[#This Row],[Code_site]],[1]!db_site[[ID_Site]:[Url_maps]],3,0),"-")</f>
        <v>Unit - District 8</v>
      </c>
      <c r="R627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240947,'Nurhadi .','PRC','PCUMT','Procurement Supervisor','LV09','Corp. Supporting Property (POM)','OD8','Resign','1900-01-00','2025-07-31'</v>
      </c>
      <c r="S627" s="74">
        <f>db_emp[[#This Row],[NIP (UPDATE)]]</f>
        <v>240947</v>
      </c>
    </row>
    <row r="628" spans="2:19" x14ac:dyDescent="0.25">
      <c r="B628" s="75" t="s">
        <v>2413</v>
      </c>
      <c r="C628" s="75">
        <v>231525</v>
      </c>
      <c r="D628" s="74" t="s">
        <v>1773</v>
      </c>
      <c r="E628" s="75" t="s">
        <v>1553</v>
      </c>
      <c r="F628" s="75" t="s">
        <v>971</v>
      </c>
      <c r="G628" s="74" t="s">
        <v>1774</v>
      </c>
      <c r="H628" s="75" t="s">
        <v>968</v>
      </c>
      <c r="I628" s="74" t="s">
        <v>856</v>
      </c>
      <c r="J628" s="75" t="s">
        <v>315</v>
      </c>
      <c r="K628" s="75" t="s">
        <v>850</v>
      </c>
      <c r="L628" s="76">
        <v>45170</v>
      </c>
      <c r="M628" s="77">
        <f ca="1">TODAY()+1</f>
        <v>45954</v>
      </c>
      <c r="N628" s="74" t="str">
        <f>_xlfn.IFNA(VLOOKUP(db_emp[[#This Row],[ID_DIV]],[1]!db_dpt[[Code_dpt]:[Departement]],2,0),"-")</f>
        <v>Innovation</v>
      </c>
      <c r="O628" s="74" t="str">
        <f>_xlfn.IFNA(VLOOKUP(db_emp[[#This Row],[ID_SDP]],[1]!db_div[[Code_div]:[Division]],2,0),"-")</f>
        <v>General Head Departement</v>
      </c>
      <c r="P628" s="74" t="str">
        <f>_xlfn.IFNA(VLOOKUP(db_emp[[#This Row],[Code_lvl]],[1]!db_lvl[[#All],[ID_level]:[Leveling Name]],2,0),"-")</f>
        <v>Senior Manager</v>
      </c>
      <c r="Q628" s="74" t="str">
        <f>_xlfn.IFNA(VLOOKUP(db_emp[[#This Row],[Code_site]],[1]!db_site[[ID_Site]:[Url_maps]],3,0),"-")</f>
        <v>Head Office - ASGO</v>
      </c>
      <c r="R6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231525,'Hany Pratama','INO','GNRAL','Product Development Senior Manager','LV04','HQ - All','O99','Employee','2023-09-01','2025-10-24'</v>
      </c>
      <c r="S628" s="74">
        <f>db_emp[[#This Row],[NIP (UPDATE)]]</f>
        <v>231525</v>
      </c>
    </row>
    <row r="629" spans="2:19" hidden="1" x14ac:dyDescent="0.25">
      <c r="B629" s="75">
        <v>739</v>
      </c>
      <c r="C629" s="75">
        <v>241294</v>
      </c>
      <c r="D629" s="74" t="s">
        <v>1775</v>
      </c>
      <c r="E629" s="75" t="s">
        <v>1776</v>
      </c>
      <c r="F629" s="75" t="s">
        <v>1777</v>
      </c>
      <c r="G629" s="74" t="s">
        <v>1778</v>
      </c>
      <c r="H629" s="75" t="s">
        <v>870</v>
      </c>
      <c r="I629" s="74" t="s">
        <v>864</v>
      </c>
      <c r="J629" s="75" t="s">
        <v>501</v>
      </c>
      <c r="K629" s="75" t="s">
        <v>850</v>
      </c>
      <c r="L629" s="76"/>
      <c r="M629" s="77">
        <f ca="1">TODAY()+1</f>
        <v>45954</v>
      </c>
      <c r="N629" s="74" t="str">
        <f>_xlfn.IFNA(VLOOKUP(db_emp[[#This Row],[ID_DIV]],[1]!db_dpt[[Code_dpt]:[Departement]],2,0),"-")</f>
        <v>-</v>
      </c>
      <c r="O629" s="74" t="str">
        <f>_xlfn.IFNA(VLOOKUP(db_emp[[#This Row],[ID_SDP]],[1]!db_div[[Code_div]:[Division]],2,0),"-")</f>
        <v>Project Management</v>
      </c>
      <c r="P629" s="74" t="str">
        <f>_xlfn.IFNA(VLOOKUP(db_emp[[#This Row],[Code_lvl]],[1]!db_lvl[[#All],[ID_level]:[Leveling Name]],2,0),"-")</f>
        <v>Supervisor</v>
      </c>
      <c r="Q629" s="74" t="str">
        <f>_xlfn.IFNA(VLOOKUP(db_emp[[#This Row],[Code_site]],[1]!db_site[[ID_Site]:[Url_maps]],3,0),"-")</f>
        <v>Unit - District 8</v>
      </c>
      <c r="R6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241294,'Euaggelion David','PRJ','PRMNG','Project Coordinator','LV09','Corp. Supporting Property (POM)','OD8','Employee','1900-01-00','2025-10-24'</v>
      </c>
      <c r="S629" s="74">
        <f>db_emp[[#This Row],[NIP (UPDATE)]]</f>
        <v>241294</v>
      </c>
    </row>
    <row r="630" spans="2:19" hidden="1" x14ac:dyDescent="0.25">
      <c r="B630" s="75">
        <v>81</v>
      </c>
      <c r="C630" s="75">
        <v>230174</v>
      </c>
      <c r="D630" s="74" t="s">
        <v>1779</v>
      </c>
      <c r="E630" s="75" t="s">
        <v>1780</v>
      </c>
      <c r="F630" s="75" t="s">
        <v>912</v>
      </c>
      <c r="G630" s="74" t="s">
        <v>1781</v>
      </c>
      <c r="H630" s="75" t="s">
        <v>870</v>
      </c>
      <c r="I630" s="74" t="s">
        <v>856</v>
      </c>
      <c r="J630" s="75" t="s">
        <v>315</v>
      </c>
      <c r="K630" s="75" t="s">
        <v>850</v>
      </c>
      <c r="L630" s="76">
        <v>44970</v>
      </c>
      <c r="M630" s="77">
        <f ca="1">TODAY()+1</f>
        <v>45954</v>
      </c>
      <c r="N630" s="74" t="str">
        <f>_xlfn.IFNA(VLOOKUP(db_emp[[#This Row],[ID_DIV]],[1]!db_dpt[[Code_dpt]:[Departement]],2,0),"-")</f>
        <v>-</v>
      </c>
      <c r="O630" s="74" t="str">
        <f>_xlfn.IFNA(VLOOKUP(db_emp[[#This Row],[ID_SDP]],[1]!db_div[[Code_div]:[Division]],2,0),"-")</f>
        <v>Admin</v>
      </c>
      <c r="P630" s="74" t="str">
        <f>_xlfn.IFNA(VLOOKUP(db_emp[[#This Row],[Code_lvl]],[1]!db_lvl[[#All],[ID_level]:[Leveling Name]],2,0),"-")</f>
        <v>Supervisor</v>
      </c>
      <c r="Q630" s="74" t="str">
        <f>_xlfn.IFNA(VLOOKUP(db_emp[[#This Row],[Code_site]],[1]!db_site[[ID_Site]:[Url_maps]],3,0),"-")</f>
        <v>Head Office - ASGO</v>
      </c>
      <c r="R6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230174,'Rischa Widianti','COR','ADMIN','Project Coordinator &amp; Administrator Supervisor','LV09','HQ - All','O99','Employee','2023-02-13','2025-10-24'</v>
      </c>
      <c r="S630" s="74">
        <f>db_emp[[#This Row],[NIP (UPDATE)]]</f>
        <v>230174</v>
      </c>
    </row>
    <row r="631" spans="2:19" x14ac:dyDescent="0.25">
      <c r="B631" s="75" t="s">
        <v>2413</v>
      </c>
      <c r="C631" s="75">
        <v>232372</v>
      </c>
      <c r="D631" s="74" t="s">
        <v>1782</v>
      </c>
      <c r="E631" s="75" t="s">
        <v>1553</v>
      </c>
      <c r="F631" s="75" t="s">
        <v>1783</v>
      </c>
      <c r="G631" s="74" t="s">
        <v>1784</v>
      </c>
      <c r="H631" s="75" t="s">
        <v>953</v>
      </c>
      <c r="I631" s="74" t="s">
        <v>856</v>
      </c>
      <c r="J631" s="75" t="s">
        <v>315</v>
      </c>
      <c r="K631" s="75" t="s">
        <v>903</v>
      </c>
      <c r="L631" s="76">
        <v>45292</v>
      </c>
      <c r="M631" s="77">
        <v>45873</v>
      </c>
      <c r="N631" s="74" t="str">
        <f>_xlfn.IFNA(VLOOKUP(db_emp[[#This Row],[ID_DIV]],[1]!db_dpt[[Code_dpt]:[Departement]],2,0),"-")</f>
        <v>Innovation</v>
      </c>
      <c r="O631" s="74" t="str">
        <f>_xlfn.IFNA(VLOOKUP(db_emp[[#This Row],[ID_SDP]],[1]!db_div[[Code_div]:[Division]],2,0),"-")</f>
        <v>Project</v>
      </c>
      <c r="P631" s="74" t="str">
        <f>_xlfn.IFNA(VLOOKUP(db_emp[[#This Row],[Code_lvl]],[1]!db_lvl[[#All],[ID_level]:[Leveling Name]],2,0),"-")</f>
        <v>Manager</v>
      </c>
      <c r="Q631" s="74" t="str">
        <f>_xlfn.IFNA(VLOOKUP(db_emp[[#This Row],[Code_site]],[1]!db_site[[ID_Site]:[Url_maps]],3,0),"-")</f>
        <v>Head Office - ASGO</v>
      </c>
      <c r="R631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232372,'Andrie Satya Setiono','INO','PROJT','Project Manager','LV05','HQ - All','O99','Resign','2024-01-01','2025-08-04'</v>
      </c>
      <c r="S631" s="74">
        <f>db_emp[[#This Row],[NIP (UPDATE)]]</f>
        <v>232372</v>
      </c>
    </row>
    <row r="632" spans="2:19" hidden="1" x14ac:dyDescent="0.25">
      <c r="B632" s="75">
        <v>203</v>
      </c>
      <c r="C632" s="75">
        <v>150693</v>
      </c>
      <c r="D632" s="74" t="s">
        <v>1785</v>
      </c>
      <c r="E632" s="75" t="s">
        <v>911</v>
      </c>
      <c r="F632" s="75" t="s">
        <v>1786</v>
      </c>
      <c r="G632" s="74" t="s">
        <v>1787</v>
      </c>
      <c r="H632" s="75" t="s">
        <v>853</v>
      </c>
      <c r="I632" s="74" t="s">
        <v>849</v>
      </c>
      <c r="J632" s="75" t="s">
        <v>314</v>
      </c>
      <c r="K632" s="75" t="s">
        <v>850</v>
      </c>
      <c r="L632" s="76">
        <v>42229</v>
      </c>
      <c r="M632" s="77">
        <f t="shared" ref="M632:M638" ca="1" si="20">TODAY()+1</f>
        <v>45954</v>
      </c>
      <c r="N632" s="74" t="str">
        <f>_xlfn.IFNA(VLOOKUP(db_emp[[#This Row],[ID_DIV]],[1]!db_dpt[[Code_dpt]:[Departement]],2,0),"-")</f>
        <v>Engineering</v>
      </c>
      <c r="O632" s="74" t="str">
        <f>_xlfn.IFNA(VLOOKUP(db_emp[[#This Row],[ID_SDP]],[1]!db_div[[Code_div]:[Division]],2,0),"-")</f>
        <v>Property Area</v>
      </c>
      <c r="P632" s="74" t="str">
        <f>_xlfn.IFNA(VLOOKUP(db_emp[[#This Row],[Code_lvl]],[1]!db_lvl[[#All],[ID_level]:[Leveling Name]],2,0),"-")</f>
        <v>Staff</v>
      </c>
      <c r="Q632" s="74" t="str">
        <f>_xlfn.IFNA(VLOOKUP(db_emp[[#This Row],[Code_site]],[1]!db_site[[ID_Site]:[Url_maps]],3,0),"-")</f>
        <v>Unit - MOI</v>
      </c>
      <c r="R6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150693,'Andrean Prasetio','ENG','PROAR','Property Area Officer Staff','LV12','Mall &amp; Cinema','M02','Employee','2015-08-13','2025-10-24'</v>
      </c>
      <c r="S632" s="74">
        <f>db_emp[[#This Row],[NIP (UPDATE)]]</f>
        <v>150693</v>
      </c>
    </row>
    <row r="633" spans="2:19" hidden="1" x14ac:dyDescent="0.25">
      <c r="B633" s="75">
        <v>204</v>
      </c>
      <c r="C633" s="75">
        <v>231801</v>
      </c>
      <c r="D633" s="74" t="s">
        <v>1788</v>
      </c>
      <c r="E633" s="75" t="s">
        <v>911</v>
      </c>
      <c r="F633" s="75" t="s">
        <v>1786</v>
      </c>
      <c r="G633" s="74" t="s">
        <v>1787</v>
      </c>
      <c r="H633" s="75" t="s">
        <v>853</v>
      </c>
      <c r="I633" s="74" t="s">
        <v>849</v>
      </c>
      <c r="J633" s="75" t="s">
        <v>314</v>
      </c>
      <c r="K633" s="75" t="s">
        <v>850</v>
      </c>
      <c r="L633" s="76">
        <v>42646</v>
      </c>
      <c r="M633" s="77">
        <f t="shared" ca="1" si="20"/>
        <v>45954</v>
      </c>
      <c r="N633" s="74" t="str">
        <f>_xlfn.IFNA(VLOOKUP(db_emp[[#This Row],[ID_DIV]],[1]!db_dpt[[Code_dpt]:[Departement]],2,0),"-")</f>
        <v>Engineering</v>
      </c>
      <c r="O633" s="74" t="str">
        <f>_xlfn.IFNA(VLOOKUP(db_emp[[#This Row],[ID_SDP]],[1]!db_div[[Code_div]:[Division]],2,0),"-")</f>
        <v>Property Area</v>
      </c>
      <c r="P633" s="74" t="str">
        <f>_xlfn.IFNA(VLOOKUP(db_emp[[#This Row],[Code_lvl]],[1]!db_lvl[[#All],[ID_level]:[Leveling Name]],2,0),"-")</f>
        <v>Staff</v>
      </c>
      <c r="Q633" s="74" t="str">
        <f>_xlfn.IFNA(VLOOKUP(db_emp[[#This Row],[Code_site]],[1]!db_site[[ID_Site]:[Url_maps]],3,0),"-")</f>
        <v>Unit - MOI</v>
      </c>
      <c r="R6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231801,'Nur Komarruddin','ENG','PROAR','Property Area Officer Staff','LV12','Mall &amp; Cinema','M02','Employee','2016-10-03','2025-10-24'</v>
      </c>
      <c r="S633" s="74">
        <f>db_emp[[#This Row],[NIP (UPDATE)]]</f>
        <v>231801</v>
      </c>
    </row>
    <row r="634" spans="2:19" hidden="1" x14ac:dyDescent="0.25">
      <c r="B634" s="75">
        <v>205</v>
      </c>
      <c r="C634" s="75">
        <v>232313</v>
      </c>
      <c r="D634" s="74" t="s">
        <v>1789</v>
      </c>
      <c r="E634" s="75" t="s">
        <v>911</v>
      </c>
      <c r="F634" s="75" t="s">
        <v>1786</v>
      </c>
      <c r="G634" s="74" t="s">
        <v>1787</v>
      </c>
      <c r="H634" s="75" t="s">
        <v>853</v>
      </c>
      <c r="I634" s="74" t="s">
        <v>849</v>
      </c>
      <c r="J634" s="75" t="s">
        <v>314</v>
      </c>
      <c r="K634" s="75" t="s">
        <v>850</v>
      </c>
      <c r="L634" s="76">
        <v>42948</v>
      </c>
      <c r="M634" s="77">
        <f t="shared" ca="1" si="20"/>
        <v>45954</v>
      </c>
      <c r="N634" s="74" t="str">
        <f>_xlfn.IFNA(VLOOKUP(db_emp[[#This Row],[ID_DIV]],[1]!db_dpt[[Code_dpt]:[Departement]],2,0),"-")</f>
        <v>Engineering</v>
      </c>
      <c r="O634" s="74" t="str">
        <f>_xlfn.IFNA(VLOOKUP(db_emp[[#This Row],[ID_SDP]],[1]!db_div[[Code_div]:[Division]],2,0),"-")</f>
        <v>Property Area</v>
      </c>
      <c r="P634" s="74" t="str">
        <f>_xlfn.IFNA(VLOOKUP(db_emp[[#This Row],[Code_lvl]],[1]!db_lvl[[#All],[ID_level]:[Leveling Name]],2,0),"-")</f>
        <v>Staff</v>
      </c>
      <c r="Q634" s="74" t="str">
        <f>_xlfn.IFNA(VLOOKUP(db_emp[[#This Row],[Code_site]],[1]!db_site[[ID_Site]:[Url_maps]],3,0),"-")</f>
        <v>Unit - MOI</v>
      </c>
      <c r="R6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232313,'Leo Andika','ENG','PROAR','Property Area Officer Staff','LV12','Mall &amp; Cinema','M02','Employee','2017-08-01','2025-10-24'</v>
      </c>
      <c r="S634" s="74">
        <f>db_emp[[#This Row],[NIP (UPDATE)]]</f>
        <v>232313</v>
      </c>
    </row>
    <row r="635" spans="2:19" hidden="1" x14ac:dyDescent="0.25">
      <c r="B635" s="75">
        <v>222</v>
      </c>
      <c r="C635" s="75">
        <v>220903</v>
      </c>
      <c r="D635" s="74" t="s">
        <v>1790</v>
      </c>
      <c r="E635" s="75" t="s">
        <v>911</v>
      </c>
      <c r="F635" s="75" t="s">
        <v>1786</v>
      </c>
      <c r="G635" s="74" t="s">
        <v>1787</v>
      </c>
      <c r="H635" s="75" t="s">
        <v>853</v>
      </c>
      <c r="I635" s="74" t="s">
        <v>849</v>
      </c>
      <c r="J635" s="75" t="s">
        <v>314</v>
      </c>
      <c r="K635" s="75" t="s">
        <v>850</v>
      </c>
      <c r="L635" s="76">
        <v>44739</v>
      </c>
      <c r="M635" s="77">
        <f t="shared" ca="1" si="20"/>
        <v>45954</v>
      </c>
      <c r="N635" s="74" t="str">
        <f>_xlfn.IFNA(VLOOKUP(db_emp[[#This Row],[ID_DIV]],[1]!db_dpt[[Code_dpt]:[Departement]],2,0),"-")</f>
        <v>Engineering</v>
      </c>
      <c r="O635" s="74" t="str">
        <f>_xlfn.IFNA(VLOOKUP(db_emp[[#This Row],[ID_SDP]],[1]!db_div[[Code_div]:[Division]],2,0),"-")</f>
        <v>Property Area</v>
      </c>
      <c r="P635" s="74" t="str">
        <f>_xlfn.IFNA(VLOOKUP(db_emp[[#This Row],[Code_lvl]],[1]!db_lvl[[#All],[ID_level]:[Leveling Name]],2,0),"-")</f>
        <v>Staff</v>
      </c>
      <c r="Q635" s="74" t="str">
        <f>_xlfn.IFNA(VLOOKUP(db_emp[[#This Row],[Code_site]],[1]!db_site[[ID_Site]:[Url_maps]],3,0),"-")</f>
        <v>Unit - MOI</v>
      </c>
      <c r="R6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220903,'Bayu Heriyanto','ENG','PROAR','Property Area Officer Staff','LV12','Mall &amp; Cinema','M02','Employee','2022-06-27','2025-10-24'</v>
      </c>
      <c r="S635" s="74">
        <f>db_emp[[#This Row],[NIP (UPDATE)]]</f>
        <v>220903</v>
      </c>
    </row>
    <row r="636" spans="2:19" hidden="1" x14ac:dyDescent="0.25">
      <c r="B636" s="75">
        <v>558</v>
      </c>
      <c r="C636" s="75">
        <v>130830</v>
      </c>
      <c r="D636" s="74" t="s">
        <v>1791</v>
      </c>
      <c r="E636" s="75" t="s">
        <v>916</v>
      </c>
      <c r="F636" s="75" t="s">
        <v>912</v>
      </c>
      <c r="G636" s="74" t="s">
        <v>1792</v>
      </c>
      <c r="H636" s="75" t="s">
        <v>885</v>
      </c>
      <c r="I636" s="74" t="s">
        <v>864</v>
      </c>
      <c r="J636" s="75" t="s">
        <v>433</v>
      </c>
      <c r="K636" s="75" t="s">
        <v>850</v>
      </c>
      <c r="L636" s="76">
        <v>41487</v>
      </c>
      <c r="M636" s="77">
        <f t="shared" ca="1" si="20"/>
        <v>45954</v>
      </c>
      <c r="N636" s="74" t="str">
        <f>_xlfn.IFNA(VLOOKUP(db_emp[[#This Row],[ID_DIV]],[1]!db_dpt[[Code_dpt]:[Departement]],2,0),"-")</f>
        <v>Property Management</v>
      </c>
      <c r="O636" s="74" t="str">
        <f>_xlfn.IFNA(VLOOKUP(db_emp[[#This Row],[ID_SDP]],[1]!db_div[[Code_div]:[Division]],2,0),"-")</f>
        <v>Admin</v>
      </c>
      <c r="P636" s="74" t="str">
        <f>_xlfn.IFNA(VLOOKUP(db_emp[[#This Row],[Code_lvl]],[1]!db_lvl[[#All],[ID_level]:[Leveling Name]],2,0),"-")</f>
        <v>Senior Staff</v>
      </c>
      <c r="Q636" s="74" t="str">
        <f>_xlfn.IFNA(VLOOKUP(db_emp[[#This Row],[Code_site]],[1]!db_site[[ID_Site]:[Url_maps]],3,0),"-")</f>
        <v>Unit - Taman Anggrek Residences</v>
      </c>
      <c r="R6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130830,'Yessica Noviani','POM','ADMIN','Property Management Administration Staff','LV11','Corp. Supporting Property (POM)','A01','Employee','2013-08-01','2025-10-24'</v>
      </c>
      <c r="S636" s="74">
        <f>db_emp[[#This Row],[NIP (UPDATE)]]</f>
        <v>130830</v>
      </c>
    </row>
    <row r="637" spans="2:19" hidden="1" x14ac:dyDescent="0.25">
      <c r="B637" s="75">
        <v>150</v>
      </c>
      <c r="C637" s="75">
        <v>242092</v>
      </c>
      <c r="D637" s="74" t="s">
        <v>1793</v>
      </c>
      <c r="E637" s="75" t="s">
        <v>1491</v>
      </c>
      <c r="F637" s="75" t="s">
        <v>1794</v>
      </c>
      <c r="G637" s="74" t="s">
        <v>1795</v>
      </c>
      <c r="H637" s="75" t="s">
        <v>853</v>
      </c>
      <c r="I637" s="74" t="s">
        <v>849</v>
      </c>
      <c r="J637" s="75" t="s">
        <v>315</v>
      </c>
      <c r="K637" s="75" t="s">
        <v>850</v>
      </c>
      <c r="L637" s="76">
        <v>45621</v>
      </c>
      <c r="M637" s="77">
        <f t="shared" ca="1" si="20"/>
        <v>45954</v>
      </c>
      <c r="N637" s="74" t="str">
        <f>_xlfn.IFNA(VLOOKUP(db_emp[[#This Row],[ID_DIV]],[1]!db_dpt[[Code_dpt]:[Departement]],2,0),"-")</f>
        <v>Purchasing &amp; Procurement</v>
      </c>
      <c r="O637" s="74" t="str">
        <f>_xlfn.IFNA(VLOOKUP(db_emp[[#This Row],[ID_SDP]],[1]!db_div[[Code_div]:[Division]],2,0),"-")</f>
        <v>Purchasing</v>
      </c>
      <c r="P637" s="74" t="str">
        <f>_xlfn.IFNA(VLOOKUP(db_emp[[#This Row],[Code_lvl]],[1]!db_lvl[[#All],[ID_level]:[Leveling Name]],2,0),"-")</f>
        <v>Staff</v>
      </c>
      <c r="Q637" s="74" t="str">
        <f>_xlfn.IFNA(VLOOKUP(db_emp[[#This Row],[Code_site]],[1]!db_site[[ID_Site]:[Url_maps]],3,0),"-")</f>
        <v>Head Office - ASGO</v>
      </c>
      <c r="R6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242092,'Rosalinda Riana Damayanti','PRC','PCHNG','Purchasing Staff','LV12','Mall &amp; Cinema','O99','Employee','2024-11-25','2025-10-24'</v>
      </c>
      <c r="S637" s="74">
        <f>db_emp[[#This Row],[NIP (UPDATE)]]</f>
        <v>242092</v>
      </c>
    </row>
    <row r="638" spans="2:19" hidden="1" x14ac:dyDescent="0.25">
      <c r="B638" s="75">
        <v>152</v>
      </c>
      <c r="C638" s="75">
        <v>242215</v>
      </c>
      <c r="D638" s="74" t="s">
        <v>1796</v>
      </c>
      <c r="E638" s="75" t="s">
        <v>1491</v>
      </c>
      <c r="F638" s="75" t="s">
        <v>1794</v>
      </c>
      <c r="G638" s="74" t="s">
        <v>1795</v>
      </c>
      <c r="H638" s="75" t="s">
        <v>885</v>
      </c>
      <c r="I638" s="74" t="s">
        <v>849</v>
      </c>
      <c r="J638" s="75" t="s">
        <v>315</v>
      </c>
      <c r="K638" s="75" t="s">
        <v>850</v>
      </c>
      <c r="L638" s="76">
        <v>45642</v>
      </c>
      <c r="M638" s="77">
        <f t="shared" ca="1" si="20"/>
        <v>45954</v>
      </c>
      <c r="N638" s="74" t="str">
        <f>_xlfn.IFNA(VLOOKUP(db_emp[[#This Row],[ID_DIV]],[1]!db_dpt[[Code_dpt]:[Departement]],2,0),"-")</f>
        <v>Purchasing &amp; Procurement</v>
      </c>
      <c r="O638" s="74" t="str">
        <f>_xlfn.IFNA(VLOOKUP(db_emp[[#This Row],[ID_SDP]],[1]!db_div[[Code_div]:[Division]],2,0),"-")</f>
        <v>Purchasing</v>
      </c>
      <c r="P638" s="74" t="str">
        <f>_xlfn.IFNA(VLOOKUP(db_emp[[#This Row],[Code_lvl]],[1]!db_lvl[[#All],[ID_level]:[Leveling Name]],2,0),"-")</f>
        <v>Senior Staff</v>
      </c>
      <c r="Q638" s="74" t="str">
        <f>_xlfn.IFNA(VLOOKUP(db_emp[[#This Row],[Code_site]],[1]!db_site[[ID_Site]:[Url_maps]],3,0),"-")</f>
        <v>Head Office - ASGO</v>
      </c>
      <c r="R6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242215,'Deslina Hasibuan','PRC','PCHNG','Purchasing Staff','LV11','Mall &amp; Cinema','O99','Employee','2024-12-16','2025-10-24'</v>
      </c>
      <c r="S638" s="74">
        <f>db_emp[[#This Row],[NIP (UPDATE)]]</f>
        <v>242215</v>
      </c>
    </row>
    <row r="639" spans="2:19" hidden="1" x14ac:dyDescent="0.25">
      <c r="B639" s="75">
        <v>145</v>
      </c>
      <c r="C639" s="75">
        <v>241863</v>
      </c>
      <c r="D639" s="74" t="s">
        <v>1797</v>
      </c>
      <c r="E639" s="75" t="s">
        <v>1018</v>
      </c>
      <c r="F639" s="75" t="s">
        <v>912</v>
      </c>
      <c r="G639" s="74" t="s">
        <v>1798</v>
      </c>
      <c r="H639" s="75" t="s">
        <v>853</v>
      </c>
      <c r="I639" s="74" t="s">
        <v>856</v>
      </c>
      <c r="J639" s="75" t="s">
        <v>501</v>
      </c>
      <c r="K639" s="75" t="s">
        <v>903</v>
      </c>
      <c r="L639" s="76">
        <v>45579</v>
      </c>
      <c r="M639" s="77">
        <v>45869</v>
      </c>
      <c r="N639" s="74" t="str">
        <f>_xlfn.IFNA(VLOOKUP(db_emp[[#This Row],[ID_DIV]],[1]!db_dpt[[Code_dpt]:[Departement]],2,0),"-")</f>
        <v>Operational</v>
      </c>
      <c r="O639" s="74" t="str">
        <f>_xlfn.IFNA(VLOOKUP(db_emp[[#This Row],[ID_SDP]],[1]!db_div[[Code_div]:[Division]],2,0),"-")</f>
        <v>Admin</v>
      </c>
      <c r="P639" s="74" t="str">
        <f>_xlfn.IFNA(VLOOKUP(db_emp[[#This Row],[Code_lvl]],[1]!db_lvl[[#All],[ID_level]:[Leveling Name]],2,0),"-")</f>
        <v>Staff</v>
      </c>
      <c r="Q639" s="74" t="str">
        <f>_xlfn.IFNA(VLOOKUP(db_emp[[#This Row],[Code_site]],[1]!db_site[[ID_Site]:[Url_maps]],3,0),"-")</f>
        <v>Unit - District 8</v>
      </c>
      <c r="R639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241863,'Denis','OPR','ADMIN','Research &amp; Analysis Admin','LV12','HQ - All','OD8','Resign','2024-10-14','2025-07-31'</v>
      </c>
      <c r="S639" s="74">
        <f>db_emp[[#This Row],[NIP (UPDATE)]]</f>
        <v>241863</v>
      </c>
    </row>
    <row r="640" spans="2:19" hidden="1" x14ac:dyDescent="0.25">
      <c r="B640" s="75">
        <v>87</v>
      </c>
      <c r="C640" s="75">
        <v>230570</v>
      </c>
      <c r="D640" s="74" t="s">
        <v>1799</v>
      </c>
      <c r="E640" s="75" t="s">
        <v>1800</v>
      </c>
      <c r="F640" s="75" t="s">
        <v>1801</v>
      </c>
      <c r="G640" s="74" t="s">
        <v>1802</v>
      </c>
      <c r="H640" s="75" t="s">
        <v>953</v>
      </c>
      <c r="I640" s="74" t="s">
        <v>856</v>
      </c>
      <c r="J640" s="75" t="s">
        <v>315</v>
      </c>
      <c r="K640" s="75" t="s">
        <v>850</v>
      </c>
      <c r="L640" s="76">
        <v>45048</v>
      </c>
      <c r="M640" s="77">
        <f t="shared" ref="M640:M680" ca="1" si="21">TODAY()+1</f>
        <v>45954</v>
      </c>
      <c r="N640" s="74" t="str">
        <f>_xlfn.IFNA(VLOOKUP(db_emp[[#This Row],[ID_DIV]],[1]!db_dpt[[Code_dpt]:[Departement]],2,0),"-")</f>
        <v>Research &amp; Development</v>
      </c>
      <c r="O640" s="74" t="str">
        <f>_xlfn.IFNA(VLOOKUP(db_emp[[#This Row],[ID_SDP]],[1]!db_div[[Code_div]:[Division]],2,0),"-")</f>
        <v>Research &amp; Development</v>
      </c>
      <c r="P640" s="74" t="str">
        <f>_xlfn.IFNA(VLOOKUP(db_emp[[#This Row],[Code_lvl]],[1]!db_lvl[[#All],[ID_level]:[Leveling Name]],2,0),"-")</f>
        <v>Manager</v>
      </c>
      <c r="Q640" s="74" t="str">
        <f>_xlfn.IFNA(VLOOKUP(db_emp[[#This Row],[Code_site]],[1]!db_site[[ID_Site]:[Url_maps]],3,0),"-")</f>
        <v>Head Office - ASGO</v>
      </c>
      <c r="R6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230570,'Ratna Airindah Hadiaty','RND','RNDEV','Research &amp; Development Manager','LV05','HQ - All','O99','Employee','2023-05-02','2025-10-24'</v>
      </c>
      <c r="S640" s="74">
        <f>db_emp[[#This Row],[NIP (UPDATE)]]</f>
        <v>230570</v>
      </c>
    </row>
    <row r="641" spans="2:19" hidden="1" x14ac:dyDescent="0.25">
      <c r="B641" s="75">
        <v>123</v>
      </c>
      <c r="C641" s="75">
        <v>240942</v>
      </c>
      <c r="D641" s="74" t="s">
        <v>1803</v>
      </c>
      <c r="E641" s="75" t="s">
        <v>1800</v>
      </c>
      <c r="F641" s="75" t="s">
        <v>1801</v>
      </c>
      <c r="G641" s="74" t="s">
        <v>1804</v>
      </c>
      <c r="H641" s="75" t="s">
        <v>885</v>
      </c>
      <c r="I641" s="74" t="s">
        <v>856</v>
      </c>
      <c r="J641" s="75" t="s">
        <v>315</v>
      </c>
      <c r="K641" s="75" t="s">
        <v>850</v>
      </c>
      <c r="L641" s="76">
        <v>45446</v>
      </c>
      <c r="M641" s="77">
        <f t="shared" ca="1" si="21"/>
        <v>45954</v>
      </c>
      <c r="N641" s="74" t="str">
        <f>_xlfn.IFNA(VLOOKUP(db_emp[[#This Row],[ID_DIV]],[1]!db_dpt[[Code_dpt]:[Departement]],2,0),"-")</f>
        <v>Research &amp; Development</v>
      </c>
      <c r="O641" s="74" t="str">
        <f>_xlfn.IFNA(VLOOKUP(db_emp[[#This Row],[ID_SDP]],[1]!db_div[[Code_div]:[Division]],2,0),"-")</f>
        <v>Research &amp; Development</v>
      </c>
      <c r="P641" s="74" t="str">
        <f>_xlfn.IFNA(VLOOKUP(db_emp[[#This Row],[Code_lvl]],[1]!db_lvl[[#All],[ID_level]:[Leveling Name]],2,0),"-")</f>
        <v>Senior Staff</v>
      </c>
      <c r="Q641" s="74" t="str">
        <f>_xlfn.IFNA(VLOOKUP(db_emp[[#This Row],[Code_site]],[1]!db_site[[ID_Site]:[Url_maps]],3,0),"-")</f>
        <v>Head Office - ASGO</v>
      </c>
      <c r="R6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240942,'Cahyo Satrio Pinilih Bagus Prabowo','RND','RNDEV','Research &amp; Development Staff','LV11','HQ - All','O99','Employee','2024-06-03','2025-10-24'</v>
      </c>
      <c r="S641" s="74">
        <f>db_emp[[#This Row],[NIP (UPDATE)]]</f>
        <v>240942</v>
      </c>
    </row>
    <row r="642" spans="2:19" hidden="1" x14ac:dyDescent="0.25">
      <c r="B642" s="75">
        <v>131</v>
      </c>
      <c r="C642" s="75">
        <v>241314</v>
      </c>
      <c r="D642" s="74" t="s">
        <v>1805</v>
      </c>
      <c r="E642" s="75" t="s">
        <v>1800</v>
      </c>
      <c r="F642" s="75" t="s">
        <v>1801</v>
      </c>
      <c r="G642" s="74" t="s">
        <v>1806</v>
      </c>
      <c r="H642" s="75" t="s">
        <v>870</v>
      </c>
      <c r="I642" s="74" t="s">
        <v>856</v>
      </c>
      <c r="J642" s="75" t="s">
        <v>315</v>
      </c>
      <c r="K642" s="75" t="s">
        <v>850</v>
      </c>
      <c r="L642" s="76">
        <v>45497</v>
      </c>
      <c r="M642" s="77">
        <f t="shared" ca="1" si="21"/>
        <v>45954</v>
      </c>
      <c r="N642" s="74" t="str">
        <f>_xlfn.IFNA(VLOOKUP(db_emp[[#This Row],[ID_DIV]],[1]!db_dpt[[Code_dpt]:[Departement]],2,0),"-")</f>
        <v>Research &amp; Development</v>
      </c>
      <c r="O642" s="74" t="str">
        <f>_xlfn.IFNA(VLOOKUP(db_emp[[#This Row],[ID_SDP]],[1]!db_div[[Code_div]:[Division]],2,0),"-")</f>
        <v>Research &amp; Development</v>
      </c>
      <c r="P642" s="74" t="str">
        <f>_xlfn.IFNA(VLOOKUP(db_emp[[#This Row],[Code_lvl]],[1]!db_lvl[[#All],[ID_level]:[Leveling Name]],2,0),"-")</f>
        <v>Supervisor</v>
      </c>
      <c r="Q642" s="74" t="str">
        <f>_xlfn.IFNA(VLOOKUP(db_emp[[#This Row],[Code_site]],[1]!db_site[[ID_Site]:[Url_maps]],3,0),"-")</f>
        <v>Head Office - ASGO</v>
      </c>
      <c r="R6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241314,'Kezia Claudya Labonda','RND','RNDEV','Research &amp; Development Supervisor','LV09','HQ - All','O99','Employee','2024-07-24','2025-10-24'</v>
      </c>
      <c r="S642" s="74">
        <f>db_emp[[#This Row],[NIP (UPDATE)]]</f>
        <v>241314</v>
      </c>
    </row>
    <row r="643" spans="2:19" hidden="1" x14ac:dyDescent="0.25">
      <c r="B643" s="75">
        <v>316</v>
      </c>
      <c r="C643" s="75">
        <v>200300</v>
      </c>
      <c r="D643" s="74" t="s">
        <v>1807</v>
      </c>
      <c r="E643" s="75" t="s">
        <v>1018</v>
      </c>
      <c r="F643" s="75" t="s">
        <v>917</v>
      </c>
      <c r="G643" s="74" t="s">
        <v>1808</v>
      </c>
      <c r="H643" s="75" t="s">
        <v>870</v>
      </c>
      <c r="I643" s="74" t="s">
        <v>849</v>
      </c>
      <c r="J643" s="75" t="s">
        <v>484</v>
      </c>
      <c r="K643" s="75" t="s">
        <v>850</v>
      </c>
      <c r="L643" s="76">
        <v>43907</v>
      </c>
      <c r="M643" s="77">
        <f t="shared" ca="1" si="21"/>
        <v>45954</v>
      </c>
      <c r="N643" s="74" t="str">
        <f>_xlfn.IFNA(VLOOKUP(db_emp[[#This Row],[ID_DIV]],[1]!db_dpt[[Code_dpt]:[Departement]],2,0),"-")</f>
        <v>Operational</v>
      </c>
      <c r="O643" s="74" t="str">
        <f>_xlfn.IFNA(VLOOKUP(db_emp[[#This Row],[ID_SDP]],[1]!db_div[[Code_div]:[Division]],2,0),"-")</f>
        <v>HSE</v>
      </c>
      <c r="P643" s="74" t="str">
        <f>_xlfn.IFNA(VLOOKUP(db_emp[[#This Row],[Code_lvl]],[1]!db_lvl[[#All],[ID_level]:[Leveling Name]],2,0),"-")</f>
        <v>Supervisor</v>
      </c>
      <c r="Q643" s="74" t="str">
        <f>_xlfn.IFNA(VLOOKUP(db_emp[[#This Row],[Code_site]],[1]!db_site[[ID_Site]:[Url_maps]],3,0),"-")</f>
        <v>Unit - PIK Avenue</v>
      </c>
      <c r="R6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200300,'Agung Setya Pribadi','OPR','HSEFT','Safety Supervisor','LV09','Mall &amp; Cinema','M01','Employee','2020-03-17','2025-10-24'</v>
      </c>
      <c r="S643" s="74">
        <f>db_emp[[#This Row],[NIP (UPDATE)]]</f>
        <v>200300</v>
      </c>
    </row>
    <row r="644" spans="2:19" hidden="1" x14ac:dyDescent="0.25">
      <c r="B644" s="75">
        <v>39</v>
      </c>
      <c r="C644" s="75">
        <v>121479</v>
      </c>
      <c r="D644" s="74" t="s">
        <v>1809</v>
      </c>
      <c r="E644" s="75" t="s">
        <v>970</v>
      </c>
      <c r="F644" s="75" t="s">
        <v>1810</v>
      </c>
      <c r="G644" s="74" t="s">
        <v>1811</v>
      </c>
      <c r="H644" s="75" t="s">
        <v>848</v>
      </c>
      <c r="I644" s="74" t="s">
        <v>856</v>
      </c>
      <c r="J644" s="75" t="s">
        <v>315</v>
      </c>
      <c r="K644" s="75" t="s">
        <v>850</v>
      </c>
      <c r="L644" s="76">
        <v>41244</v>
      </c>
      <c r="M644" s="77">
        <f t="shared" ca="1" si="21"/>
        <v>45954</v>
      </c>
      <c r="N644" s="74" t="str">
        <f>_xlfn.IFNA(VLOOKUP(db_emp[[#This Row],[ID_DIV]],[1]!db_dpt[[Code_dpt]:[Departement]],2,0),"-")</f>
        <v>Management</v>
      </c>
      <c r="O644" s="74" t="str">
        <f>_xlfn.IFNA(VLOOKUP(db_emp[[#This Row],[ID_SDP]],[1]!db_div[[Code_div]:[Division]],2,0),"-")</f>
        <v>Secertary</v>
      </c>
      <c r="P644" s="74" t="str">
        <f>_xlfn.IFNA(VLOOKUP(db_emp[[#This Row],[Code_lvl]],[1]!db_lvl[[#All],[ID_level]:[Leveling Name]],2,0),"-")</f>
        <v>Assistant Manager</v>
      </c>
      <c r="Q644" s="74" t="str">
        <f>_xlfn.IFNA(VLOOKUP(db_emp[[#This Row],[Code_site]],[1]!db_site[[ID_Site]:[Url_maps]],3,0),"-")</f>
        <v>Head Office - ASGO</v>
      </c>
      <c r="R6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121479,'Sherlie.','MNG','SECTR','Secretary Assistant Manager','LV07','HQ - All','O99','Employee','2012-12-01','2025-10-24'</v>
      </c>
      <c r="S644" s="74">
        <f>db_emp[[#This Row],[NIP (UPDATE)]]</f>
        <v>121479</v>
      </c>
    </row>
    <row r="645" spans="2:19" hidden="1" x14ac:dyDescent="0.25">
      <c r="B645" s="75">
        <v>40</v>
      </c>
      <c r="C645" s="75">
        <v>102815</v>
      </c>
      <c r="D645" s="74" t="s">
        <v>1812</v>
      </c>
      <c r="E645" s="75" t="s">
        <v>970</v>
      </c>
      <c r="F645" s="75" t="s">
        <v>1810</v>
      </c>
      <c r="G645" s="74" t="s">
        <v>1811</v>
      </c>
      <c r="H645" s="75" t="s">
        <v>848</v>
      </c>
      <c r="I645" s="74" t="s">
        <v>856</v>
      </c>
      <c r="J645" s="75" t="s">
        <v>315</v>
      </c>
      <c r="K645" s="75" t="s">
        <v>850</v>
      </c>
      <c r="L645" s="76">
        <v>40301</v>
      </c>
      <c r="M645" s="77">
        <f t="shared" ca="1" si="21"/>
        <v>45954</v>
      </c>
      <c r="N645" s="74" t="str">
        <f>_xlfn.IFNA(VLOOKUP(db_emp[[#This Row],[ID_DIV]],[1]!db_dpt[[Code_dpt]:[Departement]],2,0),"-")</f>
        <v>Management</v>
      </c>
      <c r="O645" s="74" t="str">
        <f>_xlfn.IFNA(VLOOKUP(db_emp[[#This Row],[ID_SDP]],[1]!db_div[[Code_div]:[Division]],2,0),"-")</f>
        <v>Secertary</v>
      </c>
      <c r="P645" s="74" t="str">
        <f>_xlfn.IFNA(VLOOKUP(db_emp[[#This Row],[Code_lvl]],[1]!db_lvl[[#All],[ID_level]:[Leveling Name]],2,0),"-")</f>
        <v>Assistant Manager</v>
      </c>
      <c r="Q645" s="74" t="str">
        <f>_xlfn.IFNA(VLOOKUP(db_emp[[#This Row],[Code_site]],[1]!db_site[[ID_Site]:[Url_maps]],3,0),"-")</f>
        <v>Head Office - ASGO</v>
      </c>
      <c r="R6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102815,'Yukky Gunawan','MNG','SECTR','Secretary Assistant Manager','LV07','HQ - All','O99','Employee','2010-05-03','2025-10-24'</v>
      </c>
      <c r="S645" s="74">
        <f>db_emp[[#This Row],[NIP (UPDATE)]]</f>
        <v>102815</v>
      </c>
    </row>
    <row r="646" spans="2:19" hidden="1" x14ac:dyDescent="0.25">
      <c r="B646" s="75">
        <v>727</v>
      </c>
      <c r="C646" s="75">
        <v>240553</v>
      </c>
      <c r="D646" s="74" t="s">
        <v>1813</v>
      </c>
      <c r="E646" s="75" t="s">
        <v>1814</v>
      </c>
      <c r="F646" s="75" t="s">
        <v>1810</v>
      </c>
      <c r="G646" s="74" t="s">
        <v>1815</v>
      </c>
      <c r="H646" s="75" t="s">
        <v>870</v>
      </c>
      <c r="I646" s="74" t="s">
        <v>864</v>
      </c>
      <c r="J646" s="75" t="s">
        <v>501</v>
      </c>
      <c r="K646" s="75" t="s">
        <v>850</v>
      </c>
      <c r="L646" s="76"/>
      <c r="M646" s="77">
        <f t="shared" ca="1" si="21"/>
        <v>45954</v>
      </c>
      <c r="N646" s="74" t="str">
        <f>_xlfn.IFNA(VLOOKUP(db_emp[[#This Row],[ID_DIV]],[1]!db_dpt[[Code_dpt]:[Departement]],2,0),"-")</f>
        <v>-</v>
      </c>
      <c r="O646" s="74" t="str">
        <f>_xlfn.IFNA(VLOOKUP(db_emp[[#This Row],[ID_SDP]],[1]!db_div[[Code_div]:[Division]],2,0),"-")</f>
        <v>Secertary</v>
      </c>
      <c r="P646" s="74" t="str">
        <f>_xlfn.IFNA(VLOOKUP(db_emp[[#This Row],[Code_lvl]],[1]!db_lvl[[#All],[ID_level]:[Leveling Name]],2,0),"-")</f>
        <v>Supervisor</v>
      </c>
      <c r="Q646" s="74" t="str">
        <f>_xlfn.IFNA(VLOOKUP(db_emp[[#This Row],[Code_site]],[1]!db_site[[ID_Site]:[Url_maps]],3,0),"-")</f>
        <v>Unit - District 8</v>
      </c>
      <c r="R6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240553,'Linggar Ofarrah','SEC','SECTR','Secretary Supervisor','LV09','Corp. Supporting Property (POM)','OD8','Employee','1900-01-00','2025-10-24'</v>
      </c>
      <c r="S646" s="74">
        <f>db_emp[[#This Row],[NIP (UPDATE)]]</f>
        <v>240553</v>
      </c>
    </row>
    <row r="647" spans="2:19" hidden="1" x14ac:dyDescent="0.25">
      <c r="B647" s="75">
        <v>262</v>
      </c>
      <c r="C647" s="75">
        <v>131235</v>
      </c>
      <c r="D647" s="74" t="s">
        <v>1816</v>
      </c>
      <c r="E647" s="75" t="s">
        <v>1018</v>
      </c>
      <c r="F647" s="75" t="s">
        <v>1817</v>
      </c>
      <c r="G647" s="74" t="s">
        <v>1818</v>
      </c>
      <c r="H647" s="75" t="s">
        <v>848</v>
      </c>
      <c r="I647" s="74" t="s">
        <v>849</v>
      </c>
      <c r="J647" s="75" t="s">
        <v>314</v>
      </c>
      <c r="K647" s="75" t="s">
        <v>850</v>
      </c>
      <c r="L647" s="76">
        <v>41584</v>
      </c>
      <c r="M647" s="77">
        <f t="shared" ca="1" si="21"/>
        <v>45954</v>
      </c>
      <c r="N647" s="74" t="str">
        <f>_xlfn.IFNA(VLOOKUP(db_emp[[#This Row],[ID_DIV]],[1]!db_dpt[[Code_dpt]:[Departement]],2,0),"-")</f>
        <v>Operational</v>
      </c>
      <c r="O647" s="74" t="str">
        <f>_xlfn.IFNA(VLOOKUP(db_emp[[#This Row],[ID_SDP]],[1]!db_div[[Code_div]:[Division]],2,0),"-")</f>
        <v>Security</v>
      </c>
      <c r="P647" s="74" t="str">
        <f>_xlfn.IFNA(VLOOKUP(db_emp[[#This Row],[Code_lvl]],[1]!db_lvl[[#All],[ID_level]:[Leveling Name]],2,0),"-")</f>
        <v>Assistant Manager</v>
      </c>
      <c r="Q647" s="74" t="str">
        <f>_xlfn.IFNA(VLOOKUP(db_emp[[#This Row],[Code_site]],[1]!db_site[[ID_Site]:[Url_maps]],3,0),"-")</f>
        <v>Unit - MOI</v>
      </c>
      <c r="R6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131235,'R. Lesnussa','OPR','SECUR','Security &amp; CCTV Assistant Manager','LV07','Mall &amp; Cinema','M02','Employee','2013-11-06','2025-10-24'</v>
      </c>
      <c r="S647" s="74">
        <f>db_emp[[#This Row],[NIP (UPDATE)]]</f>
        <v>131235</v>
      </c>
    </row>
    <row r="648" spans="2:19" hidden="1" x14ac:dyDescent="0.25">
      <c r="B648" s="75">
        <v>260</v>
      </c>
      <c r="C648" s="75">
        <v>241722</v>
      </c>
      <c r="D648" s="74" t="s">
        <v>1819</v>
      </c>
      <c r="E648" s="75" t="s">
        <v>1018</v>
      </c>
      <c r="F648" s="75" t="s">
        <v>1817</v>
      </c>
      <c r="G648" s="74" t="s">
        <v>1820</v>
      </c>
      <c r="H648" s="75" t="s">
        <v>853</v>
      </c>
      <c r="I648" s="74" t="s">
        <v>849</v>
      </c>
      <c r="J648" s="75" t="s">
        <v>314</v>
      </c>
      <c r="K648" s="75" t="s">
        <v>850</v>
      </c>
      <c r="L648" s="76">
        <v>45558</v>
      </c>
      <c r="M648" s="77">
        <f t="shared" ca="1" si="21"/>
        <v>45954</v>
      </c>
      <c r="N648" s="74" t="str">
        <f>_xlfn.IFNA(VLOOKUP(db_emp[[#This Row],[ID_DIV]],[1]!db_dpt[[Code_dpt]:[Departement]],2,0),"-")</f>
        <v>Operational</v>
      </c>
      <c r="O648" s="74" t="str">
        <f>_xlfn.IFNA(VLOOKUP(db_emp[[#This Row],[ID_SDP]],[1]!db_div[[Code_div]:[Division]],2,0),"-")</f>
        <v>Security</v>
      </c>
      <c r="P648" s="74" t="str">
        <f>_xlfn.IFNA(VLOOKUP(db_emp[[#This Row],[Code_lvl]],[1]!db_lvl[[#All],[ID_level]:[Leveling Name]],2,0),"-")</f>
        <v>Staff</v>
      </c>
      <c r="Q648" s="74" t="str">
        <f>_xlfn.IFNA(VLOOKUP(db_emp[[#This Row],[Code_site]],[1]!db_site[[ID_Site]:[Url_maps]],3,0),"-")</f>
        <v>Unit - MOI</v>
      </c>
      <c r="R6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241722,'Muh Yusuf Suhartono','OPR','SECUR','Security &amp; CCTV Staff','LV12','Mall &amp; Cinema','M02','Employee','2024-09-23','2025-10-24'</v>
      </c>
      <c r="S648" s="74">
        <f>db_emp[[#This Row],[NIP (UPDATE)]]</f>
        <v>241722</v>
      </c>
    </row>
    <row r="649" spans="2:19" hidden="1" x14ac:dyDescent="0.25">
      <c r="B649" s="75">
        <v>279</v>
      </c>
      <c r="C649" s="75">
        <v>250292</v>
      </c>
      <c r="D649" s="74" t="s">
        <v>1821</v>
      </c>
      <c r="E649" s="75" t="s">
        <v>1018</v>
      </c>
      <c r="F649" s="75" t="s">
        <v>1817</v>
      </c>
      <c r="G649" s="74" t="s">
        <v>1820</v>
      </c>
      <c r="H649" s="75" t="s">
        <v>853</v>
      </c>
      <c r="I649" s="74" t="s">
        <v>849</v>
      </c>
      <c r="J649" s="75" t="s">
        <v>314</v>
      </c>
      <c r="K649" s="75" t="s">
        <v>862</v>
      </c>
      <c r="L649" s="76">
        <v>45740</v>
      </c>
      <c r="M649" s="77">
        <f t="shared" ca="1" si="21"/>
        <v>45954</v>
      </c>
      <c r="N649" s="74" t="str">
        <f>_xlfn.IFNA(VLOOKUP(db_emp[[#This Row],[ID_DIV]],[1]!db_dpt[[Code_dpt]:[Departement]],2,0),"-")</f>
        <v>Operational</v>
      </c>
      <c r="O649" s="74" t="str">
        <f>_xlfn.IFNA(VLOOKUP(db_emp[[#This Row],[ID_SDP]],[1]!db_div[[Code_div]:[Division]],2,0),"-")</f>
        <v>Security</v>
      </c>
      <c r="P649" s="74" t="str">
        <f>_xlfn.IFNA(VLOOKUP(db_emp[[#This Row],[Code_lvl]],[1]!db_lvl[[#All],[ID_level]:[Leveling Name]],2,0),"-")</f>
        <v>Staff</v>
      </c>
      <c r="Q649" s="74" t="str">
        <f>_xlfn.IFNA(VLOOKUP(db_emp[[#This Row],[Code_site]],[1]!db_site[[ID_Site]:[Url_maps]],3,0),"-")</f>
        <v>Unit - MOI</v>
      </c>
      <c r="R6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250292,'Billy Latuputty','OPR','SECUR','Security &amp; CCTV Staff','LV12','Mall &amp; Cinema','M02','Not Employee','2025-03-24','2025-10-24'</v>
      </c>
      <c r="S649" s="74">
        <f>db_emp[[#This Row],[NIP (UPDATE)]]</f>
        <v>250292</v>
      </c>
    </row>
    <row r="650" spans="2:19" hidden="1" x14ac:dyDescent="0.25">
      <c r="B650" s="75">
        <v>280</v>
      </c>
      <c r="C650" s="75">
        <v>250311</v>
      </c>
      <c r="D650" s="74" t="s">
        <v>1822</v>
      </c>
      <c r="E650" s="75" t="s">
        <v>1018</v>
      </c>
      <c r="F650" s="75" t="s">
        <v>1817</v>
      </c>
      <c r="G650" s="74" t="s">
        <v>1820</v>
      </c>
      <c r="H650" s="75" t="s">
        <v>853</v>
      </c>
      <c r="I650" s="74" t="s">
        <v>849</v>
      </c>
      <c r="J650" s="75" t="s">
        <v>314</v>
      </c>
      <c r="K650" s="75" t="s">
        <v>862</v>
      </c>
      <c r="L650" s="76">
        <v>45755</v>
      </c>
      <c r="M650" s="77">
        <f t="shared" ca="1" si="21"/>
        <v>45954</v>
      </c>
      <c r="N650" s="74" t="str">
        <f>_xlfn.IFNA(VLOOKUP(db_emp[[#This Row],[ID_DIV]],[1]!db_dpt[[Code_dpt]:[Departement]],2,0),"-")</f>
        <v>Operational</v>
      </c>
      <c r="O650" s="74" t="str">
        <f>_xlfn.IFNA(VLOOKUP(db_emp[[#This Row],[ID_SDP]],[1]!db_div[[Code_div]:[Division]],2,0),"-")</f>
        <v>Security</v>
      </c>
      <c r="P650" s="74" t="str">
        <f>_xlfn.IFNA(VLOOKUP(db_emp[[#This Row],[Code_lvl]],[1]!db_lvl[[#All],[ID_level]:[Leveling Name]],2,0),"-")</f>
        <v>Staff</v>
      </c>
      <c r="Q650" s="74" t="str">
        <f>_xlfn.IFNA(VLOOKUP(db_emp[[#This Row],[Code_site]],[1]!db_site[[ID_Site]:[Url_maps]],3,0),"-")</f>
        <v>Unit - MOI</v>
      </c>
      <c r="R6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250311,'Jaka Wahyu Pratama','OPR','SECUR','Security &amp; CCTV Staff','LV12','Mall &amp; Cinema','M02','Not Employee','2025-04-08','2025-10-24'</v>
      </c>
      <c r="S650" s="74">
        <f>db_emp[[#This Row],[NIP (UPDATE)]]</f>
        <v>250311</v>
      </c>
    </row>
    <row r="651" spans="2:19" hidden="1" x14ac:dyDescent="0.25">
      <c r="B651" s="75">
        <v>281</v>
      </c>
      <c r="C651" s="75">
        <v>250380</v>
      </c>
      <c r="D651" s="74" t="s">
        <v>1823</v>
      </c>
      <c r="E651" s="75" t="s">
        <v>1018</v>
      </c>
      <c r="F651" s="75" t="s">
        <v>1817</v>
      </c>
      <c r="G651" s="74" t="s">
        <v>1820</v>
      </c>
      <c r="H651" s="75" t="s">
        <v>853</v>
      </c>
      <c r="I651" s="74" t="s">
        <v>849</v>
      </c>
      <c r="J651" s="75" t="s">
        <v>314</v>
      </c>
      <c r="K651" s="75" t="s">
        <v>862</v>
      </c>
      <c r="L651" s="76">
        <v>45775</v>
      </c>
      <c r="M651" s="77">
        <f t="shared" ca="1" si="21"/>
        <v>45954</v>
      </c>
      <c r="N651" s="74" t="str">
        <f>_xlfn.IFNA(VLOOKUP(db_emp[[#This Row],[ID_DIV]],[1]!db_dpt[[Code_dpt]:[Departement]],2,0),"-")</f>
        <v>Operational</v>
      </c>
      <c r="O651" s="74" t="str">
        <f>_xlfn.IFNA(VLOOKUP(db_emp[[#This Row],[ID_SDP]],[1]!db_div[[Code_div]:[Division]],2,0),"-")</f>
        <v>Security</v>
      </c>
      <c r="P651" s="74" t="str">
        <f>_xlfn.IFNA(VLOOKUP(db_emp[[#This Row],[Code_lvl]],[1]!db_lvl[[#All],[ID_level]:[Leveling Name]],2,0),"-")</f>
        <v>Staff</v>
      </c>
      <c r="Q651" s="74" t="str">
        <f>_xlfn.IFNA(VLOOKUP(db_emp[[#This Row],[Code_site]],[1]!db_site[[ID_Site]:[Url_maps]],3,0),"-")</f>
        <v>Unit - MOI</v>
      </c>
      <c r="R6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250380,'Ricky Pratama','OPR','SECUR','Security &amp; CCTV Staff','LV12','Mall &amp; Cinema','M02','Not Employee','2025-04-28','2025-10-24'</v>
      </c>
      <c r="S651" s="74">
        <f>db_emp[[#This Row],[NIP (UPDATE)]]</f>
        <v>250380</v>
      </c>
    </row>
    <row r="652" spans="2:19" hidden="1" x14ac:dyDescent="0.25">
      <c r="B652" s="75">
        <v>647</v>
      </c>
      <c r="C652" s="75">
        <v>250408</v>
      </c>
      <c r="D652" s="74" t="s">
        <v>1824</v>
      </c>
      <c r="E652" s="75" t="s">
        <v>1018</v>
      </c>
      <c r="F652" s="75" t="s">
        <v>1817</v>
      </c>
      <c r="G652" s="74" t="s">
        <v>1820</v>
      </c>
      <c r="H652" s="75" t="s">
        <v>853</v>
      </c>
      <c r="I652" s="74" t="s">
        <v>849</v>
      </c>
      <c r="J652" s="75" t="s">
        <v>314</v>
      </c>
      <c r="K652" s="75" t="s">
        <v>862</v>
      </c>
      <c r="L652" s="76"/>
      <c r="M652" s="77">
        <f t="shared" ca="1" si="21"/>
        <v>45954</v>
      </c>
      <c r="N652" s="74" t="str">
        <f>_xlfn.IFNA(VLOOKUP(db_emp[[#This Row],[ID_DIV]],[1]!db_dpt[[Code_dpt]:[Departement]],2,0),"-")</f>
        <v>Operational</v>
      </c>
      <c r="O652" s="74" t="str">
        <f>_xlfn.IFNA(VLOOKUP(db_emp[[#This Row],[ID_SDP]],[1]!db_div[[Code_div]:[Division]],2,0),"-")</f>
        <v>Security</v>
      </c>
      <c r="P652" s="74" t="str">
        <f>_xlfn.IFNA(VLOOKUP(db_emp[[#This Row],[Code_lvl]],[1]!db_lvl[[#All],[ID_level]:[Leveling Name]],2,0),"-")</f>
        <v>Staff</v>
      </c>
      <c r="Q652" s="74" t="str">
        <f>_xlfn.IFNA(VLOOKUP(db_emp[[#This Row],[Code_site]],[1]!db_site[[ID_Site]:[Url_maps]],3,0),"-")</f>
        <v>Unit - MOI</v>
      </c>
      <c r="R6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250408,'Adi Yudha Putra Syam','OPR','SECUR','Security &amp; CCTV Staff','LV12','Mall &amp; Cinema','M02','Not Employee','1900-01-00','2025-10-24'</v>
      </c>
      <c r="S652" s="74">
        <f>db_emp[[#This Row],[NIP (UPDATE)]]</f>
        <v>250408</v>
      </c>
    </row>
    <row r="653" spans="2:19" hidden="1" x14ac:dyDescent="0.25">
      <c r="B653" s="75">
        <v>272</v>
      </c>
      <c r="C653" s="75">
        <v>242286</v>
      </c>
      <c r="D653" s="74" t="s">
        <v>1825</v>
      </c>
      <c r="E653" s="75" t="s">
        <v>1018</v>
      </c>
      <c r="F653" s="75" t="s">
        <v>1817</v>
      </c>
      <c r="G653" s="74" t="s">
        <v>1826</v>
      </c>
      <c r="H653" s="75" t="s">
        <v>870</v>
      </c>
      <c r="I653" s="74" t="s">
        <v>849</v>
      </c>
      <c r="J653" s="75" t="s">
        <v>314</v>
      </c>
      <c r="K653" s="75" t="s">
        <v>850</v>
      </c>
      <c r="L653" s="76">
        <v>45659</v>
      </c>
      <c r="M653" s="77">
        <f t="shared" ca="1" si="21"/>
        <v>45954</v>
      </c>
      <c r="N653" s="74" t="str">
        <f>_xlfn.IFNA(VLOOKUP(db_emp[[#This Row],[ID_DIV]],[1]!db_dpt[[Code_dpt]:[Departement]],2,0),"-")</f>
        <v>Operational</v>
      </c>
      <c r="O653" s="74" t="str">
        <f>_xlfn.IFNA(VLOOKUP(db_emp[[#This Row],[ID_SDP]],[1]!db_div[[Code_div]:[Division]],2,0),"-")</f>
        <v>Security</v>
      </c>
      <c r="P653" s="74" t="str">
        <f>_xlfn.IFNA(VLOOKUP(db_emp[[#This Row],[Code_lvl]],[1]!db_lvl[[#All],[ID_level]:[Leveling Name]],2,0),"-")</f>
        <v>Supervisor</v>
      </c>
      <c r="Q653" s="74" t="str">
        <f>_xlfn.IFNA(VLOOKUP(db_emp[[#This Row],[Code_site]],[1]!db_site[[ID_Site]:[Url_maps]],3,0),"-")</f>
        <v>Unit - MOI</v>
      </c>
      <c r="R6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242286,'Siswo Triyadi Kismanto','OPR','SECUR','Security &amp; CCTV Supervisor','LV09','Mall &amp; Cinema','M02','Employee','2025-01-02','2025-10-24'</v>
      </c>
      <c r="S653" s="74">
        <f>db_emp[[#This Row],[NIP (UPDATE)]]</f>
        <v>242286</v>
      </c>
    </row>
    <row r="654" spans="2:19" hidden="1" x14ac:dyDescent="0.25">
      <c r="B654" s="75">
        <v>424</v>
      </c>
      <c r="C654" s="75">
        <v>231595</v>
      </c>
      <c r="D654" s="74" t="s">
        <v>1827</v>
      </c>
      <c r="E654" s="75" t="s">
        <v>1018</v>
      </c>
      <c r="F654" s="75" t="s">
        <v>1817</v>
      </c>
      <c r="G654" s="74" t="s">
        <v>1828</v>
      </c>
      <c r="H654" s="75" t="s">
        <v>853</v>
      </c>
      <c r="I654" s="74" t="s">
        <v>849</v>
      </c>
      <c r="J654" s="75" t="s">
        <v>316</v>
      </c>
      <c r="K654" s="75" t="s">
        <v>850</v>
      </c>
      <c r="L654" s="76">
        <v>43192</v>
      </c>
      <c r="M654" s="77">
        <f t="shared" ca="1" si="21"/>
        <v>45954</v>
      </c>
      <c r="N654" s="74" t="str">
        <f>_xlfn.IFNA(VLOOKUP(db_emp[[#This Row],[ID_DIV]],[1]!db_dpt[[Code_dpt]:[Departement]],2,0),"-")</f>
        <v>Operational</v>
      </c>
      <c r="O654" s="74" t="str">
        <f>_xlfn.IFNA(VLOOKUP(db_emp[[#This Row],[ID_SDP]],[1]!db_div[[Code_div]:[Division]],2,0),"-")</f>
        <v>Security</v>
      </c>
      <c r="P654" s="74" t="str">
        <f>_xlfn.IFNA(VLOOKUP(db_emp[[#This Row],[Code_lvl]],[1]!db_lvl[[#All],[ID_level]:[Leveling Name]],2,0),"-")</f>
        <v>Staff</v>
      </c>
      <c r="Q654" s="74" t="str">
        <f>_xlfn.IFNA(VLOOKUP(db_emp[[#This Row],[Code_site]],[1]!db_site[[ID_Site]:[Url_maps]],3,0),"-")</f>
        <v>Unit - GGP</v>
      </c>
      <c r="R6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231595,'Wiharto Abie','OPR','SECUR','Security &amp; Parking Staff','LV12','Mall &amp; Cinema','M03','Employee','2018-04-02','2025-10-24'</v>
      </c>
      <c r="S654" s="74">
        <f>db_emp[[#This Row],[NIP (UPDATE)]]</f>
        <v>231595</v>
      </c>
    </row>
    <row r="655" spans="2:19" hidden="1" x14ac:dyDescent="0.25">
      <c r="B655" s="75">
        <v>483</v>
      </c>
      <c r="C655" s="75">
        <v>241869</v>
      </c>
      <c r="D655" s="74" t="s">
        <v>1829</v>
      </c>
      <c r="E655" s="75" t="s">
        <v>1018</v>
      </c>
      <c r="F655" s="75" t="s">
        <v>1817</v>
      </c>
      <c r="G655" s="74" t="s">
        <v>1830</v>
      </c>
      <c r="H655" s="75" t="s">
        <v>870</v>
      </c>
      <c r="I655" s="74" t="s">
        <v>849</v>
      </c>
      <c r="J655" s="75" t="s">
        <v>490</v>
      </c>
      <c r="K655" s="75" t="s">
        <v>850</v>
      </c>
      <c r="L655" s="76">
        <v>45582</v>
      </c>
      <c r="M655" s="77">
        <f t="shared" ca="1" si="21"/>
        <v>45954</v>
      </c>
      <c r="N655" s="74" t="str">
        <f>_xlfn.IFNA(VLOOKUP(db_emp[[#This Row],[ID_DIV]],[1]!db_dpt[[Code_dpt]:[Departement]],2,0),"-")</f>
        <v>Operational</v>
      </c>
      <c r="O655" s="74" t="str">
        <f>_xlfn.IFNA(VLOOKUP(db_emp[[#This Row],[ID_SDP]],[1]!db_div[[Code_div]:[Division]],2,0),"-")</f>
        <v>Security</v>
      </c>
      <c r="P655" s="74" t="str">
        <f>_xlfn.IFNA(VLOOKUP(db_emp[[#This Row],[Code_lvl]],[1]!db_lvl[[#All],[ID_level]:[Leveling Name]],2,0),"-")</f>
        <v>Supervisor</v>
      </c>
      <c r="Q655" s="74" t="str">
        <f>_xlfn.IFNA(VLOOKUP(db_emp[[#This Row],[Code_site]],[1]!db_site[[ID_Site]:[Url_maps]],3,0),"-")</f>
        <v>Unit - ASHTA</v>
      </c>
      <c r="R6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241869,'Ido Rudy Clay','OPR','SECUR','Security &amp; Parking Supervisor','LV09','Mall &amp; Cinema','M04','Employee','2024-10-17','2025-10-24'</v>
      </c>
      <c r="S655" s="74">
        <f>db_emp[[#This Row],[NIP (UPDATE)]]</f>
        <v>241869</v>
      </c>
    </row>
    <row r="656" spans="2:19" hidden="1" x14ac:dyDescent="0.25">
      <c r="B656" s="75">
        <v>685</v>
      </c>
      <c r="C656" s="75">
        <v>230651</v>
      </c>
      <c r="D656" s="74" t="s">
        <v>1831</v>
      </c>
      <c r="E656" s="75" t="s">
        <v>916</v>
      </c>
      <c r="F656" s="75" t="s">
        <v>1817</v>
      </c>
      <c r="G656" s="74" t="s">
        <v>1832</v>
      </c>
      <c r="H656" s="75" t="s">
        <v>853</v>
      </c>
      <c r="I656" s="74" t="s">
        <v>864</v>
      </c>
      <c r="J656" s="75" t="s">
        <v>501</v>
      </c>
      <c r="K656" s="75" t="s">
        <v>850</v>
      </c>
      <c r="L656" s="76"/>
      <c r="M656" s="77">
        <f t="shared" ca="1" si="21"/>
        <v>45954</v>
      </c>
      <c r="N656" s="74" t="str">
        <f>_xlfn.IFNA(VLOOKUP(db_emp[[#This Row],[ID_DIV]],[1]!db_dpt[[Code_dpt]:[Departement]],2,0),"-")</f>
        <v>Property Management</v>
      </c>
      <c r="O656" s="74" t="str">
        <f>_xlfn.IFNA(VLOOKUP(db_emp[[#This Row],[ID_SDP]],[1]!db_div[[Code_div]:[Division]],2,0),"-")</f>
        <v>Security</v>
      </c>
      <c r="P656" s="74" t="str">
        <f>_xlfn.IFNA(VLOOKUP(db_emp[[#This Row],[Code_lvl]],[1]!db_lvl[[#All],[ID_level]:[Leveling Name]],2,0),"-")</f>
        <v>Staff</v>
      </c>
      <c r="Q656" s="74" t="str">
        <f>_xlfn.IFNA(VLOOKUP(db_emp[[#This Row],[Code_site]],[1]!db_site[[ID_Site]:[Url_maps]],3,0),"-")</f>
        <v>Unit - District 8</v>
      </c>
      <c r="R6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230651,'Alieffianie Putri Lautantie','POM','SECUR','Security Administration Staff','LV12','Corp. Supporting Property (POM)','OD8','Employee','1900-01-00','2025-10-24'</v>
      </c>
      <c r="S656" s="74">
        <f>db_emp[[#This Row],[NIP (UPDATE)]]</f>
        <v>230651</v>
      </c>
    </row>
    <row r="657" spans="2:19" hidden="1" x14ac:dyDescent="0.25">
      <c r="B657" s="75">
        <v>144</v>
      </c>
      <c r="C657" s="75">
        <v>241865</v>
      </c>
      <c r="D657" s="74" t="s">
        <v>1833</v>
      </c>
      <c r="E657" s="75" t="s">
        <v>1018</v>
      </c>
      <c r="F657" s="75" t="s">
        <v>1817</v>
      </c>
      <c r="G657" s="74" t="s">
        <v>1834</v>
      </c>
      <c r="H657" s="75" t="s">
        <v>870</v>
      </c>
      <c r="I657" s="74" t="s">
        <v>856</v>
      </c>
      <c r="J657" s="75" t="s">
        <v>315</v>
      </c>
      <c r="K657" s="75" t="s">
        <v>850</v>
      </c>
      <c r="L657" s="76">
        <v>45579</v>
      </c>
      <c r="M657" s="77">
        <f t="shared" ca="1" si="21"/>
        <v>45954</v>
      </c>
      <c r="N657" s="74" t="str">
        <f>_xlfn.IFNA(VLOOKUP(db_emp[[#This Row],[ID_DIV]],[1]!db_dpt[[Code_dpt]:[Departement]],2,0),"-")</f>
        <v>Operational</v>
      </c>
      <c r="O657" s="74" t="str">
        <f>_xlfn.IFNA(VLOOKUP(db_emp[[#This Row],[ID_SDP]],[1]!db_div[[Code_div]:[Division]],2,0),"-")</f>
        <v>Security</v>
      </c>
      <c r="P657" s="74" t="str">
        <f>_xlfn.IFNA(VLOOKUP(db_emp[[#This Row],[Code_lvl]],[1]!db_lvl[[#All],[ID_level]:[Leveling Name]],2,0),"-")</f>
        <v>Supervisor</v>
      </c>
      <c r="Q657" s="74" t="str">
        <f>_xlfn.IFNA(VLOOKUP(db_emp[[#This Row],[Code_site]],[1]!db_site[[ID_Site]:[Url_maps]],3,0),"-")</f>
        <v>Head Office - ASGO</v>
      </c>
      <c r="R6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241865,'Adam Hafiz','OPR','SECUR','Security Operational Supervisor','LV09','HQ - All','O99','Employee','2024-10-14','2025-10-24'</v>
      </c>
      <c r="S657" s="74">
        <f>db_emp[[#This Row],[NIP (UPDATE)]]</f>
        <v>241865</v>
      </c>
    </row>
    <row r="658" spans="2:19" hidden="1" x14ac:dyDescent="0.25">
      <c r="B658" s="75">
        <v>126</v>
      </c>
      <c r="C658" s="75">
        <v>230173</v>
      </c>
      <c r="D658" s="74" t="s">
        <v>1835</v>
      </c>
      <c r="E658" s="75" t="s">
        <v>1836</v>
      </c>
      <c r="F658" s="75" t="s">
        <v>971</v>
      </c>
      <c r="G658" s="74" t="s">
        <v>1837</v>
      </c>
      <c r="H658" s="75" t="s">
        <v>968</v>
      </c>
      <c r="I658" s="74" t="s">
        <v>856</v>
      </c>
      <c r="J658" s="75" t="s">
        <v>315</v>
      </c>
      <c r="K658" s="75" t="s">
        <v>850</v>
      </c>
      <c r="L658" s="76">
        <v>44958</v>
      </c>
      <c r="M658" s="77">
        <f t="shared" ca="1" si="21"/>
        <v>45954</v>
      </c>
      <c r="N658" s="74" t="str">
        <f>_xlfn.IFNA(VLOOKUP(db_emp[[#This Row],[ID_DIV]],[1]!db_dpt[[Code_dpt]:[Departement]],2,0),"-")</f>
        <v>Security</v>
      </c>
      <c r="O658" s="74" t="str">
        <f>_xlfn.IFNA(VLOOKUP(db_emp[[#This Row],[ID_SDP]],[1]!db_div[[Code_div]:[Division]],2,0),"-")</f>
        <v>General Head Departement</v>
      </c>
      <c r="P658" s="74" t="str">
        <f>_xlfn.IFNA(VLOOKUP(db_emp[[#This Row],[Code_lvl]],[1]!db_lvl[[#All],[ID_level]:[Leveling Name]],2,0),"-")</f>
        <v>Senior Manager</v>
      </c>
      <c r="Q658" s="74" t="str">
        <f>_xlfn.IFNA(VLOOKUP(db_emp[[#This Row],[Code_site]],[1]!db_site[[ID_Site]:[Url_maps]],3,0),"-")</f>
        <v>Head Office - ASGO</v>
      </c>
      <c r="R6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230173,'Tariq Al Nahawi','STY','GNRAL','Security Senior Manager','LV04','HQ - All','O99','Employee','2023-02-01','2025-10-24'</v>
      </c>
      <c r="S658" s="74">
        <f>db_emp[[#This Row],[NIP (UPDATE)]]</f>
        <v>230173</v>
      </c>
    </row>
    <row r="659" spans="2:19" hidden="1" x14ac:dyDescent="0.25">
      <c r="B659" s="75">
        <v>349</v>
      </c>
      <c r="C659" s="75">
        <v>211248</v>
      </c>
      <c r="D659" s="74" t="s">
        <v>1838</v>
      </c>
      <c r="E659" s="75" t="s">
        <v>1018</v>
      </c>
      <c r="F659" s="75" t="s">
        <v>1817</v>
      </c>
      <c r="G659" s="74" t="s">
        <v>1839</v>
      </c>
      <c r="H659" s="75" t="s">
        <v>853</v>
      </c>
      <c r="I659" s="74" t="s">
        <v>849</v>
      </c>
      <c r="J659" s="75" t="s">
        <v>484</v>
      </c>
      <c r="K659" s="75" t="s">
        <v>850</v>
      </c>
      <c r="L659" s="76">
        <v>44550</v>
      </c>
      <c r="M659" s="77">
        <f t="shared" ca="1" si="21"/>
        <v>45954</v>
      </c>
      <c r="N659" s="74" t="str">
        <f>_xlfn.IFNA(VLOOKUP(db_emp[[#This Row],[ID_DIV]],[1]!db_dpt[[Code_dpt]:[Departement]],2,0),"-")</f>
        <v>Operational</v>
      </c>
      <c r="O659" s="74" t="str">
        <f>_xlfn.IFNA(VLOOKUP(db_emp[[#This Row],[ID_SDP]],[1]!db_div[[Code_div]:[Division]],2,0),"-")</f>
        <v>Security</v>
      </c>
      <c r="P659" s="74" t="str">
        <f>_xlfn.IFNA(VLOOKUP(db_emp[[#This Row],[Code_lvl]],[1]!db_lvl[[#All],[ID_level]:[Leveling Name]],2,0),"-")</f>
        <v>Staff</v>
      </c>
      <c r="Q659" s="74" t="str">
        <f>_xlfn.IFNA(VLOOKUP(db_emp[[#This Row],[Code_site]],[1]!db_site[[ID_Site]:[Url_maps]],3,0),"-")</f>
        <v>Unit - PIK Avenue</v>
      </c>
      <c r="R6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211248,'Julius Dominggus Siahaya','OPR','SECUR','Security Staff','LV12','Mall &amp; Cinema','M01','Employee','2021-12-20','2025-10-24'</v>
      </c>
      <c r="S659" s="74">
        <f>db_emp[[#This Row],[NIP (UPDATE)]]</f>
        <v>211248</v>
      </c>
    </row>
    <row r="660" spans="2:19" hidden="1" x14ac:dyDescent="0.25">
      <c r="B660" s="75">
        <v>401</v>
      </c>
      <c r="C660" s="75">
        <v>220142</v>
      </c>
      <c r="D660" s="74" t="s">
        <v>1840</v>
      </c>
      <c r="E660" s="75" t="s">
        <v>1018</v>
      </c>
      <c r="F660" s="75" t="s">
        <v>1817</v>
      </c>
      <c r="G660" s="74" t="s">
        <v>1839</v>
      </c>
      <c r="H660" s="75" t="s">
        <v>853</v>
      </c>
      <c r="I660" s="74" t="s">
        <v>849</v>
      </c>
      <c r="J660" s="75" t="s">
        <v>316</v>
      </c>
      <c r="K660" s="75" t="s">
        <v>850</v>
      </c>
      <c r="L660" s="76">
        <v>44594</v>
      </c>
      <c r="M660" s="77">
        <f t="shared" ca="1" si="21"/>
        <v>45954</v>
      </c>
      <c r="N660" s="74" t="str">
        <f>_xlfn.IFNA(VLOOKUP(db_emp[[#This Row],[ID_DIV]],[1]!db_dpt[[Code_dpt]:[Departement]],2,0),"-")</f>
        <v>Operational</v>
      </c>
      <c r="O660" s="74" t="str">
        <f>_xlfn.IFNA(VLOOKUP(db_emp[[#This Row],[ID_SDP]],[1]!db_div[[Code_div]:[Division]],2,0),"-")</f>
        <v>Security</v>
      </c>
      <c r="P660" s="74" t="str">
        <f>_xlfn.IFNA(VLOOKUP(db_emp[[#This Row],[Code_lvl]],[1]!db_lvl[[#All],[ID_level]:[Leveling Name]],2,0),"-")</f>
        <v>Staff</v>
      </c>
      <c r="Q660" s="74" t="str">
        <f>_xlfn.IFNA(VLOOKUP(db_emp[[#This Row],[Code_site]],[1]!db_site[[ID_Site]:[Url_maps]],3,0),"-")</f>
        <v>Unit - GGP</v>
      </c>
      <c r="R6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220142,'Setiadi Purwantoro','OPR','SECUR','Security Staff','LV12','Mall &amp; Cinema','M03','Employee','2022-02-02','2025-10-24'</v>
      </c>
      <c r="S660" s="74">
        <f>db_emp[[#This Row],[NIP (UPDATE)]]</f>
        <v>220142</v>
      </c>
    </row>
    <row r="661" spans="2:19" hidden="1" x14ac:dyDescent="0.25">
      <c r="B661" s="75">
        <v>430</v>
      </c>
      <c r="C661" s="75">
        <v>240492</v>
      </c>
      <c r="D661" s="74" t="s">
        <v>1841</v>
      </c>
      <c r="E661" s="75" t="s">
        <v>1018</v>
      </c>
      <c r="F661" s="75" t="s">
        <v>1817</v>
      </c>
      <c r="G661" s="74" t="s">
        <v>1842</v>
      </c>
      <c r="H661" s="75" t="s">
        <v>1016</v>
      </c>
      <c r="I661" s="74" t="s">
        <v>849</v>
      </c>
      <c r="J661" s="75" t="s">
        <v>316</v>
      </c>
      <c r="K661" s="75" t="s">
        <v>862</v>
      </c>
      <c r="L661" s="76">
        <v>45393</v>
      </c>
      <c r="M661" s="77">
        <f t="shared" ca="1" si="21"/>
        <v>45954</v>
      </c>
      <c r="N661" s="74" t="str">
        <f>_xlfn.IFNA(VLOOKUP(db_emp[[#This Row],[ID_DIV]],[1]!db_dpt[[Code_dpt]:[Departement]],2,0),"-")</f>
        <v>Operational</v>
      </c>
      <c r="O661" s="74" t="str">
        <f>_xlfn.IFNA(VLOOKUP(db_emp[[#This Row],[ID_SDP]],[1]!db_div[[Code_div]:[Division]],2,0),"-")</f>
        <v>Security</v>
      </c>
      <c r="P661" s="74" t="str">
        <f>_xlfn.IFNA(VLOOKUP(db_emp[[#This Row],[Code_lvl]],[1]!db_lvl[[#All],[ID_level]:[Leveling Name]],2,0),"-")</f>
        <v>Junior Supervisor</v>
      </c>
      <c r="Q661" s="74" t="str">
        <f>_xlfn.IFNA(VLOOKUP(db_emp[[#This Row],[Code_site]],[1]!db_site[[ID_Site]:[Url_maps]],3,0),"-")</f>
        <v>Unit - GGP</v>
      </c>
      <c r="R6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240492,'Haerul Okta Fahmi','OPR','SECUR','Security Supervisor','LV10','Mall &amp; Cinema','M03','Not Employee','2024-04-11','2025-10-24'</v>
      </c>
      <c r="S661" s="74">
        <f>db_emp[[#This Row],[NIP (UPDATE)]]</f>
        <v>240492</v>
      </c>
    </row>
    <row r="662" spans="2:19" hidden="1" x14ac:dyDescent="0.25">
      <c r="B662" s="75">
        <v>686</v>
      </c>
      <c r="C662" s="75">
        <v>230874</v>
      </c>
      <c r="D662" s="74" t="s">
        <v>1843</v>
      </c>
      <c r="E662" s="75" t="s">
        <v>916</v>
      </c>
      <c r="F662" s="75" t="s">
        <v>1817</v>
      </c>
      <c r="G662" s="74" t="s">
        <v>1842</v>
      </c>
      <c r="H662" s="75" t="s">
        <v>870</v>
      </c>
      <c r="I662" s="74" t="s">
        <v>864</v>
      </c>
      <c r="J662" s="75" t="s">
        <v>501</v>
      </c>
      <c r="K662" s="75" t="s">
        <v>850</v>
      </c>
      <c r="L662" s="76"/>
      <c r="M662" s="77">
        <f t="shared" ca="1" si="21"/>
        <v>45954</v>
      </c>
      <c r="N662" s="74" t="str">
        <f>_xlfn.IFNA(VLOOKUP(db_emp[[#This Row],[ID_DIV]],[1]!db_dpt[[Code_dpt]:[Departement]],2,0),"-")</f>
        <v>Property Management</v>
      </c>
      <c r="O662" s="74" t="str">
        <f>_xlfn.IFNA(VLOOKUP(db_emp[[#This Row],[ID_SDP]],[1]!db_div[[Code_div]:[Division]],2,0),"-")</f>
        <v>Security</v>
      </c>
      <c r="P662" s="74" t="str">
        <f>_xlfn.IFNA(VLOOKUP(db_emp[[#This Row],[Code_lvl]],[1]!db_lvl[[#All],[ID_level]:[Leveling Name]],2,0),"-")</f>
        <v>Supervisor</v>
      </c>
      <c r="Q662" s="74" t="str">
        <f>_xlfn.IFNA(VLOOKUP(db_emp[[#This Row],[Code_site]],[1]!db_site[[ID_Site]:[Url_maps]],3,0),"-")</f>
        <v>Unit - District 8</v>
      </c>
      <c r="R6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230874,'Tesya Nadia Dewanti','POM','SECUR','Security Supervisor','LV09','Corp. Supporting Property (POM)','OD8','Employee','1900-01-00','2025-10-24'</v>
      </c>
      <c r="S662" s="74">
        <f>db_emp[[#This Row],[NIP (UPDATE)]]</f>
        <v>230874</v>
      </c>
    </row>
    <row r="663" spans="2:19" hidden="1" x14ac:dyDescent="0.25">
      <c r="B663" s="75">
        <v>754</v>
      </c>
      <c r="C663" s="75">
        <v>242143</v>
      </c>
      <c r="D663" s="74" t="s">
        <v>1844</v>
      </c>
      <c r="E663" s="75" t="s">
        <v>916</v>
      </c>
      <c r="F663" s="75" t="s">
        <v>1817</v>
      </c>
      <c r="G663" s="74" t="s">
        <v>1842</v>
      </c>
      <c r="H663" s="75" t="s">
        <v>870</v>
      </c>
      <c r="I663" s="74" t="s">
        <v>864</v>
      </c>
      <c r="J663" s="75" t="s">
        <v>501</v>
      </c>
      <c r="K663" s="75" t="s">
        <v>850</v>
      </c>
      <c r="L663" s="76"/>
      <c r="M663" s="77">
        <f t="shared" ca="1" si="21"/>
        <v>45954</v>
      </c>
      <c r="N663" s="74" t="str">
        <f>_xlfn.IFNA(VLOOKUP(db_emp[[#This Row],[ID_DIV]],[1]!db_dpt[[Code_dpt]:[Departement]],2,0),"-")</f>
        <v>Property Management</v>
      </c>
      <c r="O663" s="74" t="str">
        <f>_xlfn.IFNA(VLOOKUP(db_emp[[#This Row],[ID_SDP]],[1]!db_div[[Code_div]:[Division]],2,0),"-")</f>
        <v>Security</v>
      </c>
      <c r="P663" s="74" t="str">
        <f>_xlfn.IFNA(VLOOKUP(db_emp[[#This Row],[Code_lvl]],[1]!db_lvl[[#All],[ID_level]:[Leveling Name]],2,0),"-")</f>
        <v>Supervisor</v>
      </c>
      <c r="Q663" s="74" t="str">
        <f>_xlfn.IFNA(VLOOKUP(db_emp[[#This Row],[Code_site]],[1]!db_site[[ID_Site]:[Url_maps]],3,0),"-")</f>
        <v>Unit - District 8</v>
      </c>
      <c r="R6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242143,'Muhammad Arif Al Furqon','POM','SECUR','Security Supervisor','LV09','Corp. Supporting Property (POM)','OD8','Employee','1900-01-00','2025-10-24'</v>
      </c>
      <c r="S663" s="74">
        <f>db_emp[[#This Row],[NIP (UPDATE)]]</f>
        <v>242143</v>
      </c>
    </row>
    <row r="664" spans="2:19" hidden="1" x14ac:dyDescent="0.25">
      <c r="B664" s="75">
        <v>763</v>
      </c>
      <c r="C664" s="75">
        <v>250334</v>
      </c>
      <c r="D664" s="74" t="s">
        <v>1845</v>
      </c>
      <c r="E664" s="75" t="s">
        <v>916</v>
      </c>
      <c r="F664" s="75" t="s">
        <v>1817</v>
      </c>
      <c r="G664" s="74" t="s">
        <v>1842</v>
      </c>
      <c r="H664" s="75" t="s">
        <v>870</v>
      </c>
      <c r="I664" s="74" t="s">
        <v>864</v>
      </c>
      <c r="J664" s="75" t="s">
        <v>501</v>
      </c>
      <c r="K664" s="75" t="s">
        <v>850</v>
      </c>
      <c r="L664" s="76"/>
      <c r="M664" s="77">
        <f t="shared" ca="1" si="21"/>
        <v>45954</v>
      </c>
      <c r="N664" s="74" t="str">
        <f>_xlfn.IFNA(VLOOKUP(db_emp[[#This Row],[ID_DIV]],[1]!db_dpt[[Code_dpt]:[Departement]],2,0),"-")</f>
        <v>Property Management</v>
      </c>
      <c r="O664" s="74" t="str">
        <f>_xlfn.IFNA(VLOOKUP(db_emp[[#This Row],[ID_SDP]],[1]!db_div[[Code_div]:[Division]],2,0),"-")</f>
        <v>Security</v>
      </c>
      <c r="P664" s="74" t="str">
        <f>_xlfn.IFNA(VLOOKUP(db_emp[[#This Row],[Code_lvl]],[1]!db_lvl[[#All],[ID_level]:[Leveling Name]],2,0),"-")</f>
        <v>Supervisor</v>
      </c>
      <c r="Q664" s="74" t="str">
        <f>_xlfn.IFNA(VLOOKUP(db_emp[[#This Row],[Code_site]],[1]!db_site[[ID_Site]:[Url_maps]],3,0),"-")</f>
        <v>Unit - District 8</v>
      </c>
      <c r="R6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250334,'Wahyu Dimawan','POM','SECUR','Security Supervisor','LV09','Corp. Supporting Property (POM)','OD8','Employee','1900-01-00','2025-10-24'</v>
      </c>
      <c r="S664" s="74">
        <f>db_emp[[#This Row],[NIP (UPDATE)]]</f>
        <v>250334</v>
      </c>
    </row>
    <row r="665" spans="2:19" hidden="1" x14ac:dyDescent="0.25">
      <c r="B665" s="75">
        <v>767</v>
      </c>
      <c r="C665" s="75">
        <v>250444</v>
      </c>
      <c r="D665" s="74" t="s">
        <v>1846</v>
      </c>
      <c r="E665" s="75" t="s">
        <v>916</v>
      </c>
      <c r="F665" s="75" t="s">
        <v>1817</v>
      </c>
      <c r="G665" s="74" t="s">
        <v>1842</v>
      </c>
      <c r="H665" s="75" t="s">
        <v>870</v>
      </c>
      <c r="I665" s="74" t="s">
        <v>864</v>
      </c>
      <c r="J665" s="75" t="s">
        <v>501</v>
      </c>
      <c r="K665" s="75" t="s">
        <v>850</v>
      </c>
      <c r="L665" s="76"/>
      <c r="M665" s="77">
        <f t="shared" ca="1" si="21"/>
        <v>45954</v>
      </c>
      <c r="N665" s="74" t="str">
        <f>_xlfn.IFNA(VLOOKUP(db_emp[[#This Row],[ID_DIV]],[1]!db_dpt[[Code_dpt]:[Departement]],2,0),"-")</f>
        <v>Property Management</v>
      </c>
      <c r="O665" s="74" t="str">
        <f>_xlfn.IFNA(VLOOKUP(db_emp[[#This Row],[ID_SDP]],[1]!db_div[[Code_div]:[Division]],2,0),"-")</f>
        <v>Security</v>
      </c>
      <c r="P665" s="74" t="str">
        <f>_xlfn.IFNA(VLOOKUP(db_emp[[#This Row],[Code_lvl]],[1]!db_lvl[[#All],[ID_level]:[Leveling Name]],2,0),"-")</f>
        <v>Supervisor</v>
      </c>
      <c r="Q665" s="74" t="str">
        <f>_xlfn.IFNA(VLOOKUP(db_emp[[#This Row],[Code_site]],[1]!db_site[[ID_Site]:[Url_maps]],3,0),"-")</f>
        <v>Unit - District 8</v>
      </c>
      <c r="R6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250444,'Yudi Abdillah','POM','SECUR','Security Supervisor','LV09','Corp. Supporting Property (POM)','OD8','Employee','1900-01-00','2025-10-24'</v>
      </c>
      <c r="S665" s="74">
        <f>db_emp[[#This Row],[NIP (UPDATE)]]</f>
        <v>250444</v>
      </c>
    </row>
    <row r="666" spans="2:19" hidden="1" x14ac:dyDescent="0.25">
      <c r="B666" s="75">
        <v>308</v>
      </c>
      <c r="C666" s="75">
        <v>221736</v>
      </c>
      <c r="D666" s="74" t="s">
        <v>1847</v>
      </c>
      <c r="E666" s="75" t="s">
        <v>940</v>
      </c>
      <c r="F666" s="75" t="s">
        <v>1848</v>
      </c>
      <c r="G666" s="74" t="s">
        <v>1849</v>
      </c>
      <c r="H666" s="75" t="s">
        <v>848</v>
      </c>
      <c r="I666" s="74" t="s">
        <v>962</v>
      </c>
      <c r="J666" s="75" t="s">
        <v>484</v>
      </c>
      <c r="K666" s="75" t="s">
        <v>850</v>
      </c>
      <c r="L666" s="76">
        <v>44896</v>
      </c>
      <c r="M666" s="77">
        <f t="shared" ca="1" si="21"/>
        <v>45954</v>
      </c>
      <c r="N666" s="74" t="str">
        <f>_xlfn.IFNA(VLOOKUP(db_emp[[#This Row],[ID_DIV]],[1]!db_dpt[[Code_dpt]:[Departement]],2,0),"-")</f>
        <v>Digital Media &amp; Community</v>
      </c>
      <c r="O666" s="74" t="str">
        <f>_xlfn.IFNA(VLOOKUP(db_emp[[#This Row],[ID_SDP]],[1]!db_div[[Code_div]:[Division]],2,0),"-")</f>
        <v>Seo UI/UX Designer</v>
      </c>
      <c r="P666" s="74" t="str">
        <f>_xlfn.IFNA(VLOOKUP(db_emp[[#This Row],[Code_lvl]],[1]!db_lvl[[#All],[ID_level]:[Leveling Name]],2,0),"-")</f>
        <v>Assistant Manager</v>
      </c>
      <c r="Q666" s="74" t="str">
        <f>_xlfn.IFNA(VLOOKUP(db_emp[[#This Row],[Code_site]],[1]!db_site[[ID_Site]:[Url_maps]],3,0),"-")</f>
        <v>Unit - PIK Avenue</v>
      </c>
      <c r="R6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221736,'Aruna Jati Rumbono','DMC','SEOUI','Seo UI/UX Designer Assistant Manager','LV07','Mall &amp; Hotel','M01','Employee','2022-12-01','2025-10-24'</v>
      </c>
      <c r="S666" s="74">
        <f>db_emp[[#This Row],[NIP (UPDATE)]]</f>
        <v>221736</v>
      </c>
    </row>
    <row r="667" spans="2:19" hidden="1" x14ac:dyDescent="0.25">
      <c r="B667" s="75">
        <v>478</v>
      </c>
      <c r="C667" s="75">
        <v>241311</v>
      </c>
      <c r="D667" s="74" t="s">
        <v>1850</v>
      </c>
      <c r="E667" s="75" t="s">
        <v>927</v>
      </c>
      <c r="F667" s="75" t="s">
        <v>1851</v>
      </c>
      <c r="G667" s="74" t="s">
        <v>1852</v>
      </c>
      <c r="H667" s="75" t="s">
        <v>870</v>
      </c>
      <c r="I667" s="74" t="s">
        <v>849</v>
      </c>
      <c r="J667" s="75" t="s">
        <v>490</v>
      </c>
      <c r="K667" s="75" t="s">
        <v>850</v>
      </c>
      <c r="L667" s="76">
        <v>45495</v>
      </c>
      <c r="M667" s="77">
        <f t="shared" ca="1" si="21"/>
        <v>45954</v>
      </c>
      <c r="N667" s="74" t="str">
        <f>_xlfn.IFNA(VLOOKUP(db_emp[[#This Row],[ID_DIV]],[1]!db_dpt[[Code_dpt]:[Departement]],2,0),"-")</f>
        <v>Center Experience</v>
      </c>
      <c r="O667" s="74" t="str">
        <f>_xlfn.IFNA(VLOOKUP(db_emp[[#This Row],[ID_SDP]],[1]!db_div[[Code_div]:[Division]],2,0),"-")</f>
        <v>Social Media</v>
      </c>
      <c r="P667" s="74" t="str">
        <f>_xlfn.IFNA(VLOOKUP(db_emp[[#This Row],[Code_lvl]],[1]!db_lvl[[#All],[ID_level]:[Leveling Name]],2,0),"-")</f>
        <v>Supervisor</v>
      </c>
      <c r="Q667" s="74" t="str">
        <f>_xlfn.IFNA(VLOOKUP(db_emp[[#This Row],[Code_site]],[1]!db_site[[ID_Site]:[Url_maps]],3,0),"-")</f>
        <v>Unit - ASHTA</v>
      </c>
      <c r="R6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241311,'Olivia Valentina Satria Putri','CEX','SOMED','Social Media &amp; Content Creator Supervisor','LV09','Mall &amp; Cinema','M04','Employee','2024-07-22','2025-10-24'</v>
      </c>
      <c r="S667" s="74">
        <f>db_emp[[#This Row],[NIP (UPDATE)]]</f>
        <v>241311</v>
      </c>
    </row>
    <row r="668" spans="2:19" hidden="1" x14ac:dyDescent="0.25">
      <c r="B668" s="75">
        <v>487</v>
      </c>
      <c r="C668" s="75">
        <v>180652</v>
      </c>
      <c r="D668" s="74" t="s">
        <v>1853</v>
      </c>
      <c r="E668" s="75" t="s">
        <v>964</v>
      </c>
      <c r="F668" s="75" t="s">
        <v>999</v>
      </c>
      <c r="G668" s="74" t="s">
        <v>1854</v>
      </c>
      <c r="H668" s="75" t="s">
        <v>848</v>
      </c>
      <c r="I668" s="74" t="s">
        <v>849</v>
      </c>
      <c r="J668" s="75" t="s">
        <v>490</v>
      </c>
      <c r="K668" s="75" t="s">
        <v>850</v>
      </c>
      <c r="L668" s="76">
        <v>43222</v>
      </c>
      <c r="M668" s="77">
        <f t="shared" ca="1" si="21"/>
        <v>45954</v>
      </c>
      <c r="N668" s="74" t="str">
        <f>_xlfn.IFNA(VLOOKUP(db_emp[[#This Row],[ID_DIV]],[1]!db_dpt[[Code_dpt]:[Departement]],2,0),"-")</f>
        <v>Marketing Communication</v>
      </c>
      <c r="O668" s="74" t="str">
        <f>_xlfn.IFNA(VLOOKUP(db_emp[[#This Row],[ID_SDP]],[1]!db_div[[Code_div]:[Division]],2,0),"-")</f>
        <v>Center Experience</v>
      </c>
      <c r="P668" s="74" t="str">
        <f>_xlfn.IFNA(VLOOKUP(db_emp[[#This Row],[Code_lvl]],[1]!db_lvl[[#All],[ID_level]:[Leveling Name]],2,0),"-")</f>
        <v>Assistant Manager</v>
      </c>
      <c r="Q668" s="74" t="str">
        <f>_xlfn.IFNA(VLOOKUP(db_emp[[#This Row],[Code_site]],[1]!db_site[[ID_Site]:[Url_maps]],3,0),"-")</f>
        <v>Unit - ASHTA</v>
      </c>
      <c r="R6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180652,'Alexandra J Stefanie Modok','MAR','CTREX','Social Media &amp; Digital Administration Assistant Manager','LV07','Mall &amp; Cinema','M04','Employee','2018-05-02','2025-10-24'</v>
      </c>
      <c r="S668" s="74">
        <f>db_emp[[#This Row],[NIP (UPDATE)]]</f>
        <v>180652</v>
      </c>
    </row>
    <row r="669" spans="2:19" hidden="1" x14ac:dyDescent="0.25">
      <c r="B669" s="75">
        <v>273</v>
      </c>
      <c r="C669" s="75">
        <v>242327</v>
      </c>
      <c r="D669" s="74" t="s">
        <v>1855</v>
      </c>
      <c r="E669" s="75" t="s">
        <v>927</v>
      </c>
      <c r="F669" s="75" t="s">
        <v>1851</v>
      </c>
      <c r="G669" s="74" t="s">
        <v>1856</v>
      </c>
      <c r="H669" s="75" t="s">
        <v>885</v>
      </c>
      <c r="I669" s="74" t="s">
        <v>849</v>
      </c>
      <c r="J669" s="75" t="s">
        <v>314</v>
      </c>
      <c r="K669" s="75" t="s">
        <v>862</v>
      </c>
      <c r="L669" s="76">
        <v>45659</v>
      </c>
      <c r="M669" s="77">
        <f t="shared" ca="1" si="21"/>
        <v>45954</v>
      </c>
      <c r="N669" s="74" t="str">
        <f>_xlfn.IFNA(VLOOKUP(db_emp[[#This Row],[ID_DIV]],[1]!db_dpt[[Code_dpt]:[Departement]],2,0),"-")</f>
        <v>Center Experience</v>
      </c>
      <c r="O669" s="74" t="str">
        <f>_xlfn.IFNA(VLOOKUP(db_emp[[#This Row],[ID_SDP]],[1]!db_div[[Code_div]:[Division]],2,0),"-")</f>
        <v>Social Media</v>
      </c>
      <c r="P669" s="74" t="str">
        <f>_xlfn.IFNA(VLOOKUP(db_emp[[#This Row],[Code_lvl]],[1]!db_lvl[[#All],[ID_level]:[Leveling Name]],2,0),"-")</f>
        <v>Senior Staff</v>
      </c>
      <c r="Q669" s="74" t="str">
        <f>_xlfn.IFNA(VLOOKUP(db_emp[[#This Row],[Code_site]],[1]!db_site[[ID_Site]:[Url_maps]],3,0),"-")</f>
        <v>Unit - MOI</v>
      </c>
      <c r="R6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242327,'Dinar Puspita Yuwono','CEX','SOMED','Social Media &amp; Digital Administration Staff','LV11','Mall &amp; Cinema','M02','Not Employee','2025-01-02','2025-10-24'</v>
      </c>
      <c r="S669" s="74">
        <f>db_emp[[#This Row],[NIP (UPDATE)]]</f>
        <v>242327</v>
      </c>
    </row>
    <row r="670" spans="2:19" hidden="1" x14ac:dyDescent="0.25">
      <c r="B670" s="75">
        <v>345</v>
      </c>
      <c r="C670" s="75">
        <v>250079</v>
      </c>
      <c r="D670" s="74" t="s">
        <v>1857</v>
      </c>
      <c r="E670" s="75" t="s">
        <v>927</v>
      </c>
      <c r="F670" s="75" t="s">
        <v>1851</v>
      </c>
      <c r="G670" s="74" t="s">
        <v>1856</v>
      </c>
      <c r="H670" s="75" t="s">
        <v>885</v>
      </c>
      <c r="I670" s="74" t="s">
        <v>849</v>
      </c>
      <c r="J670" s="75" t="s">
        <v>484</v>
      </c>
      <c r="K670" s="75" t="s">
        <v>862</v>
      </c>
      <c r="L670" s="76">
        <v>45677</v>
      </c>
      <c r="M670" s="77">
        <f t="shared" ca="1" si="21"/>
        <v>45954</v>
      </c>
      <c r="N670" s="74" t="str">
        <f>_xlfn.IFNA(VLOOKUP(db_emp[[#This Row],[ID_DIV]],[1]!db_dpt[[Code_dpt]:[Departement]],2,0),"-")</f>
        <v>Center Experience</v>
      </c>
      <c r="O670" s="74" t="str">
        <f>_xlfn.IFNA(VLOOKUP(db_emp[[#This Row],[ID_SDP]],[1]!db_div[[Code_div]:[Division]],2,0),"-")</f>
        <v>Social Media</v>
      </c>
      <c r="P670" s="74" t="str">
        <f>_xlfn.IFNA(VLOOKUP(db_emp[[#This Row],[Code_lvl]],[1]!db_lvl[[#All],[ID_level]:[Leveling Name]],2,0),"-")</f>
        <v>Senior Staff</v>
      </c>
      <c r="Q670" s="74" t="str">
        <f>_xlfn.IFNA(VLOOKUP(db_emp[[#This Row],[Code_site]],[1]!db_site[[ID_Site]:[Url_maps]],3,0),"-")</f>
        <v>Unit - PIK Avenue</v>
      </c>
      <c r="R6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250079,'Bellinda Corinna','CEX','SOMED','Social Media &amp; Digital Administration Staff','LV11','Mall &amp; Cinema','M01','Not Employee','2025-01-20','2025-10-24'</v>
      </c>
      <c r="S670" s="74">
        <f>db_emp[[#This Row],[NIP (UPDATE)]]</f>
        <v>250079</v>
      </c>
    </row>
    <row r="671" spans="2:19" hidden="1" x14ac:dyDescent="0.25">
      <c r="B671" s="75">
        <v>400</v>
      </c>
      <c r="C671" s="75">
        <v>220141</v>
      </c>
      <c r="D671" s="74" t="s">
        <v>1858</v>
      </c>
      <c r="E671" s="75" t="s">
        <v>927</v>
      </c>
      <c r="F671" s="75" t="s">
        <v>1851</v>
      </c>
      <c r="G671" s="74" t="s">
        <v>1856</v>
      </c>
      <c r="H671" s="75" t="s">
        <v>853</v>
      </c>
      <c r="I671" s="74" t="s">
        <v>849</v>
      </c>
      <c r="J671" s="75" t="s">
        <v>316</v>
      </c>
      <c r="K671" s="75" t="s">
        <v>850</v>
      </c>
      <c r="L671" s="76">
        <v>44594</v>
      </c>
      <c r="M671" s="77">
        <f t="shared" ca="1" si="21"/>
        <v>45954</v>
      </c>
      <c r="N671" s="74" t="str">
        <f>_xlfn.IFNA(VLOOKUP(db_emp[[#This Row],[ID_DIV]],[1]!db_dpt[[Code_dpt]:[Departement]],2,0),"-")</f>
        <v>Center Experience</v>
      </c>
      <c r="O671" s="74" t="str">
        <f>_xlfn.IFNA(VLOOKUP(db_emp[[#This Row],[ID_SDP]],[1]!db_div[[Code_div]:[Division]],2,0),"-")</f>
        <v>Social Media</v>
      </c>
      <c r="P671" s="74" t="str">
        <f>_xlfn.IFNA(VLOOKUP(db_emp[[#This Row],[Code_lvl]],[1]!db_lvl[[#All],[ID_level]:[Leveling Name]],2,0),"-")</f>
        <v>Staff</v>
      </c>
      <c r="Q671" s="74" t="str">
        <f>_xlfn.IFNA(VLOOKUP(db_emp[[#This Row],[Code_site]],[1]!db_site[[ID_Site]:[Url_maps]],3,0),"-")</f>
        <v>Unit - GGP</v>
      </c>
      <c r="R6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220141,'Komang Soma Aryayuda','CEX','SOMED','Social Media &amp; Digital Administration Staff','LV12','Mall &amp; Cinema','M03','Employee','2022-02-02','2025-10-24'</v>
      </c>
      <c r="S671" s="74">
        <f>db_emp[[#This Row],[NIP (UPDATE)]]</f>
        <v>220141</v>
      </c>
    </row>
    <row r="672" spans="2:19" hidden="1" x14ac:dyDescent="0.25">
      <c r="B672" s="75">
        <v>377</v>
      </c>
      <c r="C672" s="75">
        <v>221129</v>
      </c>
      <c r="D672" s="74" t="s">
        <v>1859</v>
      </c>
      <c r="E672" s="75" t="s">
        <v>927</v>
      </c>
      <c r="F672" s="75" t="s">
        <v>1851</v>
      </c>
      <c r="G672" s="74" t="s">
        <v>1860</v>
      </c>
      <c r="H672" s="75" t="s">
        <v>870</v>
      </c>
      <c r="I672" s="74" t="s">
        <v>486</v>
      </c>
      <c r="J672" s="75" t="s">
        <v>492</v>
      </c>
      <c r="K672" s="75" t="s">
        <v>903</v>
      </c>
      <c r="L672" s="76">
        <v>44774</v>
      </c>
      <c r="M672" s="77">
        <f t="shared" ca="1" si="21"/>
        <v>45954</v>
      </c>
      <c r="N672" s="74" t="str">
        <f>_xlfn.IFNA(VLOOKUP(db_emp[[#This Row],[ID_DIV]],[1]!db_dpt[[Code_dpt]:[Departement]],2,0),"-")</f>
        <v>Center Experience</v>
      </c>
      <c r="O672" s="74" t="str">
        <f>_xlfn.IFNA(VLOOKUP(db_emp[[#This Row],[ID_SDP]],[1]!db_div[[Code_div]:[Division]],2,0),"-")</f>
        <v>Social Media</v>
      </c>
      <c r="P672" s="74" t="str">
        <f>_xlfn.IFNA(VLOOKUP(db_emp[[#This Row],[Code_lvl]],[1]!db_lvl[[#All],[ID_level]:[Leveling Name]],2,0),"-")</f>
        <v>Supervisor</v>
      </c>
      <c r="Q672" s="74" t="str">
        <f>_xlfn.IFNA(VLOOKUP(db_emp[[#This Row],[Code_site]],[1]!db_site[[ID_Site]:[Url_maps]],3,0),"-")</f>
        <v>Unit - Hublife</v>
      </c>
      <c r="R6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221129,'Catherine Susanto','CEX','SOMED','Social Media &amp; Digital Administration Supervisor','LV09','Mall','M05','Resign','2022-08-01','2025-10-24'</v>
      </c>
      <c r="S672" s="74">
        <f>db_emp[[#This Row],[NIP (UPDATE)]]</f>
        <v>221129</v>
      </c>
    </row>
    <row r="673" spans="2:19" hidden="1" x14ac:dyDescent="0.25">
      <c r="B673" s="75">
        <v>439</v>
      </c>
      <c r="C673" s="75">
        <v>231421</v>
      </c>
      <c r="D673" s="74" t="s">
        <v>1861</v>
      </c>
      <c r="E673" s="75" t="s">
        <v>927</v>
      </c>
      <c r="F673" s="75" t="s">
        <v>1851</v>
      </c>
      <c r="G673" s="74" t="s">
        <v>1860</v>
      </c>
      <c r="H673" s="75" t="s">
        <v>870</v>
      </c>
      <c r="I673" s="74" t="s">
        <v>486</v>
      </c>
      <c r="J673" s="75" t="s">
        <v>496</v>
      </c>
      <c r="K673" s="75" t="s">
        <v>850</v>
      </c>
      <c r="L673" s="76">
        <v>45159</v>
      </c>
      <c r="M673" s="77">
        <f t="shared" ca="1" si="21"/>
        <v>45954</v>
      </c>
      <c r="N673" s="74" t="str">
        <f>_xlfn.IFNA(VLOOKUP(db_emp[[#This Row],[ID_DIV]],[1]!db_dpt[[Code_dpt]:[Departement]],2,0),"-")</f>
        <v>Center Experience</v>
      </c>
      <c r="O673" s="74" t="str">
        <f>_xlfn.IFNA(VLOOKUP(db_emp[[#This Row],[ID_SDP]],[1]!db_div[[Code_div]:[Division]],2,0),"-")</f>
        <v>Social Media</v>
      </c>
      <c r="P673" s="74" t="str">
        <f>_xlfn.IFNA(VLOOKUP(db_emp[[#This Row],[Code_lvl]],[1]!db_lvl[[#All],[ID_level]:[Leveling Name]],2,0),"-")</f>
        <v>Supervisor</v>
      </c>
      <c r="Q673" s="74" t="str">
        <f>_xlfn.IFNA(VLOOKUP(db_emp[[#This Row],[Code_site]],[1]!db_site[[ID_Site]:[Url_maps]],3,0),"-")</f>
        <v>Unit - Menara Jakarta</v>
      </c>
      <c r="R6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231421,'Arief Kurniawan','CEX','SOMED','Social Media &amp; Digital Administration Supervisor','LV09','Mall','M06','Employee','2023-08-21','2025-10-24'</v>
      </c>
      <c r="S673" s="74">
        <f>db_emp[[#This Row],[NIP (UPDATE)]]</f>
        <v>231421</v>
      </c>
    </row>
    <row r="674" spans="2:19" hidden="1" x14ac:dyDescent="0.25">
      <c r="B674" s="75">
        <v>283</v>
      </c>
      <c r="C674" s="75">
        <v>220301</v>
      </c>
      <c r="D674" s="74" t="s">
        <v>1862</v>
      </c>
      <c r="E674" s="75" t="s">
        <v>1042</v>
      </c>
      <c r="F674" s="75" t="s">
        <v>1851</v>
      </c>
      <c r="G674" s="74" t="s">
        <v>1863</v>
      </c>
      <c r="H674" s="75" t="s">
        <v>853</v>
      </c>
      <c r="I674" s="74" t="s">
        <v>457</v>
      </c>
      <c r="J674" s="75" t="s">
        <v>460</v>
      </c>
      <c r="K674" s="75" t="s">
        <v>850</v>
      </c>
      <c r="L674" s="76">
        <v>44621</v>
      </c>
      <c r="M674" s="77">
        <f t="shared" ca="1" si="21"/>
        <v>45954</v>
      </c>
      <c r="N674" s="74" t="str">
        <f>_xlfn.IFNA(VLOOKUP(db_emp[[#This Row],[ID_DIV]],[1]!db_dpt[[Code_dpt]:[Departement]],2,0),"-")</f>
        <v>Cinema</v>
      </c>
      <c r="O674" s="74" t="str">
        <f>_xlfn.IFNA(VLOOKUP(db_emp[[#This Row],[ID_SDP]],[1]!db_div[[Code_div]:[Division]],2,0),"-")</f>
        <v>Social Media</v>
      </c>
      <c r="P674" s="74" t="str">
        <f>_xlfn.IFNA(VLOOKUP(db_emp[[#This Row],[Code_lvl]],[1]!db_lvl[[#All],[ID_level]:[Leveling Name]],2,0),"-")</f>
        <v>Staff</v>
      </c>
      <c r="Q674" s="74" t="str">
        <f>_xlfn.IFNA(VLOOKUP(db_emp[[#This Row],[Code_site]],[1]!db_site[[ID_Site]:[Url_maps]],3,0),"-")</f>
        <v>Unit - FLIX MOI</v>
      </c>
      <c r="R6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220301,'Fitria Salsabila','CIN','SOMED','Social Media Staff','LV12','Cinema','F02','Employee','2022-03-01','2025-10-24'</v>
      </c>
      <c r="S674" s="74">
        <f>db_emp[[#This Row],[NIP (UPDATE)]]</f>
        <v>220301</v>
      </c>
    </row>
    <row r="675" spans="2:19" x14ac:dyDescent="0.25">
      <c r="B675" s="75" t="s">
        <v>2413</v>
      </c>
      <c r="C675" s="75">
        <v>232370</v>
      </c>
      <c r="D675" s="74" t="s">
        <v>1864</v>
      </c>
      <c r="E675" s="75" t="s">
        <v>1553</v>
      </c>
      <c r="F675" s="75" t="s">
        <v>1865</v>
      </c>
      <c r="G675" s="74" t="s">
        <v>1866</v>
      </c>
      <c r="H675" s="75" t="s">
        <v>848</v>
      </c>
      <c r="I675" s="74" t="s">
        <v>856</v>
      </c>
      <c r="J675" s="75" t="s">
        <v>315</v>
      </c>
      <c r="K675" s="75" t="s">
        <v>850</v>
      </c>
      <c r="L675" s="76">
        <v>45292</v>
      </c>
      <c r="M675" s="77">
        <f t="shared" ca="1" si="21"/>
        <v>45954</v>
      </c>
      <c r="N675" s="74" t="str">
        <f>_xlfn.IFNA(VLOOKUP(db_emp[[#This Row],[ID_DIV]],[1]!db_dpt[[Code_dpt]:[Departement]],2,0),"-")</f>
        <v>Innovation</v>
      </c>
      <c r="O675" s="74" t="str">
        <f>_xlfn.IFNA(VLOOKUP(db_emp[[#This Row],[ID_SDP]],[1]!db_div[[Code_div]:[Division]],2,0),"-")</f>
        <v>Software Engineering</v>
      </c>
      <c r="P675" s="74" t="str">
        <f>_xlfn.IFNA(VLOOKUP(db_emp[[#This Row],[Code_lvl]],[1]!db_lvl[[#All],[ID_level]:[Leveling Name]],2,0),"-")</f>
        <v>Assistant Manager</v>
      </c>
      <c r="Q675" s="74" t="str">
        <f>_xlfn.IFNA(VLOOKUP(db_emp[[#This Row],[Code_site]],[1]!db_site[[ID_Site]:[Url_maps]],3,0),"-")</f>
        <v>Head Office - ASGO</v>
      </c>
      <c r="R6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232370,'Willy Anjaya','INO','SFENG','Software Engineering Assistant Manager','LV07','HQ - All','O99','Employee','2024-01-01','2025-10-24'</v>
      </c>
      <c r="S675" s="74">
        <f>db_emp[[#This Row],[NIP (UPDATE)]]</f>
        <v>232370</v>
      </c>
    </row>
    <row r="676" spans="2:19" x14ac:dyDescent="0.25">
      <c r="B676" s="75" t="s">
        <v>2413</v>
      </c>
      <c r="C676" s="75">
        <v>232371</v>
      </c>
      <c r="D676" s="74" t="s">
        <v>1867</v>
      </c>
      <c r="E676" s="75" t="s">
        <v>1553</v>
      </c>
      <c r="F676" s="75" t="s">
        <v>1865</v>
      </c>
      <c r="G676" s="74" t="s">
        <v>1866</v>
      </c>
      <c r="H676" s="75" t="s">
        <v>848</v>
      </c>
      <c r="I676" s="74" t="s">
        <v>856</v>
      </c>
      <c r="J676" s="75" t="s">
        <v>315</v>
      </c>
      <c r="K676" s="75" t="s">
        <v>850</v>
      </c>
      <c r="L676" s="76">
        <v>45292</v>
      </c>
      <c r="M676" s="77">
        <f t="shared" ca="1" si="21"/>
        <v>45954</v>
      </c>
      <c r="N676" s="74" t="str">
        <f>_xlfn.IFNA(VLOOKUP(db_emp[[#This Row],[ID_DIV]],[1]!db_dpt[[Code_dpt]:[Departement]],2,0),"-")</f>
        <v>Innovation</v>
      </c>
      <c r="O676" s="74" t="str">
        <f>_xlfn.IFNA(VLOOKUP(db_emp[[#This Row],[ID_SDP]],[1]!db_div[[Code_div]:[Division]],2,0),"-")</f>
        <v>Software Engineering</v>
      </c>
      <c r="P676" s="74" t="str">
        <f>_xlfn.IFNA(VLOOKUP(db_emp[[#This Row],[Code_lvl]],[1]!db_lvl[[#All],[ID_level]:[Leveling Name]],2,0),"-")</f>
        <v>Assistant Manager</v>
      </c>
      <c r="Q676" s="74" t="str">
        <f>_xlfn.IFNA(VLOOKUP(db_emp[[#This Row],[Code_site]],[1]!db_site[[ID_Site]:[Url_maps]],3,0),"-")</f>
        <v>Head Office - ASGO</v>
      </c>
      <c r="R6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232371,'Aiman Fakhri Rimbawan','INO','SFENG','Software Engineering Assistant Manager','LV07','HQ - All','O99','Employee','2024-01-01','2025-10-24'</v>
      </c>
      <c r="S676" s="74">
        <f>db_emp[[#This Row],[NIP (UPDATE)]]</f>
        <v>232371</v>
      </c>
    </row>
    <row r="677" spans="2:19" x14ac:dyDescent="0.25">
      <c r="B677" s="75" t="s">
        <v>2413</v>
      </c>
      <c r="C677" s="75">
        <v>232379</v>
      </c>
      <c r="D677" s="74" t="s">
        <v>1868</v>
      </c>
      <c r="E677" s="75" t="s">
        <v>1553</v>
      </c>
      <c r="F677" s="75" t="s">
        <v>1865</v>
      </c>
      <c r="G677" s="74" t="s">
        <v>1866</v>
      </c>
      <c r="H677" s="75" t="s">
        <v>848</v>
      </c>
      <c r="I677" s="74" t="s">
        <v>856</v>
      </c>
      <c r="J677" s="75" t="s">
        <v>315</v>
      </c>
      <c r="K677" s="75" t="s">
        <v>850</v>
      </c>
      <c r="L677" s="76">
        <v>45292</v>
      </c>
      <c r="M677" s="77">
        <f t="shared" ca="1" si="21"/>
        <v>45954</v>
      </c>
      <c r="N677" s="74" t="str">
        <f>_xlfn.IFNA(VLOOKUP(db_emp[[#This Row],[ID_DIV]],[1]!db_dpt[[Code_dpt]:[Departement]],2,0),"-")</f>
        <v>Innovation</v>
      </c>
      <c r="O677" s="74" t="str">
        <f>_xlfn.IFNA(VLOOKUP(db_emp[[#This Row],[ID_SDP]],[1]!db_div[[Code_div]:[Division]],2,0),"-")</f>
        <v>Software Engineering</v>
      </c>
      <c r="P677" s="74" t="str">
        <f>_xlfn.IFNA(VLOOKUP(db_emp[[#This Row],[Code_lvl]],[1]!db_lvl[[#All],[ID_level]:[Leveling Name]],2,0),"-")</f>
        <v>Assistant Manager</v>
      </c>
      <c r="Q677" s="74" t="str">
        <f>_xlfn.IFNA(VLOOKUP(db_emp[[#This Row],[Code_site]],[1]!db_site[[ID_Site]:[Url_maps]],3,0),"-")</f>
        <v>Head Office - ASGO</v>
      </c>
      <c r="R6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232379,'Bayu Suwarning Hadi','INO','SFENG','Software Engineering Assistant Manager','LV07','HQ - All','O99','Employee','2024-01-01','2025-10-24'</v>
      </c>
      <c r="S677" s="74">
        <f>db_emp[[#This Row],[NIP (UPDATE)]]</f>
        <v>232379</v>
      </c>
    </row>
    <row r="678" spans="2:19" x14ac:dyDescent="0.25">
      <c r="B678" s="75" t="s">
        <v>2413</v>
      </c>
      <c r="C678" s="75">
        <v>232375</v>
      </c>
      <c r="D678" s="74" t="s">
        <v>1869</v>
      </c>
      <c r="E678" s="75" t="s">
        <v>1553</v>
      </c>
      <c r="F678" s="75" t="s">
        <v>1865</v>
      </c>
      <c r="G678" s="74" t="s">
        <v>1870</v>
      </c>
      <c r="H678" s="75" t="s">
        <v>953</v>
      </c>
      <c r="I678" s="74" t="s">
        <v>856</v>
      </c>
      <c r="J678" s="75" t="s">
        <v>315</v>
      </c>
      <c r="K678" s="75" t="s">
        <v>850</v>
      </c>
      <c r="L678" s="76">
        <v>45292</v>
      </c>
      <c r="M678" s="77">
        <f t="shared" ca="1" si="21"/>
        <v>45954</v>
      </c>
      <c r="N678" s="74" t="str">
        <f>_xlfn.IFNA(VLOOKUP(db_emp[[#This Row],[ID_DIV]],[1]!db_dpt[[Code_dpt]:[Departement]],2,0),"-")</f>
        <v>Innovation</v>
      </c>
      <c r="O678" s="74" t="str">
        <f>_xlfn.IFNA(VLOOKUP(db_emp[[#This Row],[ID_SDP]],[1]!db_div[[Code_div]:[Division]],2,0),"-")</f>
        <v>Software Engineering</v>
      </c>
      <c r="P678" s="74" t="str">
        <f>_xlfn.IFNA(VLOOKUP(db_emp[[#This Row],[Code_lvl]],[1]!db_lvl[[#All],[ID_level]:[Leveling Name]],2,0),"-")</f>
        <v>Manager</v>
      </c>
      <c r="Q678" s="74" t="str">
        <f>_xlfn.IFNA(VLOOKUP(db_emp[[#This Row],[Code_site]],[1]!db_site[[ID_Site]:[Url_maps]],3,0),"-")</f>
        <v>Head Office - ASGO</v>
      </c>
      <c r="R6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232375,'Syamsul Arifin','INO','SFENG','Software Engineering Manager','LV05','HQ - All','O99','Employee','2024-01-01','2025-10-24'</v>
      </c>
      <c r="S678" s="74">
        <f>db_emp[[#This Row],[NIP (UPDATE)]]</f>
        <v>232375</v>
      </c>
    </row>
    <row r="679" spans="2:19" x14ac:dyDescent="0.25">
      <c r="B679" s="75" t="s">
        <v>2413</v>
      </c>
      <c r="C679" s="75">
        <v>240074</v>
      </c>
      <c r="D679" s="74" t="s">
        <v>1871</v>
      </c>
      <c r="E679" s="75" t="s">
        <v>1553</v>
      </c>
      <c r="F679" s="75" t="s">
        <v>1865</v>
      </c>
      <c r="G679" s="74" t="s">
        <v>1872</v>
      </c>
      <c r="H679" s="75" t="s">
        <v>870</v>
      </c>
      <c r="I679" s="74" t="s">
        <v>856</v>
      </c>
      <c r="J679" s="75" t="s">
        <v>315</v>
      </c>
      <c r="K679" s="75" t="s">
        <v>850</v>
      </c>
      <c r="L679" s="76">
        <v>45306</v>
      </c>
      <c r="M679" s="77">
        <f t="shared" ca="1" si="21"/>
        <v>45954</v>
      </c>
      <c r="N679" s="74" t="str">
        <f>_xlfn.IFNA(VLOOKUP(db_emp[[#This Row],[ID_DIV]],[1]!db_dpt[[Code_dpt]:[Departement]],2,0),"-")</f>
        <v>Innovation</v>
      </c>
      <c r="O679" s="74" t="str">
        <f>_xlfn.IFNA(VLOOKUP(db_emp[[#This Row],[ID_SDP]],[1]!db_div[[Code_div]:[Division]],2,0),"-")</f>
        <v>Software Engineering</v>
      </c>
      <c r="P679" s="74" t="str">
        <f>_xlfn.IFNA(VLOOKUP(db_emp[[#This Row],[Code_lvl]],[1]!db_lvl[[#All],[ID_level]:[Leveling Name]],2,0),"-")</f>
        <v>Supervisor</v>
      </c>
      <c r="Q679" s="74" t="str">
        <f>_xlfn.IFNA(VLOOKUP(db_emp[[#This Row],[Code_site]],[1]!db_site[[ID_Site]:[Url_maps]],3,0),"-")</f>
        <v>Head Office - ASGO</v>
      </c>
      <c r="R6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240074,'Muqsithu Nafi’U Dzikri Rofi’ R','INO','SFENG','Software Engineering Supervisor','LV09','HQ - All','O99','Employee','2024-01-15','2025-10-24'</v>
      </c>
      <c r="S679" s="74">
        <f>db_emp[[#This Row],[NIP (UPDATE)]]</f>
        <v>240074</v>
      </c>
    </row>
    <row r="680" spans="2:19" hidden="1" x14ac:dyDescent="0.25">
      <c r="B680" s="75">
        <v>617</v>
      </c>
      <c r="C680" s="75">
        <v>200469</v>
      </c>
      <c r="D680" s="74" t="s">
        <v>1873</v>
      </c>
      <c r="E680" s="75" t="s">
        <v>1123</v>
      </c>
      <c r="F680" s="75" t="s">
        <v>1874</v>
      </c>
      <c r="G680" s="74" t="s">
        <v>1875</v>
      </c>
      <c r="H680" s="75" t="s">
        <v>853</v>
      </c>
      <c r="I680" s="74" t="s">
        <v>864</v>
      </c>
      <c r="J680" s="75" t="s">
        <v>433</v>
      </c>
      <c r="K680" s="75" t="s">
        <v>850</v>
      </c>
      <c r="L680" s="76">
        <v>44061</v>
      </c>
      <c r="M680" s="77">
        <f t="shared" ca="1" si="21"/>
        <v>45954</v>
      </c>
      <c r="N680" s="74" t="str">
        <f>_xlfn.IFNA(VLOOKUP(db_emp[[#This Row],[ID_DIV]],[1]!db_dpt[[Code_dpt]:[Departement]],2,0),"-")</f>
        <v>HR &amp; GA</v>
      </c>
      <c r="O680" s="74" t="str">
        <f>_xlfn.IFNA(VLOOKUP(db_emp[[#This Row],[ID_SDP]],[1]!db_div[[Code_div]:[Division]],2,0),"-")</f>
        <v>Warehouse; Storekeeper</v>
      </c>
      <c r="P680" s="74" t="str">
        <f>_xlfn.IFNA(VLOOKUP(db_emp[[#This Row],[Code_lvl]],[1]!db_lvl[[#All],[ID_level]:[Leveling Name]],2,0),"-")</f>
        <v>Staff</v>
      </c>
      <c r="Q680" s="74" t="str">
        <f>_xlfn.IFNA(VLOOKUP(db_emp[[#This Row],[Code_site]],[1]!db_site[[ID_Site]:[Url_maps]],3,0),"-")</f>
        <v>Unit - Taman Anggrek Residences</v>
      </c>
      <c r="R6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200469,'Cecep Kurnia','HRG','WRHOS','Store Keeper Staff','LV12','Corp. Supporting Property (POM)','A01','Employee','2020-08-18','2025-10-24'</v>
      </c>
      <c r="S680" s="74">
        <f>db_emp[[#This Row],[NIP (UPDATE)]]</f>
        <v>200469</v>
      </c>
    </row>
    <row r="681" spans="2:19" hidden="1" x14ac:dyDescent="0.25">
      <c r="B681" s="75">
        <v>511</v>
      </c>
      <c r="C681" s="75">
        <v>241051</v>
      </c>
      <c r="D681" s="74" t="s">
        <v>1876</v>
      </c>
      <c r="E681" s="75" t="s">
        <v>1123</v>
      </c>
      <c r="F681" s="75" t="s">
        <v>1874</v>
      </c>
      <c r="G681" s="74" t="s">
        <v>190</v>
      </c>
      <c r="H681" s="75" t="s">
        <v>853</v>
      </c>
      <c r="I681" s="74" t="s">
        <v>864</v>
      </c>
      <c r="J681" s="75" t="s">
        <v>441</v>
      </c>
      <c r="K681" s="75" t="s">
        <v>903</v>
      </c>
      <c r="L681" s="76">
        <v>45462</v>
      </c>
      <c r="M681" s="77">
        <v>45869</v>
      </c>
      <c r="N681" s="74" t="str">
        <f>_xlfn.IFNA(VLOOKUP(db_emp[[#This Row],[ID_DIV]],[1]!db_dpt[[Code_dpt]:[Departement]],2,0),"-")</f>
        <v>HR &amp; GA</v>
      </c>
      <c r="O681" s="74" t="str">
        <f>_xlfn.IFNA(VLOOKUP(db_emp[[#This Row],[ID_SDP]],[1]!db_div[[Code_div]:[Division]],2,0),"-")</f>
        <v>Warehouse; Storekeeper</v>
      </c>
      <c r="P681" s="74" t="str">
        <f>_xlfn.IFNA(VLOOKUP(db_emp[[#This Row],[Code_lvl]],[1]!db_lvl[[#All],[ID_level]:[Leveling Name]],2,0),"-")</f>
        <v>Staff</v>
      </c>
      <c r="Q681" s="74" t="str">
        <f>_xlfn.IFNA(VLOOKUP(db_emp[[#This Row],[Code_site]],[1]!db_site[[ID_Site]:[Url_maps]],3,0),"-")</f>
        <v>Unit - Fatmawati City Center</v>
      </c>
      <c r="R681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241051,'Faisal Jamalludin','HRG','WRHOS','Storekeeper','LV12','Corp. Supporting Property (POM)','A02','Resign','2024-06-19','2025-07-31'</v>
      </c>
      <c r="S681" s="74">
        <f>db_emp[[#This Row],[NIP (UPDATE)]]</f>
        <v>241051</v>
      </c>
    </row>
    <row r="682" spans="2:19" hidden="1" x14ac:dyDescent="0.25">
      <c r="B682" s="75">
        <v>542</v>
      </c>
      <c r="C682" s="75">
        <v>231287</v>
      </c>
      <c r="D682" s="74" t="s">
        <v>1877</v>
      </c>
      <c r="E682" s="75" t="s">
        <v>1123</v>
      </c>
      <c r="F682" s="75" t="s">
        <v>1874</v>
      </c>
      <c r="G682" s="74" t="s">
        <v>190</v>
      </c>
      <c r="H682" s="75" t="s">
        <v>853</v>
      </c>
      <c r="I682" s="74" t="s">
        <v>864</v>
      </c>
      <c r="J682" s="75" t="s">
        <v>446</v>
      </c>
      <c r="K682" s="75" t="s">
        <v>903</v>
      </c>
      <c r="L682" s="76">
        <v>45140</v>
      </c>
      <c r="M682" s="77">
        <v>45869</v>
      </c>
      <c r="N682" s="74" t="str">
        <f>_xlfn.IFNA(VLOOKUP(db_emp[[#This Row],[ID_DIV]],[1]!db_dpt[[Code_dpt]:[Departement]],2,0),"-")</f>
        <v>HR &amp; GA</v>
      </c>
      <c r="O682" s="74" t="str">
        <f>_xlfn.IFNA(VLOOKUP(db_emp[[#This Row],[ID_SDP]],[1]!db_div[[Code_div]:[Division]],2,0),"-")</f>
        <v>Warehouse; Storekeeper</v>
      </c>
      <c r="P682" s="74" t="str">
        <f>_xlfn.IFNA(VLOOKUP(db_emp[[#This Row],[Code_lvl]],[1]!db_lvl[[#All],[ID_level]:[Leveling Name]],2,0),"-")</f>
        <v>Staff</v>
      </c>
      <c r="Q682" s="74" t="str">
        <f>_xlfn.IFNA(VLOOKUP(db_emp[[#This Row],[Code_site]],[1]!db_site[[ID_Site]:[Url_maps]],3,0),"-")</f>
        <v>Unit - Menara Jakarta POM</v>
      </c>
      <c r="R682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231287,'Faisal Rifai','HRG','WRHOS','Storekeeper','LV12','Corp. Supporting Property (POM)','A03','Resign','2023-08-02','2025-07-31'</v>
      </c>
      <c r="S682" s="74">
        <f>db_emp[[#This Row],[NIP (UPDATE)]]</f>
        <v>231287</v>
      </c>
    </row>
    <row r="683" spans="2:19" hidden="1" x14ac:dyDescent="0.25">
      <c r="B683" s="75">
        <v>753</v>
      </c>
      <c r="C683" s="75">
        <v>242045</v>
      </c>
      <c r="D683" s="74" t="s">
        <v>1878</v>
      </c>
      <c r="E683" s="75" t="s">
        <v>916</v>
      </c>
      <c r="F683" s="75" t="s">
        <v>1874</v>
      </c>
      <c r="G683" s="74" t="s">
        <v>1879</v>
      </c>
      <c r="H683" s="75" t="s">
        <v>853</v>
      </c>
      <c r="I683" s="74" t="s">
        <v>864</v>
      </c>
      <c r="J683" s="75" t="s">
        <v>501</v>
      </c>
      <c r="K683" s="75" t="s">
        <v>903</v>
      </c>
      <c r="L683" s="76"/>
      <c r="M683" s="77">
        <v>45853</v>
      </c>
      <c r="N683" s="74" t="str">
        <f>_xlfn.IFNA(VLOOKUP(db_emp[[#This Row],[ID_DIV]],[1]!db_dpt[[Code_dpt]:[Departement]],2,0),"-")</f>
        <v>Property Management</v>
      </c>
      <c r="O683" s="74" t="str">
        <f>_xlfn.IFNA(VLOOKUP(db_emp[[#This Row],[ID_SDP]],[1]!db_div[[Code_div]:[Division]],2,0),"-")</f>
        <v>Warehouse; Storekeeper</v>
      </c>
      <c r="P683" s="74" t="str">
        <f>_xlfn.IFNA(VLOOKUP(db_emp[[#This Row],[Code_lvl]],[1]!db_lvl[[#All],[ID_level]:[Leveling Name]],2,0),"-")</f>
        <v>Staff</v>
      </c>
      <c r="Q683" s="74" t="str">
        <f>_xlfn.IFNA(VLOOKUP(db_emp[[#This Row],[Code_site]],[1]!db_site[[ID_Site]:[Url_maps]],3,0),"-")</f>
        <v>Unit - District 8</v>
      </c>
      <c r="R683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242045,'M. Rizky Pradana','POM','WRHOS','Storekeeper Staff','LV12','Corp. Supporting Property (POM)','OD8','Resign','1900-01-00','2025-07-15'</v>
      </c>
      <c r="S683" s="74">
        <f>db_emp[[#This Row],[NIP (UPDATE)]]</f>
        <v>242045</v>
      </c>
    </row>
    <row r="684" spans="2:19" hidden="1" x14ac:dyDescent="0.25">
      <c r="B684" s="75">
        <v>759</v>
      </c>
      <c r="C684" s="75">
        <v>250237</v>
      </c>
      <c r="D684" s="74" t="s">
        <v>1880</v>
      </c>
      <c r="E684" s="75" t="s">
        <v>916</v>
      </c>
      <c r="F684" s="75" t="s">
        <v>1874</v>
      </c>
      <c r="G684" s="74" t="s">
        <v>1879</v>
      </c>
      <c r="H684" s="75" t="s">
        <v>853</v>
      </c>
      <c r="I684" s="74" t="s">
        <v>864</v>
      </c>
      <c r="J684" s="75" t="s">
        <v>501</v>
      </c>
      <c r="K684" s="75" t="s">
        <v>903</v>
      </c>
      <c r="L684" s="76"/>
      <c r="M684" s="77">
        <v>45869</v>
      </c>
      <c r="N684" s="74" t="str">
        <f>_xlfn.IFNA(VLOOKUP(db_emp[[#This Row],[ID_DIV]],[1]!db_dpt[[Code_dpt]:[Departement]],2,0),"-")</f>
        <v>Property Management</v>
      </c>
      <c r="O684" s="74" t="str">
        <f>_xlfn.IFNA(VLOOKUP(db_emp[[#This Row],[ID_SDP]],[1]!db_div[[Code_div]:[Division]],2,0),"-")</f>
        <v>Warehouse; Storekeeper</v>
      </c>
      <c r="P684" s="74" t="str">
        <f>_xlfn.IFNA(VLOOKUP(db_emp[[#This Row],[Code_lvl]],[1]!db_lvl[[#All],[ID_level]:[Leveling Name]],2,0),"-")</f>
        <v>Staff</v>
      </c>
      <c r="Q684" s="74" t="str">
        <f>_xlfn.IFNA(VLOOKUP(db_emp[[#This Row],[Code_site]],[1]!db_site[[ID_Site]:[Url_maps]],3,0),"-")</f>
        <v>Unit - District 8</v>
      </c>
      <c r="R684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250237,'Febriyan.','POM','WRHOS','Storekeeper Staff','LV12','Corp. Supporting Property (POM)','OD8','Resign','1900-01-00','2025-07-31'</v>
      </c>
      <c r="S684" s="74">
        <f>db_emp[[#This Row],[NIP (UPDATE)]]</f>
        <v>250237</v>
      </c>
    </row>
    <row r="685" spans="2:19" hidden="1" x14ac:dyDescent="0.25">
      <c r="B685" s="75">
        <v>312</v>
      </c>
      <c r="C685" s="75">
        <v>240823</v>
      </c>
      <c r="D685" s="74" t="s">
        <v>1881</v>
      </c>
      <c r="E685" s="75" t="s">
        <v>1018</v>
      </c>
      <c r="F685" s="75" t="s">
        <v>1882</v>
      </c>
      <c r="G685" s="74" t="s">
        <v>1883</v>
      </c>
      <c r="H685" s="75" t="s">
        <v>953</v>
      </c>
      <c r="I685" s="74" t="s">
        <v>849</v>
      </c>
      <c r="J685" s="75" t="s">
        <v>484</v>
      </c>
      <c r="K685" s="75" t="s">
        <v>850</v>
      </c>
      <c r="L685" s="76">
        <v>45413</v>
      </c>
      <c r="M685" s="77">
        <f t="shared" ref="M685:M727" ca="1" si="22">TODAY()+1</f>
        <v>45954</v>
      </c>
      <c r="N685" s="74" t="str">
        <f>_xlfn.IFNA(VLOOKUP(db_emp[[#This Row],[ID_DIV]],[1]!db_dpt[[Code_dpt]:[Departement]],2,0),"-")</f>
        <v>Operational</v>
      </c>
      <c r="O685" s="74" t="str">
        <f>_xlfn.IFNA(VLOOKUP(db_emp[[#This Row],[ID_SDP]],[1]!db_div[[Code_div]:[Division]],2,0),"-")</f>
        <v>Sustainability</v>
      </c>
      <c r="P685" s="74" t="str">
        <f>_xlfn.IFNA(VLOOKUP(db_emp[[#This Row],[Code_lvl]],[1]!db_lvl[[#All],[ID_level]:[Leveling Name]],2,0),"-")</f>
        <v>Manager</v>
      </c>
      <c r="Q685" s="74" t="str">
        <f>_xlfn.IFNA(VLOOKUP(db_emp[[#This Row],[Code_site]],[1]!db_site[[ID_Site]:[Url_maps]],3,0),"-")</f>
        <v>Unit - PIK Avenue</v>
      </c>
      <c r="R6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240823,'Bintari Rarastiwi','OPR','SUSTN','Sustainability Manager','LV05','Mall &amp; Cinema','M01','Employee','2024-05-01','2025-10-24'</v>
      </c>
      <c r="S685" s="74">
        <f>db_emp[[#This Row],[NIP (UPDATE)]]</f>
        <v>240823</v>
      </c>
    </row>
    <row r="686" spans="2:19" hidden="1" x14ac:dyDescent="0.25">
      <c r="B686" s="75">
        <v>26</v>
      </c>
      <c r="C686" s="75">
        <v>181068</v>
      </c>
      <c r="D686" s="74" t="s">
        <v>1884</v>
      </c>
      <c r="E686" s="75" t="s">
        <v>1123</v>
      </c>
      <c r="F686" s="75" t="s">
        <v>1885</v>
      </c>
      <c r="G686" s="74" t="s">
        <v>1886</v>
      </c>
      <c r="H686" s="75" t="s">
        <v>953</v>
      </c>
      <c r="I686" s="74" t="s">
        <v>856</v>
      </c>
      <c r="J686" s="75" t="s">
        <v>315</v>
      </c>
      <c r="K686" s="75" t="s">
        <v>903</v>
      </c>
      <c r="L686" s="76">
        <v>43327</v>
      </c>
      <c r="M686" s="77">
        <f t="shared" ca="1" si="22"/>
        <v>45954</v>
      </c>
      <c r="N686" s="74" t="str">
        <f>_xlfn.IFNA(VLOOKUP(db_emp[[#This Row],[ID_DIV]],[1]!db_dpt[[Code_dpt]:[Departement]],2,0),"-")</f>
        <v>HR &amp; GA</v>
      </c>
      <c r="O686" s="74" t="str">
        <f>_xlfn.IFNA(VLOOKUP(db_emp[[#This Row],[ID_SDP]],[1]!db_div[[Code_div]:[Division]],2,0),"-")</f>
        <v>Talent Acquisition</v>
      </c>
      <c r="P686" s="74" t="str">
        <f>_xlfn.IFNA(VLOOKUP(db_emp[[#This Row],[Code_lvl]],[1]!db_lvl[[#All],[ID_level]:[Leveling Name]],2,0),"-")</f>
        <v>Manager</v>
      </c>
      <c r="Q686" s="74" t="str">
        <f>_xlfn.IFNA(VLOOKUP(db_emp[[#This Row],[Code_site]],[1]!db_site[[ID_Site]:[Url_maps]],3,0),"-")</f>
        <v>Head Office - ASGO</v>
      </c>
      <c r="R6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181068,'Vera Ciputra','HRG','TEACQ','Talent Acquisition Manager','LV05','HQ - All','O99','Resign','2018-08-15','2025-10-24'</v>
      </c>
      <c r="S686" s="74">
        <f>db_emp[[#This Row],[NIP (UPDATE)]]</f>
        <v>181068</v>
      </c>
    </row>
    <row r="687" spans="2:19" hidden="1" x14ac:dyDescent="0.25">
      <c r="B687" s="75">
        <v>71</v>
      </c>
      <c r="C687" s="75">
        <v>221283</v>
      </c>
      <c r="D687" s="74" t="s">
        <v>1887</v>
      </c>
      <c r="E687" s="75" t="s">
        <v>1123</v>
      </c>
      <c r="F687" s="75" t="s">
        <v>1885</v>
      </c>
      <c r="G687" s="74" t="s">
        <v>1888</v>
      </c>
      <c r="H687" s="75" t="s">
        <v>853</v>
      </c>
      <c r="I687" s="74" t="s">
        <v>856</v>
      </c>
      <c r="J687" s="75" t="s">
        <v>315</v>
      </c>
      <c r="K687" s="75" t="s">
        <v>850</v>
      </c>
      <c r="L687" s="76">
        <v>44805</v>
      </c>
      <c r="M687" s="77">
        <f t="shared" ca="1" si="22"/>
        <v>45954</v>
      </c>
      <c r="N687" s="74" t="str">
        <f>_xlfn.IFNA(VLOOKUP(db_emp[[#This Row],[ID_DIV]],[1]!db_dpt[[Code_dpt]:[Departement]],2,0),"-")</f>
        <v>HR &amp; GA</v>
      </c>
      <c r="O687" s="74" t="str">
        <f>_xlfn.IFNA(VLOOKUP(db_emp[[#This Row],[ID_SDP]],[1]!db_div[[Code_div]:[Division]],2,0),"-")</f>
        <v>Talent Acquisition</v>
      </c>
      <c r="P687" s="74" t="str">
        <f>_xlfn.IFNA(VLOOKUP(db_emp[[#This Row],[Code_lvl]],[1]!db_lvl[[#All],[ID_level]:[Leveling Name]],2,0),"-")</f>
        <v>Staff</v>
      </c>
      <c r="Q687" s="74" t="str">
        <f>_xlfn.IFNA(VLOOKUP(db_emp[[#This Row],[Code_site]],[1]!db_site[[ID_Site]:[Url_maps]],3,0),"-")</f>
        <v>Head Office - ASGO</v>
      </c>
      <c r="R6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221283,'Vidya Clareta Lembono','HRG','TEACQ','Talent Acquisition Staff','LV12','HQ - All','O99','Employee','2022-09-01','2025-10-24'</v>
      </c>
      <c r="S687" s="74">
        <f>db_emp[[#This Row],[NIP (UPDATE)]]</f>
        <v>221283</v>
      </c>
    </row>
    <row r="688" spans="2:19" hidden="1" x14ac:dyDescent="0.25">
      <c r="B688" s="75">
        <v>158</v>
      </c>
      <c r="C688" s="75">
        <v>250316</v>
      </c>
      <c r="D688" s="74" t="s">
        <v>1889</v>
      </c>
      <c r="E688" s="75" t="s">
        <v>1123</v>
      </c>
      <c r="F688" s="75" t="s">
        <v>1885</v>
      </c>
      <c r="G688" s="74" t="s">
        <v>1888</v>
      </c>
      <c r="H688" s="75" t="s">
        <v>853</v>
      </c>
      <c r="I688" s="74" t="s">
        <v>856</v>
      </c>
      <c r="J688" s="75" t="s">
        <v>315</v>
      </c>
      <c r="K688" s="75" t="s">
        <v>850</v>
      </c>
      <c r="L688" s="76">
        <v>45755</v>
      </c>
      <c r="M688" s="77">
        <f t="shared" ca="1" si="22"/>
        <v>45954</v>
      </c>
      <c r="N688" s="74" t="str">
        <f>_xlfn.IFNA(VLOOKUP(db_emp[[#This Row],[ID_DIV]],[1]!db_dpt[[Code_dpt]:[Departement]],2,0),"-")</f>
        <v>HR &amp; GA</v>
      </c>
      <c r="O688" s="74" t="str">
        <f>_xlfn.IFNA(VLOOKUP(db_emp[[#This Row],[ID_SDP]],[1]!db_div[[Code_div]:[Division]],2,0),"-")</f>
        <v>Talent Acquisition</v>
      </c>
      <c r="P688" s="74" t="str">
        <f>_xlfn.IFNA(VLOOKUP(db_emp[[#This Row],[Code_lvl]],[1]!db_lvl[[#All],[ID_level]:[Leveling Name]],2,0),"-")</f>
        <v>Staff</v>
      </c>
      <c r="Q688" s="74" t="str">
        <f>_xlfn.IFNA(VLOOKUP(db_emp[[#This Row],[Code_site]],[1]!db_site[[ID_Site]:[Url_maps]],3,0),"-")</f>
        <v>Head Office - ASGO</v>
      </c>
      <c r="R6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250316,'Nora Ferbi Astriya','HRG','TEACQ','Talent Acquisition Staff','LV12','HQ - All','O99','Employee','2025-04-08','2025-10-24'</v>
      </c>
      <c r="S688" s="74">
        <f>db_emp[[#This Row],[NIP (UPDATE)]]</f>
        <v>250316</v>
      </c>
    </row>
    <row r="689" spans="2:19" hidden="1" x14ac:dyDescent="0.25">
      <c r="B689" s="75">
        <v>49</v>
      </c>
      <c r="C689" s="75">
        <v>210363</v>
      </c>
      <c r="D689" s="74" t="s">
        <v>1890</v>
      </c>
      <c r="E689" s="75" t="s">
        <v>1123</v>
      </c>
      <c r="F689" s="75" t="s">
        <v>1885</v>
      </c>
      <c r="G689" s="74" t="s">
        <v>1891</v>
      </c>
      <c r="H689" s="75" t="s">
        <v>870</v>
      </c>
      <c r="I689" s="74" t="s">
        <v>856</v>
      </c>
      <c r="J689" s="75" t="s">
        <v>315</v>
      </c>
      <c r="K689" s="75" t="s">
        <v>850</v>
      </c>
      <c r="L689" s="76">
        <v>44349</v>
      </c>
      <c r="M689" s="77">
        <f t="shared" ca="1" si="22"/>
        <v>45954</v>
      </c>
      <c r="N689" s="74" t="str">
        <f>_xlfn.IFNA(VLOOKUP(db_emp[[#This Row],[ID_DIV]],[1]!db_dpt[[Code_dpt]:[Departement]],2,0),"-")</f>
        <v>HR &amp; GA</v>
      </c>
      <c r="O689" s="74" t="str">
        <f>_xlfn.IFNA(VLOOKUP(db_emp[[#This Row],[ID_SDP]],[1]!db_div[[Code_div]:[Division]],2,0),"-")</f>
        <v>Talent Acquisition</v>
      </c>
      <c r="P689" s="74" t="str">
        <f>_xlfn.IFNA(VLOOKUP(db_emp[[#This Row],[Code_lvl]],[1]!db_lvl[[#All],[ID_level]:[Leveling Name]],2,0),"-")</f>
        <v>Supervisor</v>
      </c>
      <c r="Q689" s="74" t="str">
        <f>_xlfn.IFNA(VLOOKUP(db_emp[[#This Row],[Code_site]],[1]!db_site[[ID_Site]:[Url_maps]],3,0),"-")</f>
        <v>Head Office - ASGO</v>
      </c>
      <c r="R6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210363,'Silvia Mutiara Putri Wijaya','HRG','TEACQ','Talent Acquisition Supervisor','LV09','HQ - All','O99','Employee','2021-06-02','2025-10-24'</v>
      </c>
      <c r="S689" s="74">
        <f>db_emp[[#This Row],[NIP (UPDATE)]]</f>
        <v>210363</v>
      </c>
    </row>
    <row r="690" spans="2:19" hidden="1" x14ac:dyDescent="0.25">
      <c r="B690" s="75">
        <v>58</v>
      </c>
      <c r="C690" s="75">
        <v>220203</v>
      </c>
      <c r="D690" s="74" t="s">
        <v>1892</v>
      </c>
      <c r="E690" s="75" t="s">
        <v>845</v>
      </c>
      <c r="F690" s="75" t="s">
        <v>1893</v>
      </c>
      <c r="G690" s="74" t="s">
        <v>1894</v>
      </c>
      <c r="H690" s="75" t="s">
        <v>853</v>
      </c>
      <c r="I690" s="74" t="s">
        <v>849</v>
      </c>
      <c r="J690" s="75" t="s">
        <v>315</v>
      </c>
      <c r="K690" s="75" t="s">
        <v>850</v>
      </c>
      <c r="L690" s="76">
        <v>44606</v>
      </c>
      <c r="M690" s="77">
        <f t="shared" ca="1" si="22"/>
        <v>45954</v>
      </c>
      <c r="N690" s="74" t="str">
        <f>_xlfn.IFNA(VLOOKUP(db_emp[[#This Row],[ID_DIV]],[1]!db_dpt[[Code_dpt]:[Departement]],2,0),"-")</f>
        <v>Finance &amp; Accounting</v>
      </c>
      <c r="O690" s="74" t="str">
        <f>_xlfn.IFNA(VLOOKUP(db_emp[[#This Row],[ID_SDP]],[1]!db_div[[Code_div]:[Division]],2,0),"-")</f>
        <v>Tax</v>
      </c>
      <c r="P690" s="74" t="str">
        <f>_xlfn.IFNA(VLOOKUP(db_emp[[#This Row],[Code_lvl]],[1]!db_lvl[[#All],[ID_level]:[Leveling Name]],2,0),"-")</f>
        <v>Staff</v>
      </c>
      <c r="Q690" s="74" t="str">
        <f>_xlfn.IFNA(VLOOKUP(db_emp[[#This Row],[Code_site]],[1]!db_site[[ID_Site]:[Url_maps]],3,0),"-")</f>
        <v>Head Office - ASGO</v>
      </c>
      <c r="R6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220203,'Zipora Dela Ayustini','FIN','TAXFA','Tax Staff','LV12','Mall &amp; Cinema','O99','Employee','2022-02-14','2025-10-24'</v>
      </c>
      <c r="S690" s="74">
        <f>db_emp[[#This Row],[NIP (UPDATE)]]</f>
        <v>220203</v>
      </c>
    </row>
    <row r="691" spans="2:19" hidden="1" x14ac:dyDescent="0.25">
      <c r="B691" s="75">
        <v>140</v>
      </c>
      <c r="C691" s="75">
        <v>241811</v>
      </c>
      <c r="D691" s="74" t="s">
        <v>1895</v>
      </c>
      <c r="E691" s="75" t="s">
        <v>845</v>
      </c>
      <c r="F691" s="75" t="s">
        <v>1893</v>
      </c>
      <c r="G691" s="74" t="s">
        <v>1894</v>
      </c>
      <c r="H691" s="75" t="s">
        <v>853</v>
      </c>
      <c r="I691" s="74" t="s">
        <v>849</v>
      </c>
      <c r="J691" s="75" t="s">
        <v>315</v>
      </c>
      <c r="K691" s="75" t="s">
        <v>850</v>
      </c>
      <c r="L691" s="76">
        <v>45572</v>
      </c>
      <c r="M691" s="77">
        <f t="shared" ca="1" si="22"/>
        <v>45954</v>
      </c>
      <c r="N691" s="74" t="str">
        <f>_xlfn.IFNA(VLOOKUP(db_emp[[#This Row],[ID_DIV]],[1]!db_dpt[[Code_dpt]:[Departement]],2,0),"-")</f>
        <v>Finance &amp; Accounting</v>
      </c>
      <c r="O691" s="74" t="str">
        <f>_xlfn.IFNA(VLOOKUP(db_emp[[#This Row],[ID_SDP]],[1]!db_div[[Code_div]:[Division]],2,0),"-")</f>
        <v>Tax</v>
      </c>
      <c r="P691" s="74" t="str">
        <f>_xlfn.IFNA(VLOOKUP(db_emp[[#This Row],[Code_lvl]],[1]!db_lvl[[#All],[ID_level]:[Leveling Name]],2,0),"-")</f>
        <v>Staff</v>
      </c>
      <c r="Q691" s="74" t="str">
        <f>_xlfn.IFNA(VLOOKUP(db_emp[[#This Row],[Code_site]],[1]!db_site[[ID_Site]:[Url_maps]],3,0),"-")</f>
        <v>Head Office - ASGO</v>
      </c>
      <c r="R6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241811,'Aldhie Pratama Sugiri','FIN','TAXFA','Tax Staff','LV12','Mall &amp; Cinema','O99','Employee','2024-10-07','2025-10-24'</v>
      </c>
      <c r="S691" s="74">
        <f>db_emp[[#This Row],[NIP (UPDATE)]]</f>
        <v>241811</v>
      </c>
    </row>
    <row r="692" spans="2:19" hidden="1" x14ac:dyDescent="0.25">
      <c r="B692" s="75">
        <v>149</v>
      </c>
      <c r="C692" s="75">
        <v>242044</v>
      </c>
      <c r="D692" s="74" t="s">
        <v>1896</v>
      </c>
      <c r="E692" s="75" t="s">
        <v>845</v>
      </c>
      <c r="F692" s="75" t="s">
        <v>1893</v>
      </c>
      <c r="G692" s="74" t="s">
        <v>1894</v>
      </c>
      <c r="H692" s="75" t="s">
        <v>853</v>
      </c>
      <c r="I692" s="74" t="s">
        <v>849</v>
      </c>
      <c r="J692" s="75" t="s">
        <v>315</v>
      </c>
      <c r="K692" s="75" t="s">
        <v>850</v>
      </c>
      <c r="L692" s="76">
        <v>45607</v>
      </c>
      <c r="M692" s="77">
        <f t="shared" ca="1" si="22"/>
        <v>45954</v>
      </c>
      <c r="N692" s="74" t="str">
        <f>_xlfn.IFNA(VLOOKUP(db_emp[[#This Row],[ID_DIV]],[1]!db_dpt[[Code_dpt]:[Departement]],2,0),"-")</f>
        <v>Finance &amp; Accounting</v>
      </c>
      <c r="O692" s="74" t="str">
        <f>_xlfn.IFNA(VLOOKUP(db_emp[[#This Row],[ID_SDP]],[1]!db_div[[Code_div]:[Division]],2,0),"-")</f>
        <v>Tax</v>
      </c>
      <c r="P692" s="74" t="str">
        <f>_xlfn.IFNA(VLOOKUP(db_emp[[#This Row],[Code_lvl]],[1]!db_lvl[[#All],[ID_level]:[Leveling Name]],2,0),"-")</f>
        <v>Staff</v>
      </c>
      <c r="Q692" s="74" t="str">
        <f>_xlfn.IFNA(VLOOKUP(db_emp[[#This Row],[Code_site]],[1]!db_site[[ID_Site]:[Url_maps]],3,0),"-")</f>
        <v>Head Office - ASGO</v>
      </c>
      <c r="R6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242044,'Try Novri Purba','FIN','TAXFA','Tax Staff','LV12','Mall &amp; Cinema','O99','Employee','2024-11-11','2025-10-24'</v>
      </c>
      <c r="S692" s="74">
        <f>db_emp[[#This Row],[NIP (UPDATE)]]</f>
        <v>242044</v>
      </c>
    </row>
    <row r="693" spans="2:19" hidden="1" x14ac:dyDescent="0.25">
      <c r="B693" s="75">
        <v>151</v>
      </c>
      <c r="C693" s="75">
        <v>242136</v>
      </c>
      <c r="D693" s="74" t="s">
        <v>1897</v>
      </c>
      <c r="E693" s="75" t="s">
        <v>845</v>
      </c>
      <c r="F693" s="75" t="s">
        <v>1893</v>
      </c>
      <c r="G693" s="74" t="s">
        <v>1894</v>
      </c>
      <c r="H693" s="75" t="s">
        <v>853</v>
      </c>
      <c r="I693" s="74" t="s">
        <v>849</v>
      </c>
      <c r="J693" s="75" t="s">
        <v>315</v>
      </c>
      <c r="K693" s="75" t="s">
        <v>850</v>
      </c>
      <c r="L693" s="76">
        <v>45628</v>
      </c>
      <c r="M693" s="77">
        <f t="shared" ca="1" si="22"/>
        <v>45954</v>
      </c>
      <c r="N693" s="74" t="str">
        <f>_xlfn.IFNA(VLOOKUP(db_emp[[#This Row],[ID_DIV]],[1]!db_dpt[[Code_dpt]:[Departement]],2,0),"-")</f>
        <v>Finance &amp; Accounting</v>
      </c>
      <c r="O693" s="74" t="str">
        <f>_xlfn.IFNA(VLOOKUP(db_emp[[#This Row],[ID_SDP]],[1]!db_div[[Code_div]:[Division]],2,0),"-")</f>
        <v>Tax</v>
      </c>
      <c r="P693" s="74" t="str">
        <f>_xlfn.IFNA(VLOOKUP(db_emp[[#This Row],[Code_lvl]],[1]!db_lvl[[#All],[ID_level]:[Leveling Name]],2,0),"-")</f>
        <v>Staff</v>
      </c>
      <c r="Q693" s="74" t="str">
        <f>_xlfn.IFNA(VLOOKUP(db_emp[[#This Row],[Code_site]],[1]!db_site[[ID_Site]:[Url_maps]],3,0),"-")</f>
        <v>Head Office - ASGO</v>
      </c>
      <c r="R6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242136,'Nan Afan','FIN','TAXFA','Tax Staff','LV12','Mall &amp; Cinema','O99','Employee','2024-12-02','2025-10-24'</v>
      </c>
      <c r="S693" s="74">
        <f>db_emp[[#This Row],[NIP (UPDATE)]]</f>
        <v>242136</v>
      </c>
    </row>
    <row r="694" spans="2:19" hidden="1" x14ac:dyDescent="0.25">
      <c r="B694" s="75">
        <v>742</v>
      </c>
      <c r="C694" s="75">
        <v>241389</v>
      </c>
      <c r="D694" s="74" t="s">
        <v>1898</v>
      </c>
      <c r="E694" s="75" t="s">
        <v>845</v>
      </c>
      <c r="F694" s="75" t="s">
        <v>1893</v>
      </c>
      <c r="G694" s="74" t="s">
        <v>1894</v>
      </c>
      <c r="H694" s="75" t="s">
        <v>853</v>
      </c>
      <c r="I694" s="74" t="s">
        <v>864</v>
      </c>
      <c r="J694" s="75" t="s">
        <v>501</v>
      </c>
      <c r="K694" s="75" t="s">
        <v>850</v>
      </c>
      <c r="L694" s="76"/>
      <c r="M694" s="77">
        <f t="shared" ca="1" si="22"/>
        <v>45954</v>
      </c>
      <c r="N694" s="74" t="str">
        <f>_xlfn.IFNA(VLOOKUP(db_emp[[#This Row],[ID_DIV]],[1]!db_dpt[[Code_dpt]:[Departement]],2,0),"-")</f>
        <v>Finance &amp; Accounting</v>
      </c>
      <c r="O694" s="74" t="str">
        <f>_xlfn.IFNA(VLOOKUP(db_emp[[#This Row],[ID_SDP]],[1]!db_div[[Code_div]:[Division]],2,0),"-")</f>
        <v>Tax</v>
      </c>
      <c r="P694" s="74" t="str">
        <f>_xlfn.IFNA(VLOOKUP(db_emp[[#This Row],[Code_lvl]],[1]!db_lvl[[#All],[ID_level]:[Leveling Name]],2,0),"-")</f>
        <v>Staff</v>
      </c>
      <c r="Q694" s="74" t="str">
        <f>_xlfn.IFNA(VLOOKUP(db_emp[[#This Row],[Code_site]],[1]!db_site[[ID_Site]:[Url_maps]],3,0),"-")</f>
        <v>Unit - District 8</v>
      </c>
      <c r="R6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241389,'Vivi Nurhaliza','FIN','TAXFA','Tax Staff','LV12','Corp. Supporting Property (POM)','OD8','Employee','1900-01-00','2025-10-24'</v>
      </c>
      <c r="S694" s="74">
        <f>db_emp[[#This Row],[NIP (UPDATE)]]</f>
        <v>241389</v>
      </c>
    </row>
    <row r="695" spans="2:19" hidden="1" x14ac:dyDescent="0.25">
      <c r="B695" s="75">
        <v>61</v>
      </c>
      <c r="C695" s="75">
        <v>220320</v>
      </c>
      <c r="D695" s="74" t="s">
        <v>1899</v>
      </c>
      <c r="E695" s="75" t="s">
        <v>845</v>
      </c>
      <c r="F695" s="75" t="s">
        <v>1893</v>
      </c>
      <c r="G695" s="74" t="s">
        <v>1900</v>
      </c>
      <c r="H695" s="75" t="s">
        <v>870</v>
      </c>
      <c r="I695" s="74" t="s">
        <v>849</v>
      </c>
      <c r="J695" s="75" t="s">
        <v>315</v>
      </c>
      <c r="K695" s="75" t="s">
        <v>850</v>
      </c>
      <c r="L695" s="76">
        <v>44627</v>
      </c>
      <c r="M695" s="77">
        <f t="shared" ca="1" si="22"/>
        <v>45954</v>
      </c>
      <c r="N695" s="74" t="str">
        <f>_xlfn.IFNA(VLOOKUP(db_emp[[#This Row],[ID_DIV]],[1]!db_dpt[[Code_dpt]:[Departement]],2,0),"-")</f>
        <v>Finance &amp; Accounting</v>
      </c>
      <c r="O695" s="74" t="str">
        <f>_xlfn.IFNA(VLOOKUP(db_emp[[#This Row],[ID_SDP]],[1]!db_div[[Code_div]:[Division]],2,0),"-")</f>
        <v>Tax</v>
      </c>
      <c r="P695" s="74" t="str">
        <f>_xlfn.IFNA(VLOOKUP(db_emp[[#This Row],[Code_lvl]],[1]!db_lvl[[#All],[ID_level]:[Leveling Name]],2,0),"-")</f>
        <v>Supervisor</v>
      </c>
      <c r="Q695" s="74" t="str">
        <f>_xlfn.IFNA(VLOOKUP(db_emp[[#This Row],[Code_site]],[1]!db_site[[ID_Site]:[Url_maps]],3,0),"-")</f>
        <v>Head Office - ASGO</v>
      </c>
      <c r="R6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220320,'Eva Tri Handayani','FIN','TAXFA','Tax Supervisor','LV09','Mall &amp; Cinema','O99','Employee','2022-03-07','2025-10-24'</v>
      </c>
      <c r="S695" s="74">
        <f>db_emp[[#This Row],[NIP (UPDATE)]]</f>
        <v>220320</v>
      </c>
    </row>
    <row r="696" spans="2:19" hidden="1" x14ac:dyDescent="0.25">
      <c r="B696" s="75">
        <v>80</v>
      </c>
      <c r="C696" s="75">
        <v>230073</v>
      </c>
      <c r="D696" s="74" t="s">
        <v>1901</v>
      </c>
      <c r="E696" s="75" t="s">
        <v>845</v>
      </c>
      <c r="F696" s="75" t="s">
        <v>1893</v>
      </c>
      <c r="G696" s="74" t="s">
        <v>1900</v>
      </c>
      <c r="H696" s="75" t="s">
        <v>870</v>
      </c>
      <c r="I696" s="74" t="s">
        <v>864</v>
      </c>
      <c r="J696" s="75" t="s">
        <v>315</v>
      </c>
      <c r="K696" s="75" t="s">
        <v>850</v>
      </c>
      <c r="L696" s="76">
        <v>44950</v>
      </c>
      <c r="M696" s="77">
        <f t="shared" ca="1" si="22"/>
        <v>45954</v>
      </c>
      <c r="N696" s="74" t="str">
        <f>_xlfn.IFNA(VLOOKUP(db_emp[[#This Row],[ID_DIV]],[1]!db_dpt[[Code_dpt]:[Departement]],2,0),"-")</f>
        <v>Finance &amp; Accounting</v>
      </c>
      <c r="O696" s="74" t="str">
        <f>_xlfn.IFNA(VLOOKUP(db_emp[[#This Row],[ID_SDP]],[1]!db_div[[Code_div]:[Division]],2,0),"-")</f>
        <v>Tax</v>
      </c>
      <c r="P696" s="74" t="str">
        <f>_xlfn.IFNA(VLOOKUP(db_emp[[#This Row],[Code_lvl]],[1]!db_lvl[[#All],[ID_level]:[Leveling Name]],2,0),"-")</f>
        <v>Supervisor</v>
      </c>
      <c r="Q696" s="74" t="str">
        <f>_xlfn.IFNA(VLOOKUP(db_emp[[#This Row],[Code_site]],[1]!db_site[[ID_Site]:[Url_maps]],3,0),"-")</f>
        <v>Head Office - ASGO</v>
      </c>
      <c r="R6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230073,'Agustinus Edi Gunarso','FIN','TAXFA','Tax Supervisor','LV09','Corp. Supporting Property (POM)','O99','Employee','2023-01-24','2025-10-24'</v>
      </c>
      <c r="S696" s="74">
        <f>db_emp[[#This Row],[NIP (UPDATE)]]</f>
        <v>230073</v>
      </c>
    </row>
    <row r="697" spans="2:19" hidden="1" x14ac:dyDescent="0.25">
      <c r="B697" s="75">
        <v>652</v>
      </c>
      <c r="C697" s="75">
        <v>170321</v>
      </c>
      <c r="D697" s="74" t="s">
        <v>1902</v>
      </c>
      <c r="E697" s="75" t="s">
        <v>1903</v>
      </c>
      <c r="F697" s="75" t="s">
        <v>1904</v>
      </c>
      <c r="G697" s="74" t="s">
        <v>1905</v>
      </c>
      <c r="H697" s="75" t="s">
        <v>853</v>
      </c>
      <c r="I697" s="74" t="s">
        <v>864</v>
      </c>
      <c r="J697" s="75" t="s">
        <v>501</v>
      </c>
      <c r="K697" s="75" t="s">
        <v>850</v>
      </c>
      <c r="L697" s="76"/>
      <c r="M697" s="77">
        <f t="shared" ca="1" si="22"/>
        <v>45954</v>
      </c>
      <c r="N697" s="74" t="str">
        <f>_xlfn.IFNA(VLOOKUP(db_emp[[#This Row],[ID_DIV]],[1]!db_dpt[[Code_dpt]:[Departement]],2,0),"-")</f>
        <v>-</v>
      </c>
      <c r="O697" s="74" t="str">
        <f>_xlfn.IFNA(VLOOKUP(db_emp[[#This Row],[ID_SDP]],[1]!db_div[[Code_div]:[Division]],2,0),"-")</f>
        <v>Technicians</v>
      </c>
      <c r="P697" s="74" t="str">
        <f>_xlfn.IFNA(VLOOKUP(db_emp[[#This Row],[Code_lvl]],[1]!db_lvl[[#All],[ID_level]:[Leveling Name]],2,0),"-")</f>
        <v>Staff</v>
      </c>
      <c r="Q697" s="74" t="str">
        <f>_xlfn.IFNA(VLOOKUP(db_emp[[#This Row],[Code_site]],[1]!db_site[[ID_Site]:[Url_maps]],3,0),"-")</f>
        <v>Unit - District 8</v>
      </c>
      <c r="R6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170321,'Aswin Faris Tarigan','TCH','TCHNS','Technician Staff','LV12','Corp. Supporting Property (POM)','OD8','Employee','1900-01-00','2025-10-24'</v>
      </c>
      <c r="S697" s="74">
        <f>db_emp[[#This Row],[NIP (UPDATE)]]</f>
        <v>170321</v>
      </c>
    </row>
    <row r="698" spans="2:19" hidden="1" x14ac:dyDescent="0.25">
      <c r="B698" s="75">
        <v>653</v>
      </c>
      <c r="C698" s="75">
        <v>170333</v>
      </c>
      <c r="D698" s="74" t="s">
        <v>1906</v>
      </c>
      <c r="E698" s="75" t="s">
        <v>1903</v>
      </c>
      <c r="F698" s="75" t="s">
        <v>1904</v>
      </c>
      <c r="G698" s="74" t="s">
        <v>1905</v>
      </c>
      <c r="H698" s="75" t="s">
        <v>853</v>
      </c>
      <c r="I698" s="74" t="s">
        <v>864</v>
      </c>
      <c r="J698" s="75" t="s">
        <v>501</v>
      </c>
      <c r="K698" s="75" t="s">
        <v>850</v>
      </c>
      <c r="L698" s="76"/>
      <c r="M698" s="77">
        <f t="shared" ca="1" si="22"/>
        <v>45954</v>
      </c>
      <c r="N698" s="74" t="str">
        <f>_xlfn.IFNA(VLOOKUP(db_emp[[#This Row],[ID_DIV]],[1]!db_dpt[[Code_dpt]:[Departement]],2,0),"-")</f>
        <v>-</v>
      </c>
      <c r="O698" s="74" t="str">
        <f>_xlfn.IFNA(VLOOKUP(db_emp[[#This Row],[ID_SDP]],[1]!db_div[[Code_div]:[Division]],2,0),"-")</f>
        <v>Technicians</v>
      </c>
      <c r="P698" s="74" t="str">
        <f>_xlfn.IFNA(VLOOKUP(db_emp[[#This Row],[Code_lvl]],[1]!db_lvl[[#All],[ID_level]:[Leveling Name]],2,0),"-")</f>
        <v>Staff</v>
      </c>
      <c r="Q698" s="74" t="str">
        <f>_xlfn.IFNA(VLOOKUP(db_emp[[#This Row],[Code_site]],[1]!db_site[[ID_Site]:[Url_maps]],3,0),"-")</f>
        <v>Unit - District 8</v>
      </c>
      <c r="R6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170333,'Hasan Basri','TCH','TCHNS','Technician Staff','LV12','Corp. Supporting Property (POM)','OD8','Employee','1900-01-00','2025-10-24'</v>
      </c>
      <c r="S698" s="74">
        <f>db_emp[[#This Row],[NIP (UPDATE)]]</f>
        <v>170333</v>
      </c>
    </row>
    <row r="699" spans="2:19" hidden="1" x14ac:dyDescent="0.25">
      <c r="B699" s="75">
        <v>655</v>
      </c>
      <c r="C699" s="75">
        <v>170417</v>
      </c>
      <c r="D699" s="74" t="s">
        <v>1907</v>
      </c>
      <c r="E699" s="75" t="s">
        <v>1903</v>
      </c>
      <c r="F699" s="75" t="s">
        <v>1904</v>
      </c>
      <c r="G699" s="74" t="s">
        <v>1905</v>
      </c>
      <c r="H699" s="75" t="s">
        <v>853</v>
      </c>
      <c r="I699" s="74" t="s">
        <v>864</v>
      </c>
      <c r="J699" s="75" t="s">
        <v>501</v>
      </c>
      <c r="K699" s="75" t="s">
        <v>850</v>
      </c>
      <c r="L699" s="76"/>
      <c r="M699" s="77">
        <f t="shared" ca="1" si="22"/>
        <v>45954</v>
      </c>
      <c r="N699" s="74" t="str">
        <f>_xlfn.IFNA(VLOOKUP(db_emp[[#This Row],[ID_DIV]],[1]!db_dpt[[Code_dpt]:[Departement]],2,0),"-")</f>
        <v>-</v>
      </c>
      <c r="O699" s="74" t="str">
        <f>_xlfn.IFNA(VLOOKUP(db_emp[[#This Row],[ID_SDP]],[1]!db_div[[Code_div]:[Division]],2,0),"-")</f>
        <v>Technicians</v>
      </c>
      <c r="P699" s="74" t="str">
        <f>_xlfn.IFNA(VLOOKUP(db_emp[[#This Row],[Code_lvl]],[1]!db_lvl[[#All],[ID_level]:[Leveling Name]],2,0),"-")</f>
        <v>Staff</v>
      </c>
      <c r="Q699" s="74" t="str">
        <f>_xlfn.IFNA(VLOOKUP(db_emp[[#This Row],[Code_site]],[1]!db_site[[ID_Site]:[Url_maps]],3,0),"-")</f>
        <v>Unit - District 8</v>
      </c>
      <c r="R6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170417,'Ricky Marchiano','TCH','TCHNS','Technician Staff','LV12','Corp. Supporting Property (POM)','OD8','Employee','1900-01-00','2025-10-24'</v>
      </c>
      <c r="S699" s="74">
        <f>db_emp[[#This Row],[NIP (UPDATE)]]</f>
        <v>170417</v>
      </c>
    </row>
    <row r="700" spans="2:19" hidden="1" x14ac:dyDescent="0.25">
      <c r="B700" s="75">
        <v>656</v>
      </c>
      <c r="C700" s="75">
        <v>170426</v>
      </c>
      <c r="D700" s="74" t="s">
        <v>1908</v>
      </c>
      <c r="E700" s="75" t="s">
        <v>1903</v>
      </c>
      <c r="F700" s="75" t="s">
        <v>1904</v>
      </c>
      <c r="G700" s="74" t="s">
        <v>1905</v>
      </c>
      <c r="H700" s="75" t="s">
        <v>853</v>
      </c>
      <c r="I700" s="74" t="s">
        <v>864</v>
      </c>
      <c r="J700" s="75" t="s">
        <v>501</v>
      </c>
      <c r="K700" s="75" t="s">
        <v>850</v>
      </c>
      <c r="L700" s="76"/>
      <c r="M700" s="77">
        <f t="shared" ca="1" si="22"/>
        <v>45954</v>
      </c>
      <c r="N700" s="74" t="str">
        <f>_xlfn.IFNA(VLOOKUP(db_emp[[#This Row],[ID_DIV]],[1]!db_dpt[[Code_dpt]:[Departement]],2,0),"-")</f>
        <v>-</v>
      </c>
      <c r="O700" s="74" t="str">
        <f>_xlfn.IFNA(VLOOKUP(db_emp[[#This Row],[ID_SDP]],[1]!db_div[[Code_div]:[Division]],2,0),"-")</f>
        <v>Technicians</v>
      </c>
      <c r="P700" s="74" t="str">
        <f>_xlfn.IFNA(VLOOKUP(db_emp[[#This Row],[Code_lvl]],[1]!db_lvl[[#All],[ID_level]:[Leveling Name]],2,0),"-")</f>
        <v>Staff</v>
      </c>
      <c r="Q700" s="74" t="str">
        <f>_xlfn.IFNA(VLOOKUP(db_emp[[#This Row],[Code_site]],[1]!db_site[[ID_Site]:[Url_maps]],3,0),"-")</f>
        <v>Unit - District 8</v>
      </c>
      <c r="R7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170426,'Supriyanto.','TCH','TCHNS','Technician Staff','LV12','Corp. Supporting Property (POM)','OD8','Employee','1900-01-00','2025-10-24'</v>
      </c>
      <c r="S700" s="74">
        <f>db_emp[[#This Row],[NIP (UPDATE)]]</f>
        <v>170426</v>
      </c>
    </row>
    <row r="701" spans="2:19" hidden="1" x14ac:dyDescent="0.25">
      <c r="B701" s="75">
        <v>657</v>
      </c>
      <c r="C701" s="75">
        <v>170973</v>
      </c>
      <c r="D701" s="74" t="s">
        <v>1909</v>
      </c>
      <c r="E701" s="75" t="s">
        <v>1903</v>
      </c>
      <c r="F701" s="75" t="s">
        <v>1904</v>
      </c>
      <c r="G701" s="74" t="s">
        <v>1905</v>
      </c>
      <c r="H701" s="75" t="s">
        <v>853</v>
      </c>
      <c r="I701" s="74" t="s">
        <v>864</v>
      </c>
      <c r="J701" s="75" t="s">
        <v>501</v>
      </c>
      <c r="K701" s="75" t="s">
        <v>850</v>
      </c>
      <c r="L701" s="76"/>
      <c r="M701" s="77">
        <f t="shared" ca="1" si="22"/>
        <v>45954</v>
      </c>
      <c r="N701" s="74" t="str">
        <f>_xlfn.IFNA(VLOOKUP(db_emp[[#This Row],[ID_DIV]],[1]!db_dpt[[Code_dpt]:[Departement]],2,0),"-")</f>
        <v>-</v>
      </c>
      <c r="O701" s="74" t="str">
        <f>_xlfn.IFNA(VLOOKUP(db_emp[[#This Row],[ID_SDP]],[1]!db_div[[Code_div]:[Division]],2,0),"-")</f>
        <v>Technicians</v>
      </c>
      <c r="P701" s="74" t="str">
        <f>_xlfn.IFNA(VLOOKUP(db_emp[[#This Row],[Code_lvl]],[1]!db_lvl[[#All],[ID_level]:[Leveling Name]],2,0),"-")</f>
        <v>Staff</v>
      </c>
      <c r="Q701" s="74" t="str">
        <f>_xlfn.IFNA(VLOOKUP(db_emp[[#This Row],[Code_site]],[1]!db_site[[ID_Site]:[Url_maps]],3,0),"-")</f>
        <v>Unit - District 8</v>
      </c>
      <c r="R7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170973,'Suparmin.','TCH','TCHNS','Technician Staff','LV12','Corp. Supporting Property (POM)','OD8','Employee','1900-01-00','2025-10-24'</v>
      </c>
      <c r="S701" s="74">
        <f>db_emp[[#This Row],[NIP (UPDATE)]]</f>
        <v>170973</v>
      </c>
    </row>
    <row r="702" spans="2:19" hidden="1" x14ac:dyDescent="0.25">
      <c r="B702" s="75">
        <v>662</v>
      </c>
      <c r="C702" s="75">
        <v>180360</v>
      </c>
      <c r="D702" s="74" t="s">
        <v>1910</v>
      </c>
      <c r="E702" s="75" t="s">
        <v>1903</v>
      </c>
      <c r="F702" s="75" t="s">
        <v>1904</v>
      </c>
      <c r="G702" s="74" t="s">
        <v>1905</v>
      </c>
      <c r="H702" s="75" t="s">
        <v>853</v>
      </c>
      <c r="I702" s="74" t="s">
        <v>864</v>
      </c>
      <c r="J702" s="75" t="s">
        <v>501</v>
      </c>
      <c r="K702" s="75" t="s">
        <v>850</v>
      </c>
      <c r="L702" s="76"/>
      <c r="M702" s="77">
        <f t="shared" ca="1" si="22"/>
        <v>45954</v>
      </c>
      <c r="N702" s="74" t="str">
        <f>_xlfn.IFNA(VLOOKUP(db_emp[[#This Row],[ID_DIV]],[1]!db_dpt[[Code_dpt]:[Departement]],2,0),"-")</f>
        <v>-</v>
      </c>
      <c r="O702" s="74" t="str">
        <f>_xlfn.IFNA(VLOOKUP(db_emp[[#This Row],[ID_SDP]],[1]!db_div[[Code_div]:[Division]],2,0),"-")</f>
        <v>Technicians</v>
      </c>
      <c r="P702" s="74" t="str">
        <f>_xlfn.IFNA(VLOOKUP(db_emp[[#This Row],[Code_lvl]],[1]!db_lvl[[#All],[ID_level]:[Leveling Name]],2,0),"-")</f>
        <v>Staff</v>
      </c>
      <c r="Q702" s="74" t="str">
        <f>_xlfn.IFNA(VLOOKUP(db_emp[[#This Row],[Code_site]],[1]!db_site[[ID_Site]:[Url_maps]],3,0),"-")</f>
        <v>Unit - District 8</v>
      </c>
      <c r="R7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180360,'Sutarman.','TCH','TCHNS','Technician Staff','LV12','Corp. Supporting Property (POM)','OD8','Employee','1900-01-00','2025-10-24'</v>
      </c>
      <c r="S702" s="74">
        <f>db_emp[[#This Row],[NIP (UPDATE)]]</f>
        <v>180360</v>
      </c>
    </row>
    <row r="703" spans="2:19" hidden="1" x14ac:dyDescent="0.25">
      <c r="B703" s="75">
        <v>665</v>
      </c>
      <c r="C703" s="75">
        <v>180490</v>
      </c>
      <c r="D703" s="74" t="s">
        <v>1911</v>
      </c>
      <c r="E703" s="75" t="s">
        <v>1903</v>
      </c>
      <c r="F703" s="75" t="s">
        <v>1904</v>
      </c>
      <c r="G703" s="74" t="s">
        <v>1905</v>
      </c>
      <c r="H703" s="75" t="s">
        <v>853</v>
      </c>
      <c r="I703" s="74" t="s">
        <v>864</v>
      </c>
      <c r="J703" s="75" t="s">
        <v>501</v>
      </c>
      <c r="K703" s="75" t="s">
        <v>850</v>
      </c>
      <c r="L703" s="76"/>
      <c r="M703" s="77">
        <f t="shared" ca="1" si="22"/>
        <v>45954</v>
      </c>
      <c r="N703" s="74" t="str">
        <f>_xlfn.IFNA(VLOOKUP(db_emp[[#This Row],[ID_DIV]],[1]!db_dpt[[Code_dpt]:[Departement]],2,0),"-")</f>
        <v>-</v>
      </c>
      <c r="O703" s="74" t="str">
        <f>_xlfn.IFNA(VLOOKUP(db_emp[[#This Row],[ID_SDP]],[1]!db_div[[Code_div]:[Division]],2,0),"-")</f>
        <v>Technicians</v>
      </c>
      <c r="P703" s="74" t="str">
        <f>_xlfn.IFNA(VLOOKUP(db_emp[[#This Row],[Code_lvl]],[1]!db_lvl[[#All],[ID_level]:[Leveling Name]],2,0),"-")</f>
        <v>Staff</v>
      </c>
      <c r="Q703" s="74" t="str">
        <f>_xlfn.IFNA(VLOOKUP(db_emp[[#This Row],[Code_site]],[1]!db_site[[ID_Site]:[Url_maps]],3,0),"-")</f>
        <v>Unit - District 8</v>
      </c>
      <c r="R7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180490,'Deny.','TCH','TCHNS','Technician Staff','LV12','Corp. Supporting Property (POM)','OD8','Employee','1900-01-00','2025-10-24'</v>
      </c>
      <c r="S703" s="74">
        <f>db_emp[[#This Row],[NIP (UPDATE)]]</f>
        <v>180490</v>
      </c>
    </row>
    <row r="704" spans="2:19" hidden="1" x14ac:dyDescent="0.25">
      <c r="B704" s="75">
        <v>711</v>
      </c>
      <c r="C704" s="75">
        <v>240441</v>
      </c>
      <c r="D704" s="74" t="s">
        <v>1912</v>
      </c>
      <c r="E704" s="75" t="s">
        <v>1903</v>
      </c>
      <c r="F704" s="75" t="s">
        <v>1904</v>
      </c>
      <c r="G704" s="74" t="s">
        <v>1905</v>
      </c>
      <c r="H704" s="75" t="s">
        <v>853</v>
      </c>
      <c r="I704" s="74" t="s">
        <v>864</v>
      </c>
      <c r="J704" s="75" t="s">
        <v>501</v>
      </c>
      <c r="K704" s="75" t="s">
        <v>850</v>
      </c>
      <c r="L704" s="76"/>
      <c r="M704" s="77">
        <f t="shared" ca="1" si="22"/>
        <v>45954</v>
      </c>
      <c r="N704" s="74" t="str">
        <f>_xlfn.IFNA(VLOOKUP(db_emp[[#This Row],[ID_DIV]],[1]!db_dpt[[Code_dpt]:[Departement]],2,0),"-")</f>
        <v>-</v>
      </c>
      <c r="O704" s="74" t="str">
        <f>_xlfn.IFNA(VLOOKUP(db_emp[[#This Row],[ID_SDP]],[1]!db_div[[Code_div]:[Division]],2,0),"-")</f>
        <v>Technicians</v>
      </c>
      <c r="P704" s="74" t="str">
        <f>_xlfn.IFNA(VLOOKUP(db_emp[[#This Row],[Code_lvl]],[1]!db_lvl[[#All],[ID_level]:[Leveling Name]],2,0),"-")</f>
        <v>Staff</v>
      </c>
      <c r="Q704" s="74" t="str">
        <f>_xlfn.IFNA(VLOOKUP(db_emp[[#This Row],[Code_site]],[1]!db_site[[ID_Site]:[Url_maps]],3,0),"-")</f>
        <v>Unit - District 8</v>
      </c>
      <c r="R7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240441,'Abdul Khanif','TCH','TCHNS','Technician Staff','LV12','Corp. Supporting Property (POM)','OD8','Employee','1900-01-00','2025-10-24'</v>
      </c>
      <c r="S704" s="74">
        <f>db_emp[[#This Row],[NIP (UPDATE)]]</f>
        <v>240441</v>
      </c>
    </row>
    <row r="705" spans="2:19" hidden="1" x14ac:dyDescent="0.25">
      <c r="B705" s="75">
        <v>712</v>
      </c>
      <c r="C705" s="75">
        <v>240443</v>
      </c>
      <c r="D705" s="74" t="s">
        <v>1913</v>
      </c>
      <c r="E705" s="75" t="s">
        <v>1903</v>
      </c>
      <c r="F705" s="75" t="s">
        <v>1904</v>
      </c>
      <c r="G705" s="74" t="s">
        <v>1905</v>
      </c>
      <c r="H705" s="75" t="s">
        <v>853</v>
      </c>
      <c r="I705" s="74" t="s">
        <v>864</v>
      </c>
      <c r="J705" s="75" t="s">
        <v>501</v>
      </c>
      <c r="K705" s="75" t="s">
        <v>850</v>
      </c>
      <c r="L705" s="76"/>
      <c r="M705" s="77">
        <f t="shared" ca="1" si="22"/>
        <v>45954</v>
      </c>
      <c r="N705" s="74" t="str">
        <f>_xlfn.IFNA(VLOOKUP(db_emp[[#This Row],[ID_DIV]],[1]!db_dpt[[Code_dpt]:[Departement]],2,0),"-")</f>
        <v>-</v>
      </c>
      <c r="O705" s="74" t="str">
        <f>_xlfn.IFNA(VLOOKUP(db_emp[[#This Row],[ID_SDP]],[1]!db_div[[Code_div]:[Division]],2,0),"-")</f>
        <v>Technicians</v>
      </c>
      <c r="P705" s="74" t="str">
        <f>_xlfn.IFNA(VLOOKUP(db_emp[[#This Row],[Code_lvl]],[1]!db_lvl[[#All],[ID_level]:[Leveling Name]],2,0),"-")</f>
        <v>Staff</v>
      </c>
      <c r="Q705" s="74" t="str">
        <f>_xlfn.IFNA(VLOOKUP(db_emp[[#This Row],[Code_site]],[1]!db_site[[ID_Site]:[Url_maps]],3,0),"-")</f>
        <v>Unit - District 8</v>
      </c>
      <c r="R7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240443,'Adiyana Yusuf','TCH','TCHNS','Technician Staff','LV12','Corp. Supporting Property (POM)','OD8','Employee','1900-01-00','2025-10-24'</v>
      </c>
      <c r="S705" s="74">
        <f>db_emp[[#This Row],[NIP (UPDATE)]]</f>
        <v>240443</v>
      </c>
    </row>
    <row r="706" spans="2:19" hidden="1" x14ac:dyDescent="0.25">
      <c r="B706" s="75">
        <v>716</v>
      </c>
      <c r="C706" s="75">
        <v>240454</v>
      </c>
      <c r="D706" s="74" t="s">
        <v>1914</v>
      </c>
      <c r="E706" s="75" t="s">
        <v>1903</v>
      </c>
      <c r="F706" s="75" t="s">
        <v>1904</v>
      </c>
      <c r="G706" s="74" t="s">
        <v>1905</v>
      </c>
      <c r="H706" s="75" t="s">
        <v>853</v>
      </c>
      <c r="I706" s="74" t="s">
        <v>864</v>
      </c>
      <c r="J706" s="75" t="s">
        <v>501</v>
      </c>
      <c r="K706" s="75" t="s">
        <v>850</v>
      </c>
      <c r="L706" s="76"/>
      <c r="M706" s="77">
        <f t="shared" ca="1" si="22"/>
        <v>45954</v>
      </c>
      <c r="N706" s="74" t="str">
        <f>_xlfn.IFNA(VLOOKUP(db_emp[[#This Row],[ID_DIV]],[1]!db_dpt[[Code_dpt]:[Departement]],2,0),"-")</f>
        <v>-</v>
      </c>
      <c r="O706" s="74" t="str">
        <f>_xlfn.IFNA(VLOOKUP(db_emp[[#This Row],[ID_SDP]],[1]!db_div[[Code_div]:[Division]],2,0),"-")</f>
        <v>Technicians</v>
      </c>
      <c r="P706" s="74" t="str">
        <f>_xlfn.IFNA(VLOOKUP(db_emp[[#This Row],[Code_lvl]],[1]!db_lvl[[#All],[ID_level]:[Leveling Name]],2,0),"-")</f>
        <v>Staff</v>
      </c>
      <c r="Q706" s="74" t="str">
        <f>_xlfn.IFNA(VLOOKUP(db_emp[[#This Row],[Code_site]],[1]!db_site[[ID_Site]:[Url_maps]],3,0),"-")</f>
        <v>Unit - District 8</v>
      </c>
      <c r="R7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240454,'Wahyu Khairuddin','TCH','TCHNS','Technician Staff','LV12','Corp. Supporting Property (POM)','OD8','Employee','1900-01-00','2025-10-24'</v>
      </c>
      <c r="S706" s="74">
        <f>db_emp[[#This Row],[NIP (UPDATE)]]</f>
        <v>240454</v>
      </c>
    </row>
    <row r="707" spans="2:19" hidden="1" x14ac:dyDescent="0.25">
      <c r="B707" s="75">
        <v>717</v>
      </c>
      <c r="C707" s="75">
        <v>240457</v>
      </c>
      <c r="D707" s="74" t="s">
        <v>1915</v>
      </c>
      <c r="E707" s="75" t="s">
        <v>1903</v>
      </c>
      <c r="F707" s="75" t="s">
        <v>1904</v>
      </c>
      <c r="G707" s="74" t="s">
        <v>1905</v>
      </c>
      <c r="H707" s="75" t="s">
        <v>853</v>
      </c>
      <c r="I707" s="74" t="s">
        <v>864</v>
      </c>
      <c r="J707" s="75" t="s">
        <v>501</v>
      </c>
      <c r="K707" s="75" t="s">
        <v>850</v>
      </c>
      <c r="L707" s="76"/>
      <c r="M707" s="77">
        <f t="shared" ca="1" si="22"/>
        <v>45954</v>
      </c>
      <c r="N707" s="74" t="str">
        <f>_xlfn.IFNA(VLOOKUP(db_emp[[#This Row],[ID_DIV]],[1]!db_dpt[[Code_dpt]:[Departement]],2,0),"-")</f>
        <v>-</v>
      </c>
      <c r="O707" s="74" t="str">
        <f>_xlfn.IFNA(VLOOKUP(db_emp[[#This Row],[ID_SDP]],[1]!db_div[[Code_div]:[Division]],2,0),"-")</f>
        <v>Technicians</v>
      </c>
      <c r="P707" s="74" t="str">
        <f>_xlfn.IFNA(VLOOKUP(db_emp[[#This Row],[Code_lvl]],[1]!db_lvl[[#All],[ID_level]:[Leveling Name]],2,0),"-")</f>
        <v>Staff</v>
      </c>
      <c r="Q707" s="74" t="str">
        <f>_xlfn.IFNA(VLOOKUP(db_emp[[#This Row],[Code_site]],[1]!db_site[[ID_Site]:[Url_maps]],3,0),"-")</f>
        <v>Unit - District 8</v>
      </c>
      <c r="R7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240457,'Anwar Hoja','TCH','TCHNS','Technician Staff','LV12','Corp. Supporting Property (POM)','OD8','Employee','1900-01-00','2025-10-24'</v>
      </c>
      <c r="S707" s="74">
        <f>db_emp[[#This Row],[NIP (UPDATE)]]</f>
        <v>240457</v>
      </c>
    </row>
    <row r="708" spans="2:19" hidden="1" x14ac:dyDescent="0.25">
      <c r="B708" s="75">
        <v>718</v>
      </c>
      <c r="C708" s="75">
        <v>240460</v>
      </c>
      <c r="D708" s="74" t="s">
        <v>1916</v>
      </c>
      <c r="E708" s="75" t="s">
        <v>1903</v>
      </c>
      <c r="F708" s="75" t="s">
        <v>1904</v>
      </c>
      <c r="G708" s="74" t="s">
        <v>1905</v>
      </c>
      <c r="H708" s="75" t="s">
        <v>853</v>
      </c>
      <c r="I708" s="74" t="s">
        <v>864</v>
      </c>
      <c r="J708" s="75" t="s">
        <v>501</v>
      </c>
      <c r="K708" s="75" t="s">
        <v>850</v>
      </c>
      <c r="L708" s="76"/>
      <c r="M708" s="77">
        <f t="shared" ca="1" si="22"/>
        <v>45954</v>
      </c>
      <c r="N708" s="74" t="str">
        <f>_xlfn.IFNA(VLOOKUP(db_emp[[#This Row],[ID_DIV]],[1]!db_dpt[[Code_dpt]:[Departement]],2,0),"-")</f>
        <v>-</v>
      </c>
      <c r="O708" s="74" t="str">
        <f>_xlfn.IFNA(VLOOKUP(db_emp[[#This Row],[ID_SDP]],[1]!db_div[[Code_div]:[Division]],2,0),"-")</f>
        <v>Technicians</v>
      </c>
      <c r="P708" s="74" t="str">
        <f>_xlfn.IFNA(VLOOKUP(db_emp[[#This Row],[Code_lvl]],[1]!db_lvl[[#All],[ID_level]:[Leveling Name]],2,0),"-")</f>
        <v>Staff</v>
      </c>
      <c r="Q708" s="74" t="str">
        <f>_xlfn.IFNA(VLOOKUP(db_emp[[#This Row],[Code_site]],[1]!db_site[[ID_Site]:[Url_maps]],3,0),"-")</f>
        <v>Unit - District 8</v>
      </c>
      <c r="R7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240460,'Muhammad Dedy Irwanto','TCH','TCHNS','Technician Staff','LV12','Corp. Supporting Property (POM)','OD8','Employee','1900-01-00','2025-10-24'</v>
      </c>
      <c r="S708" s="74">
        <f>db_emp[[#This Row],[NIP (UPDATE)]]</f>
        <v>240460</v>
      </c>
    </row>
    <row r="709" spans="2:19" hidden="1" x14ac:dyDescent="0.25">
      <c r="B709" s="75">
        <v>674</v>
      </c>
      <c r="C709" s="75">
        <v>210550</v>
      </c>
      <c r="D709" s="74" t="s">
        <v>1917</v>
      </c>
      <c r="E709" s="75" t="s">
        <v>1036</v>
      </c>
      <c r="F709" s="75" t="s">
        <v>1359</v>
      </c>
      <c r="G709" s="74" t="s">
        <v>1918</v>
      </c>
      <c r="H709" s="75" t="s">
        <v>853</v>
      </c>
      <c r="I709" s="74" t="s">
        <v>864</v>
      </c>
      <c r="J709" s="75" t="s">
        <v>501</v>
      </c>
      <c r="K709" s="75" t="s">
        <v>850</v>
      </c>
      <c r="L709" s="76"/>
      <c r="M709" s="77">
        <f t="shared" ca="1" si="22"/>
        <v>45954</v>
      </c>
      <c r="N709" s="74" t="str">
        <f>_xlfn.IFNA(VLOOKUP(db_emp[[#This Row],[ID_DIV]],[1]!db_dpt[[Code_dpt]:[Departement]],2,0),"-")</f>
        <v>Tenant Relation</v>
      </c>
      <c r="O709" s="74" t="str">
        <f>_xlfn.IFNA(VLOOKUP(db_emp[[#This Row],[ID_SDP]],[1]!db_div[[Code_div]:[Division]],2,0),"-")</f>
        <v>Facilities</v>
      </c>
      <c r="P709" s="74" t="str">
        <f>_xlfn.IFNA(VLOOKUP(db_emp[[#This Row],[Code_lvl]],[1]!db_lvl[[#All],[ID_level]:[Leveling Name]],2,0),"-")</f>
        <v>Staff</v>
      </c>
      <c r="Q709" s="74" t="str">
        <f>_xlfn.IFNA(VLOOKUP(db_emp[[#This Row],[Code_site]],[1]!db_site[[ID_Site]:[Url_maps]],3,0),"-")</f>
        <v>Unit - District 8</v>
      </c>
      <c r="R7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210550,'Mardiansyah.','TRL','FACIL','Tenant Facilities Staff','LV12','Corp. Supporting Property (POM)','OD8','Employee','1900-01-00','2025-10-24'</v>
      </c>
      <c r="S709" s="74">
        <f>db_emp[[#This Row],[NIP (UPDATE)]]</f>
        <v>210550</v>
      </c>
    </row>
    <row r="710" spans="2:19" hidden="1" x14ac:dyDescent="0.25">
      <c r="B710" s="75">
        <v>691</v>
      </c>
      <c r="C710" s="75">
        <v>231393</v>
      </c>
      <c r="D710" s="74" t="s">
        <v>1919</v>
      </c>
      <c r="E710" s="75" t="s">
        <v>1036</v>
      </c>
      <c r="F710" s="75" t="s">
        <v>1359</v>
      </c>
      <c r="G710" s="74" t="s">
        <v>1918</v>
      </c>
      <c r="H710" s="75" t="s">
        <v>853</v>
      </c>
      <c r="I710" s="74" t="s">
        <v>864</v>
      </c>
      <c r="J710" s="75" t="s">
        <v>501</v>
      </c>
      <c r="K710" s="75" t="s">
        <v>850</v>
      </c>
      <c r="L710" s="76"/>
      <c r="M710" s="77">
        <f t="shared" ca="1" si="22"/>
        <v>45954</v>
      </c>
      <c r="N710" s="74" t="str">
        <f>_xlfn.IFNA(VLOOKUP(db_emp[[#This Row],[ID_DIV]],[1]!db_dpt[[Code_dpt]:[Departement]],2,0),"-")</f>
        <v>Tenant Relation</v>
      </c>
      <c r="O710" s="74" t="str">
        <f>_xlfn.IFNA(VLOOKUP(db_emp[[#This Row],[ID_SDP]],[1]!db_div[[Code_div]:[Division]],2,0),"-")</f>
        <v>Facilities</v>
      </c>
      <c r="P710" s="74" t="str">
        <f>_xlfn.IFNA(VLOOKUP(db_emp[[#This Row],[Code_lvl]],[1]!db_lvl[[#All],[ID_level]:[Leveling Name]],2,0),"-")</f>
        <v>Staff</v>
      </c>
      <c r="Q710" s="74" t="str">
        <f>_xlfn.IFNA(VLOOKUP(db_emp[[#This Row],[Code_site]],[1]!db_site[[ID_Site]:[Url_maps]],3,0),"-")</f>
        <v>Unit - District 8</v>
      </c>
      <c r="R7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231393,'Yanuar Trisullo','TRL','FACIL','Tenant Facilities Staff','LV12','Corp. Supporting Property (POM)','OD8','Employee','1900-01-00','2025-10-24'</v>
      </c>
      <c r="S710" s="74">
        <f>db_emp[[#This Row],[NIP (UPDATE)]]</f>
        <v>231393</v>
      </c>
    </row>
    <row r="711" spans="2:19" hidden="1" x14ac:dyDescent="0.25">
      <c r="B711" s="75">
        <v>696</v>
      </c>
      <c r="C711" s="75">
        <v>231552</v>
      </c>
      <c r="D711" s="74" t="s">
        <v>1920</v>
      </c>
      <c r="E711" s="75" t="s">
        <v>1036</v>
      </c>
      <c r="F711" s="75" t="s">
        <v>1359</v>
      </c>
      <c r="G711" s="74" t="s">
        <v>1918</v>
      </c>
      <c r="H711" s="75" t="s">
        <v>853</v>
      </c>
      <c r="I711" s="74" t="s">
        <v>864</v>
      </c>
      <c r="J711" s="75" t="s">
        <v>501</v>
      </c>
      <c r="K711" s="75" t="s">
        <v>850</v>
      </c>
      <c r="L711" s="76"/>
      <c r="M711" s="77">
        <f t="shared" ca="1" si="22"/>
        <v>45954</v>
      </c>
      <c r="N711" s="74" t="str">
        <f>_xlfn.IFNA(VLOOKUP(db_emp[[#This Row],[ID_DIV]],[1]!db_dpt[[Code_dpt]:[Departement]],2,0),"-")</f>
        <v>Tenant Relation</v>
      </c>
      <c r="O711" s="74" t="str">
        <f>_xlfn.IFNA(VLOOKUP(db_emp[[#This Row],[ID_SDP]],[1]!db_div[[Code_div]:[Division]],2,0),"-")</f>
        <v>Facilities</v>
      </c>
      <c r="P711" s="74" t="str">
        <f>_xlfn.IFNA(VLOOKUP(db_emp[[#This Row],[Code_lvl]],[1]!db_lvl[[#All],[ID_level]:[Leveling Name]],2,0),"-")</f>
        <v>Staff</v>
      </c>
      <c r="Q711" s="74" t="str">
        <f>_xlfn.IFNA(VLOOKUP(db_emp[[#This Row],[Code_site]],[1]!db_site[[ID_Site]:[Url_maps]],3,0),"-")</f>
        <v>Unit - District 8</v>
      </c>
      <c r="R7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231552,'Anatasya Delica Siregar','TRL','FACIL','Tenant Facilities Staff','LV12','Corp. Supporting Property (POM)','OD8','Employee','1900-01-00','2025-10-24'</v>
      </c>
      <c r="S711" s="74">
        <f>db_emp[[#This Row],[NIP (UPDATE)]]</f>
        <v>231552</v>
      </c>
    </row>
    <row r="712" spans="2:19" hidden="1" x14ac:dyDescent="0.25">
      <c r="B712" s="75">
        <v>698</v>
      </c>
      <c r="C712" s="75">
        <v>231707</v>
      </c>
      <c r="D712" s="74" t="s">
        <v>1921</v>
      </c>
      <c r="E712" s="75" t="s">
        <v>1036</v>
      </c>
      <c r="F712" s="75" t="s">
        <v>1359</v>
      </c>
      <c r="G712" s="74" t="s">
        <v>1918</v>
      </c>
      <c r="H712" s="75" t="s">
        <v>853</v>
      </c>
      <c r="I712" s="74" t="s">
        <v>864</v>
      </c>
      <c r="J712" s="75" t="s">
        <v>501</v>
      </c>
      <c r="K712" s="75" t="s">
        <v>850</v>
      </c>
      <c r="L712" s="76"/>
      <c r="M712" s="77">
        <f t="shared" ca="1" si="22"/>
        <v>45954</v>
      </c>
      <c r="N712" s="74" t="str">
        <f>_xlfn.IFNA(VLOOKUP(db_emp[[#This Row],[ID_DIV]],[1]!db_dpt[[Code_dpt]:[Departement]],2,0),"-")</f>
        <v>Tenant Relation</v>
      </c>
      <c r="O712" s="74" t="str">
        <f>_xlfn.IFNA(VLOOKUP(db_emp[[#This Row],[ID_SDP]],[1]!db_div[[Code_div]:[Division]],2,0),"-")</f>
        <v>Facilities</v>
      </c>
      <c r="P712" s="74" t="str">
        <f>_xlfn.IFNA(VLOOKUP(db_emp[[#This Row],[Code_lvl]],[1]!db_lvl[[#All],[ID_level]:[Leveling Name]],2,0),"-")</f>
        <v>Staff</v>
      </c>
      <c r="Q712" s="74" t="str">
        <f>_xlfn.IFNA(VLOOKUP(db_emp[[#This Row],[Code_site]],[1]!db_site[[ID_Site]:[Url_maps]],3,0),"-")</f>
        <v>Unit - District 8</v>
      </c>
      <c r="R7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231707,'Devi Cahyandari','TRL','FACIL','Tenant Facilities Staff','LV12','Corp. Supporting Property (POM)','OD8','Employee','1900-01-00','2025-10-24'</v>
      </c>
      <c r="S712" s="74">
        <f>db_emp[[#This Row],[NIP (UPDATE)]]</f>
        <v>231707</v>
      </c>
    </row>
    <row r="713" spans="2:19" hidden="1" x14ac:dyDescent="0.25">
      <c r="B713" s="75">
        <v>699</v>
      </c>
      <c r="C713" s="75">
        <v>231708</v>
      </c>
      <c r="D713" s="74" t="s">
        <v>1922</v>
      </c>
      <c r="E713" s="75" t="s">
        <v>1036</v>
      </c>
      <c r="F713" s="75" t="s">
        <v>1359</v>
      </c>
      <c r="G713" s="74" t="s">
        <v>1918</v>
      </c>
      <c r="H713" s="75" t="s">
        <v>853</v>
      </c>
      <c r="I713" s="74" t="s">
        <v>864</v>
      </c>
      <c r="J713" s="75" t="s">
        <v>501</v>
      </c>
      <c r="K713" s="75" t="s">
        <v>850</v>
      </c>
      <c r="L713" s="76"/>
      <c r="M713" s="77">
        <f t="shared" ca="1" si="22"/>
        <v>45954</v>
      </c>
      <c r="N713" s="74" t="str">
        <f>_xlfn.IFNA(VLOOKUP(db_emp[[#This Row],[ID_DIV]],[1]!db_dpt[[Code_dpt]:[Departement]],2,0),"-")</f>
        <v>Tenant Relation</v>
      </c>
      <c r="O713" s="74" t="str">
        <f>_xlfn.IFNA(VLOOKUP(db_emp[[#This Row],[ID_SDP]],[1]!db_div[[Code_div]:[Division]],2,0),"-")</f>
        <v>Facilities</v>
      </c>
      <c r="P713" s="74" t="str">
        <f>_xlfn.IFNA(VLOOKUP(db_emp[[#This Row],[Code_lvl]],[1]!db_lvl[[#All],[ID_level]:[Leveling Name]],2,0),"-")</f>
        <v>Staff</v>
      </c>
      <c r="Q713" s="74" t="str">
        <f>_xlfn.IFNA(VLOOKUP(db_emp[[#This Row],[Code_site]],[1]!db_site[[ID_Site]:[Url_maps]],3,0),"-")</f>
        <v>Unit - District 8</v>
      </c>
      <c r="R7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231708,'Bella Ismu Safira','TRL','FACIL','Tenant Facilities Staff','LV12','Corp. Supporting Property (POM)','OD8','Employee','1900-01-00','2025-10-24'</v>
      </c>
      <c r="S713" s="74">
        <f>db_emp[[#This Row],[NIP (UPDATE)]]</f>
        <v>231708</v>
      </c>
    </row>
    <row r="714" spans="2:19" hidden="1" x14ac:dyDescent="0.25">
      <c r="B714" s="75">
        <v>761</v>
      </c>
      <c r="C714" s="75">
        <v>250325</v>
      </c>
      <c r="D714" s="74" t="s">
        <v>1923</v>
      </c>
      <c r="E714" s="75" t="s">
        <v>1036</v>
      </c>
      <c r="F714" s="75" t="s">
        <v>1359</v>
      </c>
      <c r="G714" s="74" t="s">
        <v>1918</v>
      </c>
      <c r="H714" s="75" t="s">
        <v>853</v>
      </c>
      <c r="I714" s="74" t="s">
        <v>864</v>
      </c>
      <c r="J714" s="75" t="s">
        <v>501</v>
      </c>
      <c r="K714" s="75" t="s">
        <v>850</v>
      </c>
      <c r="L714" s="76"/>
      <c r="M714" s="77">
        <f t="shared" ca="1" si="22"/>
        <v>45954</v>
      </c>
      <c r="N714" s="74" t="str">
        <f>_xlfn.IFNA(VLOOKUP(db_emp[[#This Row],[ID_DIV]],[1]!db_dpt[[Code_dpt]:[Departement]],2,0),"-")</f>
        <v>Tenant Relation</v>
      </c>
      <c r="O714" s="74" t="str">
        <f>_xlfn.IFNA(VLOOKUP(db_emp[[#This Row],[ID_SDP]],[1]!db_div[[Code_div]:[Division]],2,0),"-")</f>
        <v>Facilities</v>
      </c>
      <c r="P714" s="74" t="str">
        <f>_xlfn.IFNA(VLOOKUP(db_emp[[#This Row],[Code_lvl]],[1]!db_lvl[[#All],[ID_level]:[Leveling Name]],2,0),"-")</f>
        <v>Staff</v>
      </c>
      <c r="Q714" s="74" t="str">
        <f>_xlfn.IFNA(VLOOKUP(db_emp[[#This Row],[Code_site]],[1]!db_site[[ID_Site]:[Url_maps]],3,0),"-")</f>
        <v>Unit - District 8</v>
      </c>
      <c r="R7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250325,'M. Sekarmaji Abdilah Chaidar','TRL','FACIL','Tenant Facilities Staff','LV12','Corp. Supporting Property (POM)','OD8','Employee','1900-01-00','2025-10-24'</v>
      </c>
      <c r="S714" s="74">
        <f>db_emp[[#This Row],[NIP (UPDATE)]]</f>
        <v>250325</v>
      </c>
    </row>
    <row r="715" spans="2:19" hidden="1" x14ac:dyDescent="0.25">
      <c r="B715" s="75">
        <v>734</v>
      </c>
      <c r="C715" s="75">
        <v>240971</v>
      </c>
      <c r="D715" s="74" t="s">
        <v>1924</v>
      </c>
      <c r="E715" s="75" t="s">
        <v>1036</v>
      </c>
      <c r="F715" s="75" t="s">
        <v>1925</v>
      </c>
      <c r="G715" s="74" t="s">
        <v>1926</v>
      </c>
      <c r="H715" s="75" t="s">
        <v>853</v>
      </c>
      <c r="I715" s="74" t="s">
        <v>864</v>
      </c>
      <c r="J715" s="75" t="s">
        <v>501</v>
      </c>
      <c r="K715" s="75" t="s">
        <v>850</v>
      </c>
      <c r="L715" s="76"/>
      <c r="M715" s="77">
        <f t="shared" ca="1" si="22"/>
        <v>45954</v>
      </c>
      <c r="N715" s="74" t="str">
        <f>_xlfn.IFNA(VLOOKUP(db_emp[[#This Row],[ID_DIV]],[1]!db_dpt[[Code_dpt]:[Departement]],2,0),"-")</f>
        <v>Tenant Relation</v>
      </c>
      <c r="O715" s="74" t="str">
        <f>_xlfn.IFNA(VLOOKUP(db_emp[[#This Row],[ID_SDP]],[1]!db_div[[Code_div]:[Division]],2,0),"-")</f>
        <v>Tenant Relation</v>
      </c>
      <c r="P715" s="74" t="str">
        <f>_xlfn.IFNA(VLOOKUP(db_emp[[#This Row],[Code_lvl]],[1]!db_lvl[[#All],[ID_level]:[Leveling Name]],2,0),"-")</f>
        <v>Staff</v>
      </c>
      <c r="Q715" s="74" t="str">
        <f>_xlfn.IFNA(VLOOKUP(db_emp[[#This Row],[Code_site]],[1]!db_site[[ID_Site]:[Url_maps]],3,0),"-")</f>
        <v>Unit - District 8</v>
      </c>
      <c r="R7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240971,'Nabila Sued Azzukhruf','TRL','TEREL','Tenant Relation Administration Staff','LV12','Corp. Supporting Property (POM)','OD8','Employee','1900-01-00','2025-10-24'</v>
      </c>
      <c r="S715" s="74">
        <f>db_emp[[#This Row],[NIP (UPDATE)]]</f>
        <v>240971</v>
      </c>
    </row>
    <row r="716" spans="2:19" hidden="1" x14ac:dyDescent="0.25">
      <c r="B716" s="75">
        <v>737</v>
      </c>
      <c r="C716" s="75">
        <v>241256</v>
      </c>
      <c r="D716" s="74" t="s">
        <v>1927</v>
      </c>
      <c r="E716" s="75" t="s">
        <v>1036</v>
      </c>
      <c r="F716" s="75" t="s">
        <v>1925</v>
      </c>
      <c r="G716" s="74" t="s">
        <v>1926</v>
      </c>
      <c r="H716" s="75" t="s">
        <v>853</v>
      </c>
      <c r="I716" s="74" t="s">
        <v>864</v>
      </c>
      <c r="J716" s="75" t="s">
        <v>501</v>
      </c>
      <c r="K716" s="75" t="s">
        <v>850</v>
      </c>
      <c r="L716" s="76"/>
      <c r="M716" s="77">
        <f t="shared" ca="1" si="22"/>
        <v>45954</v>
      </c>
      <c r="N716" s="74" t="str">
        <f>_xlfn.IFNA(VLOOKUP(db_emp[[#This Row],[ID_DIV]],[1]!db_dpt[[Code_dpt]:[Departement]],2,0),"-")</f>
        <v>Tenant Relation</v>
      </c>
      <c r="O716" s="74" t="str">
        <f>_xlfn.IFNA(VLOOKUP(db_emp[[#This Row],[ID_SDP]],[1]!db_div[[Code_div]:[Division]],2,0),"-")</f>
        <v>Tenant Relation</v>
      </c>
      <c r="P716" s="74" t="str">
        <f>_xlfn.IFNA(VLOOKUP(db_emp[[#This Row],[Code_lvl]],[1]!db_lvl[[#All],[ID_level]:[Leveling Name]],2,0),"-")</f>
        <v>Staff</v>
      </c>
      <c r="Q716" s="74" t="str">
        <f>_xlfn.IFNA(VLOOKUP(db_emp[[#This Row],[Code_site]],[1]!db_site[[ID_Site]:[Url_maps]],3,0),"-")</f>
        <v>Unit - District 8</v>
      </c>
      <c r="R7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241256,'Yuli Astuti','TRL','TEREL','Tenant Relation Administration Staff','LV12','Corp. Supporting Property (POM)','OD8','Employee','1900-01-00','2025-10-24'</v>
      </c>
      <c r="S716" s="74">
        <f>db_emp[[#This Row],[NIP (UPDATE)]]</f>
        <v>241256</v>
      </c>
    </row>
    <row r="717" spans="2:19" hidden="1" x14ac:dyDescent="0.25">
      <c r="B717" s="75">
        <v>503</v>
      </c>
      <c r="C717" s="75">
        <v>230061</v>
      </c>
      <c r="D717" s="74" t="s">
        <v>1928</v>
      </c>
      <c r="E717" s="75" t="s">
        <v>1036</v>
      </c>
      <c r="F717" s="75" t="s">
        <v>1925</v>
      </c>
      <c r="G717" s="74" t="s">
        <v>1929</v>
      </c>
      <c r="H717" s="75" t="s">
        <v>848</v>
      </c>
      <c r="I717" s="74" t="s">
        <v>864</v>
      </c>
      <c r="J717" s="75" t="s">
        <v>441</v>
      </c>
      <c r="K717" s="75" t="s">
        <v>850</v>
      </c>
      <c r="L717" s="76">
        <v>44951</v>
      </c>
      <c r="M717" s="77">
        <f t="shared" ca="1" si="22"/>
        <v>45954</v>
      </c>
      <c r="N717" s="74" t="str">
        <f>_xlfn.IFNA(VLOOKUP(db_emp[[#This Row],[ID_DIV]],[1]!db_dpt[[Code_dpt]:[Departement]],2,0),"-")</f>
        <v>Tenant Relation</v>
      </c>
      <c r="O717" s="74" t="str">
        <f>_xlfn.IFNA(VLOOKUP(db_emp[[#This Row],[ID_SDP]],[1]!db_div[[Code_div]:[Division]],2,0),"-")</f>
        <v>Tenant Relation</v>
      </c>
      <c r="P717" s="74" t="str">
        <f>_xlfn.IFNA(VLOOKUP(db_emp[[#This Row],[Code_lvl]],[1]!db_lvl[[#All],[ID_level]:[Leveling Name]],2,0),"-")</f>
        <v>Assistant Manager</v>
      </c>
      <c r="Q717" s="74" t="str">
        <f>_xlfn.IFNA(VLOOKUP(db_emp[[#This Row],[Code_site]],[1]!db_site[[ID_Site]:[Url_maps]],3,0),"-")</f>
        <v>Unit - Fatmawati City Center</v>
      </c>
      <c r="R7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230061,'Bagus Cahyadi Hendstyo Putra','TRL','TEREL','Tenant Relation Assistant Manager','LV07','Corp. Supporting Property (POM)','A02','Employee','2023-01-25','2025-10-24'</v>
      </c>
      <c r="S717" s="74">
        <f>db_emp[[#This Row],[NIP (UPDATE)]]</f>
        <v>230061</v>
      </c>
    </row>
    <row r="718" spans="2:19" hidden="1" x14ac:dyDescent="0.25">
      <c r="B718" s="75">
        <v>536</v>
      </c>
      <c r="C718" s="75">
        <v>230105</v>
      </c>
      <c r="D718" s="74" t="s">
        <v>1930</v>
      </c>
      <c r="E718" s="75" t="s">
        <v>1036</v>
      </c>
      <c r="F718" s="75" t="s">
        <v>1925</v>
      </c>
      <c r="G718" s="74" t="s">
        <v>1929</v>
      </c>
      <c r="H718" s="75" t="s">
        <v>848</v>
      </c>
      <c r="I718" s="74" t="s">
        <v>864</v>
      </c>
      <c r="J718" s="75" t="s">
        <v>446</v>
      </c>
      <c r="K718" s="75" t="s">
        <v>850</v>
      </c>
      <c r="L718" s="76">
        <v>44958</v>
      </c>
      <c r="M718" s="77">
        <f t="shared" ca="1" si="22"/>
        <v>45954</v>
      </c>
      <c r="N718" s="74" t="str">
        <f>_xlfn.IFNA(VLOOKUP(db_emp[[#This Row],[ID_DIV]],[1]!db_dpt[[Code_dpt]:[Departement]],2,0),"-")</f>
        <v>Tenant Relation</v>
      </c>
      <c r="O718" s="74" t="str">
        <f>_xlfn.IFNA(VLOOKUP(db_emp[[#This Row],[ID_SDP]],[1]!db_div[[Code_div]:[Division]],2,0),"-")</f>
        <v>Tenant Relation</v>
      </c>
      <c r="P718" s="74" t="str">
        <f>_xlfn.IFNA(VLOOKUP(db_emp[[#This Row],[Code_lvl]],[1]!db_lvl[[#All],[ID_level]:[Leveling Name]],2,0),"-")</f>
        <v>Assistant Manager</v>
      </c>
      <c r="Q718" s="74" t="str">
        <f>_xlfn.IFNA(VLOOKUP(db_emp[[#This Row],[Code_site]],[1]!db_site[[ID_Site]:[Url_maps]],3,0),"-")</f>
        <v>Unit - Menara Jakarta POM</v>
      </c>
      <c r="R7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230105,'Ria Savarina Nasution','TRL','TEREL','Tenant Relation Assistant Manager','LV07','Corp. Supporting Property (POM)','A03','Employee','2023-02-01','2025-10-24'</v>
      </c>
      <c r="S718" s="74">
        <f>db_emp[[#This Row],[NIP (UPDATE)]]</f>
        <v>230105</v>
      </c>
    </row>
    <row r="719" spans="2:19" hidden="1" x14ac:dyDescent="0.25">
      <c r="B719" s="75">
        <v>618</v>
      </c>
      <c r="C719" s="75">
        <v>241326</v>
      </c>
      <c r="D719" s="74" t="s">
        <v>1931</v>
      </c>
      <c r="E719" s="75" t="s">
        <v>1036</v>
      </c>
      <c r="F719" s="75" t="s">
        <v>1925</v>
      </c>
      <c r="G719" s="74" t="s">
        <v>1929</v>
      </c>
      <c r="H719" s="75" t="s">
        <v>848</v>
      </c>
      <c r="I719" s="74" t="s">
        <v>864</v>
      </c>
      <c r="J719" s="75" t="s">
        <v>433</v>
      </c>
      <c r="K719" s="75" t="s">
        <v>850</v>
      </c>
      <c r="L719" s="76">
        <v>45495</v>
      </c>
      <c r="M719" s="77">
        <f t="shared" ca="1" si="22"/>
        <v>45954</v>
      </c>
      <c r="N719" s="74" t="str">
        <f>_xlfn.IFNA(VLOOKUP(db_emp[[#This Row],[ID_DIV]],[1]!db_dpt[[Code_dpt]:[Departement]],2,0),"-")</f>
        <v>Tenant Relation</v>
      </c>
      <c r="O719" s="74" t="str">
        <f>_xlfn.IFNA(VLOOKUP(db_emp[[#This Row],[ID_SDP]],[1]!db_div[[Code_div]:[Division]],2,0),"-")</f>
        <v>Tenant Relation</v>
      </c>
      <c r="P719" s="74" t="str">
        <f>_xlfn.IFNA(VLOOKUP(db_emp[[#This Row],[Code_lvl]],[1]!db_lvl[[#All],[ID_level]:[Leveling Name]],2,0),"-")</f>
        <v>Assistant Manager</v>
      </c>
      <c r="Q719" s="74" t="str">
        <f>_xlfn.IFNA(VLOOKUP(db_emp[[#This Row],[Code_site]],[1]!db_site[[ID_Site]:[Url_maps]],3,0),"-")</f>
        <v>Unit - Taman Anggrek Residences</v>
      </c>
      <c r="R7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241326,'Tiara Bayu Syabani','TRL','TEREL','Tenant Relation Assistant Manager','LV07','Corp. Supporting Property (POM)','A01','Employee','2024-07-22','2025-10-24'</v>
      </c>
      <c r="S719" s="74">
        <f>db_emp[[#This Row],[NIP (UPDATE)]]</f>
        <v>241326</v>
      </c>
    </row>
    <row r="720" spans="2:19" hidden="1" x14ac:dyDescent="0.25">
      <c r="B720" s="75">
        <v>188</v>
      </c>
      <c r="C720" s="75">
        <v>101935</v>
      </c>
      <c r="D720" s="74" t="s">
        <v>1932</v>
      </c>
      <c r="E720" s="75" t="s">
        <v>1018</v>
      </c>
      <c r="F720" s="75" t="s">
        <v>1925</v>
      </c>
      <c r="G720" s="74" t="s">
        <v>1933</v>
      </c>
      <c r="H720" s="75" t="s">
        <v>885</v>
      </c>
      <c r="I720" s="74" t="s">
        <v>849</v>
      </c>
      <c r="J720" s="75" t="s">
        <v>314</v>
      </c>
      <c r="K720" s="75" t="s">
        <v>850</v>
      </c>
      <c r="L720" s="76">
        <v>39776</v>
      </c>
      <c r="M720" s="77">
        <f t="shared" ca="1" si="22"/>
        <v>45954</v>
      </c>
      <c r="N720" s="74" t="str">
        <f>_xlfn.IFNA(VLOOKUP(db_emp[[#This Row],[ID_DIV]],[1]!db_dpt[[Code_dpt]:[Departement]],2,0),"-")</f>
        <v>Operational</v>
      </c>
      <c r="O720" s="74" t="str">
        <f>_xlfn.IFNA(VLOOKUP(db_emp[[#This Row],[ID_SDP]],[1]!db_div[[Code_div]:[Division]],2,0),"-")</f>
        <v>Tenant Relation</v>
      </c>
      <c r="P720" s="74" t="str">
        <f>_xlfn.IFNA(VLOOKUP(db_emp[[#This Row],[Code_lvl]],[1]!db_lvl[[#All],[ID_level]:[Leveling Name]],2,0),"-")</f>
        <v>Senior Staff</v>
      </c>
      <c r="Q720" s="74" t="str">
        <f>_xlfn.IFNA(VLOOKUP(db_emp[[#This Row],[Code_site]],[1]!db_site[[ID_Site]:[Url_maps]],3,0),"-")</f>
        <v>Unit - MOI</v>
      </c>
      <c r="R7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101935,'Tanti Suryani','OPR','TEREL','Tenant Relation Staff','LV11','Mall &amp; Cinema','M02','Employee','2008-11-24','2025-10-24'</v>
      </c>
      <c r="S720" s="74">
        <f>db_emp[[#This Row],[NIP (UPDATE)]]</f>
        <v>101935</v>
      </c>
    </row>
    <row r="721" spans="2:19" hidden="1" x14ac:dyDescent="0.25">
      <c r="B721" s="75">
        <v>189</v>
      </c>
      <c r="C721" s="75">
        <v>150477</v>
      </c>
      <c r="D721" s="74" t="s">
        <v>1934</v>
      </c>
      <c r="E721" s="75" t="s">
        <v>1018</v>
      </c>
      <c r="F721" s="75" t="s">
        <v>1925</v>
      </c>
      <c r="G721" s="74" t="s">
        <v>1933</v>
      </c>
      <c r="H721" s="75" t="s">
        <v>885</v>
      </c>
      <c r="I721" s="74" t="s">
        <v>849</v>
      </c>
      <c r="J721" s="75" t="s">
        <v>314</v>
      </c>
      <c r="K721" s="75" t="s">
        <v>850</v>
      </c>
      <c r="L721" s="76">
        <v>42158</v>
      </c>
      <c r="M721" s="77">
        <f t="shared" ca="1" si="22"/>
        <v>45954</v>
      </c>
      <c r="N721" s="74" t="str">
        <f>_xlfn.IFNA(VLOOKUP(db_emp[[#This Row],[ID_DIV]],[1]!db_dpt[[Code_dpt]:[Departement]],2,0),"-")</f>
        <v>Operational</v>
      </c>
      <c r="O721" s="74" t="str">
        <f>_xlfn.IFNA(VLOOKUP(db_emp[[#This Row],[ID_SDP]],[1]!db_div[[Code_div]:[Division]],2,0),"-")</f>
        <v>Tenant Relation</v>
      </c>
      <c r="P721" s="74" t="str">
        <f>_xlfn.IFNA(VLOOKUP(db_emp[[#This Row],[Code_lvl]],[1]!db_lvl[[#All],[ID_level]:[Leveling Name]],2,0),"-")</f>
        <v>Senior Staff</v>
      </c>
      <c r="Q721" s="74" t="str">
        <f>_xlfn.IFNA(VLOOKUP(db_emp[[#This Row],[Code_site]],[1]!db_site[[ID_Site]:[Url_maps]],3,0),"-")</f>
        <v>Unit - MOI</v>
      </c>
      <c r="R7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150477,'Rani Rahmawati','OPR','TEREL','Tenant Relation Staff','LV11','Mall &amp; Cinema','M02','Employee','2015-06-03','2025-10-24'</v>
      </c>
      <c r="S721" s="74">
        <f>db_emp[[#This Row],[NIP (UPDATE)]]</f>
        <v>150477</v>
      </c>
    </row>
    <row r="722" spans="2:19" hidden="1" x14ac:dyDescent="0.25">
      <c r="B722" s="75">
        <v>190</v>
      </c>
      <c r="C722" s="75">
        <v>150820</v>
      </c>
      <c r="D722" s="74" t="s">
        <v>1935</v>
      </c>
      <c r="E722" s="75" t="s">
        <v>1018</v>
      </c>
      <c r="F722" s="75" t="s">
        <v>1925</v>
      </c>
      <c r="G722" s="74" t="s">
        <v>1933</v>
      </c>
      <c r="H722" s="75" t="s">
        <v>885</v>
      </c>
      <c r="I722" s="74" t="s">
        <v>849</v>
      </c>
      <c r="J722" s="75" t="s">
        <v>314</v>
      </c>
      <c r="K722" s="75" t="s">
        <v>850</v>
      </c>
      <c r="L722" s="76">
        <v>42270</v>
      </c>
      <c r="M722" s="77">
        <f t="shared" ca="1" si="22"/>
        <v>45954</v>
      </c>
      <c r="N722" s="74" t="str">
        <f>_xlfn.IFNA(VLOOKUP(db_emp[[#This Row],[ID_DIV]],[1]!db_dpt[[Code_dpt]:[Departement]],2,0),"-")</f>
        <v>Operational</v>
      </c>
      <c r="O722" s="74" t="str">
        <f>_xlfn.IFNA(VLOOKUP(db_emp[[#This Row],[ID_SDP]],[1]!db_div[[Code_div]:[Division]],2,0),"-")</f>
        <v>Tenant Relation</v>
      </c>
      <c r="P722" s="74" t="str">
        <f>_xlfn.IFNA(VLOOKUP(db_emp[[#This Row],[Code_lvl]],[1]!db_lvl[[#All],[ID_level]:[Leveling Name]],2,0),"-")</f>
        <v>Senior Staff</v>
      </c>
      <c r="Q722" s="74" t="str">
        <f>_xlfn.IFNA(VLOOKUP(db_emp[[#This Row],[Code_site]],[1]!db_site[[ID_Site]:[Url_maps]],3,0),"-")</f>
        <v>Unit - MOI</v>
      </c>
      <c r="R7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150820,'Saepul Anwar','OPR','TEREL','Tenant Relation Staff','LV11','Mall &amp; Cinema','M02','Employee','2015-09-23','2025-10-24'</v>
      </c>
      <c r="S722" s="74">
        <f>db_emp[[#This Row],[NIP (UPDATE)]]</f>
        <v>150820</v>
      </c>
    </row>
    <row r="723" spans="2:19" hidden="1" x14ac:dyDescent="0.25">
      <c r="B723" s="75">
        <v>250</v>
      </c>
      <c r="C723" s="75">
        <v>241108</v>
      </c>
      <c r="D723" s="74" t="s">
        <v>1936</v>
      </c>
      <c r="E723" s="75" t="s">
        <v>1018</v>
      </c>
      <c r="F723" s="75" t="s">
        <v>1925</v>
      </c>
      <c r="G723" s="74" t="s">
        <v>1933</v>
      </c>
      <c r="H723" s="75" t="s">
        <v>885</v>
      </c>
      <c r="I723" s="74" t="s">
        <v>849</v>
      </c>
      <c r="J723" s="75" t="s">
        <v>314</v>
      </c>
      <c r="K723" s="75" t="s">
        <v>850</v>
      </c>
      <c r="L723" s="76">
        <v>45467</v>
      </c>
      <c r="M723" s="77">
        <f t="shared" ca="1" si="22"/>
        <v>45954</v>
      </c>
      <c r="N723" s="74" t="str">
        <f>_xlfn.IFNA(VLOOKUP(db_emp[[#This Row],[ID_DIV]],[1]!db_dpt[[Code_dpt]:[Departement]],2,0),"-")</f>
        <v>Operational</v>
      </c>
      <c r="O723" s="74" t="str">
        <f>_xlfn.IFNA(VLOOKUP(db_emp[[#This Row],[ID_SDP]],[1]!db_div[[Code_div]:[Division]],2,0),"-")</f>
        <v>Tenant Relation</v>
      </c>
      <c r="P723" s="74" t="str">
        <f>_xlfn.IFNA(VLOOKUP(db_emp[[#This Row],[Code_lvl]],[1]!db_lvl[[#All],[ID_level]:[Leveling Name]],2,0),"-")</f>
        <v>Senior Staff</v>
      </c>
      <c r="Q723" s="74" t="str">
        <f>_xlfn.IFNA(VLOOKUP(db_emp[[#This Row],[Code_site]],[1]!db_site[[ID_Site]:[Url_maps]],3,0),"-")</f>
        <v>Unit - MOI</v>
      </c>
      <c r="R7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241108,'Fauziah Amelia','OPR','TEREL','Tenant Relation Staff','LV11','Mall &amp; Cinema','M02','Employee','2024-06-24','2025-10-24'</v>
      </c>
      <c r="S723" s="74">
        <f>db_emp[[#This Row],[NIP (UPDATE)]]</f>
        <v>241108</v>
      </c>
    </row>
    <row r="724" spans="2:19" hidden="1" x14ac:dyDescent="0.25">
      <c r="B724" s="75">
        <v>337</v>
      </c>
      <c r="C724" s="75">
        <v>241468</v>
      </c>
      <c r="D724" s="74" t="s">
        <v>1937</v>
      </c>
      <c r="E724" s="75" t="s">
        <v>1018</v>
      </c>
      <c r="F724" s="75" t="s">
        <v>1925</v>
      </c>
      <c r="G724" s="74" t="s">
        <v>1933</v>
      </c>
      <c r="H724" s="75" t="s">
        <v>853</v>
      </c>
      <c r="I724" s="74" t="s">
        <v>849</v>
      </c>
      <c r="J724" s="75" t="s">
        <v>484</v>
      </c>
      <c r="K724" s="75" t="s">
        <v>850</v>
      </c>
      <c r="L724" s="76">
        <v>45513</v>
      </c>
      <c r="M724" s="77">
        <f t="shared" ca="1" si="22"/>
        <v>45954</v>
      </c>
      <c r="N724" s="74" t="str">
        <f>_xlfn.IFNA(VLOOKUP(db_emp[[#This Row],[ID_DIV]],[1]!db_dpt[[Code_dpt]:[Departement]],2,0),"-")</f>
        <v>Operational</v>
      </c>
      <c r="O724" s="74" t="str">
        <f>_xlfn.IFNA(VLOOKUP(db_emp[[#This Row],[ID_SDP]],[1]!db_div[[Code_div]:[Division]],2,0),"-")</f>
        <v>Tenant Relation</v>
      </c>
      <c r="P724" s="74" t="str">
        <f>_xlfn.IFNA(VLOOKUP(db_emp[[#This Row],[Code_lvl]],[1]!db_lvl[[#All],[ID_level]:[Leveling Name]],2,0),"-")</f>
        <v>Staff</v>
      </c>
      <c r="Q724" s="74" t="str">
        <f>_xlfn.IFNA(VLOOKUP(db_emp[[#This Row],[Code_site]],[1]!db_site[[ID_Site]:[Url_maps]],3,0),"-")</f>
        <v>Unit - PIK Avenue</v>
      </c>
      <c r="R7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241468,'Tika Aprianti','OPR','TEREL','Tenant Relation Staff','LV12','Mall &amp; Cinema','M01','Employee','2024-08-09','2025-10-24'</v>
      </c>
      <c r="S724" s="74">
        <f>db_emp[[#This Row],[NIP (UPDATE)]]</f>
        <v>241468</v>
      </c>
    </row>
    <row r="725" spans="2:19" hidden="1" x14ac:dyDescent="0.25">
      <c r="B725" s="75">
        <v>364</v>
      </c>
      <c r="C725" s="75">
        <v>241299</v>
      </c>
      <c r="D725" s="74" t="s">
        <v>1938</v>
      </c>
      <c r="E725" s="75" t="s">
        <v>1018</v>
      </c>
      <c r="F725" s="75" t="s">
        <v>1925</v>
      </c>
      <c r="G725" s="74" t="s">
        <v>1933</v>
      </c>
      <c r="H725" s="75" t="s">
        <v>853</v>
      </c>
      <c r="I725" s="74" t="s">
        <v>486</v>
      </c>
      <c r="J725" s="75" t="s">
        <v>492</v>
      </c>
      <c r="K725" s="75" t="s">
        <v>850</v>
      </c>
      <c r="L725" s="76">
        <v>45489</v>
      </c>
      <c r="M725" s="77">
        <f t="shared" ca="1" si="22"/>
        <v>45954</v>
      </c>
      <c r="N725" s="74" t="str">
        <f>_xlfn.IFNA(VLOOKUP(db_emp[[#This Row],[ID_DIV]],[1]!db_dpt[[Code_dpt]:[Departement]],2,0),"-")</f>
        <v>Operational</v>
      </c>
      <c r="O725" s="74" t="str">
        <f>_xlfn.IFNA(VLOOKUP(db_emp[[#This Row],[ID_SDP]],[1]!db_div[[Code_div]:[Division]],2,0),"-")</f>
        <v>Tenant Relation</v>
      </c>
      <c r="P725" s="74" t="str">
        <f>_xlfn.IFNA(VLOOKUP(db_emp[[#This Row],[Code_lvl]],[1]!db_lvl[[#All],[ID_level]:[Leveling Name]],2,0),"-")</f>
        <v>Staff</v>
      </c>
      <c r="Q725" s="74" t="str">
        <f>_xlfn.IFNA(VLOOKUP(db_emp[[#This Row],[Code_site]],[1]!db_site[[ID_Site]:[Url_maps]],3,0),"-")</f>
        <v>Unit - Hublife</v>
      </c>
      <c r="R7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241299,'Hamid Susilo','OPR','TEREL','Tenant Relation Staff','LV12','Mall','M05','Employee','2024-07-16','2025-10-24'</v>
      </c>
      <c r="S725" s="74">
        <f>db_emp[[#This Row],[NIP (UPDATE)]]</f>
        <v>241299</v>
      </c>
    </row>
    <row r="726" spans="2:19" hidden="1" x14ac:dyDescent="0.25">
      <c r="B726" s="75">
        <v>506</v>
      </c>
      <c r="C726" s="75">
        <v>231308</v>
      </c>
      <c r="D726" s="74" t="s">
        <v>1939</v>
      </c>
      <c r="E726" s="75" t="s">
        <v>1036</v>
      </c>
      <c r="F726" s="75" t="s">
        <v>1925</v>
      </c>
      <c r="G726" s="74" t="s">
        <v>1933</v>
      </c>
      <c r="H726" s="75" t="s">
        <v>853</v>
      </c>
      <c r="I726" s="74" t="s">
        <v>864</v>
      </c>
      <c r="J726" s="75" t="s">
        <v>441</v>
      </c>
      <c r="K726" s="75" t="s">
        <v>903</v>
      </c>
      <c r="L726" s="76">
        <v>45145</v>
      </c>
      <c r="M726" s="77">
        <f t="shared" ca="1" si="22"/>
        <v>45954</v>
      </c>
      <c r="N726" s="74" t="str">
        <f>_xlfn.IFNA(VLOOKUP(db_emp[[#This Row],[ID_DIV]],[1]!db_dpt[[Code_dpt]:[Departement]],2,0),"-")</f>
        <v>Tenant Relation</v>
      </c>
      <c r="O726" s="74" t="str">
        <f>_xlfn.IFNA(VLOOKUP(db_emp[[#This Row],[ID_SDP]],[1]!db_div[[Code_div]:[Division]],2,0),"-")</f>
        <v>Tenant Relation</v>
      </c>
      <c r="P726" s="74" t="str">
        <f>_xlfn.IFNA(VLOOKUP(db_emp[[#This Row],[Code_lvl]],[1]!db_lvl[[#All],[ID_level]:[Leveling Name]],2,0),"-")</f>
        <v>Staff</v>
      </c>
      <c r="Q726" s="74" t="str">
        <f>_xlfn.IFNA(VLOOKUP(db_emp[[#This Row],[Code_site]],[1]!db_site[[ID_Site]:[Url_maps]],3,0),"-")</f>
        <v>Unit - Fatmawati City Center</v>
      </c>
      <c r="R7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231308,'Siti Fauziah','TRL','TEREL','Tenant Relation Staff','LV12','Corp. Supporting Property (POM)','A02','Resign','2023-08-07','2025-10-24'</v>
      </c>
      <c r="S726" s="74">
        <f>db_emp[[#This Row],[NIP (UPDATE)]]</f>
        <v>231308</v>
      </c>
    </row>
    <row r="727" spans="2:19" hidden="1" x14ac:dyDescent="0.25">
      <c r="B727" s="75">
        <v>507</v>
      </c>
      <c r="C727" s="75">
        <v>231739</v>
      </c>
      <c r="D727" s="74" t="s">
        <v>1940</v>
      </c>
      <c r="E727" s="75" t="s">
        <v>1036</v>
      </c>
      <c r="F727" s="75" t="s">
        <v>1925</v>
      </c>
      <c r="G727" s="74" t="s">
        <v>1933</v>
      </c>
      <c r="H727" s="75" t="s">
        <v>853</v>
      </c>
      <c r="I727" s="74" t="s">
        <v>864</v>
      </c>
      <c r="J727" s="75" t="s">
        <v>441</v>
      </c>
      <c r="K727" s="75" t="s">
        <v>850</v>
      </c>
      <c r="L727" s="76">
        <v>45201</v>
      </c>
      <c r="M727" s="77">
        <f t="shared" ca="1" si="22"/>
        <v>45954</v>
      </c>
      <c r="N727" s="74" t="str">
        <f>_xlfn.IFNA(VLOOKUP(db_emp[[#This Row],[ID_DIV]],[1]!db_dpt[[Code_dpt]:[Departement]],2,0),"-")</f>
        <v>Tenant Relation</v>
      </c>
      <c r="O727" s="74" t="str">
        <f>_xlfn.IFNA(VLOOKUP(db_emp[[#This Row],[ID_SDP]],[1]!db_div[[Code_div]:[Division]],2,0),"-")</f>
        <v>Tenant Relation</v>
      </c>
      <c r="P727" s="74" t="str">
        <f>_xlfn.IFNA(VLOOKUP(db_emp[[#This Row],[Code_lvl]],[1]!db_lvl[[#All],[ID_level]:[Leveling Name]],2,0),"-")</f>
        <v>Staff</v>
      </c>
      <c r="Q727" s="74" t="str">
        <f>_xlfn.IFNA(VLOOKUP(db_emp[[#This Row],[Code_site]],[1]!db_site[[ID_Site]:[Url_maps]],3,0),"-")</f>
        <v>Unit - Fatmawati City Center</v>
      </c>
      <c r="R7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231739,'Ahmad Deni','TRL','TEREL','Tenant Relation Staff','LV12','Corp. Supporting Property (POM)','A02','Employee','2023-10-02','2025-10-24'</v>
      </c>
      <c r="S727" s="74">
        <f>db_emp[[#This Row],[NIP (UPDATE)]]</f>
        <v>231739</v>
      </c>
    </row>
    <row r="728" spans="2:19" hidden="1" x14ac:dyDescent="0.25">
      <c r="B728" s="75">
        <v>514</v>
      </c>
      <c r="C728" s="75">
        <v>241196</v>
      </c>
      <c r="D728" s="74" t="s">
        <v>1941</v>
      </c>
      <c r="E728" s="75" t="s">
        <v>1036</v>
      </c>
      <c r="F728" s="75" t="s">
        <v>1925</v>
      </c>
      <c r="G728" s="74" t="s">
        <v>1933</v>
      </c>
      <c r="H728" s="75" t="s">
        <v>853</v>
      </c>
      <c r="I728" s="74" t="s">
        <v>864</v>
      </c>
      <c r="J728" s="75" t="s">
        <v>441</v>
      </c>
      <c r="K728" s="75" t="s">
        <v>903</v>
      </c>
      <c r="L728" s="76">
        <v>45474</v>
      </c>
      <c r="M728" s="77">
        <v>45838</v>
      </c>
      <c r="N728" s="74" t="str">
        <f>_xlfn.IFNA(VLOOKUP(db_emp[[#This Row],[ID_DIV]],[1]!db_dpt[[Code_dpt]:[Departement]],2,0),"-")</f>
        <v>Tenant Relation</v>
      </c>
      <c r="O728" s="74" t="str">
        <f>_xlfn.IFNA(VLOOKUP(db_emp[[#This Row],[ID_SDP]],[1]!db_div[[Code_div]:[Division]],2,0),"-")</f>
        <v>Tenant Relation</v>
      </c>
      <c r="P728" s="74" t="str">
        <f>_xlfn.IFNA(VLOOKUP(db_emp[[#This Row],[Code_lvl]],[1]!db_lvl[[#All],[ID_level]:[Leveling Name]],2,0),"-")</f>
        <v>Staff</v>
      </c>
      <c r="Q728" s="74" t="str">
        <f>_xlfn.IFNA(VLOOKUP(db_emp[[#This Row],[Code_site]],[1]!db_site[[ID_Site]:[Url_maps]],3,0),"-")</f>
        <v>Unit - Fatmawati City Center</v>
      </c>
      <c r="R728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241196,'Rido Rinaldi Kodri','TRL','TEREL','Tenant Relation Staff','LV12','Corp. Supporting Property (POM)','A02','Resign','2024-07-01','2025-06-30'</v>
      </c>
      <c r="S728" s="74">
        <f>db_emp[[#This Row],[NIP (UPDATE)]]</f>
        <v>241196</v>
      </c>
    </row>
    <row r="729" spans="2:19" hidden="1" x14ac:dyDescent="0.25">
      <c r="B729" s="75">
        <v>516</v>
      </c>
      <c r="C729" s="75">
        <v>241543</v>
      </c>
      <c r="D729" s="74" t="s">
        <v>1942</v>
      </c>
      <c r="E729" s="75" t="s">
        <v>1036</v>
      </c>
      <c r="F729" s="75" t="s">
        <v>1925</v>
      </c>
      <c r="G729" s="74" t="s">
        <v>1933</v>
      </c>
      <c r="H729" s="75" t="s">
        <v>853</v>
      </c>
      <c r="I729" s="74" t="s">
        <v>864</v>
      </c>
      <c r="J729" s="75" t="s">
        <v>441</v>
      </c>
      <c r="K729" s="75" t="s">
        <v>862</v>
      </c>
      <c r="L729" s="76">
        <v>45530</v>
      </c>
      <c r="M729" s="77">
        <f t="shared" ref="M729:M739" ca="1" si="23">TODAY()+1</f>
        <v>45954</v>
      </c>
      <c r="N729" s="74" t="str">
        <f>_xlfn.IFNA(VLOOKUP(db_emp[[#This Row],[ID_DIV]],[1]!db_dpt[[Code_dpt]:[Departement]],2,0),"-")</f>
        <v>Tenant Relation</v>
      </c>
      <c r="O729" s="74" t="str">
        <f>_xlfn.IFNA(VLOOKUP(db_emp[[#This Row],[ID_SDP]],[1]!db_div[[Code_div]:[Division]],2,0),"-")</f>
        <v>Tenant Relation</v>
      </c>
      <c r="P729" s="74" t="str">
        <f>_xlfn.IFNA(VLOOKUP(db_emp[[#This Row],[Code_lvl]],[1]!db_lvl[[#All],[ID_level]:[Leveling Name]],2,0),"-")</f>
        <v>Staff</v>
      </c>
      <c r="Q729" s="74" t="str">
        <f>_xlfn.IFNA(VLOOKUP(db_emp[[#This Row],[Code_site]],[1]!db_site[[ID_Site]:[Url_maps]],3,0),"-")</f>
        <v>Unit - Fatmawati City Center</v>
      </c>
      <c r="R7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241543,'Sisilia Subakti','TRL','TEREL','Tenant Relation Staff','LV12','Corp. Supporting Property (POM)','A02','Not Employee','2024-08-26','2025-10-24'</v>
      </c>
      <c r="S729" s="74">
        <f>db_emp[[#This Row],[NIP (UPDATE)]]</f>
        <v>241543</v>
      </c>
    </row>
    <row r="730" spans="2:19" hidden="1" x14ac:dyDescent="0.25">
      <c r="B730" s="75">
        <v>538</v>
      </c>
      <c r="C730" s="75">
        <v>230642</v>
      </c>
      <c r="D730" s="74" t="s">
        <v>1943</v>
      </c>
      <c r="E730" s="75" t="s">
        <v>1036</v>
      </c>
      <c r="F730" s="75" t="s">
        <v>1925</v>
      </c>
      <c r="G730" s="74" t="s">
        <v>1933</v>
      </c>
      <c r="H730" s="75" t="s">
        <v>853</v>
      </c>
      <c r="I730" s="74" t="s">
        <v>864</v>
      </c>
      <c r="J730" s="75" t="s">
        <v>446</v>
      </c>
      <c r="K730" s="75" t="s">
        <v>850</v>
      </c>
      <c r="L730" s="76">
        <v>45061</v>
      </c>
      <c r="M730" s="77">
        <f t="shared" ca="1" si="23"/>
        <v>45954</v>
      </c>
      <c r="N730" s="74" t="str">
        <f>_xlfn.IFNA(VLOOKUP(db_emp[[#This Row],[ID_DIV]],[1]!db_dpt[[Code_dpt]:[Departement]],2,0),"-")</f>
        <v>Tenant Relation</v>
      </c>
      <c r="O730" s="74" t="str">
        <f>_xlfn.IFNA(VLOOKUP(db_emp[[#This Row],[ID_SDP]],[1]!db_div[[Code_div]:[Division]],2,0),"-")</f>
        <v>Tenant Relation</v>
      </c>
      <c r="P730" s="74" t="str">
        <f>_xlfn.IFNA(VLOOKUP(db_emp[[#This Row],[Code_lvl]],[1]!db_lvl[[#All],[ID_level]:[Leveling Name]],2,0),"-")</f>
        <v>Staff</v>
      </c>
      <c r="Q730" s="74" t="str">
        <f>_xlfn.IFNA(VLOOKUP(db_emp[[#This Row],[Code_site]],[1]!db_site[[ID_Site]:[Url_maps]],3,0),"-")</f>
        <v>Unit - Menara Jakarta POM</v>
      </c>
      <c r="R7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230642,'Heni','TRL','TEREL','Tenant Relation Staff','LV12','Corp. Supporting Property (POM)','A03','Employee','2023-05-15','2025-10-24'</v>
      </c>
      <c r="S730" s="74">
        <f>db_emp[[#This Row],[NIP (UPDATE)]]</f>
        <v>230642</v>
      </c>
    </row>
    <row r="731" spans="2:19" hidden="1" x14ac:dyDescent="0.25">
      <c r="B731" s="75">
        <v>539</v>
      </c>
      <c r="C731" s="75">
        <v>230641</v>
      </c>
      <c r="D731" s="74" t="s">
        <v>1944</v>
      </c>
      <c r="E731" s="75" t="s">
        <v>1036</v>
      </c>
      <c r="F731" s="75" t="s">
        <v>1925</v>
      </c>
      <c r="G731" s="74" t="s">
        <v>1933</v>
      </c>
      <c r="H731" s="75" t="s">
        <v>853</v>
      </c>
      <c r="I731" s="74" t="s">
        <v>864</v>
      </c>
      <c r="J731" s="75" t="s">
        <v>446</v>
      </c>
      <c r="K731" s="75" t="s">
        <v>850</v>
      </c>
      <c r="L731" s="76">
        <v>45061</v>
      </c>
      <c r="M731" s="77">
        <f t="shared" ca="1" si="23"/>
        <v>45954</v>
      </c>
      <c r="N731" s="74" t="str">
        <f>_xlfn.IFNA(VLOOKUP(db_emp[[#This Row],[ID_DIV]],[1]!db_dpt[[Code_dpt]:[Departement]],2,0),"-")</f>
        <v>Tenant Relation</v>
      </c>
      <c r="O731" s="74" t="str">
        <f>_xlfn.IFNA(VLOOKUP(db_emp[[#This Row],[ID_SDP]],[1]!db_div[[Code_div]:[Division]],2,0),"-")</f>
        <v>Tenant Relation</v>
      </c>
      <c r="P731" s="74" t="str">
        <f>_xlfn.IFNA(VLOOKUP(db_emp[[#This Row],[Code_lvl]],[1]!db_lvl[[#All],[ID_level]:[Leveling Name]],2,0),"-")</f>
        <v>Staff</v>
      </c>
      <c r="Q731" s="74" t="str">
        <f>_xlfn.IFNA(VLOOKUP(db_emp[[#This Row],[Code_site]],[1]!db_site[[ID_Site]:[Url_maps]],3,0),"-")</f>
        <v>Unit - Menara Jakarta POM</v>
      </c>
      <c r="R7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230641,'Risma Ariany','TRL','TEREL','Tenant Relation Staff','LV12','Corp. Supporting Property (POM)','A03','Employee','2023-05-15','2025-10-24'</v>
      </c>
      <c r="S731" s="74">
        <f>db_emp[[#This Row],[NIP (UPDATE)]]</f>
        <v>230641</v>
      </c>
    </row>
    <row r="732" spans="2:19" hidden="1" x14ac:dyDescent="0.25">
      <c r="B732" s="75">
        <v>540</v>
      </c>
      <c r="C732" s="75">
        <v>231965</v>
      </c>
      <c r="D732" s="74" t="s">
        <v>1945</v>
      </c>
      <c r="E732" s="75" t="s">
        <v>1036</v>
      </c>
      <c r="F732" s="75" t="s">
        <v>1925</v>
      </c>
      <c r="G732" s="74" t="s">
        <v>1933</v>
      </c>
      <c r="H732" s="75" t="s">
        <v>853</v>
      </c>
      <c r="I732" s="74" t="s">
        <v>864</v>
      </c>
      <c r="J732" s="75" t="s">
        <v>446</v>
      </c>
      <c r="K732" s="75" t="s">
        <v>850</v>
      </c>
      <c r="L732" s="76">
        <v>45232</v>
      </c>
      <c r="M732" s="77">
        <f t="shared" ca="1" si="23"/>
        <v>45954</v>
      </c>
      <c r="N732" s="74" t="str">
        <f>_xlfn.IFNA(VLOOKUP(db_emp[[#This Row],[ID_DIV]],[1]!db_dpt[[Code_dpt]:[Departement]],2,0),"-")</f>
        <v>Tenant Relation</v>
      </c>
      <c r="O732" s="74" t="str">
        <f>_xlfn.IFNA(VLOOKUP(db_emp[[#This Row],[ID_SDP]],[1]!db_div[[Code_div]:[Division]],2,0),"-")</f>
        <v>Tenant Relation</v>
      </c>
      <c r="P732" s="74" t="str">
        <f>_xlfn.IFNA(VLOOKUP(db_emp[[#This Row],[Code_lvl]],[1]!db_lvl[[#All],[ID_level]:[Leveling Name]],2,0),"-")</f>
        <v>Staff</v>
      </c>
      <c r="Q732" s="74" t="str">
        <f>_xlfn.IFNA(VLOOKUP(db_emp[[#This Row],[Code_site]],[1]!db_site[[ID_Site]:[Url_maps]],3,0),"-")</f>
        <v>Unit - Menara Jakarta POM</v>
      </c>
      <c r="R7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231965,'Heriyanto','TRL','TEREL','Tenant Relation Staff','LV12','Corp. Supporting Property (POM)','A03','Employee','2023-11-02','2025-10-24'</v>
      </c>
      <c r="S732" s="74">
        <f>db_emp[[#This Row],[NIP (UPDATE)]]</f>
        <v>231965</v>
      </c>
    </row>
    <row r="733" spans="2:19" hidden="1" x14ac:dyDescent="0.25">
      <c r="B733" s="75">
        <v>556</v>
      </c>
      <c r="C733" s="75">
        <v>250172</v>
      </c>
      <c r="D733" s="74" t="s">
        <v>1946</v>
      </c>
      <c r="E733" s="75" t="s">
        <v>1036</v>
      </c>
      <c r="F733" s="75" t="s">
        <v>1925</v>
      </c>
      <c r="G733" s="74" t="s">
        <v>1933</v>
      </c>
      <c r="H733" s="75" t="s">
        <v>853</v>
      </c>
      <c r="I733" s="74" t="s">
        <v>864</v>
      </c>
      <c r="J733" s="75" t="s">
        <v>446</v>
      </c>
      <c r="K733" s="75" t="s">
        <v>850</v>
      </c>
      <c r="L733" s="76">
        <v>45705</v>
      </c>
      <c r="M733" s="77">
        <f t="shared" ca="1" si="23"/>
        <v>45954</v>
      </c>
      <c r="N733" s="74" t="str">
        <f>_xlfn.IFNA(VLOOKUP(db_emp[[#This Row],[ID_DIV]],[1]!db_dpt[[Code_dpt]:[Departement]],2,0),"-")</f>
        <v>Tenant Relation</v>
      </c>
      <c r="O733" s="74" t="str">
        <f>_xlfn.IFNA(VLOOKUP(db_emp[[#This Row],[ID_SDP]],[1]!db_div[[Code_div]:[Division]],2,0),"-")</f>
        <v>Tenant Relation</v>
      </c>
      <c r="P733" s="74" t="str">
        <f>_xlfn.IFNA(VLOOKUP(db_emp[[#This Row],[Code_lvl]],[1]!db_lvl[[#All],[ID_level]:[Leveling Name]],2,0),"-")</f>
        <v>Staff</v>
      </c>
      <c r="Q733" s="74" t="str">
        <f>_xlfn.IFNA(VLOOKUP(db_emp[[#This Row],[Code_site]],[1]!db_site[[ID_Site]:[Url_maps]],3,0),"-")</f>
        <v>Unit - Menara Jakarta POM</v>
      </c>
      <c r="R7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250172,'Nur Arifin Nugraha,,SM.','TRL','TEREL','Tenant Relation Staff','LV12','Corp. Supporting Property (POM)','A03','Employee','2025-02-17','2025-10-24'</v>
      </c>
      <c r="S733" s="74">
        <f>db_emp[[#This Row],[NIP (UPDATE)]]</f>
        <v>250172</v>
      </c>
    </row>
    <row r="734" spans="2:19" hidden="1" x14ac:dyDescent="0.25">
      <c r="B734" s="75">
        <v>622</v>
      </c>
      <c r="C734" s="75">
        <v>231586</v>
      </c>
      <c r="D734" s="74" t="s">
        <v>1947</v>
      </c>
      <c r="E734" s="75" t="s">
        <v>1036</v>
      </c>
      <c r="F734" s="75" t="s">
        <v>1925</v>
      </c>
      <c r="G734" s="74" t="s">
        <v>1933</v>
      </c>
      <c r="H734" s="75" t="s">
        <v>853</v>
      </c>
      <c r="I734" s="74" t="s">
        <v>864</v>
      </c>
      <c r="J734" s="75" t="s">
        <v>433</v>
      </c>
      <c r="K734" s="75" t="s">
        <v>850</v>
      </c>
      <c r="L734" s="76">
        <v>43381</v>
      </c>
      <c r="M734" s="77">
        <f t="shared" ca="1" si="23"/>
        <v>45954</v>
      </c>
      <c r="N734" s="74" t="str">
        <f>_xlfn.IFNA(VLOOKUP(db_emp[[#This Row],[ID_DIV]],[1]!db_dpt[[Code_dpt]:[Departement]],2,0),"-")</f>
        <v>Tenant Relation</v>
      </c>
      <c r="O734" s="74" t="str">
        <f>_xlfn.IFNA(VLOOKUP(db_emp[[#This Row],[ID_SDP]],[1]!db_div[[Code_div]:[Division]],2,0),"-")</f>
        <v>Tenant Relation</v>
      </c>
      <c r="P734" s="74" t="str">
        <f>_xlfn.IFNA(VLOOKUP(db_emp[[#This Row],[Code_lvl]],[1]!db_lvl[[#All],[ID_level]:[Leveling Name]],2,0),"-")</f>
        <v>Staff</v>
      </c>
      <c r="Q734" s="74" t="str">
        <f>_xlfn.IFNA(VLOOKUP(db_emp[[#This Row],[Code_site]],[1]!db_site[[ID_Site]:[Url_maps]],3,0),"-")</f>
        <v>Unit - Taman Anggrek Residences</v>
      </c>
      <c r="R7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231586,'Ricky Ramadhan','TRL','TEREL','Tenant Relation Staff','LV12','Corp. Supporting Property (POM)','A01','Employee','2018-10-08','2025-10-24'</v>
      </c>
      <c r="S734" s="74">
        <f>db_emp[[#This Row],[NIP (UPDATE)]]</f>
        <v>231586</v>
      </c>
    </row>
    <row r="735" spans="2:19" hidden="1" x14ac:dyDescent="0.25">
      <c r="B735" s="75">
        <v>623</v>
      </c>
      <c r="C735" s="75">
        <v>210963</v>
      </c>
      <c r="D735" s="74" t="s">
        <v>1948</v>
      </c>
      <c r="E735" s="75" t="s">
        <v>1036</v>
      </c>
      <c r="F735" s="75" t="s">
        <v>1925</v>
      </c>
      <c r="G735" s="74" t="s">
        <v>1933</v>
      </c>
      <c r="H735" s="75" t="s">
        <v>853</v>
      </c>
      <c r="I735" s="74" t="s">
        <v>864</v>
      </c>
      <c r="J735" s="75" t="s">
        <v>433</v>
      </c>
      <c r="K735" s="75" t="s">
        <v>850</v>
      </c>
      <c r="L735" s="76">
        <v>44482</v>
      </c>
      <c r="M735" s="77">
        <f t="shared" ca="1" si="23"/>
        <v>45954</v>
      </c>
      <c r="N735" s="74" t="str">
        <f>_xlfn.IFNA(VLOOKUP(db_emp[[#This Row],[ID_DIV]],[1]!db_dpt[[Code_dpt]:[Departement]],2,0),"-")</f>
        <v>Tenant Relation</v>
      </c>
      <c r="O735" s="74" t="str">
        <f>_xlfn.IFNA(VLOOKUP(db_emp[[#This Row],[ID_SDP]],[1]!db_div[[Code_div]:[Division]],2,0),"-")</f>
        <v>Tenant Relation</v>
      </c>
      <c r="P735" s="74" t="str">
        <f>_xlfn.IFNA(VLOOKUP(db_emp[[#This Row],[Code_lvl]],[1]!db_lvl[[#All],[ID_level]:[Leveling Name]],2,0),"-")</f>
        <v>Staff</v>
      </c>
      <c r="Q735" s="74" t="str">
        <f>_xlfn.IFNA(VLOOKUP(db_emp[[#This Row],[Code_site]],[1]!db_site[[ID_Site]:[Url_maps]],3,0),"-")</f>
        <v>Unit - Taman Anggrek Residences</v>
      </c>
      <c r="R7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210963,'Faisal Saiful Hayat','TRL','TEREL','Tenant Relation Staff','LV12','Corp. Supporting Property (POM)','A01','Employee','2021-10-13','2025-10-24'</v>
      </c>
      <c r="S735" s="74">
        <f>db_emp[[#This Row],[NIP (UPDATE)]]</f>
        <v>210963</v>
      </c>
    </row>
    <row r="736" spans="2:19" hidden="1" x14ac:dyDescent="0.25">
      <c r="B736" s="75">
        <v>624</v>
      </c>
      <c r="C736" s="75">
        <v>230311</v>
      </c>
      <c r="D736" s="74" t="s">
        <v>1949</v>
      </c>
      <c r="E736" s="75" t="s">
        <v>1036</v>
      </c>
      <c r="F736" s="75" t="s">
        <v>1925</v>
      </c>
      <c r="G736" s="74" t="s">
        <v>1933</v>
      </c>
      <c r="H736" s="75" t="s">
        <v>853</v>
      </c>
      <c r="I736" s="74" t="s">
        <v>864</v>
      </c>
      <c r="J736" s="75" t="s">
        <v>433</v>
      </c>
      <c r="K736" s="75" t="s">
        <v>850</v>
      </c>
      <c r="L736" s="76">
        <v>44998</v>
      </c>
      <c r="M736" s="77">
        <f t="shared" ca="1" si="23"/>
        <v>45954</v>
      </c>
      <c r="N736" s="74" t="str">
        <f>_xlfn.IFNA(VLOOKUP(db_emp[[#This Row],[ID_DIV]],[1]!db_dpt[[Code_dpt]:[Departement]],2,0),"-")</f>
        <v>Tenant Relation</v>
      </c>
      <c r="O736" s="74" t="str">
        <f>_xlfn.IFNA(VLOOKUP(db_emp[[#This Row],[ID_SDP]],[1]!db_div[[Code_div]:[Division]],2,0),"-")</f>
        <v>Tenant Relation</v>
      </c>
      <c r="P736" s="74" t="str">
        <f>_xlfn.IFNA(VLOOKUP(db_emp[[#This Row],[Code_lvl]],[1]!db_lvl[[#All],[ID_level]:[Leveling Name]],2,0),"-")</f>
        <v>Staff</v>
      </c>
      <c r="Q736" s="74" t="str">
        <f>_xlfn.IFNA(VLOOKUP(db_emp[[#This Row],[Code_site]],[1]!db_site[[ID_Site]:[Url_maps]],3,0),"-")</f>
        <v>Unit - Taman Anggrek Residences</v>
      </c>
      <c r="R7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230311,'Afra Ayesha Rillyantiza','TRL','TEREL','Tenant Relation Staff','LV12','Corp. Supporting Property (POM)','A01','Employee','2023-03-13','2025-10-24'</v>
      </c>
      <c r="S736" s="74">
        <f>db_emp[[#This Row],[NIP (UPDATE)]]</f>
        <v>230311</v>
      </c>
    </row>
    <row r="737" spans="2:19" hidden="1" x14ac:dyDescent="0.25">
      <c r="B737" s="75">
        <v>625</v>
      </c>
      <c r="C737" s="75">
        <v>231482</v>
      </c>
      <c r="D737" s="74" t="s">
        <v>1950</v>
      </c>
      <c r="E737" s="75" t="s">
        <v>1036</v>
      </c>
      <c r="F737" s="75" t="s">
        <v>1925</v>
      </c>
      <c r="G737" s="74" t="s">
        <v>1933</v>
      </c>
      <c r="H737" s="75" t="s">
        <v>853</v>
      </c>
      <c r="I737" s="74" t="s">
        <v>864</v>
      </c>
      <c r="J737" s="75" t="s">
        <v>433</v>
      </c>
      <c r="K737" s="75" t="s">
        <v>850</v>
      </c>
      <c r="L737" s="76">
        <v>45170</v>
      </c>
      <c r="M737" s="77">
        <f t="shared" ca="1" si="23"/>
        <v>45954</v>
      </c>
      <c r="N737" s="74" t="str">
        <f>_xlfn.IFNA(VLOOKUP(db_emp[[#This Row],[ID_DIV]],[1]!db_dpt[[Code_dpt]:[Departement]],2,0),"-")</f>
        <v>Tenant Relation</v>
      </c>
      <c r="O737" s="74" t="str">
        <f>_xlfn.IFNA(VLOOKUP(db_emp[[#This Row],[ID_SDP]],[1]!db_div[[Code_div]:[Division]],2,0),"-")</f>
        <v>Tenant Relation</v>
      </c>
      <c r="P737" s="74" t="str">
        <f>_xlfn.IFNA(VLOOKUP(db_emp[[#This Row],[Code_lvl]],[1]!db_lvl[[#All],[ID_level]:[Leveling Name]],2,0),"-")</f>
        <v>Staff</v>
      </c>
      <c r="Q737" s="74" t="str">
        <f>_xlfn.IFNA(VLOOKUP(db_emp[[#This Row],[Code_site]],[1]!db_site[[ID_Site]:[Url_maps]],3,0),"-")</f>
        <v>Unit - Taman Anggrek Residences</v>
      </c>
      <c r="R7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231482,'Zaherman Rochmatullah','TRL','TEREL','Tenant Relation Staff','LV12','Corp. Supporting Property (POM)','A01','Employee','2023-09-01','2025-10-24'</v>
      </c>
      <c r="S737" s="74">
        <f>db_emp[[#This Row],[NIP (UPDATE)]]</f>
        <v>231482</v>
      </c>
    </row>
    <row r="738" spans="2:19" hidden="1" x14ac:dyDescent="0.25">
      <c r="B738" s="75">
        <v>626</v>
      </c>
      <c r="C738" s="75">
        <v>240153</v>
      </c>
      <c r="D738" s="74" t="s">
        <v>1951</v>
      </c>
      <c r="E738" s="75" t="s">
        <v>1036</v>
      </c>
      <c r="F738" s="75" t="s">
        <v>1925</v>
      </c>
      <c r="G738" s="74" t="s">
        <v>1933</v>
      </c>
      <c r="H738" s="75" t="s">
        <v>853</v>
      </c>
      <c r="I738" s="74" t="s">
        <v>864</v>
      </c>
      <c r="J738" s="75" t="s">
        <v>433</v>
      </c>
      <c r="K738" s="75" t="s">
        <v>850</v>
      </c>
      <c r="L738" s="76">
        <v>45316</v>
      </c>
      <c r="M738" s="77">
        <f t="shared" ca="1" si="23"/>
        <v>45954</v>
      </c>
      <c r="N738" s="74" t="str">
        <f>_xlfn.IFNA(VLOOKUP(db_emp[[#This Row],[ID_DIV]],[1]!db_dpt[[Code_dpt]:[Departement]],2,0),"-")</f>
        <v>Tenant Relation</v>
      </c>
      <c r="O738" s="74" t="str">
        <f>_xlfn.IFNA(VLOOKUP(db_emp[[#This Row],[ID_SDP]],[1]!db_div[[Code_div]:[Division]],2,0),"-")</f>
        <v>Tenant Relation</v>
      </c>
      <c r="P738" s="74" t="str">
        <f>_xlfn.IFNA(VLOOKUP(db_emp[[#This Row],[Code_lvl]],[1]!db_lvl[[#All],[ID_level]:[Leveling Name]],2,0),"-")</f>
        <v>Staff</v>
      </c>
      <c r="Q738" s="74" t="str">
        <f>_xlfn.IFNA(VLOOKUP(db_emp[[#This Row],[Code_site]],[1]!db_site[[ID_Site]:[Url_maps]],3,0),"-")</f>
        <v>Unit - Taman Anggrek Residences</v>
      </c>
      <c r="R7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240153,'Oki Setia Ramazan','TRL','TEREL','Tenant Relation Staff','LV12','Corp. Supporting Property (POM)','A01','Employee','2024-01-25','2025-10-24'</v>
      </c>
      <c r="S738" s="74">
        <f>db_emp[[#This Row],[NIP (UPDATE)]]</f>
        <v>240153</v>
      </c>
    </row>
    <row r="739" spans="2:19" hidden="1" x14ac:dyDescent="0.25">
      <c r="B739" s="75">
        <v>627</v>
      </c>
      <c r="C739" s="75">
        <v>240165</v>
      </c>
      <c r="D739" s="74" t="s">
        <v>1952</v>
      </c>
      <c r="E739" s="75" t="s">
        <v>1036</v>
      </c>
      <c r="F739" s="75" t="s">
        <v>1925</v>
      </c>
      <c r="G739" s="74" t="s">
        <v>1933</v>
      </c>
      <c r="H739" s="75" t="s">
        <v>853</v>
      </c>
      <c r="I739" s="74" t="s">
        <v>864</v>
      </c>
      <c r="J739" s="75" t="s">
        <v>433</v>
      </c>
      <c r="K739" s="75" t="s">
        <v>850</v>
      </c>
      <c r="L739" s="76">
        <v>45320</v>
      </c>
      <c r="M739" s="77">
        <f t="shared" ca="1" si="23"/>
        <v>45954</v>
      </c>
      <c r="N739" s="74" t="str">
        <f>_xlfn.IFNA(VLOOKUP(db_emp[[#This Row],[ID_DIV]],[1]!db_dpt[[Code_dpt]:[Departement]],2,0),"-")</f>
        <v>Tenant Relation</v>
      </c>
      <c r="O739" s="74" t="str">
        <f>_xlfn.IFNA(VLOOKUP(db_emp[[#This Row],[ID_SDP]],[1]!db_div[[Code_div]:[Division]],2,0),"-")</f>
        <v>Tenant Relation</v>
      </c>
      <c r="P739" s="74" t="str">
        <f>_xlfn.IFNA(VLOOKUP(db_emp[[#This Row],[Code_lvl]],[1]!db_lvl[[#All],[ID_level]:[Leveling Name]],2,0),"-")</f>
        <v>Staff</v>
      </c>
      <c r="Q739" s="74" t="str">
        <f>_xlfn.IFNA(VLOOKUP(db_emp[[#This Row],[Code_site]],[1]!db_site[[ID_Site]:[Url_maps]],3,0),"-")</f>
        <v>Unit - Taman Anggrek Residences</v>
      </c>
      <c r="R7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240165,'Wahyu Pinasty Enchas Sutaning','TRL','TEREL','Tenant Relation Staff','LV12','Corp. Supporting Property (POM)','A01','Employee','2024-01-29','2025-10-24'</v>
      </c>
      <c r="S739" s="74">
        <f>db_emp[[#This Row],[NIP (UPDATE)]]</f>
        <v>240165</v>
      </c>
    </row>
    <row r="740" spans="2:19" hidden="1" x14ac:dyDescent="0.25">
      <c r="B740" s="75">
        <v>628</v>
      </c>
      <c r="C740" s="75">
        <v>241268</v>
      </c>
      <c r="D740" s="74" t="s">
        <v>1953</v>
      </c>
      <c r="E740" s="75" t="s">
        <v>1036</v>
      </c>
      <c r="F740" s="75" t="s">
        <v>1925</v>
      </c>
      <c r="G740" s="74" t="s">
        <v>1933</v>
      </c>
      <c r="H740" s="75" t="s">
        <v>853</v>
      </c>
      <c r="I740" s="74" t="s">
        <v>864</v>
      </c>
      <c r="J740" s="75" t="s">
        <v>433</v>
      </c>
      <c r="K740" s="75" t="s">
        <v>903</v>
      </c>
      <c r="L740" s="76">
        <v>45488</v>
      </c>
      <c r="M740" s="77">
        <v>45869</v>
      </c>
      <c r="N740" s="74" t="str">
        <f>_xlfn.IFNA(VLOOKUP(db_emp[[#This Row],[ID_DIV]],[1]!db_dpt[[Code_dpt]:[Departement]],2,0),"-")</f>
        <v>Tenant Relation</v>
      </c>
      <c r="O740" s="74" t="str">
        <f>_xlfn.IFNA(VLOOKUP(db_emp[[#This Row],[ID_SDP]],[1]!db_div[[Code_div]:[Division]],2,0),"-")</f>
        <v>Tenant Relation</v>
      </c>
      <c r="P740" s="74" t="str">
        <f>_xlfn.IFNA(VLOOKUP(db_emp[[#This Row],[Code_lvl]],[1]!db_lvl[[#All],[ID_level]:[Leveling Name]],2,0),"-")</f>
        <v>Staff</v>
      </c>
      <c r="Q740" s="74" t="str">
        <f>_xlfn.IFNA(VLOOKUP(db_emp[[#This Row],[Code_site]],[1]!db_site[[ID_Site]:[Url_maps]],3,0),"-")</f>
        <v>Unit - Taman Anggrek Residences</v>
      </c>
      <c r="R740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241268,'Resty Yuristiani Iswari','TRL','TEREL','Tenant Relation Staff','LV12','Corp. Supporting Property (POM)','A01','Resign','2024-07-15','2025-07-31'</v>
      </c>
      <c r="S740" s="74">
        <f>db_emp[[#This Row],[NIP (UPDATE)]]</f>
        <v>241268</v>
      </c>
    </row>
    <row r="741" spans="2:19" hidden="1" x14ac:dyDescent="0.25">
      <c r="B741" s="75">
        <v>629</v>
      </c>
      <c r="C741" s="75">
        <v>241179</v>
      </c>
      <c r="D741" s="74" t="s">
        <v>1954</v>
      </c>
      <c r="E741" s="75" t="s">
        <v>1036</v>
      </c>
      <c r="F741" s="75" t="s">
        <v>1925</v>
      </c>
      <c r="G741" s="74" t="s">
        <v>1933</v>
      </c>
      <c r="H741" s="75" t="s">
        <v>853</v>
      </c>
      <c r="I741" s="74" t="s">
        <v>864</v>
      </c>
      <c r="J741" s="75" t="s">
        <v>433</v>
      </c>
      <c r="K741" s="75" t="s">
        <v>850</v>
      </c>
      <c r="L741" s="76">
        <v>45474</v>
      </c>
      <c r="M741" s="77">
        <f t="shared" ref="M741:M746" ca="1" si="24">TODAY()+1</f>
        <v>45954</v>
      </c>
      <c r="N741" s="74" t="str">
        <f>_xlfn.IFNA(VLOOKUP(db_emp[[#This Row],[ID_DIV]],[1]!db_dpt[[Code_dpt]:[Departement]],2,0),"-")</f>
        <v>Tenant Relation</v>
      </c>
      <c r="O741" s="74" t="str">
        <f>_xlfn.IFNA(VLOOKUP(db_emp[[#This Row],[ID_SDP]],[1]!db_div[[Code_div]:[Division]],2,0),"-")</f>
        <v>Tenant Relation</v>
      </c>
      <c r="P741" s="74" t="str">
        <f>_xlfn.IFNA(VLOOKUP(db_emp[[#This Row],[Code_lvl]],[1]!db_lvl[[#All],[ID_level]:[Leveling Name]],2,0),"-")</f>
        <v>Staff</v>
      </c>
      <c r="Q741" s="74" t="str">
        <f>_xlfn.IFNA(VLOOKUP(db_emp[[#This Row],[Code_site]],[1]!db_site[[ID_Site]:[Url_maps]],3,0),"-")</f>
        <v>Unit - Taman Anggrek Residences</v>
      </c>
      <c r="R7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241179,'Masheru Pamuji','TRL','TEREL','Tenant Relation Staff','LV12','Corp. Supporting Property (POM)','A01','Employee','2024-07-01','2025-10-24'</v>
      </c>
      <c r="S741" s="74">
        <f>db_emp[[#This Row],[NIP (UPDATE)]]</f>
        <v>241179</v>
      </c>
    </row>
    <row r="742" spans="2:19" hidden="1" x14ac:dyDescent="0.25">
      <c r="B742" s="75">
        <v>630</v>
      </c>
      <c r="C742" s="75">
        <v>242117</v>
      </c>
      <c r="D742" s="74" t="s">
        <v>1955</v>
      </c>
      <c r="E742" s="75" t="s">
        <v>1036</v>
      </c>
      <c r="F742" s="75" t="s">
        <v>1925</v>
      </c>
      <c r="G742" s="74" t="s">
        <v>1933</v>
      </c>
      <c r="H742" s="75" t="s">
        <v>853</v>
      </c>
      <c r="I742" s="74" t="s">
        <v>864</v>
      </c>
      <c r="J742" s="75" t="s">
        <v>433</v>
      </c>
      <c r="K742" s="75" t="s">
        <v>862</v>
      </c>
      <c r="L742" s="76">
        <v>45621</v>
      </c>
      <c r="M742" s="77">
        <f t="shared" ca="1" si="24"/>
        <v>45954</v>
      </c>
      <c r="N742" s="74" t="str">
        <f>_xlfn.IFNA(VLOOKUP(db_emp[[#This Row],[ID_DIV]],[1]!db_dpt[[Code_dpt]:[Departement]],2,0),"-")</f>
        <v>Tenant Relation</v>
      </c>
      <c r="O742" s="74" t="str">
        <f>_xlfn.IFNA(VLOOKUP(db_emp[[#This Row],[ID_SDP]],[1]!db_div[[Code_div]:[Division]],2,0),"-")</f>
        <v>Tenant Relation</v>
      </c>
      <c r="P742" s="74" t="str">
        <f>_xlfn.IFNA(VLOOKUP(db_emp[[#This Row],[Code_lvl]],[1]!db_lvl[[#All],[ID_level]:[Leveling Name]],2,0),"-")</f>
        <v>Staff</v>
      </c>
      <c r="Q742" s="74" t="str">
        <f>_xlfn.IFNA(VLOOKUP(db_emp[[#This Row],[Code_site]],[1]!db_site[[ID_Site]:[Url_maps]],3,0),"-")</f>
        <v>Unit - Taman Anggrek Residences</v>
      </c>
      <c r="R7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242117,'Niawati.','TRL','TEREL','Tenant Relation Staff','LV12','Corp. Supporting Property (POM)','A01','Not Employee','2024-11-25','2025-10-24'</v>
      </c>
      <c r="S742" s="74">
        <f>db_emp[[#This Row],[NIP (UPDATE)]]</f>
        <v>242117</v>
      </c>
    </row>
    <row r="743" spans="2:19" hidden="1" x14ac:dyDescent="0.25">
      <c r="B743" s="75">
        <v>631</v>
      </c>
      <c r="C743" s="75">
        <v>250109</v>
      </c>
      <c r="D743" s="74" t="s">
        <v>1956</v>
      </c>
      <c r="E743" s="75" t="s">
        <v>1036</v>
      </c>
      <c r="F743" s="75" t="s">
        <v>1925</v>
      </c>
      <c r="G743" s="74" t="s">
        <v>1933</v>
      </c>
      <c r="H743" s="75" t="s">
        <v>853</v>
      </c>
      <c r="I743" s="74" t="s">
        <v>864</v>
      </c>
      <c r="J743" s="75" t="s">
        <v>433</v>
      </c>
      <c r="K743" s="75" t="s">
        <v>862</v>
      </c>
      <c r="L743" s="76">
        <v>45692</v>
      </c>
      <c r="M743" s="77">
        <f t="shared" ca="1" si="24"/>
        <v>45954</v>
      </c>
      <c r="N743" s="74" t="str">
        <f>_xlfn.IFNA(VLOOKUP(db_emp[[#This Row],[ID_DIV]],[1]!db_dpt[[Code_dpt]:[Departement]],2,0),"-")</f>
        <v>Tenant Relation</v>
      </c>
      <c r="O743" s="74" t="str">
        <f>_xlfn.IFNA(VLOOKUP(db_emp[[#This Row],[ID_SDP]],[1]!db_div[[Code_div]:[Division]],2,0),"-")</f>
        <v>Tenant Relation</v>
      </c>
      <c r="P743" s="74" t="str">
        <f>_xlfn.IFNA(VLOOKUP(db_emp[[#This Row],[Code_lvl]],[1]!db_lvl[[#All],[ID_level]:[Leveling Name]],2,0),"-")</f>
        <v>Staff</v>
      </c>
      <c r="Q743" s="74" t="str">
        <f>_xlfn.IFNA(VLOOKUP(db_emp[[#This Row],[Code_site]],[1]!db_site[[ID_Site]:[Url_maps]],3,0),"-")</f>
        <v>Unit - Taman Anggrek Residences</v>
      </c>
      <c r="R7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250109,'Abdu Rahman Yasir','TRL','TEREL','Tenant Relation Staff','LV12','Corp. Supporting Property (POM)','A01','Not Employee','2025-02-04','2025-10-24'</v>
      </c>
      <c r="S743" s="74">
        <f>db_emp[[#This Row],[NIP (UPDATE)]]</f>
        <v>250109</v>
      </c>
    </row>
    <row r="744" spans="2:19" hidden="1" x14ac:dyDescent="0.25">
      <c r="B744" s="75">
        <v>643</v>
      </c>
      <c r="C744" s="75">
        <v>250344</v>
      </c>
      <c r="D744" s="74" t="s">
        <v>1957</v>
      </c>
      <c r="E744" s="75" t="s">
        <v>1036</v>
      </c>
      <c r="F744" s="75" t="s">
        <v>1925</v>
      </c>
      <c r="G744" s="74" t="s">
        <v>1933</v>
      </c>
      <c r="H744" s="75" t="s">
        <v>853</v>
      </c>
      <c r="I744" s="74" t="s">
        <v>864</v>
      </c>
      <c r="J744" s="75" t="s">
        <v>433</v>
      </c>
      <c r="K744" s="75" t="s">
        <v>862</v>
      </c>
      <c r="L744" s="76">
        <v>45761</v>
      </c>
      <c r="M744" s="77">
        <f t="shared" ca="1" si="24"/>
        <v>45954</v>
      </c>
      <c r="N744" s="74" t="str">
        <f>_xlfn.IFNA(VLOOKUP(db_emp[[#This Row],[ID_DIV]],[1]!db_dpt[[Code_dpt]:[Departement]],2,0),"-")</f>
        <v>Tenant Relation</v>
      </c>
      <c r="O744" s="74" t="str">
        <f>_xlfn.IFNA(VLOOKUP(db_emp[[#This Row],[ID_SDP]],[1]!db_div[[Code_div]:[Division]],2,0),"-")</f>
        <v>Tenant Relation</v>
      </c>
      <c r="P744" s="74" t="str">
        <f>_xlfn.IFNA(VLOOKUP(db_emp[[#This Row],[Code_lvl]],[1]!db_lvl[[#All],[ID_level]:[Leveling Name]],2,0),"-")</f>
        <v>Staff</v>
      </c>
      <c r="Q744" s="74" t="str">
        <f>_xlfn.IFNA(VLOOKUP(db_emp[[#This Row],[Code_site]],[1]!db_site[[ID_Site]:[Url_maps]],3,0),"-")</f>
        <v>Unit - Taman Anggrek Residences</v>
      </c>
      <c r="R7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250344,'Salwa Nayla Maulidya','TRL','TEREL','Tenant Relation Staff','LV12','Corp. Supporting Property (POM)','A01','Not Employee','2025-04-14','2025-10-24'</v>
      </c>
      <c r="S744" s="74">
        <f>db_emp[[#This Row],[NIP (UPDATE)]]</f>
        <v>250344</v>
      </c>
    </row>
    <row r="745" spans="2:19" hidden="1" x14ac:dyDescent="0.25">
      <c r="B745" s="75">
        <v>702</v>
      </c>
      <c r="C745" s="75">
        <v>231831</v>
      </c>
      <c r="D745" s="74" t="s">
        <v>1958</v>
      </c>
      <c r="E745" s="75" t="s">
        <v>1036</v>
      </c>
      <c r="F745" s="75" t="s">
        <v>1925</v>
      </c>
      <c r="G745" s="74" t="s">
        <v>1933</v>
      </c>
      <c r="H745" s="75" t="s">
        <v>853</v>
      </c>
      <c r="I745" s="74" t="s">
        <v>864</v>
      </c>
      <c r="J745" s="75" t="s">
        <v>501</v>
      </c>
      <c r="K745" s="75" t="s">
        <v>850</v>
      </c>
      <c r="L745" s="76"/>
      <c r="M745" s="77">
        <f t="shared" ca="1" si="24"/>
        <v>45954</v>
      </c>
      <c r="N745" s="74" t="str">
        <f>_xlfn.IFNA(VLOOKUP(db_emp[[#This Row],[ID_DIV]],[1]!db_dpt[[Code_dpt]:[Departement]],2,0),"-")</f>
        <v>Tenant Relation</v>
      </c>
      <c r="O745" s="74" t="str">
        <f>_xlfn.IFNA(VLOOKUP(db_emp[[#This Row],[ID_SDP]],[1]!db_div[[Code_div]:[Division]],2,0),"-")</f>
        <v>Tenant Relation</v>
      </c>
      <c r="P745" s="74" t="str">
        <f>_xlfn.IFNA(VLOOKUP(db_emp[[#This Row],[Code_lvl]],[1]!db_lvl[[#All],[ID_level]:[Leveling Name]],2,0),"-")</f>
        <v>Staff</v>
      </c>
      <c r="Q745" s="74" t="str">
        <f>_xlfn.IFNA(VLOOKUP(db_emp[[#This Row],[Code_site]],[1]!db_site[[ID_Site]:[Url_maps]],3,0),"-")</f>
        <v>Unit - District 8</v>
      </c>
      <c r="R7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231831,'Grace Ruth Agustina','TRL','TEREL','Tenant Relation Staff','LV12','Corp. Supporting Property (POM)','OD8','Employee','1900-01-00','2025-10-24'</v>
      </c>
      <c r="S745" s="74">
        <f>db_emp[[#This Row],[NIP (UPDATE)]]</f>
        <v>231831</v>
      </c>
    </row>
    <row r="746" spans="2:19" hidden="1" x14ac:dyDescent="0.25">
      <c r="B746" s="75">
        <v>744</v>
      </c>
      <c r="C746" s="75">
        <v>241391</v>
      </c>
      <c r="D746" s="74" t="s">
        <v>1959</v>
      </c>
      <c r="E746" s="75" t="s">
        <v>1036</v>
      </c>
      <c r="F746" s="75" t="s">
        <v>1925</v>
      </c>
      <c r="G746" s="74" t="s">
        <v>1933</v>
      </c>
      <c r="H746" s="75" t="s">
        <v>853</v>
      </c>
      <c r="I746" s="74" t="s">
        <v>864</v>
      </c>
      <c r="J746" s="75" t="s">
        <v>501</v>
      </c>
      <c r="K746" s="75" t="s">
        <v>850</v>
      </c>
      <c r="L746" s="76"/>
      <c r="M746" s="77">
        <f t="shared" ca="1" si="24"/>
        <v>45954</v>
      </c>
      <c r="N746" s="74" t="str">
        <f>_xlfn.IFNA(VLOOKUP(db_emp[[#This Row],[ID_DIV]],[1]!db_dpt[[Code_dpt]:[Departement]],2,0),"-")</f>
        <v>Tenant Relation</v>
      </c>
      <c r="O746" s="74" t="str">
        <f>_xlfn.IFNA(VLOOKUP(db_emp[[#This Row],[ID_SDP]],[1]!db_div[[Code_div]:[Division]],2,0),"-")</f>
        <v>Tenant Relation</v>
      </c>
      <c r="P746" s="74" t="str">
        <f>_xlfn.IFNA(VLOOKUP(db_emp[[#This Row],[Code_lvl]],[1]!db_lvl[[#All],[ID_level]:[Leveling Name]],2,0),"-")</f>
        <v>Staff</v>
      </c>
      <c r="Q746" s="74" t="str">
        <f>_xlfn.IFNA(VLOOKUP(db_emp[[#This Row],[Code_site]],[1]!db_site[[ID_Site]:[Url_maps]],3,0),"-")</f>
        <v>Unit - District 8</v>
      </c>
      <c r="R7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241391,'Dede Rohim','TRL','TEREL','Tenant Relation Staff','LV12','Corp. Supporting Property (POM)','OD8','Employee','1900-01-00','2025-10-24'</v>
      </c>
      <c r="S746" s="74">
        <f>db_emp[[#This Row],[NIP (UPDATE)]]</f>
        <v>241391</v>
      </c>
    </row>
    <row r="747" spans="2:19" hidden="1" x14ac:dyDescent="0.25">
      <c r="B747" s="75">
        <v>757</v>
      </c>
      <c r="C747" s="75">
        <v>250130</v>
      </c>
      <c r="D747" s="74" t="s">
        <v>1960</v>
      </c>
      <c r="E747" s="75" t="s">
        <v>1036</v>
      </c>
      <c r="F747" s="75" t="s">
        <v>1925</v>
      </c>
      <c r="G747" s="74" t="s">
        <v>1933</v>
      </c>
      <c r="H747" s="75" t="s">
        <v>853</v>
      </c>
      <c r="I747" s="74" t="s">
        <v>864</v>
      </c>
      <c r="J747" s="75" t="s">
        <v>501</v>
      </c>
      <c r="K747" s="75" t="s">
        <v>903</v>
      </c>
      <c r="L747" s="76"/>
      <c r="M747" s="77">
        <v>45869</v>
      </c>
      <c r="N747" s="74" t="str">
        <f>_xlfn.IFNA(VLOOKUP(db_emp[[#This Row],[ID_DIV]],[1]!db_dpt[[Code_dpt]:[Departement]],2,0),"-")</f>
        <v>Tenant Relation</v>
      </c>
      <c r="O747" s="74" t="str">
        <f>_xlfn.IFNA(VLOOKUP(db_emp[[#This Row],[ID_SDP]],[1]!db_div[[Code_div]:[Division]],2,0),"-")</f>
        <v>Tenant Relation</v>
      </c>
      <c r="P747" s="74" t="str">
        <f>_xlfn.IFNA(VLOOKUP(db_emp[[#This Row],[Code_lvl]],[1]!db_lvl[[#All],[ID_level]:[Leveling Name]],2,0),"-")</f>
        <v>Staff</v>
      </c>
      <c r="Q747" s="74" t="str">
        <f>_xlfn.IFNA(VLOOKUP(db_emp[[#This Row],[Code_site]],[1]!db_site[[ID_Site]:[Url_maps]],3,0),"-")</f>
        <v>Unit - District 8</v>
      </c>
      <c r="R747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250130,'Firda Canida','TRL','TEREL','Tenant Relation Staff','LV12','Corp. Supporting Property (POM)','OD8','Resign','1900-01-00','2025-07-31'</v>
      </c>
      <c r="S747" s="74">
        <f>db_emp[[#This Row],[NIP (UPDATE)]]</f>
        <v>250130</v>
      </c>
    </row>
    <row r="748" spans="2:19" hidden="1" x14ac:dyDescent="0.25">
      <c r="B748" s="75">
        <v>504</v>
      </c>
      <c r="C748" s="75">
        <v>231097</v>
      </c>
      <c r="D748" s="74" t="s">
        <v>1961</v>
      </c>
      <c r="E748" s="75" t="s">
        <v>1036</v>
      </c>
      <c r="F748" s="75" t="s">
        <v>1925</v>
      </c>
      <c r="G748" s="74" t="s">
        <v>1962</v>
      </c>
      <c r="H748" s="75" t="s">
        <v>870</v>
      </c>
      <c r="I748" s="74" t="s">
        <v>864</v>
      </c>
      <c r="J748" s="75" t="s">
        <v>441</v>
      </c>
      <c r="K748" s="75" t="s">
        <v>850</v>
      </c>
      <c r="L748" s="76">
        <v>45117</v>
      </c>
      <c r="M748" s="77">
        <f t="shared" ref="M748:M754" ca="1" si="25">TODAY()+1</f>
        <v>45954</v>
      </c>
      <c r="N748" s="74" t="str">
        <f>_xlfn.IFNA(VLOOKUP(db_emp[[#This Row],[ID_DIV]],[1]!db_dpt[[Code_dpt]:[Departement]],2,0),"-")</f>
        <v>Tenant Relation</v>
      </c>
      <c r="O748" s="74" t="str">
        <f>_xlfn.IFNA(VLOOKUP(db_emp[[#This Row],[ID_SDP]],[1]!db_div[[Code_div]:[Division]],2,0),"-")</f>
        <v>Tenant Relation</v>
      </c>
      <c r="P748" s="74" t="str">
        <f>_xlfn.IFNA(VLOOKUP(db_emp[[#This Row],[Code_lvl]],[1]!db_lvl[[#All],[ID_level]:[Leveling Name]],2,0),"-")</f>
        <v>Supervisor</v>
      </c>
      <c r="Q748" s="74" t="str">
        <f>_xlfn.IFNA(VLOOKUP(db_emp[[#This Row],[Code_site]],[1]!db_site[[ID_Site]:[Url_maps]],3,0),"-")</f>
        <v>Unit - Fatmawati City Center</v>
      </c>
      <c r="R7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231097,'Daylon Collin Bensons','TRL','TEREL','Tenant Relation Supervisor','LV09','Corp. Supporting Property (POM)','A02','Employee','2023-07-10','2025-10-24'</v>
      </c>
      <c r="S748" s="74">
        <f>db_emp[[#This Row],[NIP (UPDATE)]]</f>
        <v>231097</v>
      </c>
    </row>
    <row r="749" spans="2:19" hidden="1" x14ac:dyDescent="0.25">
      <c r="B749" s="75">
        <v>505</v>
      </c>
      <c r="C749" s="75">
        <v>230341</v>
      </c>
      <c r="D749" s="74" t="s">
        <v>1963</v>
      </c>
      <c r="E749" s="75" t="s">
        <v>1036</v>
      </c>
      <c r="F749" s="75" t="s">
        <v>1925</v>
      </c>
      <c r="G749" s="74" t="s">
        <v>1962</v>
      </c>
      <c r="H749" s="75" t="s">
        <v>870</v>
      </c>
      <c r="I749" s="74" t="s">
        <v>864</v>
      </c>
      <c r="J749" s="75" t="s">
        <v>441</v>
      </c>
      <c r="K749" s="75" t="s">
        <v>850</v>
      </c>
      <c r="L749" s="76">
        <v>45016</v>
      </c>
      <c r="M749" s="77">
        <f t="shared" ca="1" si="25"/>
        <v>45954</v>
      </c>
      <c r="N749" s="74" t="str">
        <f>_xlfn.IFNA(VLOOKUP(db_emp[[#This Row],[ID_DIV]],[1]!db_dpt[[Code_dpt]:[Departement]],2,0),"-")</f>
        <v>Tenant Relation</v>
      </c>
      <c r="O749" s="74" t="str">
        <f>_xlfn.IFNA(VLOOKUP(db_emp[[#This Row],[ID_SDP]],[1]!db_div[[Code_div]:[Division]],2,0),"-")</f>
        <v>Tenant Relation</v>
      </c>
      <c r="P749" s="74" t="str">
        <f>_xlfn.IFNA(VLOOKUP(db_emp[[#This Row],[Code_lvl]],[1]!db_lvl[[#All],[ID_level]:[Leveling Name]],2,0),"-")</f>
        <v>Supervisor</v>
      </c>
      <c r="Q749" s="74" t="str">
        <f>_xlfn.IFNA(VLOOKUP(db_emp[[#This Row],[Code_site]],[1]!db_site[[ID_Site]:[Url_maps]],3,0),"-")</f>
        <v>Unit - Fatmawati City Center</v>
      </c>
      <c r="R7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230341,'Anton Framana Aditya','TRL','TEREL','Tenant Relation Supervisor','LV09','Corp. Supporting Property (POM)','A02','Employee','2023-03-31','2025-10-24'</v>
      </c>
      <c r="S749" s="74">
        <f>db_emp[[#This Row],[NIP (UPDATE)]]</f>
        <v>230341</v>
      </c>
    </row>
    <row r="750" spans="2:19" hidden="1" x14ac:dyDescent="0.25">
      <c r="B750" s="75">
        <v>537</v>
      </c>
      <c r="C750" s="75">
        <v>221826</v>
      </c>
      <c r="D750" s="74" t="s">
        <v>1964</v>
      </c>
      <c r="E750" s="75" t="s">
        <v>1036</v>
      </c>
      <c r="F750" s="75" t="s">
        <v>1925</v>
      </c>
      <c r="G750" s="74" t="s">
        <v>1962</v>
      </c>
      <c r="H750" s="75" t="s">
        <v>1347</v>
      </c>
      <c r="I750" s="74" t="s">
        <v>864</v>
      </c>
      <c r="J750" s="75" t="s">
        <v>446</v>
      </c>
      <c r="K750" s="75" t="s">
        <v>850</v>
      </c>
      <c r="L750" s="76">
        <v>44914</v>
      </c>
      <c r="M750" s="77">
        <f t="shared" ca="1" si="25"/>
        <v>45954</v>
      </c>
      <c r="N750" s="74" t="str">
        <f>_xlfn.IFNA(VLOOKUP(db_emp[[#This Row],[ID_DIV]],[1]!db_dpt[[Code_dpt]:[Departement]],2,0),"-")</f>
        <v>Tenant Relation</v>
      </c>
      <c r="O750" s="74" t="str">
        <f>_xlfn.IFNA(VLOOKUP(db_emp[[#This Row],[ID_SDP]],[1]!db_div[[Code_div]:[Division]],2,0),"-")</f>
        <v>Tenant Relation</v>
      </c>
      <c r="P750" s="74" t="str">
        <f>_xlfn.IFNA(VLOOKUP(db_emp[[#This Row],[Code_lvl]],[1]!db_lvl[[#All],[ID_level]:[Leveling Name]],2,0),"-")</f>
        <v>Senior Supervisor</v>
      </c>
      <c r="Q750" s="74" t="str">
        <f>_xlfn.IFNA(VLOOKUP(db_emp[[#This Row],[Code_site]],[1]!db_site[[ID_Site]:[Url_maps]],3,0),"-")</f>
        <v>Unit - Menara Jakarta POM</v>
      </c>
      <c r="R7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221826,'Aprie Paranggi','TRL','TEREL','Tenant Relation Supervisor','LV08','Corp. Supporting Property (POM)','A03','Employee','2022-12-19','2025-10-24'</v>
      </c>
      <c r="S750" s="74">
        <f>db_emp[[#This Row],[NIP (UPDATE)]]</f>
        <v>221826</v>
      </c>
    </row>
    <row r="751" spans="2:19" hidden="1" x14ac:dyDescent="0.25">
      <c r="B751" s="75">
        <v>619</v>
      </c>
      <c r="C751" s="75">
        <v>230523</v>
      </c>
      <c r="D751" s="74" t="s">
        <v>1965</v>
      </c>
      <c r="E751" s="75" t="s">
        <v>1036</v>
      </c>
      <c r="F751" s="75" t="s">
        <v>1925</v>
      </c>
      <c r="G751" s="74" t="s">
        <v>1962</v>
      </c>
      <c r="H751" s="75" t="s">
        <v>870</v>
      </c>
      <c r="I751" s="74" t="s">
        <v>864</v>
      </c>
      <c r="J751" s="75" t="s">
        <v>433</v>
      </c>
      <c r="K751" s="75" t="s">
        <v>850</v>
      </c>
      <c r="L751" s="76">
        <v>45033</v>
      </c>
      <c r="M751" s="77">
        <f t="shared" ca="1" si="25"/>
        <v>45954</v>
      </c>
      <c r="N751" s="74" t="str">
        <f>_xlfn.IFNA(VLOOKUP(db_emp[[#This Row],[ID_DIV]],[1]!db_dpt[[Code_dpt]:[Departement]],2,0),"-")</f>
        <v>Tenant Relation</v>
      </c>
      <c r="O751" s="74" t="str">
        <f>_xlfn.IFNA(VLOOKUP(db_emp[[#This Row],[ID_SDP]],[1]!db_div[[Code_div]:[Division]],2,0),"-")</f>
        <v>Tenant Relation</v>
      </c>
      <c r="P751" s="74" t="str">
        <f>_xlfn.IFNA(VLOOKUP(db_emp[[#This Row],[Code_lvl]],[1]!db_lvl[[#All],[ID_level]:[Leveling Name]],2,0),"-")</f>
        <v>Supervisor</v>
      </c>
      <c r="Q751" s="74" t="str">
        <f>_xlfn.IFNA(VLOOKUP(db_emp[[#This Row],[Code_site]],[1]!db_site[[ID_Site]:[Url_maps]],3,0),"-")</f>
        <v>Unit - Taman Anggrek Residences</v>
      </c>
      <c r="R7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230523,'Damairia Frishella','TRL','TEREL','Tenant Relation Supervisor','LV09','Corp. Supporting Property (POM)','A01','Employee','2023-04-17','2025-10-24'</v>
      </c>
      <c r="S751" s="74">
        <f>db_emp[[#This Row],[NIP (UPDATE)]]</f>
        <v>230523</v>
      </c>
    </row>
    <row r="752" spans="2:19" hidden="1" x14ac:dyDescent="0.25">
      <c r="B752" s="75">
        <v>620</v>
      </c>
      <c r="C752" s="75">
        <v>231092</v>
      </c>
      <c r="D752" s="74" t="s">
        <v>1966</v>
      </c>
      <c r="E752" s="75" t="s">
        <v>1036</v>
      </c>
      <c r="F752" s="75" t="s">
        <v>1925</v>
      </c>
      <c r="G752" s="74" t="s">
        <v>1962</v>
      </c>
      <c r="H752" s="75" t="s">
        <v>870</v>
      </c>
      <c r="I752" s="74" t="s">
        <v>864</v>
      </c>
      <c r="J752" s="75" t="s">
        <v>433</v>
      </c>
      <c r="K752" s="75" t="s">
        <v>850</v>
      </c>
      <c r="L752" s="76">
        <v>45114</v>
      </c>
      <c r="M752" s="77">
        <f t="shared" ca="1" si="25"/>
        <v>45954</v>
      </c>
      <c r="N752" s="74" t="str">
        <f>_xlfn.IFNA(VLOOKUP(db_emp[[#This Row],[ID_DIV]],[1]!db_dpt[[Code_dpt]:[Departement]],2,0),"-")</f>
        <v>Tenant Relation</v>
      </c>
      <c r="O752" s="74" t="str">
        <f>_xlfn.IFNA(VLOOKUP(db_emp[[#This Row],[ID_SDP]],[1]!db_div[[Code_div]:[Division]],2,0),"-")</f>
        <v>Tenant Relation</v>
      </c>
      <c r="P752" s="74" t="str">
        <f>_xlfn.IFNA(VLOOKUP(db_emp[[#This Row],[Code_lvl]],[1]!db_lvl[[#All],[ID_level]:[Leveling Name]],2,0),"-")</f>
        <v>Supervisor</v>
      </c>
      <c r="Q752" s="74" t="str">
        <f>_xlfn.IFNA(VLOOKUP(db_emp[[#This Row],[Code_site]],[1]!db_site[[ID_Site]:[Url_maps]],3,0),"-")</f>
        <v>Unit - Taman Anggrek Residences</v>
      </c>
      <c r="R7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231092,'Karlina Tamaya','TRL','TEREL','Tenant Relation Supervisor','LV09','Corp. Supporting Property (POM)','A01','Employee','2023-07-07','2025-10-24'</v>
      </c>
      <c r="S752" s="74">
        <f>db_emp[[#This Row],[NIP (UPDATE)]]</f>
        <v>231092</v>
      </c>
    </row>
    <row r="753" spans="2:19" hidden="1" x14ac:dyDescent="0.25">
      <c r="B753" s="75">
        <v>621</v>
      </c>
      <c r="C753" s="75">
        <v>241679</v>
      </c>
      <c r="D753" s="74" t="s">
        <v>1967</v>
      </c>
      <c r="E753" s="75" t="s">
        <v>1036</v>
      </c>
      <c r="F753" s="75" t="s">
        <v>1925</v>
      </c>
      <c r="G753" s="74" t="s">
        <v>1962</v>
      </c>
      <c r="H753" s="75" t="s">
        <v>870</v>
      </c>
      <c r="I753" s="74" t="s">
        <v>864</v>
      </c>
      <c r="J753" s="75" t="s">
        <v>433</v>
      </c>
      <c r="K753" s="75" t="s">
        <v>850</v>
      </c>
      <c r="L753" s="76">
        <v>45552</v>
      </c>
      <c r="M753" s="77">
        <f t="shared" ca="1" si="25"/>
        <v>45954</v>
      </c>
      <c r="N753" s="74" t="str">
        <f>_xlfn.IFNA(VLOOKUP(db_emp[[#This Row],[ID_DIV]],[1]!db_dpt[[Code_dpt]:[Departement]],2,0),"-")</f>
        <v>Tenant Relation</v>
      </c>
      <c r="O753" s="74" t="str">
        <f>_xlfn.IFNA(VLOOKUP(db_emp[[#This Row],[ID_SDP]],[1]!db_div[[Code_div]:[Division]],2,0),"-")</f>
        <v>Tenant Relation</v>
      </c>
      <c r="P753" s="74" t="str">
        <f>_xlfn.IFNA(VLOOKUP(db_emp[[#This Row],[Code_lvl]],[1]!db_lvl[[#All],[ID_level]:[Leveling Name]],2,0),"-")</f>
        <v>Supervisor</v>
      </c>
      <c r="Q753" s="74" t="str">
        <f>_xlfn.IFNA(VLOOKUP(db_emp[[#This Row],[Code_site]],[1]!db_site[[ID_Site]:[Url_maps]],3,0),"-")</f>
        <v>Unit - Taman Anggrek Residences</v>
      </c>
      <c r="R7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241679,'Amalia Dewi Harahap','TRL','TEREL','Tenant Relation Supervisor','LV09','Corp. Supporting Property (POM)','A01','Employee','2024-09-17','2025-10-24'</v>
      </c>
      <c r="S753" s="74">
        <f>db_emp[[#This Row],[NIP (UPDATE)]]</f>
        <v>241679</v>
      </c>
    </row>
    <row r="754" spans="2:19" hidden="1" x14ac:dyDescent="0.25">
      <c r="B754" s="75">
        <v>690</v>
      </c>
      <c r="C754" s="75">
        <v>231156</v>
      </c>
      <c r="D754" s="74" t="s">
        <v>1968</v>
      </c>
      <c r="E754" s="75" t="s">
        <v>1036</v>
      </c>
      <c r="F754" s="75" t="s">
        <v>1925</v>
      </c>
      <c r="G754" s="74" t="s">
        <v>1962</v>
      </c>
      <c r="H754" s="75" t="s">
        <v>870</v>
      </c>
      <c r="I754" s="74" t="s">
        <v>864</v>
      </c>
      <c r="J754" s="75" t="s">
        <v>501</v>
      </c>
      <c r="K754" s="75" t="s">
        <v>850</v>
      </c>
      <c r="L754" s="76"/>
      <c r="M754" s="77">
        <f t="shared" ca="1" si="25"/>
        <v>45954</v>
      </c>
      <c r="N754" s="74" t="str">
        <f>_xlfn.IFNA(VLOOKUP(db_emp[[#This Row],[ID_DIV]],[1]!db_dpt[[Code_dpt]:[Departement]],2,0),"-")</f>
        <v>Tenant Relation</v>
      </c>
      <c r="O754" s="74" t="str">
        <f>_xlfn.IFNA(VLOOKUP(db_emp[[#This Row],[ID_SDP]],[1]!db_div[[Code_div]:[Division]],2,0),"-")</f>
        <v>Tenant Relation</v>
      </c>
      <c r="P754" s="74" t="str">
        <f>_xlfn.IFNA(VLOOKUP(db_emp[[#This Row],[Code_lvl]],[1]!db_lvl[[#All],[ID_level]:[Leveling Name]],2,0),"-")</f>
        <v>Supervisor</v>
      </c>
      <c r="Q754" s="74" t="str">
        <f>_xlfn.IFNA(VLOOKUP(db_emp[[#This Row],[Code_site]],[1]!db_site[[ID_Site]:[Url_maps]],3,0),"-")</f>
        <v>Unit - District 8</v>
      </c>
      <c r="R7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231156,'Yolanda Fadilla','TRL','TEREL','Tenant Relation Supervisor','LV09','Corp. Supporting Property (POM)','OD8','Employee','1900-01-00','2025-10-24'</v>
      </c>
      <c r="S754" s="74">
        <f>db_emp[[#This Row],[NIP (UPDATE)]]</f>
        <v>231156</v>
      </c>
    </row>
    <row r="755" spans="2:19" hidden="1" x14ac:dyDescent="0.25">
      <c r="B755" s="75">
        <v>705</v>
      </c>
      <c r="C755" s="75">
        <v>240298</v>
      </c>
      <c r="D755" s="74" t="s">
        <v>1969</v>
      </c>
      <c r="E755" s="75" t="s">
        <v>1036</v>
      </c>
      <c r="F755" s="75" t="s">
        <v>1925</v>
      </c>
      <c r="G755" s="74" t="s">
        <v>1962</v>
      </c>
      <c r="H755" s="75" t="s">
        <v>870</v>
      </c>
      <c r="I755" s="74" t="s">
        <v>864</v>
      </c>
      <c r="J755" s="75" t="s">
        <v>501</v>
      </c>
      <c r="K755" s="75" t="s">
        <v>903</v>
      </c>
      <c r="L755" s="76"/>
      <c r="M755" s="77">
        <v>45869</v>
      </c>
      <c r="N755" s="74" t="str">
        <f>_xlfn.IFNA(VLOOKUP(db_emp[[#This Row],[ID_DIV]],[1]!db_dpt[[Code_dpt]:[Departement]],2,0),"-")</f>
        <v>Tenant Relation</v>
      </c>
      <c r="O755" s="74" t="str">
        <f>_xlfn.IFNA(VLOOKUP(db_emp[[#This Row],[ID_SDP]],[1]!db_div[[Code_div]:[Division]],2,0),"-")</f>
        <v>Tenant Relation</v>
      </c>
      <c r="P755" s="74" t="str">
        <f>_xlfn.IFNA(VLOOKUP(db_emp[[#This Row],[Code_lvl]],[1]!db_lvl[[#All],[ID_level]:[Leveling Name]],2,0),"-")</f>
        <v>Supervisor</v>
      </c>
      <c r="Q755" s="74" t="str">
        <f>_xlfn.IFNA(VLOOKUP(db_emp[[#This Row],[Code_site]],[1]!db_site[[ID_Site]:[Url_maps]],3,0),"-")</f>
        <v>Unit - District 8</v>
      </c>
      <c r="R755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240298,'Raissa Aoulia Agustian','TRL','TEREL','Tenant Relation Supervisor','LV09','Corp. Supporting Property (POM)','OD8','Resign','1900-01-00','2025-07-31'</v>
      </c>
      <c r="S755" s="74">
        <f>db_emp[[#This Row],[NIP (UPDATE)]]</f>
        <v>240298</v>
      </c>
    </row>
    <row r="756" spans="2:19" hidden="1" x14ac:dyDescent="0.25">
      <c r="B756" s="75">
        <v>758</v>
      </c>
      <c r="C756" s="75">
        <v>250236</v>
      </c>
      <c r="D756" s="74" t="s">
        <v>1970</v>
      </c>
      <c r="E756" s="75" t="s">
        <v>1036</v>
      </c>
      <c r="F756" s="75" t="s">
        <v>1925</v>
      </c>
      <c r="G756" s="74" t="s">
        <v>1962</v>
      </c>
      <c r="H756" s="75" t="s">
        <v>870</v>
      </c>
      <c r="I756" s="74" t="s">
        <v>864</v>
      </c>
      <c r="J756" s="75" t="s">
        <v>501</v>
      </c>
      <c r="K756" s="75" t="s">
        <v>903</v>
      </c>
      <c r="L756" s="76"/>
      <c r="M756" s="77">
        <v>45835</v>
      </c>
      <c r="N756" s="74" t="str">
        <f>_xlfn.IFNA(VLOOKUP(db_emp[[#This Row],[ID_DIV]],[1]!db_dpt[[Code_dpt]:[Departement]],2,0),"-")</f>
        <v>Tenant Relation</v>
      </c>
      <c r="O756" s="74" t="str">
        <f>_xlfn.IFNA(VLOOKUP(db_emp[[#This Row],[ID_SDP]],[1]!db_div[[Code_div]:[Division]],2,0),"-")</f>
        <v>Tenant Relation</v>
      </c>
      <c r="P756" s="74" t="str">
        <f>_xlfn.IFNA(VLOOKUP(db_emp[[#This Row],[Code_lvl]],[1]!db_lvl[[#All],[ID_level]:[Leveling Name]],2,0),"-")</f>
        <v>Supervisor</v>
      </c>
      <c r="Q756" s="74" t="str">
        <f>_xlfn.IFNA(VLOOKUP(db_emp[[#This Row],[Code_site]],[1]!db_site[[ID_Site]:[Url_maps]],3,0),"-")</f>
        <v>Unit - District 8</v>
      </c>
      <c r="R756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250236,'Neti Wulandari','TRL','TEREL','Tenant Relation Supervisor','LV09','Corp. Supporting Property (POM)','OD8','Resign','1900-01-00','2025-06-27'</v>
      </c>
      <c r="S756" s="74">
        <f>db_emp[[#This Row],[NIP (UPDATE)]]</f>
        <v>250236</v>
      </c>
    </row>
    <row r="757" spans="2:19" hidden="1" x14ac:dyDescent="0.25">
      <c r="B757" s="75">
        <v>760</v>
      </c>
      <c r="C757" s="75">
        <v>250294</v>
      </c>
      <c r="D757" s="74" t="s">
        <v>1971</v>
      </c>
      <c r="E757" s="75" t="s">
        <v>1036</v>
      </c>
      <c r="F757" s="75" t="s">
        <v>1925</v>
      </c>
      <c r="G757" s="74" t="s">
        <v>1962</v>
      </c>
      <c r="H757" s="75" t="s">
        <v>870</v>
      </c>
      <c r="I757" s="74" t="s">
        <v>864</v>
      </c>
      <c r="J757" s="75" t="s">
        <v>501</v>
      </c>
      <c r="K757" s="75" t="s">
        <v>850</v>
      </c>
      <c r="L757" s="76"/>
      <c r="M757" s="77">
        <f t="shared" ref="M757:M767" ca="1" si="26">TODAY()+1</f>
        <v>45954</v>
      </c>
      <c r="N757" s="74" t="str">
        <f>_xlfn.IFNA(VLOOKUP(db_emp[[#This Row],[ID_DIV]],[1]!db_dpt[[Code_dpt]:[Departement]],2,0),"-")</f>
        <v>Tenant Relation</v>
      </c>
      <c r="O757" s="74" t="str">
        <f>_xlfn.IFNA(VLOOKUP(db_emp[[#This Row],[ID_SDP]],[1]!db_div[[Code_div]:[Division]],2,0),"-")</f>
        <v>Tenant Relation</v>
      </c>
      <c r="P757" s="74" t="str">
        <f>_xlfn.IFNA(VLOOKUP(db_emp[[#This Row],[Code_lvl]],[1]!db_lvl[[#All],[ID_level]:[Leveling Name]],2,0),"-")</f>
        <v>Supervisor</v>
      </c>
      <c r="Q757" s="74" t="str">
        <f>_xlfn.IFNA(VLOOKUP(db_emp[[#This Row],[Code_site]],[1]!db_site[[ID_Site]:[Url_maps]],3,0),"-")</f>
        <v>Unit - District 8</v>
      </c>
      <c r="R7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250294,'Muhammad Rifai','TRL','TEREL','Tenant Relation Supervisor','LV09','Corp. Supporting Property (POM)','OD8','Employee','1900-01-00','2025-10-24'</v>
      </c>
      <c r="S757" s="74">
        <f>db_emp[[#This Row],[NIP (UPDATE)]]</f>
        <v>250294</v>
      </c>
    </row>
    <row r="758" spans="2:19" hidden="1" x14ac:dyDescent="0.25">
      <c r="B758" s="75">
        <v>215</v>
      </c>
      <c r="C758" s="75">
        <v>220527</v>
      </c>
      <c r="D758" s="74" t="s">
        <v>1972</v>
      </c>
      <c r="E758" s="75" t="s">
        <v>911</v>
      </c>
      <c r="F758" s="75" t="s">
        <v>1973</v>
      </c>
      <c r="G758" s="74" t="s">
        <v>1974</v>
      </c>
      <c r="H758" s="75" t="s">
        <v>853</v>
      </c>
      <c r="I758" s="74" t="s">
        <v>849</v>
      </c>
      <c r="J758" s="75" t="s">
        <v>314</v>
      </c>
      <c r="K758" s="75" t="s">
        <v>850</v>
      </c>
      <c r="L758" s="76">
        <v>44658</v>
      </c>
      <c r="M758" s="77">
        <f t="shared" ca="1" si="26"/>
        <v>45954</v>
      </c>
      <c r="N758" s="74" t="str">
        <f>_xlfn.IFNA(VLOOKUP(db_emp[[#This Row],[ID_DIV]],[1]!db_dpt[[Code_dpt]:[Departement]],2,0),"-")</f>
        <v>Engineering</v>
      </c>
      <c r="O758" s="74" t="str">
        <f>_xlfn.IFNA(VLOOKUP(db_emp[[#This Row],[ID_SDP]],[1]!db_div[[Code_div]:[Division]],2,0),"-")</f>
        <v>Utility</v>
      </c>
      <c r="P758" s="74" t="str">
        <f>_xlfn.IFNA(VLOOKUP(db_emp[[#This Row],[Code_lvl]],[1]!db_lvl[[#All],[ID_level]:[Leveling Name]],2,0),"-")</f>
        <v>Staff</v>
      </c>
      <c r="Q758" s="74" t="str">
        <f>_xlfn.IFNA(VLOOKUP(db_emp[[#This Row],[Code_site]],[1]!db_site[[ID_Site]:[Url_maps]],3,0),"-")</f>
        <v>Unit - MOI</v>
      </c>
      <c r="R7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220527,'Nur Rohmah Wati','ENG','UTLTY','Utility Staff','LV12','Mall &amp; Cinema','M02','Employee','2022-04-07','2025-10-24'</v>
      </c>
      <c r="S758" s="74">
        <f>db_emp[[#This Row],[NIP (UPDATE)]]</f>
        <v>220527</v>
      </c>
    </row>
    <row r="759" spans="2:19" hidden="1" x14ac:dyDescent="0.25">
      <c r="B759" s="75">
        <v>383</v>
      </c>
      <c r="C759" s="75">
        <v>110264</v>
      </c>
      <c r="D759" s="74" t="s">
        <v>1975</v>
      </c>
      <c r="E759" s="75" t="s">
        <v>911</v>
      </c>
      <c r="F759" s="75" t="s">
        <v>1973</v>
      </c>
      <c r="G759" s="74" t="s">
        <v>1976</v>
      </c>
      <c r="H759" s="75" t="s">
        <v>870</v>
      </c>
      <c r="I759" s="74" t="s">
        <v>849</v>
      </c>
      <c r="J759" s="75" t="s">
        <v>316</v>
      </c>
      <c r="K759" s="75" t="s">
        <v>850</v>
      </c>
      <c r="L759" s="76">
        <v>40617</v>
      </c>
      <c r="M759" s="77">
        <f t="shared" ca="1" si="26"/>
        <v>45954</v>
      </c>
      <c r="N759" s="74" t="str">
        <f>_xlfn.IFNA(VLOOKUP(db_emp[[#This Row],[ID_DIV]],[1]!db_dpt[[Code_dpt]:[Departement]],2,0),"-")</f>
        <v>Engineering</v>
      </c>
      <c r="O759" s="74" t="str">
        <f>_xlfn.IFNA(VLOOKUP(db_emp[[#This Row],[ID_SDP]],[1]!db_div[[Code_div]:[Division]],2,0),"-")</f>
        <v>Utility</v>
      </c>
      <c r="P759" s="74" t="str">
        <f>_xlfn.IFNA(VLOOKUP(db_emp[[#This Row],[Code_lvl]],[1]!db_lvl[[#All],[ID_level]:[Leveling Name]],2,0),"-")</f>
        <v>Supervisor</v>
      </c>
      <c r="Q759" s="74" t="str">
        <f>_xlfn.IFNA(VLOOKUP(db_emp[[#This Row],[Code_site]],[1]!db_site[[ID_Site]:[Url_maps]],3,0),"-")</f>
        <v>Unit - GGP</v>
      </c>
      <c r="R7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110264,'Nurul Amalina','ENG','UTLTY','Utility Supervisor','LV09','Mall &amp; Cinema','M03','Employee','2011-03-15','2025-10-24'</v>
      </c>
      <c r="S759" s="74">
        <f>db_emp[[#This Row],[NIP (UPDATE)]]</f>
        <v>110264</v>
      </c>
    </row>
    <row r="760" spans="2:19" hidden="1" x14ac:dyDescent="0.25">
      <c r="B760" s="75">
        <v>649</v>
      </c>
      <c r="C760" s="75">
        <v>999999</v>
      </c>
      <c r="D760" s="74" t="s">
        <v>19</v>
      </c>
      <c r="E760" s="75" t="s">
        <v>427</v>
      </c>
      <c r="F760" s="75" t="s">
        <v>1977</v>
      </c>
      <c r="G760" s="74" t="s">
        <v>19</v>
      </c>
      <c r="H760" s="75" t="s">
        <v>1978</v>
      </c>
      <c r="I760" s="74" t="s">
        <v>19</v>
      </c>
      <c r="J760" s="75" t="s">
        <v>427</v>
      </c>
      <c r="K760" s="75" t="s">
        <v>19</v>
      </c>
      <c r="L760" s="76"/>
      <c r="M760" s="77">
        <f t="shared" ca="1" si="26"/>
        <v>45954</v>
      </c>
      <c r="N760" s="74" t="str">
        <f>_xlfn.IFNA(VLOOKUP(db_emp[[#This Row],[ID_DIV]],[1]!db_dpt[[Code_dpt]:[Departement]],2,0),"-")</f>
        <v>Vacant</v>
      </c>
      <c r="O760" s="74" t="str">
        <f>_xlfn.IFNA(VLOOKUP(db_emp[[#This Row],[ID_SDP]],[1]!db_div[[Code_div]:[Division]],2,0),"-")</f>
        <v>Vacant</v>
      </c>
      <c r="P760" s="74" t="str">
        <f>_xlfn.IFNA(VLOOKUP(db_emp[[#This Row],[Code_lvl]],[1]!db_lvl[[#All],[ID_level]:[Leveling Name]],2,0),"-")</f>
        <v>VACANT</v>
      </c>
      <c r="Q760" s="74" t="str">
        <f>_xlfn.IFNA(VLOOKUP(db_emp[[#This Row],[Code_site]],[1]!db_site[[ID_Site]:[Url_maps]],3,0),"-")</f>
        <v>No UNIT</v>
      </c>
      <c r="R7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999999,'VACANT','VAC','VACNT','VACANT','LV14','VACANT','VAC','VACANT','1900-01-00','2025-10-24'</v>
      </c>
      <c r="S760" s="74">
        <f>db_emp[[#This Row],[NIP (UPDATE)]]</f>
        <v>999999</v>
      </c>
    </row>
    <row r="761" spans="2:19" hidden="1" x14ac:dyDescent="0.25">
      <c r="B761" s="75">
        <v>338</v>
      </c>
      <c r="C761" s="75">
        <v>241491</v>
      </c>
      <c r="D761" s="74" t="s">
        <v>1979</v>
      </c>
      <c r="E761" s="75" t="s">
        <v>1980</v>
      </c>
      <c r="F761" s="75" t="s">
        <v>1981</v>
      </c>
      <c r="G761" s="74" t="s">
        <v>1982</v>
      </c>
      <c r="H761" s="75" t="s">
        <v>953</v>
      </c>
      <c r="I761" s="74" t="s">
        <v>962</v>
      </c>
      <c r="J761" s="75" t="s">
        <v>484</v>
      </c>
      <c r="K761" s="75" t="s">
        <v>850</v>
      </c>
      <c r="L761" s="76">
        <v>45523</v>
      </c>
      <c r="M761" s="77">
        <f t="shared" ca="1" si="26"/>
        <v>45954</v>
      </c>
      <c r="N761" s="74" t="str">
        <f>_xlfn.IFNA(VLOOKUP(db_emp[[#This Row],[ID_DIV]],[1]!db_dpt[[Code_dpt]:[Departement]],2,0),"-")</f>
        <v>-</v>
      </c>
      <c r="O761" s="74" t="str">
        <f>_xlfn.IFNA(VLOOKUP(db_emp[[#This Row],[ID_SDP]],[1]!db_div[[Code_div]:[Division]],2,0),"-")</f>
        <v>Visual Merchandise</v>
      </c>
      <c r="P761" s="74" t="str">
        <f>_xlfn.IFNA(VLOOKUP(db_emp[[#This Row],[Code_lvl]],[1]!db_lvl[[#All],[ID_level]:[Leveling Name]],2,0),"-")</f>
        <v>Manager</v>
      </c>
      <c r="Q761" s="74" t="str">
        <f>_xlfn.IFNA(VLOOKUP(db_emp[[#This Row],[Code_site]],[1]!db_site[[ID_Site]:[Url_maps]],3,0),"-")</f>
        <v>Unit - PIK Avenue</v>
      </c>
      <c r="R7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241491,'Wildan Pasha','VMC','VISME','Visual Merchandise &amp; Onsite Manager','LV05','Mall &amp; Hotel','M01','Employee','2024-08-19','2025-10-24'</v>
      </c>
      <c r="S761" s="74">
        <f>db_emp[[#This Row],[NIP (UPDATE)]]</f>
        <v>241491</v>
      </c>
    </row>
    <row r="762" spans="2:19" hidden="1" x14ac:dyDescent="0.25">
      <c r="B762" s="75">
        <v>304</v>
      </c>
      <c r="C762" s="75">
        <v>231067</v>
      </c>
      <c r="D762" s="74" t="s">
        <v>1983</v>
      </c>
      <c r="E762" s="75" t="s">
        <v>964</v>
      </c>
      <c r="F762" s="75" t="s">
        <v>1981</v>
      </c>
      <c r="G762" s="74" t="s">
        <v>1984</v>
      </c>
      <c r="H762" s="75" t="s">
        <v>885</v>
      </c>
      <c r="I762" s="74" t="s">
        <v>962</v>
      </c>
      <c r="J762" s="75" t="s">
        <v>484</v>
      </c>
      <c r="K762" s="75" t="s">
        <v>850</v>
      </c>
      <c r="L762" s="76">
        <v>45110</v>
      </c>
      <c r="M762" s="77">
        <f t="shared" ca="1" si="26"/>
        <v>45954</v>
      </c>
      <c r="N762" s="74" t="str">
        <f>_xlfn.IFNA(VLOOKUP(db_emp[[#This Row],[ID_DIV]],[1]!db_dpt[[Code_dpt]:[Departement]],2,0),"-")</f>
        <v>Marketing Communication</v>
      </c>
      <c r="O762" s="74" t="str">
        <f>_xlfn.IFNA(VLOOKUP(db_emp[[#This Row],[ID_SDP]],[1]!db_div[[Code_div]:[Division]],2,0),"-")</f>
        <v>Visual Merchandise</v>
      </c>
      <c r="P762" s="74" t="str">
        <f>_xlfn.IFNA(VLOOKUP(db_emp[[#This Row],[Code_lvl]],[1]!db_lvl[[#All],[ID_level]:[Leveling Name]],2,0),"-")</f>
        <v>Senior Staff</v>
      </c>
      <c r="Q762" s="74" t="str">
        <f>_xlfn.IFNA(VLOOKUP(db_emp[[#This Row],[Code_site]],[1]!db_site[[ID_Site]:[Url_maps]],3,0),"-")</f>
        <v>Unit - PIK Avenue</v>
      </c>
      <c r="R7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231067,'Wiras Dwi Aditama','MAR','VISME','Visual Merchandise &amp; Onsite Staff','LV11','Mall &amp; Hotel','M01','Employee','2023-07-03','2025-10-24'</v>
      </c>
      <c r="S762" s="74">
        <f>db_emp[[#This Row],[NIP (UPDATE)]]</f>
        <v>231067</v>
      </c>
    </row>
    <row r="763" spans="2:19" hidden="1" x14ac:dyDescent="0.25">
      <c r="B763" s="75">
        <v>305</v>
      </c>
      <c r="C763" s="75">
        <v>211091</v>
      </c>
      <c r="D763" s="74" t="s">
        <v>1985</v>
      </c>
      <c r="E763" s="75" t="s">
        <v>964</v>
      </c>
      <c r="F763" s="75" t="s">
        <v>1981</v>
      </c>
      <c r="G763" s="74" t="s">
        <v>1984</v>
      </c>
      <c r="H763" s="75" t="s">
        <v>853</v>
      </c>
      <c r="I763" s="74" t="s">
        <v>849</v>
      </c>
      <c r="J763" s="75" t="s">
        <v>484</v>
      </c>
      <c r="K763" s="75" t="s">
        <v>850</v>
      </c>
      <c r="L763" s="76">
        <v>44517</v>
      </c>
      <c r="M763" s="77">
        <f t="shared" ca="1" si="26"/>
        <v>45954</v>
      </c>
      <c r="N763" s="74" t="str">
        <f>_xlfn.IFNA(VLOOKUP(db_emp[[#This Row],[ID_DIV]],[1]!db_dpt[[Code_dpt]:[Departement]],2,0),"-")</f>
        <v>Marketing Communication</v>
      </c>
      <c r="O763" s="74" t="str">
        <f>_xlfn.IFNA(VLOOKUP(db_emp[[#This Row],[ID_SDP]],[1]!db_div[[Code_div]:[Division]],2,0),"-")</f>
        <v>Visual Merchandise</v>
      </c>
      <c r="P763" s="74" t="str">
        <f>_xlfn.IFNA(VLOOKUP(db_emp[[#This Row],[Code_lvl]],[1]!db_lvl[[#All],[ID_level]:[Leveling Name]],2,0),"-")</f>
        <v>Staff</v>
      </c>
      <c r="Q763" s="74" t="str">
        <f>_xlfn.IFNA(VLOOKUP(db_emp[[#This Row],[Code_site]],[1]!db_site[[ID_Site]:[Url_maps]],3,0),"-")</f>
        <v>Unit - PIK Avenue</v>
      </c>
      <c r="R7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211091,'Hendri Apriansyah','MAR','VISME','Visual Merchandise &amp; Onsite Staff','LV12','Mall &amp; Cinema','M01','Employee','2021-11-17','2025-10-24'</v>
      </c>
      <c r="S763" s="74">
        <f>db_emp[[#This Row],[NIP (UPDATE)]]</f>
        <v>211091</v>
      </c>
    </row>
    <row r="764" spans="2:19" hidden="1" x14ac:dyDescent="0.25">
      <c r="B764" s="75">
        <v>346</v>
      </c>
      <c r="C764" s="75">
        <v>250078</v>
      </c>
      <c r="D764" s="74" t="s">
        <v>1986</v>
      </c>
      <c r="E764" s="75" t="s">
        <v>964</v>
      </c>
      <c r="F764" s="75" t="s">
        <v>1981</v>
      </c>
      <c r="G764" s="74" t="s">
        <v>1984</v>
      </c>
      <c r="H764" s="75" t="s">
        <v>853</v>
      </c>
      <c r="I764" s="74" t="s">
        <v>962</v>
      </c>
      <c r="J764" s="75" t="s">
        <v>484</v>
      </c>
      <c r="K764" s="75" t="s">
        <v>862</v>
      </c>
      <c r="L764" s="76">
        <v>45677</v>
      </c>
      <c r="M764" s="77">
        <f t="shared" ca="1" si="26"/>
        <v>45954</v>
      </c>
      <c r="N764" s="74" t="str">
        <f>_xlfn.IFNA(VLOOKUP(db_emp[[#This Row],[ID_DIV]],[1]!db_dpt[[Code_dpt]:[Departement]],2,0),"-")</f>
        <v>Marketing Communication</v>
      </c>
      <c r="O764" s="74" t="str">
        <f>_xlfn.IFNA(VLOOKUP(db_emp[[#This Row],[ID_SDP]],[1]!db_div[[Code_div]:[Division]],2,0),"-")</f>
        <v>Visual Merchandise</v>
      </c>
      <c r="P764" s="74" t="str">
        <f>_xlfn.IFNA(VLOOKUP(db_emp[[#This Row],[Code_lvl]],[1]!db_lvl[[#All],[ID_level]:[Leveling Name]],2,0),"-")</f>
        <v>Staff</v>
      </c>
      <c r="Q764" s="74" t="str">
        <f>_xlfn.IFNA(VLOOKUP(db_emp[[#This Row],[Code_site]],[1]!db_site[[ID_Site]:[Url_maps]],3,0),"-")</f>
        <v>Unit - PIK Avenue</v>
      </c>
      <c r="R7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250078,'Nonnita Nurhalisa','MAR','VISME','Visual Merchandise &amp; Onsite Staff','LV12','Mall &amp; Hotel','M01','Not Employee','2025-01-20','2025-10-24'</v>
      </c>
      <c r="S764" s="74">
        <f>db_emp[[#This Row],[NIP (UPDATE)]]</f>
        <v>250078</v>
      </c>
    </row>
    <row r="765" spans="2:19" hidden="1" x14ac:dyDescent="0.25">
      <c r="B765" s="75">
        <v>303</v>
      </c>
      <c r="C765" s="75">
        <v>230344</v>
      </c>
      <c r="D765" s="74" t="s">
        <v>1987</v>
      </c>
      <c r="E765" s="75" t="s">
        <v>964</v>
      </c>
      <c r="F765" s="75" t="s">
        <v>1981</v>
      </c>
      <c r="G765" s="74" t="s">
        <v>1988</v>
      </c>
      <c r="H765" s="75" t="s">
        <v>870</v>
      </c>
      <c r="I765" s="74" t="s">
        <v>962</v>
      </c>
      <c r="J765" s="75" t="s">
        <v>484</v>
      </c>
      <c r="K765" s="75" t="s">
        <v>850</v>
      </c>
      <c r="L765" s="76">
        <v>45019</v>
      </c>
      <c r="M765" s="77">
        <f t="shared" ca="1" si="26"/>
        <v>45954</v>
      </c>
      <c r="N765" s="74" t="str">
        <f>_xlfn.IFNA(VLOOKUP(db_emp[[#This Row],[ID_DIV]],[1]!db_dpt[[Code_dpt]:[Departement]],2,0),"-")</f>
        <v>Marketing Communication</v>
      </c>
      <c r="O765" s="74" t="str">
        <f>_xlfn.IFNA(VLOOKUP(db_emp[[#This Row],[ID_SDP]],[1]!db_div[[Code_div]:[Division]],2,0),"-")</f>
        <v>Visual Merchandise</v>
      </c>
      <c r="P765" s="74" t="str">
        <f>_xlfn.IFNA(VLOOKUP(db_emp[[#This Row],[Code_lvl]],[1]!db_lvl[[#All],[ID_level]:[Leveling Name]],2,0),"-")</f>
        <v>Supervisor</v>
      </c>
      <c r="Q765" s="74" t="str">
        <f>_xlfn.IFNA(VLOOKUP(db_emp[[#This Row],[Code_site]],[1]!db_site[[ID_Site]:[Url_maps]],3,0),"-")</f>
        <v>Unit - PIK Avenue</v>
      </c>
      <c r="R7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230344,'Fahri Amin','MAR','VISME','Visual Merchandise &amp; Onsite Supervisor','LV09','Mall &amp; Hotel','M01','Employee','2023-04-03','2025-10-24'</v>
      </c>
      <c r="S765" s="74">
        <f>db_emp[[#This Row],[NIP (UPDATE)]]</f>
        <v>230344</v>
      </c>
    </row>
    <row r="766" spans="2:19" hidden="1" x14ac:dyDescent="0.25">
      <c r="B766" s="75">
        <v>333</v>
      </c>
      <c r="C766" s="75">
        <v>241234</v>
      </c>
      <c r="D766" s="74" t="s">
        <v>1989</v>
      </c>
      <c r="E766" s="75" t="s">
        <v>964</v>
      </c>
      <c r="F766" s="75" t="s">
        <v>1981</v>
      </c>
      <c r="G766" s="74" t="s">
        <v>1988</v>
      </c>
      <c r="H766" s="75" t="s">
        <v>870</v>
      </c>
      <c r="I766" s="74" t="s">
        <v>962</v>
      </c>
      <c r="J766" s="75" t="s">
        <v>484</v>
      </c>
      <c r="K766" s="75" t="s">
        <v>850</v>
      </c>
      <c r="L766" s="76">
        <v>45482</v>
      </c>
      <c r="M766" s="77">
        <f t="shared" ca="1" si="26"/>
        <v>45954</v>
      </c>
      <c r="N766" s="74" t="str">
        <f>_xlfn.IFNA(VLOOKUP(db_emp[[#This Row],[ID_DIV]],[1]!db_dpt[[Code_dpt]:[Departement]],2,0),"-")</f>
        <v>Marketing Communication</v>
      </c>
      <c r="O766" s="74" t="str">
        <f>_xlfn.IFNA(VLOOKUP(db_emp[[#This Row],[ID_SDP]],[1]!db_div[[Code_div]:[Division]],2,0),"-")</f>
        <v>Visual Merchandise</v>
      </c>
      <c r="P766" s="74" t="str">
        <f>_xlfn.IFNA(VLOOKUP(db_emp[[#This Row],[Code_lvl]],[1]!db_lvl[[#All],[ID_level]:[Leveling Name]],2,0),"-")</f>
        <v>Supervisor</v>
      </c>
      <c r="Q766" s="74" t="str">
        <f>_xlfn.IFNA(VLOOKUP(db_emp[[#This Row],[Code_site]],[1]!db_site[[ID_Site]:[Url_maps]],3,0),"-")</f>
        <v>Unit - PIK Avenue</v>
      </c>
      <c r="R7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241234,'Raden Christian Haryanto','MAR','VISME','Visual Merchandise &amp; Onsite Supervisor','LV09','Mall &amp; Hotel','M01','Employee','2024-07-09','2025-10-24'</v>
      </c>
      <c r="S766" s="74">
        <f>db_emp[[#This Row],[NIP (UPDATE)]]</f>
        <v>241234</v>
      </c>
    </row>
    <row r="767" spans="2:19" hidden="1" x14ac:dyDescent="0.25">
      <c r="B767" s="75">
        <v>399</v>
      </c>
      <c r="C767" s="75">
        <v>110672</v>
      </c>
      <c r="D767" s="74" t="s">
        <v>1990</v>
      </c>
      <c r="E767" s="75" t="s">
        <v>964</v>
      </c>
      <c r="F767" s="75" t="s">
        <v>1981</v>
      </c>
      <c r="G767" s="74" t="s">
        <v>1988</v>
      </c>
      <c r="H767" s="75" t="s">
        <v>870</v>
      </c>
      <c r="I767" s="74" t="s">
        <v>849</v>
      </c>
      <c r="J767" s="75" t="s">
        <v>316</v>
      </c>
      <c r="K767" s="75" t="s">
        <v>850</v>
      </c>
      <c r="L767" s="76">
        <v>40756</v>
      </c>
      <c r="M767" s="77">
        <f t="shared" ca="1" si="26"/>
        <v>45954</v>
      </c>
      <c r="N767" s="74" t="str">
        <f>_xlfn.IFNA(VLOOKUP(db_emp[[#This Row],[ID_DIV]],[1]!db_dpt[[Code_dpt]:[Departement]],2,0),"-")</f>
        <v>Marketing Communication</v>
      </c>
      <c r="O767" s="74" t="str">
        <f>_xlfn.IFNA(VLOOKUP(db_emp[[#This Row],[ID_SDP]],[1]!db_div[[Code_div]:[Division]],2,0),"-")</f>
        <v>Visual Merchandise</v>
      </c>
      <c r="P767" s="74" t="str">
        <f>_xlfn.IFNA(VLOOKUP(db_emp[[#This Row],[Code_lvl]],[1]!db_lvl[[#All],[ID_level]:[Leveling Name]],2,0),"-")</f>
        <v>Supervisor</v>
      </c>
      <c r="Q767" s="74" t="str">
        <f>_xlfn.IFNA(VLOOKUP(db_emp[[#This Row],[Code_site]],[1]!db_site[[ID_Site]:[Url_maps]],3,0),"-")</f>
        <v>Unit - GGP</v>
      </c>
      <c r="R7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110672,'Tias Mintaraga','MAR','VISME','Visual Merchandise &amp; Onsite Supervisor','LV09','Mall &amp; Cinema','M03','Employee','2011-08-01','2025-10-24'</v>
      </c>
      <c r="S767" s="74">
        <f>db_emp[[#This Row],[NIP (UPDATE)]]</f>
        <v>110672</v>
      </c>
    </row>
    <row r="768" spans="2:19" hidden="1" x14ac:dyDescent="0.25">
      <c r="B768" s="75">
        <v>301</v>
      </c>
      <c r="C768" s="75">
        <v>160644</v>
      </c>
      <c r="D768" s="74" t="s">
        <v>1991</v>
      </c>
      <c r="E768" s="75" t="s">
        <v>1123</v>
      </c>
      <c r="F768" s="75" t="s">
        <v>1874</v>
      </c>
      <c r="G768" s="74" t="s">
        <v>1992</v>
      </c>
      <c r="H768" s="75" t="s">
        <v>848</v>
      </c>
      <c r="I768" s="74" t="s">
        <v>849</v>
      </c>
      <c r="J768" s="75" t="s">
        <v>484</v>
      </c>
      <c r="K768" s="75" t="s">
        <v>903</v>
      </c>
      <c r="L768" s="76">
        <v>42606</v>
      </c>
      <c r="M768" s="77">
        <v>45869</v>
      </c>
      <c r="N768" s="74" t="str">
        <f>_xlfn.IFNA(VLOOKUP(db_emp[[#This Row],[ID_DIV]],[1]!db_dpt[[Code_dpt]:[Departement]],2,0),"-")</f>
        <v>HR &amp; GA</v>
      </c>
      <c r="O768" s="74" t="str">
        <f>_xlfn.IFNA(VLOOKUP(db_emp[[#This Row],[ID_SDP]],[1]!db_div[[Code_div]:[Division]],2,0),"-")</f>
        <v>Warehouse; Storekeeper</v>
      </c>
      <c r="P768" s="74" t="str">
        <f>_xlfn.IFNA(VLOOKUP(db_emp[[#This Row],[Code_lvl]],[1]!db_lvl[[#All],[ID_level]:[Leveling Name]],2,0),"-")</f>
        <v>Assistant Manager</v>
      </c>
      <c r="Q768" s="74" t="str">
        <f>_xlfn.IFNA(VLOOKUP(db_emp[[#This Row],[Code_site]],[1]!db_site[[ID_Site]:[Url_maps]],3,0),"-")</f>
        <v>Unit - PIK Avenue</v>
      </c>
      <c r="R768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160644,'Agust Adam Rifanto','HRG','WRHOS','Warehouse Mall Assistant Manager','LV07','Mall &amp; Cinema','M01','Resign','2016-08-24','2025-07-31'</v>
      </c>
      <c r="S768" s="74">
        <f>db_emp[[#This Row],[NIP (UPDATE)]]</f>
        <v>160644</v>
      </c>
    </row>
    <row r="769" spans="2:19" hidden="1" x14ac:dyDescent="0.25">
      <c r="B769" s="75">
        <v>192</v>
      </c>
      <c r="C769" s="75">
        <v>190829</v>
      </c>
      <c r="D769" s="74" t="s">
        <v>1993</v>
      </c>
      <c r="E769" s="75" t="s">
        <v>1123</v>
      </c>
      <c r="F769" s="75" t="s">
        <v>1874</v>
      </c>
      <c r="G769" s="74" t="s">
        <v>1994</v>
      </c>
      <c r="H769" s="75" t="s">
        <v>853</v>
      </c>
      <c r="I769" s="74" t="s">
        <v>849</v>
      </c>
      <c r="J769" s="75" t="s">
        <v>314</v>
      </c>
      <c r="K769" s="75" t="s">
        <v>903</v>
      </c>
      <c r="L769" s="76">
        <v>43717</v>
      </c>
      <c r="M769" s="77">
        <v>45869</v>
      </c>
      <c r="N769" s="74" t="str">
        <f>_xlfn.IFNA(VLOOKUP(db_emp[[#This Row],[ID_DIV]],[1]!db_dpt[[Code_dpt]:[Departement]],2,0),"-")</f>
        <v>HR &amp; GA</v>
      </c>
      <c r="O769" s="74" t="str">
        <f>_xlfn.IFNA(VLOOKUP(db_emp[[#This Row],[ID_SDP]],[1]!db_div[[Code_div]:[Division]],2,0),"-")</f>
        <v>Warehouse; Storekeeper</v>
      </c>
      <c r="P769" s="74" t="str">
        <f>_xlfn.IFNA(VLOOKUP(db_emp[[#This Row],[Code_lvl]],[1]!db_lvl[[#All],[ID_level]:[Leveling Name]],2,0),"-")</f>
        <v>Staff</v>
      </c>
      <c r="Q769" s="74" t="str">
        <f>_xlfn.IFNA(VLOOKUP(db_emp[[#This Row],[Code_site]],[1]!db_site[[ID_Site]:[Url_maps]],3,0),"-")</f>
        <v>Unit - MOI</v>
      </c>
      <c r="R769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190829,'Agung Widiyantoko','HRG','WRHOS','Warehouse Mall Staff','LV12','Mall &amp; Cinema','M02','Resign','2019-09-09','2025-07-31'</v>
      </c>
      <c r="S769" s="74">
        <f>db_emp[[#This Row],[NIP (UPDATE)]]</f>
        <v>190829</v>
      </c>
    </row>
    <row r="770" spans="2:19" hidden="1" x14ac:dyDescent="0.25">
      <c r="B770" s="75">
        <v>302</v>
      </c>
      <c r="C770" s="75">
        <v>170747</v>
      </c>
      <c r="D770" s="74" t="s">
        <v>723</v>
      </c>
      <c r="E770" s="75" t="s">
        <v>1123</v>
      </c>
      <c r="F770" s="75" t="s">
        <v>1874</v>
      </c>
      <c r="G770" s="74" t="s">
        <v>1995</v>
      </c>
      <c r="H770" s="75" t="s">
        <v>853</v>
      </c>
      <c r="I770" s="74" t="s">
        <v>849</v>
      </c>
      <c r="J770" s="75" t="s">
        <v>484</v>
      </c>
      <c r="K770" s="75" t="s">
        <v>903</v>
      </c>
      <c r="L770" s="76">
        <v>42968</v>
      </c>
      <c r="M770" s="77">
        <v>45869</v>
      </c>
      <c r="N770" s="74" t="str">
        <f>_xlfn.IFNA(VLOOKUP(db_emp[[#This Row],[ID_DIV]],[1]!db_dpt[[Code_dpt]:[Departement]],2,0),"-")</f>
        <v>HR &amp; GA</v>
      </c>
      <c r="O770" s="74" t="str">
        <f>_xlfn.IFNA(VLOOKUP(db_emp[[#This Row],[ID_SDP]],[1]!db_div[[Code_div]:[Division]],2,0),"-")</f>
        <v>Warehouse; Storekeeper</v>
      </c>
      <c r="P770" s="74" t="str">
        <f>_xlfn.IFNA(VLOOKUP(db_emp[[#This Row],[Code_lvl]],[1]!db_lvl[[#All],[ID_level]:[Leveling Name]],2,0),"-")</f>
        <v>Staff</v>
      </c>
      <c r="Q770" s="74" t="str">
        <f>_xlfn.IFNA(VLOOKUP(db_emp[[#This Row],[Code_site]],[1]!db_site[[ID_Site]:[Url_maps]],3,0),"-")</f>
        <v>Unit - PIK Avenue</v>
      </c>
      <c r="R770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170747,'Kandar Meidianto','HRG','WRHOS','Warehouse Staff','LV12','Mall &amp; Cinema','M01','Resign','2017-08-21','2025-07-31'</v>
      </c>
      <c r="S770" s="74">
        <f>db_emp[[#This Row],[NIP (UPDATE)]]</f>
        <v>170747</v>
      </c>
    </row>
    <row r="771" spans="2:19" hidden="1" x14ac:dyDescent="0.25">
      <c r="B771" s="75">
        <v>359</v>
      </c>
      <c r="C771" s="75">
        <v>221124</v>
      </c>
      <c r="D771" s="74" t="s">
        <v>1996</v>
      </c>
      <c r="E771" s="75" t="s">
        <v>1123</v>
      </c>
      <c r="F771" s="75" t="s">
        <v>1874</v>
      </c>
      <c r="G771" s="74" t="s">
        <v>1995</v>
      </c>
      <c r="H771" s="75" t="s">
        <v>853</v>
      </c>
      <c r="I771" s="74" t="s">
        <v>486</v>
      </c>
      <c r="J771" s="75" t="s">
        <v>492</v>
      </c>
      <c r="K771" s="75" t="s">
        <v>903</v>
      </c>
      <c r="L771" s="76">
        <v>44774</v>
      </c>
      <c r="M771" s="77">
        <v>45869</v>
      </c>
      <c r="N771" s="74" t="str">
        <f>_xlfn.IFNA(VLOOKUP(db_emp[[#This Row],[ID_DIV]],[1]!db_dpt[[Code_dpt]:[Departement]],2,0),"-")</f>
        <v>HR &amp; GA</v>
      </c>
      <c r="O771" s="74" t="str">
        <f>_xlfn.IFNA(VLOOKUP(db_emp[[#This Row],[ID_SDP]],[1]!db_div[[Code_div]:[Division]],2,0),"-")</f>
        <v>Warehouse; Storekeeper</v>
      </c>
      <c r="P771" s="74" t="str">
        <f>_xlfn.IFNA(VLOOKUP(db_emp[[#This Row],[Code_lvl]],[1]!db_lvl[[#All],[ID_level]:[Leveling Name]],2,0),"-")</f>
        <v>Staff</v>
      </c>
      <c r="Q771" s="74" t="str">
        <f>_xlfn.IFNA(VLOOKUP(db_emp[[#This Row],[Code_site]],[1]!db_site[[ID_Site]:[Url_maps]],3,0),"-")</f>
        <v>Unit - Hublife</v>
      </c>
      <c r="R771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221124,'Rezky Suhendra','HRG','WRHOS','Warehouse Staff','LV12','Mall','M05','Resign','2022-08-01','2025-07-31'</v>
      </c>
      <c r="S771" s="74">
        <f>db_emp[[#This Row],[NIP (UPDATE)]]</f>
        <v>221124</v>
      </c>
    </row>
    <row r="772" spans="2:19" hidden="1" x14ac:dyDescent="0.25">
      <c r="B772" s="75">
        <v>450</v>
      </c>
      <c r="C772" s="75">
        <v>181101</v>
      </c>
      <c r="D772" s="74" t="s">
        <v>1997</v>
      </c>
      <c r="E772" s="75" t="s">
        <v>1123</v>
      </c>
      <c r="F772" s="75" t="s">
        <v>1874</v>
      </c>
      <c r="G772" s="74" t="s">
        <v>1995</v>
      </c>
      <c r="H772" s="75" t="s">
        <v>853</v>
      </c>
      <c r="I772" s="74" t="s">
        <v>849</v>
      </c>
      <c r="J772" s="75" t="s">
        <v>490</v>
      </c>
      <c r="K772" s="75" t="s">
        <v>903</v>
      </c>
      <c r="L772" s="76">
        <v>43339</v>
      </c>
      <c r="M772" s="77">
        <v>45869</v>
      </c>
      <c r="N772" s="74" t="str">
        <f>_xlfn.IFNA(VLOOKUP(db_emp[[#This Row],[ID_DIV]],[1]!db_dpt[[Code_dpt]:[Departement]],2,0),"-")</f>
        <v>HR &amp; GA</v>
      </c>
      <c r="O772" s="74" t="str">
        <f>_xlfn.IFNA(VLOOKUP(db_emp[[#This Row],[ID_SDP]],[1]!db_div[[Code_div]:[Division]],2,0),"-")</f>
        <v>Warehouse; Storekeeper</v>
      </c>
      <c r="P772" s="74" t="str">
        <f>_xlfn.IFNA(VLOOKUP(db_emp[[#This Row],[Code_lvl]],[1]!db_lvl[[#All],[ID_level]:[Leveling Name]],2,0),"-")</f>
        <v>Staff</v>
      </c>
      <c r="Q772" s="74" t="str">
        <f>_xlfn.IFNA(VLOOKUP(db_emp[[#This Row],[Code_site]],[1]!db_site[[ID_Site]:[Url_maps]],3,0),"-")</f>
        <v>Unit - ASHTA</v>
      </c>
      <c r="R772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181101,'Hamdan','HRG','WRHOS','Warehouse Staff','LV12','Mall &amp; Cinema','M04','Resign','2018-08-27','2025-07-31'</v>
      </c>
      <c r="S772" s="74">
        <f>db_emp[[#This Row],[NIP (UPDATE)]]</f>
        <v>181101</v>
      </c>
    </row>
    <row r="773" spans="2:19" hidden="1" x14ac:dyDescent="0.25">
      <c r="B773" s="75">
        <v>396</v>
      </c>
      <c r="C773" s="75">
        <v>103469</v>
      </c>
      <c r="D773" s="74" t="s">
        <v>1998</v>
      </c>
      <c r="E773" s="75" t="s">
        <v>1123</v>
      </c>
      <c r="F773" s="75" t="s">
        <v>1874</v>
      </c>
      <c r="G773" s="74" t="s">
        <v>1999</v>
      </c>
      <c r="H773" s="75" t="s">
        <v>870</v>
      </c>
      <c r="I773" s="74" t="s">
        <v>849</v>
      </c>
      <c r="J773" s="75" t="s">
        <v>316</v>
      </c>
      <c r="K773" s="75" t="s">
        <v>850</v>
      </c>
      <c r="L773" s="76">
        <v>40513</v>
      </c>
      <c r="M773" s="77">
        <f t="shared" ref="M773:M838" ca="1" si="27">TODAY()+1</f>
        <v>45954</v>
      </c>
      <c r="N773" s="74" t="str">
        <f>_xlfn.IFNA(VLOOKUP(db_emp[[#This Row],[ID_DIV]],[1]!db_dpt[[Code_dpt]:[Departement]],2,0),"-")</f>
        <v>HR &amp; GA</v>
      </c>
      <c r="O773" s="74" t="str">
        <f>_xlfn.IFNA(VLOOKUP(db_emp[[#This Row],[ID_SDP]],[1]!db_div[[Code_div]:[Division]],2,0),"-")</f>
        <v>Warehouse; Storekeeper</v>
      </c>
      <c r="P773" s="74" t="str">
        <f>_xlfn.IFNA(VLOOKUP(db_emp[[#This Row],[Code_lvl]],[1]!db_lvl[[#All],[ID_level]:[Leveling Name]],2,0),"-")</f>
        <v>Supervisor</v>
      </c>
      <c r="Q773" s="74" t="str">
        <f>_xlfn.IFNA(VLOOKUP(db_emp[[#This Row],[Code_site]],[1]!db_site[[ID_Site]:[Url_maps]],3,0),"-")</f>
        <v>Unit - GGP</v>
      </c>
      <c r="R7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103469,'Subroto.','HRG','WRHOS','Warehouse Supervisor','LV09','Mall &amp; Cinema','M03','Employee','2010-12-01','2025-10-24'</v>
      </c>
      <c r="S773" s="74">
        <f>db_emp[[#This Row],[NIP (UPDATE)]]</f>
        <v>103469</v>
      </c>
    </row>
    <row r="774" spans="2:19" hidden="1" x14ac:dyDescent="0.25">
      <c r="B774" s="75">
        <v>745</v>
      </c>
      <c r="C774" s="75">
        <v>241656</v>
      </c>
      <c r="D774" s="74" t="s">
        <v>2000</v>
      </c>
      <c r="E774" s="75" t="s">
        <v>916</v>
      </c>
      <c r="F774" s="75" t="s">
        <v>2001</v>
      </c>
      <c r="G774" s="74" t="s">
        <v>2002</v>
      </c>
      <c r="H774" s="75" t="s">
        <v>870</v>
      </c>
      <c r="I774" s="74" t="s">
        <v>864</v>
      </c>
      <c r="J774" s="75" t="s">
        <v>501</v>
      </c>
      <c r="K774" s="75" t="s">
        <v>850</v>
      </c>
      <c r="L774" s="76"/>
      <c r="M774" s="77">
        <f t="shared" ca="1" si="27"/>
        <v>45954</v>
      </c>
      <c r="N774" s="74" t="str">
        <f>_xlfn.IFNA(VLOOKUP(db_emp[[#This Row],[ID_DIV]],[1]!db_dpt[[Code_dpt]:[Departement]],2,0),"-")</f>
        <v>Property Management</v>
      </c>
      <c r="O774" s="74" t="str">
        <f>_xlfn.IFNA(VLOOKUP(db_emp[[#This Row],[ID_SDP]],[1]!db_div[[Code_div]:[Division]],2,0),"-")</f>
        <v>Workflow</v>
      </c>
      <c r="P774" s="74" t="str">
        <f>_xlfn.IFNA(VLOOKUP(db_emp[[#This Row],[Code_lvl]],[1]!db_lvl[[#All],[ID_level]:[Leveling Name]],2,0),"-")</f>
        <v>Supervisor</v>
      </c>
      <c r="Q774" s="74" t="str">
        <f>_xlfn.IFNA(VLOOKUP(db_emp[[#This Row],[Code_site]],[1]!db_site[[ID_Site]:[Url_maps]],3,0),"-")</f>
        <v>Unit - District 8</v>
      </c>
      <c r="R7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241656,'Lidia Amelia','POM','WRKFL','Workflow Coordinator','LV09','Corp. Supporting Property (POM)','OD8','Employee','1900-01-00','2025-10-24'</v>
      </c>
      <c r="S774" s="74">
        <f>db_emp[[#This Row],[NIP (UPDATE)]]</f>
        <v>241656</v>
      </c>
    </row>
    <row r="775" spans="2:19" hidden="1" x14ac:dyDescent="0.25">
      <c r="B775" s="75">
        <v>746</v>
      </c>
      <c r="C775" s="75">
        <v>250398</v>
      </c>
      <c r="D775" s="74" t="s">
        <v>2003</v>
      </c>
      <c r="E775" s="75" t="s">
        <v>1042</v>
      </c>
      <c r="F775" s="75"/>
      <c r="G775" s="74"/>
      <c r="H775" s="75" t="s">
        <v>1173</v>
      </c>
      <c r="I775" s="74" t="s">
        <v>849</v>
      </c>
      <c r="J775" s="75" t="s">
        <v>315</v>
      </c>
      <c r="K775" s="75" t="s">
        <v>850</v>
      </c>
      <c r="L775" s="76"/>
      <c r="M775" s="77">
        <f t="shared" ca="1" si="27"/>
        <v>45954</v>
      </c>
      <c r="N775" s="74" t="str">
        <f>_xlfn.IFNA(VLOOKUP(db_emp[[#This Row],[ID_DIV]],[1]!db_dpt[[Code_dpt]:[Departement]],2,0),"-")</f>
        <v>Cinema</v>
      </c>
      <c r="O775" s="74" t="str">
        <f>_xlfn.IFNA(VLOOKUP(db_emp[[#This Row],[ID_SDP]],[1]!db_div[[Code_div]:[Division]],2,0),"-")</f>
        <v>-</v>
      </c>
      <c r="P775" s="74" t="str">
        <f>_xlfn.IFNA(VLOOKUP(db_emp[[#This Row],[Code_lvl]],[1]!db_lvl[[#All],[ID_level]:[Leveling Name]],2,0),"-")</f>
        <v>Deputy  Manager</v>
      </c>
      <c r="Q775" s="74" t="str">
        <f>_xlfn.IFNA(VLOOKUP(db_emp[[#This Row],[Code_site]],[1]!db_site[[ID_Site]:[Url_maps]],3,0),"-")</f>
        <v>Head Office - ASGO</v>
      </c>
      <c r="R7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250398,'Septiani','CIN','','','LV06','Mall &amp; Cinema','O99','Employee','1900-01-00','2025-10-24'</v>
      </c>
      <c r="S775" s="74">
        <f>db_emp[[#This Row],[NIP (UPDATE)]]</f>
        <v>250398</v>
      </c>
    </row>
    <row r="776" spans="2:19" hidden="1" x14ac:dyDescent="0.25">
      <c r="B776" s="75">
        <v>747</v>
      </c>
      <c r="C776" s="75">
        <v>1</v>
      </c>
      <c r="D776" s="74" t="s">
        <v>2004</v>
      </c>
      <c r="E776" s="75" t="s">
        <v>1123</v>
      </c>
      <c r="F776" s="75" t="s">
        <v>1885</v>
      </c>
      <c r="G776" s="74" t="s">
        <v>2005</v>
      </c>
      <c r="H776" s="75" t="s">
        <v>848</v>
      </c>
      <c r="I776" s="74" t="s">
        <v>864</v>
      </c>
      <c r="J776" s="75" t="s">
        <v>501</v>
      </c>
      <c r="K776" s="75" t="s">
        <v>850</v>
      </c>
      <c r="L776" s="76">
        <v>45880</v>
      </c>
      <c r="M776" s="77">
        <f t="shared" ca="1" si="27"/>
        <v>45954</v>
      </c>
      <c r="N776" s="74" t="str">
        <f>_xlfn.IFNA(VLOOKUP(db_emp[[#This Row],[ID_DIV]],[1]!db_dpt[[Code_dpt]:[Departement]],2,0),"-")</f>
        <v>HR &amp; GA</v>
      </c>
      <c r="O776" s="74" t="str">
        <f>_xlfn.IFNA(VLOOKUP(db_emp[[#This Row],[ID_SDP]],[1]!db_div[[Code_div]:[Division]],2,0),"-")</f>
        <v>Talent Acquisition</v>
      </c>
      <c r="P776" s="74" t="str">
        <f>_xlfn.IFNA(VLOOKUP(db_emp[[#This Row],[Code_lvl]],[1]!db_lvl[[#All],[ID_level]:[Leveling Name]],2,0),"-")</f>
        <v>Assistant Manager</v>
      </c>
      <c r="Q776" s="74" t="str">
        <f>_xlfn.IFNA(VLOOKUP(db_emp[[#This Row],[Code_site]],[1]!db_site[[ID_Site]:[Url_maps]],3,0),"-")</f>
        <v>Unit - District 8</v>
      </c>
      <c r="R776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1,'Retta Octavia Dwi Rachma','HRG','TEACQ','TALENT ACQUISITION ASSISTANT MANAGER','LV07','Corp. Supporting Property (POM)','OD8','Employee','2025-08-11','2025-10-24'</v>
      </c>
      <c r="S776" s="79">
        <f>db_emp[[#This Row],[NIP (UPDATE)]]</f>
        <v>1</v>
      </c>
    </row>
    <row r="777" spans="2:19" hidden="1" x14ac:dyDescent="0.25">
      <c r="B777" s="80">
        <v>748</v>
      </c>
      <c r="C777" s="80">
        <v>2</v>
      </c>
      <c r="D777" s="79" t="s">
        <v>2006</v>
      </c>
      <c r="E777" s="80" t="s">
        <v>1123</v>
      </c>
      <c r="F777" s="80" t="s">
        <v>1124</v>
      </c>
      <c r="G777" s="79" t="s">
        <v>1127</v>
      </c>
      <c r="H777" s="80" t="s">
        <v>870</v>
      </c>
      <c r="I777" s="74" t="s">
        <v>856</v>
      </c>
      <c r="J777" s="80" t="s">
        <v>315</v>
      </c>
      <c r="K777" s="80" t="s">
        <v>850</v>
      </c>
      <c r="L777" s="81">
        <v>45880</v>
      </c>
      <c r="M777" s="82">
        <f t="shared" ca="1" si="27"/>
        <v>45954</v>
      </c>
      <c r="N777" s="79" t="str">
        <f>_xlfn.IFNA(VLOOKUP(db_emp[[#This Row],[ID_DIV]],[1]!db_dpt[[Code_dpt]:[Departement]],2,0),"-")</f>
        <v>HR &amp; GA</v>
      </c>
      <c r="O777" s="79" t="str">
        <f>_xlfn.IFNA(VLOOKUP(db_emp[[#This Row],[ID_SDP]],[1]!db_div[[Code_div]:[Division]],2,0),"-")</f>
        <v>Compensation &amp; Benefit</v>
      </c>
      <c r="P777" s="79" t="str">
        <f>_xlfn.IFNA(VLOOKUP(db_emp[[#This Row],[Code_lvl]],[1]!db_lvl[[#All],[ID_level]:[Leveling Name]],2,0),"-")</f>
        <v>Supervisor</v>
      </c>
      <c r="Q777" s="79" t="str">
        <f>_xlfn.IFNA(VLOOKUP(db_emp[[#This Row],[Code_site]],[1]!db_site[[ID_Site]:[Url_maps]],3,0),"-")</f>
        <v>Head Office - ASGO</v>
      </c>
      <c r="R777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2,'Gabriela Siagian','HRG','COMBN','Compensation &amp; Benefit Supervisor','LV09','HQ - All','O99','Employee','2025-08-11','2025-10-24'</v>
      </c>
      <c r="S777" s="79">
        <f>db_emp[[#This Row],[NIP (UPDATE)]]</f>
        <v>2</v>
      </c>
    </row>
    <row r="778" spans="2:19" hidden="1" x14ac:dyDescent="0.25">
      <c r="B778" s="75">
        <v>749</v>
      </c>
      <c r="C778" s="80">
        <v>3</v>
      </c>
      <c r="D778" s="79" t="s">
        <v>2007</v>
      </c>
      <c r="E778" s="80" t="s">
        <v>1018</v>
      </c>
      <c r="F778" s="80"/>
      <c r="G778" s="79" t="s">
        <v>2008</v>
      </c>
      <c r="H778" s="80" t="s">
        <v>1173</v>
      </c>
      <c r="I778" s="79" t="s">
        <v>486</v>
      </c>
      <c r="J778" s="80" t="s">
        <v>484</v>
      </c>
      <c r="K778" s="80" t="s">
        <v>850</v>
      </c>
      <c r="L778" s="81">
        <v>45870</v>
      </c>
      <c r="M778" s="82">
        <f t="shared" ca="1" si="27"/>
        <v>45954</v>
      </c>
      <c r="N778" s="79" t="str">
        <f>_xlfn.IFNA(VLOOKUP(db_emp[[#This Row],[ID_DIV]],[1]!db_dpt[[Code_dpt]:[Departement]],2,0),"-")</f>
        <v>Operational</v>
      </c>
      <c r="O778" s="79" t="str">
        <f>_xlfn.IFNA(VLOOKUP(db_emp[[#This Row],[ID_SDP]],[1]!db_div[[Code_div]:[Division]],2,0),"-")</f>
        <v>-</v>
      </c>
      <c r="P778" s="79" t="str">
        <f>_xlfn.IFNA(VLOOKUP(db_emp[[#This Row],[Code_lvl]],[1]!db_lvl[[#All],[ID_level]:[Leveling Name]],2,0),"-")</f>
        <v>Deputy  Manager</v>
      </c>
      <c r="Q778" s="79" t="str">
        <f>_xlfn.IFNA(VLOOKUP(db_emp[[#This Row],[Code_site]],[1]!db_site[[ID_Site]:[Url_maps]],3,0),"-")</f>
        <v>Unit - PIK Avenue</v>
      </c>
      <c r="R778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3,'Christina','OPR','','Operational Deputy General Manager','LV06','Mall','M01','Employee','2025-08-01','2025-10-24'</v>
      </c>
      <c r="S778" s="79">
        <f>db_emp[[#This Row],[NIP (UPDATE)]]</f>
        <v>3</v>
      </c>
    </row>
    <row r="779" spans="2:19" hidden="1" x14ac:dyDescent="0.25">
      <c r="B779" s="80">
        <v>750</v>
      </c>
      <c r="C779" s="80">
        <v>4</v>
      </c>
      <c r="D779" s="79" t="s">
        <v>2009</v>
      </c>
      <c r="E779" s="80" t="s">
        <v>1123</v>
      </c>
      <c r="F779" s="80"/>
      <c r="G779" s="79" t="s">
        <v>2010</v>
      </c>
      <c r="H779" s="80" t="s">
        <v>1177</v>
      </c>
      <c r="I779" s="74" t="s">
        <v>856</v>
      </c>
      <c r="J779" s="80" t="s">
        <v>315</v>
      </c>
      <c r="K779" s="80" t="s">
        <v>850</v>
      </c>
      <c r="L779" s="81">
        <v>45870</v>
      </c>
      <c r="M779" s="82">
        <f t="shared" ca="1" si="27"/>
        <v>45954</v>
      </c>
      <c r="N779" s="79" t="str">
        <f>_xlfn.IFNA(VLOOKUP(db_emp[[#This Row],[ID_DIV]],[1]!db_dpt[[Code_dpt]:[Departement]],2,0),"-")</f>
        <v>HR &amp; GA</v>
      </c>
      <c r="O779" s="79" t="str">
        <f>_xlfn.IFNA(VLOOKUP(db_emp[[#This Row],[ID_SDP]],[1]!db_div[[Code_div]:[Division]],2,0),"-")</f>
        <v>-</v>
      </c>
      <c r="P779" s="79" t="str">
        <f>_xlfn.IFNA(VLOOKUP(db_emp[[#This Row],[Code_lvl]],[1]!db_lvl[[#All],[ID_level]:[Leveling Name]],2,0),"-")</f>
        <v>Director</v>
      </c>
      <c r="Q779" s="79" t="str">
        <f>_xlfn.IFNA(VLOOKUP(db_emp[[#This Row],[Code_site]],[1]!db_site[[ID_Site]:[Url_maps]],3,0),"-")</f>
        <v>Head Office - ASGO</v>
      </c>
      <c r="R779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4,'Aris Rustanta','HRG','','HRD Director','LV01','HQ - All','O99','Employee','2025-08-01','2025-10-24'</v>
      </c>
      <c r="S779" s="79">
        <f>db_emp[[#This Row],[NIP (UPDATE)]]</f>
        <v>4</v>
      </c>
    </row>
    <row r="780" spans="2:19" hidden="1" x14ac:dyDescent="0.25">
      <c r="B780" s="75">
        <v>751</v>
      </c>
      <c r="C780" s="80">
        <v>5</v>
      </c>
      <c r="D780" s="79" t="s">
        <v>2011</v>
      </c>
      <c r="E780" s="80" t="s">
        <v>920</v>
      </c>
      <c r="F780" s="80"/>
      <c r="G780" s="79" t="s">
        <v>2012</v>
      </c>
      <c r="H780" s="80" t="s">
        <v>1347</v>
      </c>
      <c r="I780" s="79" t="s">
        <v>486</v>
      </c>
      <c r="J780" s="80" t="s">
        <v>496</v>
      </c>
      <c r="K780" s="80" t="s">
        <v>850</v>
      </c>
      <c r="L780" s="81">
        <v>45863</v>
      </c>
      <c r="M780" s="82">
        <f t="shared" ca="1" si="27"/>
        <v>45954</v>
      </c>
      <c r="N780" s="79" t="str">
        <f>_xlfn.IFNA(VLOOKUP(db_emp[[#This Row],[ID_DIV]],[1]!db_dpt[[Code_dpt]:[Departement]],2,0),"-")</f>
        <v>Leasing</v>
      </c>
      <c r="O780" s="79" t="str">
        <f>_xlfn.IFNA(VLOOKUP(db_emp[[#This Row],[ID_SDP]],[1]!db_div[[Code_div]:[Division]],2,0),"-")</f>
        <v>-</v>
      </c>
      <c r="P780" s="79" t="str">
        <f>_xlfn.IFNA(VLOOKUP(db_emp[[#This Row],[Code_lvl]],[1]!db_lvl[[#All],[ID_level]:[Leveling Name]],2,0),"-")</f>
        <v>Senior Supervisor</v>
      </c>
      <c r="Q780" s="79" t="str">
        <f>_xlfn.IFNA(VLOOKUP(db_emp[[#This Row],[Code_site]],[1]!db_site[[ID_Site]:[Url_maps]],3,0),"-")</f>
        <v>Unit - Menara Jakarta</v>
      </c>
      <c r="R780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5,'Axell Matthew Rotinsulu','LEA','','Leasing Senior Supervisor','LV08','Mall','M06','Employee','2025-07-25','2025-10-24'</v>
      </c>
      <c r="S780" s="79">
        <f>db_emp[[#This Row],[NIP (UPDATE)]]</f>
        <v>5</v>
      </c>
    </row>
    <row r="781" spans="2:19" hidden="1" x14ac:dyDescent="0.25">
      <c r="B781" s="80">
        <v>752</v>
      </c>
      <c r="C781" s="80">
        <v>6</v>
      </c>
      <c r="D781" s="79" t="s">
        <v>2013</v>
      </c>
      <c r="E781" s="80" t="s">
        <v>920</v>
      </c>
      <c r="F781" s="80"/>
      <c r="G781" s="79" t="s">
        <v>1600</v>
      </c>
      <c r="H781" s="80" t="s">
        <v>848</v>
      </c>
      <c r="I781" s="74" t="s">
        <v>486</v>
      </c>
      <c r="J781" s="80" t="s">
        <v>496</v>
      </c>
      <c r="K781" s="80" t="s">
        <v>850</v>
      </c>
      <c r="L781" s="81">
        <v>45840</v>
      </c>
      <c r="M781" s="82">
        <f t="shared" ca="1" si="27"/>
        <v>45954</v>
      </c>
      <c r="N781" s="79" t="str">
        <f>_xlfn.IFNA(VLOOKUP(db_emp[[#This Row],[ID_DIV]],[1]!db_dpt[[Code_dpt]:[Departement]],2,0),"-")</f>
        <v>Leasing</v>
      </c>
      <c r="O781" s="79" t="str">
        <f>_xlfn.IFNA(VLOOKUP(db_emp[[#This Row],[ID_SDP]],[1]!db_div[[Code_div]:[Division]],2,0),"-")</f>
        <v>-</v>
      </c>
      <c r="P781" s="79" t="str">
        <f>_xlfn.IFNA(VLOOKUP(db_emp[[#This Row],[Code_lvl]],[1]!db_lvl[[#All],[ID_level]:[Leveling Name]],2,0),"-")</f>
        <v>Assistant Manager</v>
      </c>
      <c r="Q781" s="79" t="str">
        <f>_xlfn.IFNA(VLOOKUP(db_emp[[#This Row],[Code_site]],[1]!db_site[[ID_Site]:[Url_maps]],3,0),"-")</f>
        <v>Unit - Menara Jakarta</v>
      </c>
      <c r="R781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6,'Muhammad Ihsan Pribadi','LEA','','Leasing Manager','LV07','Mall','M06','Employee','2025-07-02','2025-10-24'</v>
      </c>
      <c r="S781" s="79">
        <f>db_emp[[#This Row],[NIP (UPDATE)]]</f>
        <v>6</v>
      </c>
    </row>
    <row r="782" spans="2:19" hidden="1" x14ac:dyDescent="0.25">
      <c r="B782" s="75">
        <v>753</v>
      </c>
      <c r="C782" s="80">
        <v>7</v>
      </c>
      <c r="D782" s="79" t="s">
        <v>2014</v>
      </c>
      <c r="E782" s="80" t="s">
        <v>845</v>
      </c>
      <c r="F782" s="80" t="s">
        <v>1893</v>
      </c>
      <c r="G782" s="79" t="s">
        <v>1894</v>
      </c>
      <c r="H782" s="80" t="s">
        <v>853</v>
      </c>
      <c r="I782" s="79" t="s">
        <v>856</v>
      </c>
      <c r="J782" s="80" t="s">
        <v>315</v>
      </c>
      <c r="K782" s="80" t="s">
        <v>850</v>
      </c>
      <c r="L782" s="81">
        <v>45840</v>
      </c>
      <c r="M782" s="82">
        <f t="shared" ca="1" si="27"/>
        <v>45954</v>
      </c>
      <c r="N782" s="79" t="str">
        <f>_xlfn.IFNA(VLOOKUP(db_emp[[#This Row],[ID_DIV]],[1]!db_dpt[[Code_dpt]:[Departement]],2,0),"-")</f>
        <v>Finance &amp; Accounting</v>
      </c>
      <c r="O782" s="79" t="str">
        <f>_xlfn.IFNA(VLOOKUP(db_emp[[#This Row],[ID_SDP]],[1]!db_div[[Code_div]:[Division]],2,0),"-")</f>
        <v>Tax</v>
      </c>
      <c r="P782" s="79" t="str">
        <f>_xlfn.IFNA(VLOOKUP(db_emp[[#This Row],[Code_lvl]],[1]!db_lvl[[#All],[ID_level]:[Leveling Name]],2,0),"-")</f>
        <v>Staff</v>
      </c>
      <c r="Q782" s="79" t="str">
        <f>_xlfn.IFNA(VLOOKUP(db_emp[[#This Row],[Code_site]],[1]!db_site[[ID_Site]:[Url_maps]],3,0),"-")</f>
        <v>Head Office - ASGO</v>
      </c>
      <c r="R782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7,'Sindi Silitonga','FIN','TAXFA','Tax Staff','LV12','HQ - All','O99','Employee','2025-07-02','2025-10-24'</v>
      </c>
      <c r="S782" s="79">
        <f>db_emp[[#This Row],[NIP (UPDATE)]]</f>
        <v>7</v>
      </c>
    </row>
    <row r="783" spans="2:19" hidden="1" x14ac:dyDescent="0.25">
      <c r="B783" s="75" t="s">
        <v>2413</v>
      </c>
      <c r="C783" s="80">
        <v>250528</v>
      </c>
      <c r="D783" s="79" t="s">
        <v>281</v>
      </c>
      <c r="E783" s="80" t="s">
        <v>1566</v>
      </c>
      <c r="F783" s="80"/>
      <c r="G783" s="79" t="s">
        <v>2015</v>
      </c>
      <c r="H783" s="80" t="s">
        <v>848</v>
      </c>
      <c r="I783" s="79" t="s">
        <v>856</v>
      </c>
      <c r="J783" s="80" t="s">
        <v>315</v>
      </c>
      <c r="K783" s="80" t="s">
        <v>850</v>
      </c>
      <c r="L783" s="81">
        <v>45824</v>
      </c>
      <c r="M783" s="82">
        <f t="shared" ca="1" si="27"/>
        <v>45954</v>
      </c>
      <c r="N783" s="79" t="str">
        <f>_xlfn.IFNA(VLOOKUP(db_emp[[#This Row],[ID_DIV]],[1]!db_dpt[[Code_dpt]:[Departement]],2,0),"-")</f>
        <v>IT</v>
      </c>
      <c r="O783" s="79" t="str">
        <f>_xlfn.IFNA(VLOOKUP(db_emp[[#This Row],[ID_SDP]],[1]!db_div[[Code_div]:[Division]],2,0),"-")</f>
        <v>-</v>
      </c>
      <c r="P783" s="79" t="str">
        <f>_xlfn.IFNA(VLOOKUP(db_emp[[#This Row],[Code_lvl]],[1]!db_lvl[[#All],[ID_level]:[Leveling Name]],2,0),"-")</f>
        <v>Assistant Manager</v>
      </c>
      <c r="Q783" s="79" t="str">
        <f>_xlfn.IFNA(VLOOKUP(db_emp[[#This Row],[Code_site]],[1]!db_site[[ID_Site]:[Url_maps]],3,0),"-")</f>
        <v>Head Office - ASGO</v>
      </c>
      <c r="R783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250528,'Sarah Sajaratun Durry','ITD','','IT Security Complience Manager','LV07','HQ - All','O99','Employee','2025-06-16','2025-10-24'</v>
      </c>
      <c r="S783" s="79">
        <f>db_emp[[#This Row],[NIP (UPDATE)]]</f>
        <v>250528</v>
      </c>
    </row>
    <row r="784" spans="2:19" hidden="1" x14ac:dyDescent="0.25">
      <c r="B784" s="75">
        <v>755</v>
      </c>
      <c r="C784" s="80">
        <v>8</v>
      </c>
      <c r="D784" s="79" t="s">
        <v>2016</v>
      </c>
      <c r="E784" s="80" t="s">
        <v>916</v>
      </c>
      <c r="F784" s="80" t="s">
        <v>2017</v>
      </c>
      <c r="G784" s="79" t="s">
        <v>2018</v>
      </c>
      <c r="H784" s="80" t="s">
        <v>953</v>
      </c>
      <c r="I784" s="79" t="s">
        <v>864</v>
      </c>
      <c r="J784" s="80" t="s">
        <v>433</v>
      </c>
      <c r="K784" s="80" t="s">
        <v>903</v>
      </c>
      <c r="L784" s="81"/>
      <c r="M784" s="82">
        <f t="shared" ca="1" si="27"/>
        <v>45954</v>
      </c>
      <c r="N784" s="79" t="str">
        <f>_xlfn.IFNA(VLOOKUP(db_emp[[#This Row],[ID_DIV]],[1]!db_dpt[[Code_dpt]:[Departement]],2,0),"-")</f>
        <v>Property Management</v>
      </c>
      <c r="O784" s="79" t="str">
        <f>_xlfn.IFNA(VLOOKUP(db_emp[[#This Row],[ID_SDP]],[1]!db_div[[Code_div]:[Division]],2,0),"-")</f>
        <v>-</v>
      </c>
      <c r="P784" s="79" t="str">
        <f>_xlfn.IFNA(VLOOKUP(db_emp[[#This Row],[Code_lvl]],[1]!db_lvl[[#All],[ID_level]:[Leveling Name]],2,0),"-")</f>
        <v>Manager</v>
      </c>
      <c r="Q784" s="79" t="str">
        <f>_xlfn.IFNA(VLOOKUP(db_emp[[#This Row],[Code_site]],[1]!db_site[[ID_Site]:[Url_maps]],3,0),"-")</f>
        <v>Unit - Taman Anggrek Residences</v>
      </c>
      <c r="R784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8,'Yonsen Tanzil','POM','CMNGM','CENTER MANAGEMENT','LV05','Corp. Supporting Property (POM)','A01','Resign','1900-01-00','2025-10-24'</v>
      </c>
      <c r="S784" s="79">
        <f>db_emp[[#This Row],[NIP (UPDATE)]]</f>
        <v>8</v>
      </c>
    </row>
    <row r="785" spans="2:19" hidden="1" x14ac:dyDescent="0.25">
      <c r="B785" s="80">
        <v>756</v>
      </c>
      <c r="C785" s="80">
        <v>9</v>
      </c>
      <c r="D785" s="79" t="s">
        <v>2019</v>
      </c>
      <c r="E785" s="80" t="s">
        <v>916</v>
      </c>
      <c r="F785" s="80" t="s">
        <v>912</v>
      </c>
      <c r="G785" s="79" t="s">
        <v>913</v>
      </c>
      <c r="H785" s="80" t="s">
        <v>853</v>
      </c>
      <c r="I785" s="79" t="s">
        <v>864</v>
      </c>
      <c r="J785" s="80" t="s">
        <v>446</v>
      </c>
      <c r="K785" s="80" t="s">
        <v>850</v>
      </c>
      <c r="L785" s="81"/>
      <c r="M785" s="82">
        <f t="shared" ca="1" si="27"/>
        <v>45954</v>
      </c>
      <c r="N785" s="79" t="str">
        <f>_xlfn.IFNA(VLOOKUP(db_emp[[#This Row],[ID_DIV]],[1]!db_dpt[[Code_dpt]:[Departement]],2,0),"-")</f>
        <v>Property Management</v>
      </c>
      <c r="O785" s="79" t="str">
        <f>_xlfn.IFNA(VLOOKUP(db_emp[[#This Row],[ID_SDP]],[1]!db_div[[Code_div]:[Division]],2,0),"-")</f>
        <v>Admin</v>
      </c>
      <c r="P785" s="79" t="str">
        <f>_xlfn.IFNA(VLOOKUP(db_emp[[#This Row],[Code_lvl]],[1]!db_lvl[[#All],[ID_level]:[Leveling Name]],2,0),"-")</f>
        <v>Staff</v>
      </c>
      <c r="Q785" s="79" t="str">
        <f>_xlfn.IFNA(VLOOKUP(db_emp[[#This Row],[Code_site]],[1]!db_site[[ID_Site]:[Url_maps]],3,0),"-")</f>
        <v>Unit - Menara Jakarta POM</v>
      </c>
      <c r="R785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9,'Valencia Nesa','POM','ADMIN','Admin Engineering','LV12','Corp. Supporting Property (POM)','A03','Employee','1900-01-00','2025-10-24'</v>
      </c>
      <c r="S785" s="79">
        <f>db_emp[[#This Row],[NIP (UPDATE)]]</f>
        <v>9</v>
      </c>
    </row>
    <row r="786" spans="2:19" hidden="1" x14ac:dyDescent="0.25">
      <c r="B786" s="75">
        <v>757</v>
      </c>
      <c r="C786" s="80">
        <v>10</v>
      </c>
      <c r="D786" s="79" t="s">
        <v>2020</v>
      </c>
      <c r="E786" s="80" t="s">
        <v>916</v>
      </c>
      <c r="F786" s="80" t="s">
        <v>971</v>
      </c>
      <c r="G786" s="79" t="s">
        <v>2021</v>
      </c>
      <c r="H786" s="80" t="s">
        <v>953</v>
      </c>
      <c r="I786" s="79" t="s">
        <v>864</v>
      </c>
      <c r="J786" s="80" t="s">
        <v>446</v>
      </c>
      <c r="K786" s="80" t="s">
        <v>850</v>
      </c>
      <c r="L786" s="81"/>
      <c r="M786" s="82">
        <f t="shared" ca="1" si="27"/>
        <v>45954</v>
      </c>
      <c r="N786" s="79" t="str">
        <f>_xlfn.IFNA(VLOOKUP(db_emp[[#This Row],[ID_DIV]],[1]!db_dpt[[Code_dpt]:[Departement]],2,0),"-")</f>
        <v>Property Management</v>
      </c>
      <c r="O786" s="79" t="str">
        <f>_xlfn.IFNA(VLOOKUP(db_emp[[#This Row],[ID_SDP]],[1]!db_div[[Code_div]:[Division]],2,0),"-")</f>
        <v>General Head Departement</v>
      </c>
      <c r="P786" s="79" t="str">
        <f>_xlfn.IFNA(VLOOKUP(db_emp[[#This Row],[Code_lvl]],[1]!db_lvl[[#All],[ID_level]:[Leveling Name]],2,0),"-")</f>
        <v>Manager</v>
      </c>
      <c r="Q786" s="79" t="str">
        <f>_xlfn.IFNA(VLOOKUP(db_emp[[#This Row],[Code_site]],[1]!db_site[[ID_Site]:[Url_maps]],3,0),"-")</f>
        <v>Unit - Menara Jakarta POM</v>
      </c>
      <c r="R786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10,'Yanto Suryana','POM','GNRAL','Operational Manager','LV05','Corp. Supporting Property (POM)','A03','Employee','1900-01-00','2025-10-24'</v>
      </c>
      <c r="S786" s="79">
        <f>db_emp[[#This Row],[NIP (UPDATE)]]</f>
        <v>10</v>
      </c>
    </row>
    <row r="787" spans="2:19" hidden="1" x14ac:dyDescent="0.25">
      <c r="B787" s="80">
        <v>758</v>
      </c>
      <c r="C787" s="80">
        <v>11</v>
      </c>
      <c r="D787" s="79" t="s">
        <v>2022</v>
      </c>
      <c r="E787" s="80" t="s">
        <v>916</v>
      </c>
      <c r="F787" s="80" t="s">
        <v>971</v>
      </c>
      <c r="G787" s="79" t="s">
        <v>2021</v>
      </c>
      <c r="H787" s="80" t="s">
        <v>953</v>
      </c>
      <c r="I787" s="79" t="s">
        <v>864</v>
      </c>
      <c r="J787" s="80" t="s">
        <v>446</v>
      </c>
      <c r="K787" s="80" t="s">
        <v>850</v>
      </c>
      <c r="L787" s="81"/>
      <c r="M787" s="82">
        <f t="shared" ca="1" si="27"/>
        <v>45954</v>
      </c>
      <c r="N787" s="79" t="str">
        <f>_xlfn.IFNA(VLOOKUP(db_emp[[#This Row],[ID_DIV]],[1]!db_dpt[[Code_dpt]:[Departement]],2,0),"-")</f>
        <v>Property Management</v>
      </c>
      <c r="O787" s="79" t="str">
        <f>_xlfn.IFNA(VLOOKUP(db_emp[[#This Row],[ID_SDP]],[1]!db_div[[Code_div]:[Division]],2,0),"-")</f>
        <v>General Head Departement</v>
      </c>
      <c r="P787" s="79" t="str">
        <f>_xlfn.IFNA(VLOOKUP(db_emp[[#This Row],[Code_lvl]],[1]!db_lvl[[#All],[ID_level]:[Leveling Name]],2,0),"-")</f>
        <v>Manager</v>
      </c>
      <c r="Q787" s="79" t="str">
        <f>_xlfn.IFNA(VLOOKUP(db_emp[[#This Row],[Code_site]],[1]!db_site[[ID_Site]:[Url_maps]],3,0),"-")</f>
        <v>Unit - Menara Jakarta POM</v>
      </c>
      <c r="R787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11,'Theresia Yoana','POM','GNRAL','Operational Manager','LV05','Corp. Supporting Property (POM)','A03','Employee','1900-01-00','2025-10-24'</v>
      </c>
      <c r="S787" s="79">
        <f>db_emp[[#This Row],[NIP (UPDATE)]]</f>
        <v>11</v>
      </c>
    </row>
    <row r="788" spans="2:19" hidden="1" x14ac:dyDescent="0.25">
      <c r="B788" s="75">
        <v>759</v>
      </c>
      <c r="C788" s="75">
        <v>250001</v>
      </c>
      <c r="D788" s="74" t="s">
        <v>2023</v>
      </c>
      <c r="E788" s="75" t="s">
        <v>964</v>
      </c>
      <c r="F788" s="75" t="s">
        <v>999</v>
      </c>
      <c r="G788" s="74" t="s">
        <v>1030</v>
      </c>
      <c r="H788" s="75" t="s">
        <v>953</v>
      </c>
      <c r="I788" s="74" t="s">
        <v>733</v>
      </c>
      <c r="J788" s="75" t="s">
        <v>316</v>
      </c>
      <c r="K788" s="75" t="s">
        <v>850</v>
      </c>
      <c r="L788" s="76">
        <v>45901</v>
      </c>
      <c r="M788" s="77">
        <v>45909</v>
      </c>
      <c r="N788" s="74" t="str">
        <f>_xlfn.IFNA(VLOOKUP(db_emp[[#This Row],[ID_DIV]],[1]!db_dpt[[Code_dpt]:[Departement]],2,0),"-")</f>
        <v>Marketing Communication</v>
      </c>
      <c r="O788" s="74" t="str">
        <f>_xlfn.IFNA(VLOOKUP(db_emp[[#This Row],[ID_SDP]],[1]!db_div[[Code_div]:[Division]],2,0),"-")</f>
        <v>Center Experience</v>
      </c>
      <c r="P788" s="74" t="str">
        <f>_xlfn.IFNA(VLOOKUP(db_emp[[#This Row],[Code_lvl]],[1]!db_lvl[[#All],[ID_level]:[Leveling Name]],2,0),"-")</f>
        <v>Manager</v>
      </c>
      <c r="Q788" s="74" t="str">
        <f>_xlfn.IFNA(VLOOKUP(db_emp[[#This Row],[Code_site]],[1]!db_site[[ID_Site]:[Url_maps]],3,0),"-")</f>
        <v>Unit - GGP</v>
      </c>
      <c r="R788" s="74" t="str">
        <f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250001,'Danny Gibran Ariyant','MAR','CTREX','Center Experience Manager','LV05','MALL','M03','Employee','2025-09-01','2025-09-09'</v>
      </c>
      <c r="S788" s="74">
        <f>db_emp[[#This Row],[NIP (UPDATE)]]</f>
        <v>250001</v>
      </c>
    </row>
    <row r="789" spans="2:19" hidden="1" x14ac:dyDescent="0.25">
      <c r="B789" s="75"/>
      <c r="C789" s="75">
        <v>250663</v>
      </c>
      <c r="D789" s="74" t="s">
        <v>2024</v>
      </c>
      <c r="E789" s="75" t="s">
        <v>911</v>
      </c>
      <c r="F789" s="75" t="s">
        <v>971</v>
      </c>
      <c r="G789" s="74" t="s">
        <v>1236</v>
      </c>
      <c r="H789" s="75" t="s">
        <v>1177</v>
      </c>
      <c r="I789" s="74" t="s">
        <v>916</v>
      </c>
      <c r="J789" s="75" t="s">
        <v>501</v>
      </c>
      <c r="K789" s="75" t="s">
        <v>850</v>
      </c>
      <c r="L789" s="76"/>
      <c r="M789" s="77">
        <f ca="1">TODAY()+1</f>
        <v>45954</v>
      </c>
      <c r="N789" s="74" t="str">
        <f>_xlfn.IFNA(VLOOKUP(db_emp[[#This Row],[ID_DIV]],[1]!db_dpt[[Code_dpt]:[Departement]],2,0),"-")</f>
        <v>Engineering</v>
      </c>
      <c r="O789" s="74" t="str">
        <f>_xlfn.IFNA(VLOOKUP(db_emp[[#This Row],[ID_SDP]],[1]!db_div[[Code_div]:[Division]],2,0),"-")</f>
        <v>General Head Departement</v>
      </c>
      <c r="P789" s="74" t="str">
        <f>_xlfn.IFNA(VLOOKUP(db_emp[[#This Row],[Code_lvl]],[1]!db_lvl[[#All],[ID_level]:[Leveling Name]],2,0),"-")</f>
        <v>Director</v>
      </c>
      <c r="Q789" s="74" t="str">
        <f>_xlfn.IFNA(VLOOKUP(db_emp[[#This Row],[Code_site]],[1]!db_site[[ID_Site]:[Url_maps]],3,0),"-")</f>
        <v>Unit - District 8</v>
      </c>
      <c r="R7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250663,'Atet Rochidin','ENG','GNRAL','Engineering Director','LV01','POM','OD8','Employee','1900-01-00','2025-10-24'</v>
      </c>
      <c r="S789" s="74">
        <f>db_emp[[#This Row],[NIP (UPDATE)]]</f>
        <v>250663</v>
      </c>
    </row>
    <row r="790" spans="2:19" x14ac:dyDescent="0.25">
      <c r="B790" s="75" t="s">
        <v>2413</v>
      </c>
      <c r="C790" s="80">
        <v>210808</v>
      </c>
      <c r="D790" s="79" t="s">
        <v>2025</v>
      </c>
      <c r="E790" s="80" t="s">
        <v>1553</v>
      </c>
      <c r="F790" s="80" t="s">
        <v>971</v>
      </c>
      <c r="G790" s="79" t="s">
        <v>2026</v>
      </c>
      <c r="H790" s="80" t="s">
        <v>848</v>
      </c>
      <c r="I790" s="79" t="s">
        <v>856</v>
      </c>
      <c r="J790" s="80" t="s">
        <v>315</v>
      </c>
      <c r="K790" s="80" t="s">
        <v>903</v>
      </c>
      <c r="L790" s="81"/>
      <c r="M790" s="82">
        <f t="shared" ca="1" si="27"/>
        <v>45954</v>
      </c>
      <c r="N790" s="79" t="str">
        <f>_xlfn.IFNA(VLOOKUP(db_emp[[#This Row],[ID_DIV]],[1]!db_dpt[[Code_dpt]:[Departement]],2,0),"-")</f>
        <v>Innovation</v>
      </c>
      <c r="O790" s="79" t="str">
        <f>_xlfn.IFNA(VLOOKUP(db_emp[[#This Row],[ID_SDP]],[1]!db_div[[Code_div]:[Division]],2,0),"-")</f>
        <v>General Head Departement</v>
      </c>
      <c r="P790" s="79" t="str">
        <f>_xlfn.IFNA(VLOOKUP(db_emp[[#This Row],[Code_lvl]],[1]!db_lvl[[#All],[ID_level]:[Leveling Name]],2,0),"-")</f>
        <v>Assistant Manager</v>
      </c>
      <c r="Q790" s="79" t="str">
        <f>_xlfn.IFNA(VLOOKUP(db_emp[[#This Row],[Code_site]],[1]!db_site[[ID_Site]:[Url_maps]],3,0),"-")</f>
        <v>Head Office - ASGO</v>
      </c>
      <c r="R790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210808,'Devita Anindyah Nuary','INO','GNRAL','Innovation Partnership Assistant Manager','LV07','HQ - All','O99','Resign','1900-01-00','2025-10-24'</v>
      </c>
      <c r="S790" s="79">
        <f>db_emp[[#This Row],[NIP (UPDATE)]]</f>
        <v>210808</v>
      </c>
    </row>
    <row r="791" spans="2:19" hidden="1" x14ac:dyDescent="0.25">
      <c r="B791" s="75">
        <v>761</v>
      </c>
      <c r="C791" s="80">
        <v>101186</v>
      </c>
      <c r="D791" s="79" t="s">
        <v>2027</v>
      </c>
      <c r="E791" s="80" t="s">
        <v>911</v>
      </c>
      <c r="F791" s="80"/>
      <c r="G791" s="79" t="s">
        <v>1254</v>
      </c>
      <c r="H791" s="80" t="s">
        <v>853</v>
      </c>
      <c r="I791" s="79"/>
      <c r="J791" s="80" t="s">
        <v>314</v>
      </c>
      <c r="K791" s="80" t="s">
        <v>903</v>
      </c>
      <c r="L791" s="81"/>
      <c r="M791" s="82">
        <f t="shared" ca="1" si="27"/>
        <v>45954</v>
      </c>
      <c r="N791" s="79" t="str">
        <f>_xlfn.IFNA(VLOOKUP(db_emp[[#This Row],[ID_DIV]],[1]!db_dpt[[Code_dpt]:[Departement]],2,0),"-")</f>
        <v>Engineering</v>
      </c>
      <c r="O791" s="79" t="str">
        <f>_xlfn.IFNA(VLOOKUP(db_emp[[#This Row],[ID_SDP]],[1]!db_div[[Code_div]:[Division]],2,0),"-")</f>
        <v>-</v>
      </c>
      <c r="P791" s="79" t="str">
        <f>_xlfn.IFNA(VLOOKUP(db_emp[[#This Row],[Code_lvl]],[1]!db_lvl[[#All],[ID_level]:[Leveling Name]],2,0),"-")</f>
        <v>Staff</v>
      </c>
      <c r="Q791" s="79" t="str">
        <f>_xlfn.IFNA(VLOOKUP(db_emp[[#This Row],[Code_site]],[1]!db_site[[ID_Site]:[Url_maps]],3,0),"-")</f>
        <v>Unit - MOI</v>
      </c>
      <c r="R791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101186,'Fatihul Mubarok','ENG','','Engineering Staff','LV12','','M02','Resign','1900-01-00','2025-10-24'</v>
      </c>
      <c r="S791" s="79">
        <f>db_emp[[#This Row],[NIP (UPDATE)]]</f>
        <v>101186</v>
      </c>
    </row>
    <row r="792" spans="2:19" hidden="1" x14ac:dyDescent="0.25">
      <c r="B792" s="80">
        <v>762</v>
      </c>
      <c r="C792" s="80">
        <v>101835</v>
      </c>
      <c r="D792" s="79" t="s">
        <v>2028</v>
      </c>
      <c r="E792" s="80" t="s">
        <v>2029</v>
      </c>
      <c r="F792" s="80"/>
      <c r="G792" s="79" t="s">
        <v>2030</v>
      </c>
      <c r="H792" s="80" t="s">
        <v>848</v>
      </c>
      <c r="I792" s="79"/>
      <c r="J792" s="80" t="s">
        <v>314</v>
      </c>
      <c r="K792" s="80" t="s">
        <v>903</v>
      </c>
      <c r="L792" s="81"/>
      <c r="M792" s="82">
        <f t="shared" ca="1" si="27"/>
        <v>45954</v>
      </c>
      <c r="N792" s="79" t="str">
        <f>_xlfn.IFNA(VLOOKUP(db_emp[[#This Row],[ID_DIV]],[1]!db_dpt[[Code_dpt]:[Departement]],2,0),"-")</f>
        <v>-</v>
      </c>
      <c r="O792" s="79" t="str">
        <f>_xlfn.IFNA(VLOOKUP(db_emp[[#This Row],[ID_SDP]],[1]!db_div[[Code_div]:[Division]],2,0),"-")</f>
        <v>-</v>
      </c>
      <c r="P792" s="79" t="str">
        <f>_xlfn.IFNA(VLOOKUP(db_emp[[#This Row],[Code_lvl]],[1]!db_lvl[[#All],[ID_level]:[Leveling Name]],2,0),"-")</f>
        <v>Assistant Manager</v>
      </c>
      <c r="Q792" s="79" t="str">
        <f>_xlfn.IFNA(VLOOKUP(db_emp[[#This Row],[Code_site]],[1]!db_site[[ID_Site]:[Url_maps]],3,0),"-")</f>
        <v>Unit - MOI</v>
      </c>
      <c r="R792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101835,'Suryo Wibowo','SPM','','Site Project Management Assistant Manager','LV07','','M02','Resign','1900-01-00','2025-10-24'</v>
      </c>
      <c r="S792" s="79">
        <f>db_emp[[#This Row],[NIP (UPDATE)]]</f>
        <v>101835</v>
      </c>
    </row>
    <row r="793" spans="2:19" hidden="1" x14ac:dyDescent="0.25">
      <c r="B793" s="75">
        <v>763</v>
      </c>
      <c r="C793" s="75">
        <v>102019</v>
      </c>
      <c r="D793" s="74" t="s">
        <v>2031</v>
      </c>
      <c r="E793" s="75" t="s">
        <v>1018</v>
      </c>
      <c r="F793" s="75"/>
      <c r="G793" s="74" t="s">
        <v>2032</v>
      </c>
      <c r="H793" s="75" t="s">
        <v>870</v>
      </c>
      <c r="I793" s="74"/>
      <c r="J793" s="75" t="s">
        <v>314</v>
      </c>
      <c r="K793" s="80" t="s">
        <v>903</v>
      </c>
      <c r="L793" s="76"/>
      <c r="M793" s="77">
        <f t="shared" ca="1" si="27"/>
        <v>45954</v>
      </c>
      <c r="N793" s="74" t="str">
        <f>_xlfn.IFNA(VLOOKUP(db_emp[[#This Row],[ID_DIV]],[1]!db_dpt[[Code_dpt]:[Departement]],2,0),"-")</f>
        <v>Operational</v>
      </c>
      <c r="O793" s="74" t="str">
        <f>_xlfn.IFNA(VLOOKUP(db_emp[[#This Row],[ID_SDP]],[1]!db_div[[Code_div]:[Division]],2,0),"-")</f>
        <v>-</v>
      </c>
      <c r="P793" s="74" t="str">
        <f>_xlfn.IFNA(VLOOKUP(db_emp[[#This Row],[Code_lvl]],[1]!db_lvl[[#All],[ID_level]:[Leveling Name]],2,0),"-")</f>
        <v>Supervisor</v>
      </c>
      <c r="Q793" s="74" t="str">
        <f>_xlfn.IFNA(VLOOKUP(db_emp[[#This Row],[Code_site]],[1]!db_site[[ID_Site]:[Url_maps]],3,0),"-")</f>
        <v>Unit - MOI</v>
      </c>
      <c r="R7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102019,'Muhammad Iqbal','OPR','','Tools &amp; Sparepart Keeper Supervisor','LV09','','M02','Resign','1900-01-00','2025-10-24'</v>
      </c>
      <c r="S793" s="74">
        <f>db_emp[[#This Row],[NIP (UPDATE)]]</f>
        <v>102019</v>
      </c>
    </row>
    <row r="794" spans="2:19" hidden="1" x14ac:dyDescent="0.25">
      <c r="B794" s="75">
        <v>764</v>
      </c>
      <c r="C794" s="75">
        <v>102072</v>
      </c>
      <c r="D794" s="74" t="s">
        <v>2033</v>
      </c>
      <c r="E794" s="75" t="s">
        <v>1018</v>
      </c>
      <c r="F794" s="75"/>
      <c r="G794" s="74" t="s">
        <v>1184</v>
      </c>
      <c r="H794" s="80" t="s">
        <v>853</v>
      </c>
      <c r="I794" s="74"/>
      <c r="J794" s="75" t="s">
        <v>314</v>
      </c>
      <c r="K794" s="80" t="s">
        <v>903</v>
      </c>
      <c r="L794" s="76"/>
      <c r="M794" s="77">
        <f t="shared" ca="1" si="27"/>
        <v>45954</v>
      </c>
      <c r="N794" s="74" t="str">
        <f>_xlfn.IFNA(VLOOKUP(db_emp[[#This Row],[ID_DIV]],[1]!db_dpt[[Code_dpt]:[Departement]],2,0),"-")</f>
        <v>Operational</v>
      </c>
      <c r="O794" s="74" t="str">
        <f>_xlfn.IFNA(VLOOKUP(db_emp[[#This Row],[ID_SDP]],[1]!db_div[[Code_div]:[Division]],2,0),"-")</f>
        <v>-</v>
      </c>
      <c r="P794" s="74" t="str">
        <f>_xlfn.IFNA(VLOOKUP(db_emp[[#This Row],[Code_lvl]],[1]!db_lvl[[#All],[ID_level]:[Leveling Name]],2,0),"-")</f>
        <v>Staff</v>
      </c>
      <c r="Q794" s="74" t="str">
        <f>_xlfn.IFNA(VLOOKUP(db_emp[[#This Row],[Code_site]],[1]!db_site[[ID_Site]:[Url_maps]],3,0),"-")</f>
        <v>Unit - MOI</v>
      </c>
      <c r="R7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102072,'Ashar Pauji','OPR','','Electrical Staff','LV12','','M02','Resign','1900-01-00','2025-10-24'</v>
      </c>
      <c r="S794" s="74">
        <f>db_emp[[#This Row],[NIP (UPDATE)]]</f>
        <v>102072</v>
      </c>
    </row>
    <row r="795" spans="2:19" hidden="1" x14ac:dyDescent="0.25">
      <c r="B795" s="75">
        <v>765</v>
      </c>
      <c r="C795" s="75">
        <v>102075</v>
      </c>
      <c r="D795" s="74" t="s">
        <v>2034</v>
      </c>
      <c r="E795" s="75" t="s">
        <v>1018</v>
      </c>
      <c r="F795" s="75"/>
      <c r="G795" s="74" t="s">
        <v>2035</v>
      </c>
      <c r="H795" s="75" t="s">
        <v>870</v>
      </c>
      <c r="I795" s="74"/>
      <c r="J795" s="75" t="s">
        <v>314</v>
      </c>
      <c r="K795" s="80" t="s">
        <v>903</v>
      </c>
      <c r="L795" s="76"/>
      <c r="M795" s="77">
        <f t="shared" ca="1" si="27"/>
        <v>45954</v>
      </c>
      <c r="N795" s="74" t="str">
        <f>_xlfn.IFNA(VLOOKUP(db_emp[[#This Row],[ID_DIV]],[1]!db_dpt[[Code_dpt]:[Departement]],2,0),"-")</f>
        <v>Operational</v>
      </c>
      <c r="O795" s="74" t="str">
        <f>_xlfn.IFNA(VLOOKUP(db_emp[[#This Row],[ID_SDP]],[1]!db_div[[Code_div]:[Division]],2,0),"-")</f>
        <v>-</v>
      </c>
      <c r="P795" s="74" t="str">
        <f>_xlfn.IFNA(VLOOKUP(db_emp[[#This Row],[Code_lvl]],[1]!db_lvl[[#All],[ID_level]:[Leveling Name]],2,0),"-")</f>
        <v>Supervisor</v>
      </c>
      <c r="Q795" s="74" t="str">
        <f>_xlfn.IFNA(VLOOKUP(db_emp[[#This Row],[Code_site]],[1]!db_site[[ID_Site]:[Url_maps]],3,0),"-")</f>
        <v>Unit - MOI</v>
      </c>
      <c r="R7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102075,'Agus Haerudin','OPR','','Operation &amp; Maintenance Supervisor','LV09','','M02','Resign','1900-01-00','2025-10-24'</v>
      </c>
      <c r="S795" s="74">
        <f>db_emp[[#This Row],[NIP (UPDATE)]]</f>
        <v>102075</v>
      </c>
    </row>
    <row r="796" spans="2:19" hidden="1" x14ac:dyDescent="0.25">
      <c r="B796" s="80">
        <v>766</v>
      </c>
      <c r="C796" s="75">
        <v>102150</v>
      </c>
      <c r="D796" s="74" t="s">
        <v>2036</v>
      </c>
      <c r="E796" s="75" t="s">
        <v>2037</v>
      </c>
      <c r="F796" s="75"/>
      <c r="G796" s="74" t="s">
        <v>2038</v>
      </c>
      <c r="H796" s="80" t="s">
        <v>853</v>
      </c>
      <c r="I796" s="74"/>
      <c r="J796" s="75" t="s">
        <v>314</v>
      </c>
      <c r="K796" s="80" t="s">
        <v>903</v>
      </c>
      <c r="L796" s="76"/>
      <c r="M796" s="77">
        <f t="shared" ca="1" si="27"/>
        <v>45954</v>
      </c>
      <c r="N796" s="74" t="str">
        <f>_xlfn.IFNA(VLOOKUP(db_emp[[#This Row],[ID_DIV]],[1]!db_dpt[[Code_dpt]:[Departement]],2,0),"-")</f>
        <v>-</v>
      </c>
      <c r="O796" s="74" t="str">
        <f>_xlfn.IFNA(VLOOKUP(db_emp[[#This Row],[ID_SDP]],[1]!db_div[[Code_div]:[Division]],2,0),"-")</f>
        <v>-</v>
      </c>
      <c r="P796" s="74" t="str">
        <f>_xlfn.IFNA(VLOOKUP(db_emp[[#This Row],[Code_lvl]],[1]!db_lvl[[#All],[ID_level]:[Leveling Name]],2,0),"-")</f>
        <v>Staff</v>
      </c>
      <c r="Q796" s="74" t="str">
        <f>_xlfn.IFNA(VLOOKUP(db_emp[[#This Row],[Code_site]],[1]!db_site[[ID_Site]:[Url_maps]],3,0),"-")</f>
        <v>Unit - MOI</v>
      </c>
      <c r="R7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102150,'Didin Wahyudin','IPP','','Shift Leader Staff','LV12','','M02','Resign','1900-01-00','2025-10-24'</v>
      </c>
      <c r="S796" s="74">
        <f>db_emp[[#This Row],[NIP (UPDATE)]]</f>
        <v>102150</v>
      </c>
    </row>
    <row r="797" spans="2:19" hidden="1" x14ac:dyDescent="0.25">
      <c r="B797" s="75">
        <v>767</v>
      </c>
      <c r="C797" s="75">
        <v>102211</v>
      </c>
      <c r="D797" s="74" t="s">
        <v>2039</v>
      </c>
      <c r="E797" s="75" t="s">
        <v>916</v>
      </c>
      <c r="F797" s="75"/>
      <c r="G797" s="74" t="s">
        <v>2040</v>
      </c>
      <c r="H797" s="75" t="s">
        <v>953</v>
      </c>
      <c r="I797" s="74"/>
      <c r="J797" s="75" t="s">
        <v>314</v>
      </c>
      <c r="K797" s="80" t="s">
        <v>903</v>
      </c>
      <c r="L797" s="76"/>
      <c r="M797" s="77">
        <f t="shared" ca="1" si="27"/>
        <v>45954</v>
      </c>
      <c r="N797" s="74" t="str">
        <f>_xlfn.IFNA(VLOOKUP(db_emp[[#This Row],[ID_DIV]],[1]!db_dpt[[Code_dpt]:[Departement]],2,0),"-")</f>
        <v>Property Management</v>
      </c>
      <c r="O797" s="74" t="str">
        <f>_xlfn.IFNA(VLOOKUP(db_emp[[#This Row],[ID_SDP]],[1]!db_div[[Code_div]:[Division]],2,0),"-")</f>
        <v>-</v>
      </c>
      <c r="P797" s="74" t="str">
        <f>_xlfn.IFNA(VLOOKUP(db_emp[[#This Row],[Code_lvl]],[1]!db_lvl[[#All],[ID_level]:[Leveling Name]],2,0),"-")</f>
        <v>Manager</v>
      </c>
      <c r="Q797" s="74" t="str">
        <f>_xlfn.IFNA(VLOOKUP(db_emp[[#This Row],[Code_site]],[1]!db_site[[ID_Site]:[Url_maps]],3,0),"-")</f>
        <v>Unit - MOI</v>
      </c>
      <c r="R7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102211,'Sugito.','POM','','Site Project Management Manager','LV05','','M02','Resign','1900-01-00','2025-10-24'</v>
      </c>
      <c r="S797" s="74">
        <f>db_emp[[#This Row],[NIP (UPDATE)]]</f>
        <v>102211</v>
      </c>
    </row>
    <row r="798" spans="2:19" hidden="1" x14ac:dyDescent="0.25">
      <c r="B798" s="75">
        <v>768</v>
      </c>
      <c r="C798" s="75">
        <v>102324</v>
      </c>
      <c r="D798" s="74" t="s">
        <v>2041</v>
      </c>
      <c r="E798" s="75" t="s">
        <v>911</v>
      </c>
      <c r="F798" s="75"/>
      <c r="G798" s="74" t="s">
        <v>2042</v>
      </c>
      <c r="H798" s="75" t="s">
        <v>953</v>
      </c>
      <c r="I798" s="74"/>
      <c r="J798" s="75" t="s">
        <v>316</v>
      </c>
      <c r="K798" s="80" t="s">
        <v>903</v>
      </c>
      <c r="L798" s="76"/>
      <c r="M798" s="77">
        <f t="shared" ca="1" si="27"/>
        <v>45954</v>
      </c>
      <c r="N798" s="74" t="str">
        <f>_xlfn.IFNA(VLOOKUP(db_emp[[#This Row],[ID_DIV]],[1]!db_dpt[[Code_dpt]:[Departement]],2,0),"-")</f>
        <v>Engineering</v>
      </c>
      <c r="O798" s="74" t="str">
        <f>_xlfn.IFNA(VLOOKUP(db_emp[[#This Row],[ID_SDP]],[1]!db_div[[Code_div]:[Division]],2,0),"-")</f>
        <v>-</v>
      </c>
      <c r="P798" s="74" t="str">
        <f>_xlfn.IFNA(VLOOKUP(db_emp[[#This Row],[Code_lvl]],[1]!db_lvl[[#All],[ID_level]:[Leveling Name]],2,0),"-")</f>
        <v>Manager</v>
      </c>
      <c r="Q798" s="74" t="str">
        <f>_xlfn.IFNA(VLOOKUP(db_emp[[#This Row],[Code_site]],[1]!db_site[[ID_Site]:[Url_maps]],3,0),"-")</f>
        <v>Unit - GGP</v>
      </c>
      <c r="R7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102324,'Johan Firmansyah','ENG','','Engineering Chief','LV05','','M03','Resign','1900-01-00','2025-10-24'</v>
      </c>
      <c r="S798" s="74">
        <f>db_emp[[#This Row],[NIP (UPDATE)]]</f>
        <v>102324</v>
      </c>
    </row>
    <row r="799" spans="2:19" hidden="1" x14ac:dyDescent="0.25">
      <c r="B799" s="75">
        <v>769</v>
      </c>
      <c r="C799" s="75">
        <v>103465</v>
      </c>
      <c r="D799" s="74" t="s">
        <v>2043</v>
      </c>
      <c r="E799" s="75" t="s">
        <v>911</v>
      </c>
      <c r="F799" s="75"/>
      <c r="G799" s="74" t="s">
        <v>2044</v>
      </c>
      <c r="H799" s="75" t="s">
        <v>870</v>
      </c>
      <c r="I799" s="74"/>
      <c r="J799" s="75" t="s">
        <v>314</v>
      </c>
      <c r="K799" s="80" t="s">
        <v>903</v>
      </c>
      <c r="L799" s="76"/>
      <c r="M799" s="77">
        <f t="shared" ca="1" si="27"/>
        <v>45954</v>
      </c>
      <c r="N799" s="74" t="str">
        <f>_xlfn.IFNA(VLOOKUP(db_emp[[#This Row],[ID_DIV]],[1]!db_dpt[[Code_dpt]:[Departement]],2,0),"-")</f>
        <v>Engineering</v>
      </c>
      <c r="O799" s="74" t="str">
        <f>_xlfn.IFNA(VLOOKUP(db_emp[[#This Row],[ID_SDP]],[1]!db_div[[Code_div]:[Division]],2,0),"-")</f>
        <v>-</v>
      </c>
      <c r="P799" s="74" t="str">
        <f>_xlfn.IFNA(VLOOKUP(db_emp[[#This Row],[Code_lvl]],[1]!db_lvl[[#All],[ID_level]:[Leveling Name]],2,0),"-")</f>
        <v>Supervisor</v>
      </c>
      <c r="Q799" s="74" t="str">
        <f>_xlfn.IFNA(VLOOKUP(db_emp[[#This Row],[Code_site]],[1]!db_site[[ID_Site]:[Url_maps]],3,0),"-")</f>
        <v>Unit - MOI</v>
      </c>
      <c r="R7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103465,'Siam Wibowo','ENG','','Plumbing Technician Supervisor','LV09','','M02','Resign','1900-01-00','2025-10-24'</v>
      </c>
      <c r="S799" s="74">
        <f>db_emp[[#This Row],[NIP (UPDATE)]]</f>
        <v>103465</v>
      </c>
    </row>
    <row r="800" spans="2:19" hidden="1" x14ac:dyDescent="0.25">
      <c r="B800" s="80">
        <v>770</v>
      </c>
      <c r="C800" s="75">
        <v>110279</v>
      </c>
      <c r="D800" s="74" t="s">
        <v>2045</v>
      </c>
      <c r="E800" s="75" t="s">
        <v>845</v>
      </c>
      <c r="F800" s="75"/>
      <c r="G800" s="74" t="s">
        <v>1105</v>
      </c>
      <c r="H800" s="80" t="s">
        <v>853</v>
      </c>
      <c r="I800" s="74"/>
      <c r="J800" s="75" t="s">
        <v>315</v>
      </c>
      <c r="K800" s="80" t="s">
        <v>903</v>
      </c>
      <c r="L800" s="76"/>
      <c r="M800" s="77">
        <f t="shared" ca="1" si="27"/>
        <v>45954</v>
      </c>
      <c r="N800" s="74" t="str">
        <f>_xlfn.IFNA(VLOOKUP(db_emp[[#This Row],[ID_DIV]],[1]!db_dpt[[Code_dpt]:[Departement]],2,0),"-")</f>
        <v>Finance &amp; Accounting</v>
      </c>
      <c r="O800" s="74" t="str">
        <f>_xlfn.IFNA(VLOOKUP(db_emp[[#This Row],[ID_SDP]],[1]!db_div[[Code_div]:[Division]],2,0),"-")</f>
        <v>-</v>
      </c>
      <c r="P800" s="74" t="str">
        <f>_xlfn.IFNA(VLOOKUP(db_emp[[#This Row],[Code_lvl]],[1]!db_lvl[[#All],[ID_level]:[Leveling Name]],2,0),"-")</f>
        <v>Staff</v>
      </c>
      <c r="Q800" s="74" t="str">
        <f>_xlfn.IFNA(VLOOKUP(db_emp[[#This Row],[Code_site]],[1]!db_site[[ID_Site]:[Url_maps]],3,0),"-")</f>
        <v>Head Office - ASGO</v>
      </c>
      <c r="R8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110279,'Leniwati Bernauli Aritonang','FIN','','Collection Staff','LV12','','O99','Resign','1900-01-00','2025-10-24'</v>
      </c>
      <c r="S800" s="74">
        <f>db_emp[[#This Row],[NIP (UPDATE)]]</f>
        <v>110279</v>
      </c>
    </row>
    <row r="801" spans="2:19" hidden="1" x14ac:dyDescent="0.25">
      <c r="B801" s="75">
        <v>771</v>
      </c>
      <c r="C801" s="75">
        <v>110911</v>
      </c>
      <c r="D801" s="74" t="s">
        <v>2046</v>
      </c>
      <c r="E801" s="75" t="s">
        <v>130</v>
      </c>
      <c r="F801" s="75"/>
      <c r="G801" s="74" t="s">
        <v>185</v>
      </c>
      <c r="H801" s="75" t="s">
        <v>1640</v>
      </c>
      <c r="I801" s="74"/>
      <c r="J801" s="75" t="s">
        <v>314</v>
      </c>
      <c r="K801" s="80" t="s">
        <v>903</v>
      </c>
      <c r="L801" s="76"/>
      <c r="M801" s="77">
        <f t="shared" ca="1" si="27"/>
        <v>45954</v>
      </c>
      <c r="N801" s="74" t="str">
        <f>_xlfn.IFNA(VLOOKUP(db_emp[[#This Row],[ID_DIV]],[1]!db_dpt[[Code_dpt]:[Departement]],2,0),"-")</f>
        <v>-</v>
      </c>
      <c r="O801" s="74" t="str">
        <f>_xlfn.IFNA(VLOOKUP(db_emp[[#This Row],[ID_SDP]],[1]!db_div[[Code_div]:[Division]],2,0),"-")</f>
        <v>-</v>
      </c>
      <c r="P801" s="74" t="str">
        <f>_xlfn.IFNA(VLOOKUP(db_emp[[#This Row],[Code_lvl]],[1]!db_lvl[[#All],[ID_level]:[Leveling Name]],2,0),"-")</f>
        <v>Non Staff</v>
      </c>
      <c r="Q801" s="74" t="str">
        <f>_xlfn.IFNA(VLOOKUP(db_emp[[#This Row],[Code_site]],[1]!db_site[[ID_Site]:[Url_maps]],3,0),"-")</f>
        <v>Unit - MOI</v>
      </c>
      <c r="R8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110911,'Yus Rusman','HRD','','Office Boy','LV13','','M02','Resign','1900-01-00','2025-10-24'</v>
      </c>
      <c r="S801" s="74">
        <f>db_emp[[#This Row],[NIP (UPDATE)]]</f>
        <v>110911</v>
      </c>
    </row>
    <row r="802" spans="2:19" hidden="1" x14ac:dyDescent="0.25">
      <c r="B802" s="75">
        <v>772</v>
      </c>
      <c r="C802" s="75">
        <v>120861</v>
      </c>
      <c r="D802" s="74" t="s">
        <v>2047</v>
      </c>
      <c r="E802" s="75" t="s">
        <v>911</v>
      </c>
      <c r="F802" s="75"/>
      <c r="G802" s="74" t="s">
        <v>1905</v>
      </c>
      <c r="H802" s="80" t="s">
        <v>853</v>
      </c>
      <c r="I802" s="74"/>
      <c r="J802" s="75" t="s">
        <v>433</v>
      </c>
      <c r="K802" s="80" t="s">
        <v>903</v>
      </c>
      <c r="L802" s="76"/>
      <c r="M802" s="77">
        <f t="shared" ca="1" si="27"/>
        <v>45954</v>
      </c>
      <c r="N802" s="74" t="str">
        <f>_xlfn.IFNA(VLOOKUP(db_emp[[#This Row],[ID_DIV]],[1]!db_dpt[[Code_dpt]:[Departement]],2,0),"-")</f>
        <v>Engineering</v>
      </c>
      <c r="O802" s="74" t="str">
        <f>_xlfn.IFNA(VLOOKUP(db_emp[[#This Row],[ID_SDP]],[1]!db_div[[Code_div]:[Division]],2,0),"-")</f>
        <v>-</v>
      </c>
      <c r="P802" s="74" t="str">
        <f>_xlfn.IFNA(VLOOKUP(db_emp[[#This Row],[Code_lvl]],[1]!db_lvl[[#All],[ID_level]:[Leveling Name]],2,0),"-")</f>
        <v>Staff</v>
      </c>
      <c r="Q802" s="74" t="str">
        <f>_xlfn.IFNA(VLOOKUP(db_emp[[#This Row],[Code_site]],[1]!db_site[[ID_Site]:[Url_maps]],3,0),"-")</f>
        <v>Unit - Taman Anggrek Residences</v>
      </c>
      <c r="R8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120861,'Adnan Fauzi','ENG','','Technician Staff','LV12','','A01','Resign','1900-01-00','2025-10-24'</v>
      </c>
      <c r="S802" s="74">
        <f>db_emp[[#This Row],[NIP (UPDATE)]]</f>
        <v>120861</v>
      </c>
    </row>
    <row r="803" spans="2:19" hidden="1" x14ac:dyDescent="0.25">
      <c r="B803" s="75">
        <v>773</v>
      </c>
      <c r="C803" s="75">
        <v>121056</v>
      </c>
      <c r="D803" s="74" t="s">
        <v>2048</v>
      </c>
      <c r="E803" s="75" t="s">
        <v>911</v>
      </c>
      <c r="F803" s="75"/>
      <c r="G803" s="74" t="s">
        <v>2049</v>
      </c>
      <c r="H803" s="80" t="s">
        <v>853</v>
      </c>
      <c r="I803" s="74"/>
      <c r="J803" s="75" t="s">
        <v>314</v>
      </c>
      <c r="K803" s="80" t="s">
        <v>903</v>
      </c>
      <c r="L803" s="76"/>
      <c r="M803" s="77">
        <f t="shared" ca="1" si="27"/>
        <v>45954</v>
      </c>
      <c r="N803" s="74" t="str">
        <f>_xlfn.IFNA(VLOOKUP(db_emp[[#This Row],[ID_DIV]],[1]!db_dpt[[Code_dpt]:[Departement]],2,0),"-")</f>
        <v>Engineering</v>
      </c>
      <c r="O803" s="74" t="str">
        <f>_xlfn.IFNA(VLOOKUP(db_emp[[#This Row],[ID_SDP]],[1]!db_div[[Code_div]:[Division]],2,0),"-")</f>
        <v>-</v>
      </c>
      <c r="P803" s="74" t="str">
        <f>_xlfn.IFNA(VLOOKUP(db_emp[[#This Row],[Code_lvl]],[1]!db_lvl[[#All],[ID_level]:[Leveling Name]],2,0),"-")</f>
        <v>Staff</v>
      </c>
      <c r="Q803" s="74" t="str">
        <f>_xlfn.IFNA(VLOOKUP(db_emp[[#This Row],[Code_site]],[1]!db_site[[ID_Site]:[Url_maps]],3,0),"-")</f>
        <v>Unit - MOI</v>
      </c>
      <c r="R8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121056,'Jati Waluyo','ENG','','Civil Technician Staff','LV12','','M02','Resign','1900-01-00','2025-10-24'</v>
      </c>
      <c r="S803" s="74">
        <f>db_emp[[#This Row],[NIP (UPDATE)]]</f>
        <v>121056</v>
      </c>
    </row>
    <row r="804" spans="2:19" hidden="1" x14ac:dyDescent="0.25">
      <c r="B804" s="80">
        <v>774</v>
      </c>
      <c r="C804" s="75">
        <v>121445</v>
      </c>
      <c r="D804" s="74" t="s">
        <v>2050</v>
      </c>
      <c r="E804" s="75" t="s">
        <v>1018</v>
      </c>
      <c r="F804" s="75"/>
      <c r="G804" s="74" t="s">
        <v>2051</v>
      </c>
      <c r="H804" s="75" t="s">
        <v>853</v>
      </c>
      <c r="I804" s="74"/>
      <c r="J804" s="75" t="s">
        <v>316</v>
      </c>
      <c r="K804" s="80" t="s">
        <v>903</v>
      </c>
      <c r="L804" s="76"/>
      <c r="M804" s="77">
        <f t="shared" ca="1" si="27"/>
        <v>45954</v>
      </c>
      <c r="N804" s="74" t="str">
        <f>_xlfn.IFNA(VLOOKUP(db_emp[[#This Row],[ID_DIV]],[1]!db_dpt[[Code_dpt]:[Departement]],2,0),"-")</f>
        <v>Operational</v>
      </c>
      <c r="O804" s="74" t="str">
        <f>_xlfn.IFNA(VLOOKUP(db_emp[[#This Row],[ID_SDP]],[1]!db_div[[Code_div]:[Division]],2,0),"-")</f>
        <v>-</v>
      </c>
      <c r="P804" s="74" t="str">
        <f>_xlfn.IFNA(VLOOKUP(db_emp[[#This Row],[Code_lvl]],[1]!db_lvl[[#All],[ID_level]:[Leveling Name]],2,0),"-")</f>
        <v>Staff</v>
      </c>
      <c r="Q804" s="74" t="str">
        <f>_xlfn.IFNA(VLOOKUP(db_emp[[#This Row],[Code_site]],[1]!db_site[[ID_Site]:[Url_maps]],3,0),"-")</f>
        <v>Unit - GGP</v>
      </c>
      <c r="R8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121445,'Fitri Rachmawati','OPR','','Operational Admin','LV12','','M03','Resign','1900-01-00','2025-10-24'</v>
      </c>
      <c r="S804" s="74">
        <f>db_emp[[#This Row],[NIP (UPDATE)]]</f>
        <v>121445</v>
      </c>
    </row>
    <row r="805" spans="2:19" hidden="1" x14ac:dyDescent="0.25">
      <c r="B805" s="75">
        <v>775</v>
      </c>
      <c r="C805" s="75">
        <v>130088</v>
      </c>
      <c r="D805" s="74" t="s">
        <v>2052</v>
      </c>
      <c r="E805" s="75" t="s">
        <v>2053</v>
      </c>
      <c r="F805" s="75"/>
      <c r="G805" s="74" t="s">
        <v>2054</v>
      </c>
      <c r="H805" s="75" t="s">
        <v>853</v>
      </c>
      <c r="I805" s="74"/>
      <c r="J805" s="75" t="s">
        <v>315</v>
      </c>
      <c r="K805" s="80" t="s">
        <v>903</v>
      </c>
      <c r="L805" s="76"/>
      <c r="M805" s="77">
        <f t="shared" ca="1" si="27"/>
        <v>45954</v>
      </c>
      <c r="N805" s="74" t="str">
        <f>_xlfn.IFNA(VLOOKUP(db_emp[[#This Row],[ID_DIV]],[1]!db_dpt[[Code_dpt]:[Departement]],2,0),"-")</f>
        <v>-</v>
      </c>
      <c r="O805" s="74" t="str">
        <f>_xlfn.IFNA(VLOOKUP(db_emp[[#This Row],[ID_SDP]],[1]!db_div[[Code_div]:[Division]],2,0),"-")</f>
        <v>-</v>
      </c>
      <c r="P805" s="74" t="str">
        <f>_xlfn.IFNA(VLOOKUP(db_emp[[#This Row],[Code_lvl]],[1]!db_lvl[[#All],[ID_level]:[Leveling Name]],2,0),"-")</f>
        <v>Staff</v>
      </c>
      <c r="Q805" s="74" t="str">
        <f>_xlfn.IFNA(VLOOKUP(db_emp[[#This Row],[Code_site]],[1]!db_site[[ID_Site]:[Url_maps]],3,0),"-")</f>
        <v>Head Office - ASGO</v>
      </c>
      <c r="R8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130088,'Dwinanto Utomo','TES','','Sr. Structure Engineer','LV12','','O99','Resign','1900-01-00','2025-10-24'</v>
      </c>
      <c r="S805" s="74">
        <f>db_emp[[#This Row],[NIP (UPDATE)]]</f>
        <v>130088</v>
      </c>
    </row>
    <row r="806" spans="2:19" hidden="1" x14ac:dyDescent="0.25">
      <c r="B806" s="75">
        <v>776</v>
      </c>
      <c r="C806" s="75">
        <v>130265</v>
      </c>
      <c r="D806" s="74" t="s">
        <v>2055</v>
      </c>
      <c r="E806" s="75" t="s">
        <v>911</v>
      </c>
      <c r="F806" s="75"/>
      <c r="G806" s="74" t="s">
        <v>2056</v>
      </c>
      <c r="H806" s="80" t="s">
        <v>853</v>
      </c>
      <c r="I806" s="74"/>
      <c r="J806" s="75" t="s">
        <v>316</v>
      </c>
      <c r="K806" s="80" t="s">
        <v>903</v>
      </c>
      <c r="L806" s="76"/>
      <c r="M806" s="77">
        <f t="shared" ca="1" si="27"/>
        <v>45954</v>
      </c>
      <c r="N806" s="74" t="str">
        <f>_xlfn.IFNA(VLOOKUP(db_emp[[#This Row],[ID_DIV]],[1]!db_dpt[[Code_dpt]:[Departement]],2,0),"-")</f>
        <v>Engineering</v>
      </c>
      <c r="O806" s="74" t="str">
        <f>_xlfn.IFNA(VLOOKUP(db_emp[[#This Row],[ID_SDP]],[1]!db_div[[Code_div]:[Division]],2,0),"-")</f>
        <v>-</v>
      </c>
      <c r="P806" s="74" t="str">
        <f>_xlfn.IFNA(VLOOKUP(db_emp[[#This Row],[Code_lvl]],[1]!db_lvl[[#All],[ID_level]:[Leveling Name]],2,0),"-")</f>
        <v>Staff</v>
      </c>
      <c r="Q806" s="74" t="str">
        <f>_xlfn.IFNA(VLOOKUP(db_emp[[#This Row],[Code_site]],[1]!db_site[[ID_Site]:[Url_maps]],3,0),"-")</f>
        <v>Unit - GGP</v>
      </c>
      <c r="R8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130265,'Hariyanto.','ENG','','Electrical &amp; Elecom Staff','LV12','','M03','Resign','1900-01-00','2025-10-24'</v>
      </c>
      <c r="S806" s="74">
        <f>db_emp[[#This Row],[NIP (UPDATE)]]</f>
        <v>130265</v>
      </c>
    </row>
    <row r="807" spans="2:19" hidden="1" x14ac:dyDescent="0.25">
      <c r="B807" s="75">
        <v>777</v>
      </c>
      <c r="C807" s="75">
        <v>130506</v>
      </c>
      <c r="D807" s="74" t="s">
        <v>2057</v>
      </c>
      <c r="E807" s="75" t="s">
        <v>2037</v>
      </c>
      <c r="F807" s="75"/>
      <c r="G807" s="74" t="s">
        <v>2058</v>
      </c>
      <c r="H807" s="80" t="s">
        <v>848</v>
      </c>
      <c r="I807" s="74"/>
      <c r="J807" s="75" t="s">
        <v>314</v>
      </c>
      <c r="K807" s="80" t="s">
        <v>903</v>
      </c>
      <c r="L807" s="76"/>
      <c r="M807" s="77">
        <f t="shared" ca="1" si="27"/>
        <v>45954</v>
      </c>
      <c r="N807" s="74" t="str">
        <f>_xlfn.IFNA(VLOOKUP(db_emp[[#This Row],[ID_DIV]],[1]!db_dpt[[Code_dpt]:[Departement]],2,0),"-")</f>
        <v>-</v>
      </c>
      <c r="O807" s="74" t="str">
        <f>_xlfn.IFNA(VLOOKUP(db_emp[[#This Row],[ID_SDP]],[1]!db_div[[Code_div]:[Division]],2,0),"-")</f>
        <v>-</v>
      </c>
      <c r="P807" s="74" t="str">
        <f>_xlfn.IFNA(VLOOKUP(db_emp[[#This Row],[Code_lvl]],[1]!db_lvl[[#All],[ID_level]:[Leveling Name]],2,0),"-")</f>
        <v>Assistant Manager</v>
      </c>
      <c r="Q807" s="74" t="str">
        <f>_xlfn.IFNA(VLOOKUP(db_emp[[#This Row],[Code_site]],[1]!db_site[[ID_Site]:[Url_maps]],3,0),"-")</f>
        <v>Unit - MOI</v>
      </c>
      <c r="R8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130506,'Elister Mikka Siagian','IPP','','Ipp Support Assistant Manager','LV07','','M02','Resign','1900-01-00','2025-10-24'</v>
      </c>
      <c r="S807" s="74">
        <f>db_emp[[#This Row],[NIP (UPDATE)]]</f>
        <v>130506</v>
      </c>
    </row>
    <row r="808" spans="2:19" hidden="1" x14ac:dyDescent="0.25">
      <c r="B808" s="80">
        <v>778</v>
      </c>
      <c r="C808" s="75">
        <v>130571</v>
      </c>
      <c r="D808" s="74" t="s">
        <v>2059</v>
      </c>
      <c r="E808" s="75" t="s">
        <v>911</v>
      </c>
      <c r="F808" s="75"/>
      <c r="G808" s="74" t="s">
        <v>2056</v>
      </c>
      <c r="H808" s="80" t="s">
        <v>853</v>
      </c>
      <c r="I808" s="74"/>
      <c r="J808" s="75" t="s">
        <v>316</v>
      </c>
      <c r="K808" s="80" t="s">
        <v>903</v>
      </c>
      <c r="L808" s="76"/>
      <c r="M808" s="77">
        <f t="shared" ca="1" si="27"/>
        <v>45954</v>
      </c>
      <c r="N808" s="74" t="str">
        <f>_xlfn.IFNA(VLOOKUP(db_emp[[#This Row],[ID_DIV]],[1]!db_dpt[[Code_dpt]:[Departement]],2,0),"-")</f>
        <v>Engineering</v>
      </c>
      <c r="O808" s="74" t="str">
        <f>_xlfn.IFNA(VLOOKUP(db_emp[[#This Row],[ID_SDP]],[1]!db_div[[Code_div]:[Division]],2,0),"-")</f>
        <v>-</v>
      </c>
      <c r="P808" s="74" t="str">
        <f>_xlfn.IFNA(VLOOKUP(db_emp[[#This Row],[Code_lvl]],[1]!db_lvl[[#All],[ID_level]:[Leveling Name]],2,0),"-")</f>
        <v>Staff</v>
      </c>
      <c r="Q808" s="74" t="str">
        <f>_xlfn.IFNA(VLOOKUP(db_emp[[#This Row],[Code_site]],[1]!db_site[[ID_Site]:[Url_maps]],3,0),"-")</f>
        <v>Unit - GGP</v>
      </c>
      <c r="R8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130571,'Sandi Ramdani','ENG','','Electrical &amp; Elecom Staff','LV12','','M03','Resign','1900-01-00','2025-10-24'</v>
      </c>
      <c r="S808" s="74">
        <f>db_emp[[#This Row],[NIP (UPDATE)]]</f>
        <v>130571</v>
      </c>
    </row>
    <row r="809" spans="2:19" hidden="1" x14ac:dyDescent="0.25">
      <c r="B809" s="75">
        <v>779</v>
      </c>
      <c r="C809" s="75">
        <v>130575</v>
      </c>
      <c r="D809" s="74" t="s">
        <v>2060</v>
      </c>
      <c r="E809" s="75" t="s">
        <v>911</v>
      </c>
      <c r="F809" s="75"/>
      <c r="G809" s="74" t="s">
        <v>2056</v>
      </c>
      <c r="H809" s="80" t="s">
        <v>853</v>
      </c>
      <c r="I809" s="74"/>
      <c r="J809" s="75" t="s">
        <v>316</v>
      </c>
      <c r="K809" s="80" t="s">
        <v>903</v>
      </c>
      <c r="L809" s="76"/>
      <c r="M809" s="77">
        <f t="shared" ca="1" si="27"/>
        <v>45954</v>
      </c>
      <c r="N809" s="74" t="str">
        <f>_xlfn.IFNA(VLOOKUP(db_emp[[#This Row],[ID_DIV]],[1]!db_dpt[[Code_dpt]:[Departement]],2,0),"-")</f>
        <v>Engineering</v>
      </c>
      <c r="O809" s="74" t="str">
        <f>_xlfn.IFNA(VLOOKUP(db_emp[[#This Row],[ID_SDP]],[1]!db_div[[Code_div]:[Division]],2,0),"-")</f>
        <v>-</v>
      </c>
      <c r="P809" s="74" t="str">
        <f>_xlfn.IFNA(VLOOKUP(db_emp[[#This Row],[Code_lvl]],[1]!db_lvl[[#All],[ID_level]:[Leveling Name]],2,0),"-")</f>
        <v>Staff</v>
      </c>
      <c r="Q809" s="74" t="str">
        <f>_xlfn.IFNA(VLOOKUP(db_emp[[#This Row],[Code_site]],[1]!db_site[[ID_Site]:[Url_maps]],3,0),"-")</f>
        <v>Unit - GGP</v>
      </c>
      <c r="R8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130575,'Trigianto.','ENG','','Electrical &amp; Elecom Staff','LV12','','M03','Resign','1900-01-00','2025-10-24'</v>
      </c>
      <c r="S809" s="74">
        <f>db_emp[[#This Row],[NIP (UPDATE)]]</f>
        <v>130575</v>
      </c>
    </row>
    <row r="810" spans="2:19" hidden="1" x14ac:dyDescent="0.25">
      <c r="B810" s="75">
        <v>780</v>
      </c>
      <c r="C810" s="75">
        <v>130583</v>
      </c>
      <c r="D810" s="74" t="s">
        <v>1286</v>
      </c>
      <c r="E810" s="75" t="s">
        <v>911</v>
      </c>
      <c r="F810" s="75"/>
      <c r="G810" s="74" t="s">
        <v>2061</v>
      </c>
      <c r="H810" s="75" t="s">
        <v>853</v>
      </c>
      <c r="I810" s="74"/>
      <c r="J810" s="75" t="s">
        <v>433</v>
      </c>
      <c r="K810" s="80" t="s">
        <v>903</v>
      </c>
      <c r="L810" s="76"/>
      <c r="M810" s="77">
        <f t="shared" ca="1" si="27"/>
        <v>45954</v>
      </c>
      <c r="N810" s="74" t="str">
        <f>_xlfn.IFNA(VLOOKUP(db_emp[[#This Row],[ID_DIV]],[1]!db_dpt[[Code_dpt]:[Departement]],2,0),"-")</f>
        <v>Engineering</v>
      </c>
      <c r="O810" s="74" t="str">
        <f>_xlfn.IFNA(VLOOKUP(db_emp[[#This Row],[ID_SDP]],[1]!db_div[[Code_div]:[Division]],2,0),"-")</f>
        <v>-</v>
      </c>
      <c r="P810" s="74" t="str">
        <f>_xlfn.IFNA(VLOOKUP(db_emp[[#This Row],[Code_lvl]],[1]!db_lvl[[#All],[ID_level]:[Leveling Name]],2,0),"-")</f>
        <v>Staff</v>
      </c>
      <c r="Q810" s="74" t="str">
        <f>_xlfn.IFNA(VLOOKUP(db_emp[[#This Row],[Code_site]],[1]!db_site[[ID_Site]:[Url_maps]],3,0),"-")</f>
        <v>Unit - Taman Anggrek Residences</v>
      </c>
      <c r="R8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130583,'Baban Subandi','ENG','','Technician Civil','LV12','','A01','Resign','1900-01-00','2025-10-24'</v>
      </c>
      <c r="S810" s="74">
        <f>db_emp[[#This Row],[NIP (UPDATE)]]</f>
        <v>130583</v>
      </c>
    </row>
    <row r="811" spans="2:19" hidden="1" x14ac:dyDescent="0.25">
      <c r="B811" s="75">
        <v>781</v>
      </c>
      <c r="C811" s="75">
        <v>130733</v>
      </c>
      <c r="D811" s="74" t="s">
        <v>2062</v>
      </c>
      <c r="E811" s="75" t="s">
        <v>1018</v>
      </c>
      <c r="F811" s="75"/>
      <c r="G811" s="74" t="s">
        <v>1842</v>
      </c>
      <c r="H811" s="75" t="s">
        <v>870</v>
      </c>
      <c r="I811" s="74"/>
      <c r="J811" s="75" t="s">
        <v>316</v>
      </c>
      <c r="K811" s="80" t="s">
        <v>903</v>
      </c>
      <c r="L811" s="76"/>
      <c r="M811" s="77">
        <f t="shared" ca="1" si="27"/>
        <v>45954</v>
      </c>
      <c r="N811" s="74" t="str">
        <f>_xlfn.IFNA(VLOOKUP(db_emp[[#This Row],[ID_DIV]],[1]!db_dpt[[Code_dpt]:[Departement]],2,0),"-")</f>
        <v>Operational</v>
      </c>
      <c r="O811" s="74" t="str">
        <f>_xlfn.IFNA(VLOOKUP(db_emp[[#This Row],[ID_SDP]],[1]!db_div[[Code_div]:[Division]],2,0),"-")</f>
        <v>-</v>
      </c>
      <c r="P811" s="74" t="str">
        <f>_xlfn.IFNA(VLOOKUP(db_emp[[#This Row],[Code_lvl]],[1]!db_lvl[[#All],[ID_level]:[Leveling Name]],2,0),"-")</f>
        <v>Supervisor</v>
      </c>
      <c r="Q811" s="74" t="str">
        <f>_xlfn.IFNA(VLOOKUP(db_emp[[#This Row],[Code_site]],[1]!db_site[[ID_Site]:[Url_maps]],3,0),"-")</f>
        <v>Unit - GGP</v>
      </c>
      <c r="R8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130733,'Ali Bambang Saefudin','OPR','','Security Supervisor','LV09','','M03','Resign','1900-01-00','2025-10-24'</v>
      </c>
      <c r="S811" s="74">
        <f>db_emp[[#This Row],[NIP (UPDATE)]]</f>
        <v>130733</v>
      </c>
    </row>
    <row r="812" spans="2:19" hidden="1" x14ac:dyDescent="0.25">
      <c r="B812" s="80">
        <v>782</v>
      </c>
      <c r="C812" s="75">
        <v>130905</v>
      </c>
      <c r="D812" s="74" t="s">
        <v>2063</v>
      </c>
      <c r="E812" s="75" t="s">
        <v>911</v>
      </c>
      <c r="F812" s="75"/>
      <c r="G812" s="74" t="s">
        <v>1254</v>
      </c>
      <c r="H812" s="80" t="s">
        <v>853</v>
      </c>
      <c r="I812" s="74"/>
      <c r="J812" s="75" t="s">
        <v>314</v>
      </c>
      <c r="K812" s="80" t="s">
        <v>903</v>
      </c>
      <c r="L812" s="76"/>
      <c r="M812" s="77">
        <f t="shared" ca="1" si="27"/>
        <v>45954</v>
      </c>
      <c r="N812" s="74" t="str">
        <f>_xlfn.IFNA(VLOOKUP(db_emp[[#This Row],[ID_DIV]],[1]!db_dpt[[Code_dpt]:[Departement]],2,0),"-")</f>
        <v>Engineering</v>
      </c>
      <c r="O812" s="74" t="str">
        <f>_xlfn.IFNA(VLOOKUP(db_emp[[#This Row],[ID_SDP]],[1]!db_div[[Code_div]:[Division]],2,0),"-")</f>
        <v>-</v>
      </c>
      <c r="P812" s="74" t="str">
        <f>_xlfn.IFNA(VLOOKUP(db_emp[[#This Row],[Code_lvl]],[1]!db_lvl[[#All],[ID_level]:[Leveling Name]],2,0),"-")</f>
        <v>Staff</v>
      </c>
      <c r="Q812" s="74" t="str">
        <f>_xlfn.IFNA(VLOOKUP(db_emp[[#This Row],[Code_site]],[1]!db_site[[ID_Site]:[Url_maps]],3,0),"-")</f>
        <v>Unit - MOI</v>
      </c>
      <c r="R8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130905,'Mulky Mubarak','ENG','','Engineering Staff','LV12','','M02','Resign','1900-01-00','2025-10-24'</v>
      </c>
      <c r="S812" s="74">
        <f>db_emp[[#This Row],[NIP (UPDATE)]]</f>
        <v>130905</v>
      </c>
    </row>
    <row r="813" spans="2:19" hidden="1" x14ac:dyDescent="0.25">
      <c r="B813" s="75">
        <v>783</v>
      </c>
      <c r="C813" s="75">
        <v>131077</v>
      </c>
      <c r="D813" s="74" t="s">
        <v>2064</v>
      </c>
      <c r="E813" s="75" t="s">
        <v>1018</v>
      </c>
      <c r="F813" s="75"/>
      <c r="G813" s="74" t="s">
        <v>1184</v>
      </c>
      <c r="H813" s="80" t="s">
        <v>853</v>
      </c>
      <c r="I813" s="74"/>
      <c r="J813" s="75" t="s">
        <v>314</v>
      </c>
      <c r="K813" s="80" t="s">
        <v>903</v>
      </c>
      <c r="L813" s="76"/>
      <c r="M813" s="77">
        <f t="shared" ca="1" si="27"/>
        <v>45954</v>
      </c>
      <c r="N813" s="74" t="str">
        <f>_xlfn.IFNA(VLOOKUP(db_emp[[#This Row],[ID_DIV]],[1]!db_dpt[[Code_dpt]:[Departement]],2,0),"-")</f>
        <v>Operational</v>
      </c>
      <c r="O813" s="74" t="str">
        <f>_xlfn.IFNA(VLOOKUP(db_emp[[#This Row],[ID_SDP]],[1]!db_div[[Code_div]:[Division]],2,0),"-")</f>
        <v>-</v>
      </c>
      <c r="P813" s="74" t="str">
        <f>_xlfn.IFNA(VLOOKUP(db_emp[[#This Row],[Code_lvl]],[1]!db_lvl[[#All],[ID_level]:[Leveling Name]],2,0),"-")</f>
        <v>Staff</v>
      </c>
      <c r="Q813" s="74" t="str">
        <f>_xlfn.IFNA(VLOOKUP(db_emp[[#This Row],[Code_site]],[1]!db_site[[ID_Site]:[Url_maps]],3,0),"-")</f>
        <v>Unit - MOI</v>
      </c>
      <c r="R8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131077,'Siswanto.','OPR','','Electrical Staff','LV12','','M02','Resign','1900-01-00','2025-10-24'</v>
      </c>
      <c r="S813" s="74">
        <f>db_emp[[#This Row],[NIP (UPDATE)]]</f>
        <v>131077</v>
      </c>
    </row>
    <row r="814" spans="2:19" hidden="1" x14ac:dyDescent="0.25">
      <c r="B814" s="75">
        <v>784</v>
      </c>
      <c r="C814" s="75">
        <v>131366</v>
      </c>
      <c r="D814" s="74" t="s">
        <v>1532</v>
      </c>
      <c r="E814" s="75" t="s">
        <v>130</v>
      </c>
      <c r="F814" s="75"/>
      <c r="G814" s="74" t="s">
        <v>2065</v>
      </c>
      <c r="H814" s="75" t="s">
        <v>953</v>
      </c>
      <c r="I814" s="74"/>
      <c r="J814" s="75" t="s">
        <v>315</v>
      </c>
      <c r="K814" s="80" t="s">
        <v>903</v>
      </c>
      <c r="L814" s="76"/>
      <c r="M814" s="77">
        <f t="shared" ca="1" si="27"/>
        <v>45954</v>
      </c>
      <c r="N814" s="74" t="str">
        <f>_xlfn.IFNA(VLOOKUP(db_emp[[#This Row],[ID_DIV]],[1]!db_dpt[[Code_dpt]:[Departement]],2,0),"-")</f>
        <v>-</v>
      </c>
      <c r="O814" s="74" t="str">
        <f>_xlfn.IFNA(VLOOKUP(db_emp[[#This Row],[ID_SDP]],[1]!db_div[[Code_div]:[Division]],2,0),"-")</f>
        <v>-</v>
      </c>
      <c r="P814" s="74" t="str">
        <f>_xlfn.IFNA(VLOOKUP(db_emp[[#This Row],[Code_lvl]],[1]!db_lvl[[#All],[ID_level]:[Leveling Name]],2,0),"-")</f>
        <v>Manager</v>
      </c>
      <c r="Q814" s="74" t="str">
        <f>_xlfn.IFNA(VLOOKUP(db_emp[[#This Row],[Code_site]],[1]!db_site[[ID_Site]:[Url_maps]],3,0),"-")</f>
        <v>Head Office - ASGO</v>
      </c>
      <c r="R8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131366,'Stefanus Vincentius Siauwtika','HRD','','Head HR ASRI','LV05','','O99','Resign','1900-01-00','2025-10-24'</v>
      </c>
      <c r="S814" s="74">
        <f>db_emp[[#This Row],[NIP (UPDATE)]]</f>
        <v>131366</v>
      </c>
    </row>
    <row r="815" spans="2:19" hidden="1" x14ac:dyDescent="0.25">
      <c r="B815" s="75">
        <v>785</v>
      </c>
      <c r="C815" s="75">
        <v>131405</v>
      </c>
      <c r="D815" s="74" t="s">
        <v>2066</v>
      </c>
      <c r="E815" s="75" t="s">
        <v>1018</v>
      </c>
      <c r="F815" s="75"/>
      <c r="G815" s="74" t="s">
        <v>1712</v>
      </c>
      <c r="H815" s="75" t="s">
        <v>870</v>
      </c>
      <c r="I815" s="74"/>
      <c r="J815" s="75" t="s">
        <v>316</v>
      </c>
      <c r="K815" s="80" t="s">
        <v>903</v>
      </c>
      <c r="L815" s="76"/>
      <c r="M815" s="77">
        <f t="shared" ca="1" si="27"/>
        <v>45954</v>
      </c>
      <c r="N815" s="74" t="str">
        <f>_xlfn.IFNA(VLOOKUP(db_emp[[#This Row],[ID_DIV]],[1]!db_dpt[[Code_dpt]:[Departement]],2,0),"-")</f>
        <v>Operational</v>
      </c>
      <c r="O815" s="74" t="str">
        <f>_xlfn.IFNA(VLOOKUP(db_emp[[#This Row],[ID_SDP]],[1]!db_div[[Code_div]:[Division]],2,0),"-")</f>
        <v>-</v>
      </c>
      <c r="P815" s="74" t="str">
        <f>_xlfn.IFNA(VLOOKUP(db_emp[[#This Row],[Code_lvl]],[1]!db_lvl[[#All],[ID_level]:[Leveling Name]],2,0),"-")</f>
        <v>Supervisor</v>
      </c>
      <c r="Q815" s="74" t="str">
        <f>_xlfn.IFNA(VLOOKUP(db_emp[[#This Row],[Code_site]],[1]!db_site[[ID_Site]:[Url_maps]],3,0),"-")</f>
        <v>Unit - GGP</v>
      </c>
      <c r="R8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131405,'Darmo.','OPR','','Parking &amp; Housekeeping Supervisor','LV09','','M03','Resign','1900-01-00','2025-10-24'</v>
      </c>
      <c r="S815" s="74">
        <f>db_emp[[#This Row],[NIP (UPDATE)]]</f>
        <v>131405</v>
      </c>
    </row>
    <row r="816" spans="2:19" hidden="1" x14ac:dyDescent="0.25">
      <c r="B816" s="80">
        <v>786</v>
      </c>
      <c r="C816" s="75">
        <v>140032</v>
      </c>
      <c r="D816" s="74" t="s">
        <v>2067</v>
      </c>
      <c r="E816" s="75" t="s">
        <v>2053</v>
      </c>
      <c r="F816" s="75"/>
      <c r="G816" s="74" t="s">
        <v>2068</v>
      </c>
      <c r="H816" s="80" t="s">
        <v>848</v>
      </c>
      <c r="I816" s="74"/>
      <c r="J816" s="75" t="s">
        <v>315</v>
      </c>
      <c r="K816" s="80" t="s">
        <v>903</v>
      </c>
      <c r="L816" s="76"/>
      <c r="M816" s="77">
        <f t="shared" ca="1" si="27"/>
        <v>45954</v>
      </c>
      <c r="N816" s="74" t="str">
        <f>_xlfn.IFNA(VLOOKUP(db_emp[[#This Row],[ID_DIV]],[1]!db_dpt[[Code_dpt]:[Departement]],2,0),"-")</f>
        <v>-</v>
      </c>
      <c r="O816" s="74" t="str">
        <f>_xlfn.IFNA(VLOOKUP(db_emp[[#This Row],[ID_SDP]],[1]!db_div[[Code_div]:[Division]],2,0),"-")</f>
        <v>-</v>
      </c>
      <c r="P816" s="74" t="str">
        <f>_xlfn.IFNA(VLOOKUP(db_emp[[#This Row],[Code_lvl]],[1]!db_lvl[[#All],[ID_level]:[Leveling Name]],2,0),"-")</f>
        <v>Assistant Manager</v>
      </c>
      <c r="Q816" s="74" t="str">
        <f>_xlfn.IFNA(VLOOKUP(db_emp[[#This Row],[Code_site]],[1]!db_site[[ID_Site]:[Url_maps]],3,0),"-")</f>
        <v>Head Office - ASGO</v>
      </c>
      <c r="R8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140032,'Sukisna.','TES','','MEP Assistant Manager','LV07','','O99','Resign','1900-01-00','2025-10-24'</v>
      </c>
      <c r="S816" s="74">
        <f>db_emp[[#This Row],[NIP (UPDATE)]]</f>
        <v>140032</v>
      </c>
    </row>
    <row r="817" spans="2:19" hidden="1" x14ac:dyDescent="0.25">
      <c r="B817" s="75">
        <v>787</v>
      </c>
      <c r="C817" s="75">
        <v>140357</v>
      </c>
      <c r="D817" s="74" t="s">
        <v>2069</v>
      </c>
      <c r="E817" s="75" t="s">
        <v>911</v>
      </c>
      <c r="F817" s="75"/>
      <c r="G817" s="74" t="s">
        <v>2056</v>
      </c>
      <c r="H817" s="80" t="s">
        <v>853</v>
      </c>
      <c r="I817" s="74"/>
      <c r="J817" s="75" t="s">
        <v>316</v>
      </c>
      <c r="K817" s="80" t="s">
        <v>903</v>
      </c>
      <c r="L817" s="76"/>
      <c r="M817" s="77">
        <f t="shared" ca="1" si="27"/>
        <v>45954</v>
      </c>
      <c r="N817" s="74" t="str">
        <f>_xlfn.IFNA(VLOOKUP(db_emp[[#This Row],[ID_DIV]],[1]!db_dpt[[Code_dpt]:[Departement]],2,0),"-")</f>
        <v>Engineering</v>
      </c>
      <c r="O817" s="74" t="str">
        <f>_xlfn.IFNA(VLOOKUP(db_emp[[#This Row],[ID_SDP]],[1]!db_div[[Code_div]:[Division]],2,0),"-")</f>
        <v>-</v>
      </c>
      <c r="P817" s="74" t="str">
        <f>_xlfn.IFNA(VLOOKUP(db_emp[[#This Row],[Code_lvl]],[1]!db_lvl[[#All],[ID_level]:[Leveling Name]],2,0),"-")</f>
        <v>Staff</v>
      </c>
      <c r="Q817" s="74" t="str">
        <f>_xlfn.IFNA(VLOOKUP(db_emp[[#This Row],[Code_site]],[1]!db_site[[ID_Site]:[Url_maps]],3,0),"-")</f>
        <v>Unit - GGP</v>
      </c>
      <c r="R8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140357,'Satriya Hono Agung Putra','ENG','','Electrical &amp; Elecom Staff','LV12','','M03','Resign','1900-01-00','2025-10-24'</v>
      </c>
      <c r="S817" s="74">
        <f>db_emp[[#This Row],[NIP (UPDATE)]]</f>
        <v>140357</v>
      </c>
    </row>
    <row r="818" spans="2:19" hidden="1" x14ac:dyDescent="0.25">
      <c r="B818" s="75">
        <v>788</v>
      </c>
      <c r="C818" s="75">
        <v>140838</v>
      </c>
      <c r="D818" s="74" t="s">
        <v>2070</v>
      </c>
      <c r="E818" s="75" t="s">
        <v>130</v>
      </c>
      <c r="F818" s="75"/>
      <c r="G818" s="74" t="s">
        <v>2071</v>
      </c>
      <c r="H818" s="75" t="s">
        <v>853</v>
      </c>
      <c r="I818" s="74"/>
      <c r="J818" s="75" t="s">
        <v>315</v>
      </c>
      <c r="K818" s="80" t="s">
        <v>903</v>
      </c>
      <c r="L818" s="76"/>
      <c r="M818" s="77">
        <f t="shared" ca="1" si="27"/>
        <v>45954</v>
      </c>
      <c r="N818" s="74" t="str">
        <f>_xlfn.IFNA(VLOOKUP(db_emp[[#This Row],[ID_DIV]],[1]!db_dpt[[Code_dpt]:[Departement]],2,0),"-")</f>
        <v>-</v>
      </c>
      <c r="O818" s="74" t="str">
        <f>_xlfn.IFNA(VLOOKUP(db_emp[[#This Row],[ID_SDP]],[1]!db_div[[Code_div]:[Division]],2,0),"-")</f>
        <v>-</v>
      </c>
      <c r="P818" s="74" t="str">
        <f>_xlfn.IFNA(VLOOKUP(db_emp[[#This Row],[Code_lvl]],[1]!db_lvl[[#All],[ID_level]:[Leveling Name]],2,0),"-")</f>
        <v>Staff</v>
      </c>
      <c r="Q818" s="74" t="str">
        <f>_xlfn.IFNA(VLOOKUP(db_emp[[#This Row],[Code_site]],[1]!db_site[[ID_Site]:[Url_maps]],3,0),"-")</f>
        <v>Head Office - ASGO</v>
      </c>
      <c r="R8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140838,'Pratama Setyagama','HRD','','Checker &amp; Maintenance','LV12','','O99','Resign','1900-01-00','2025-10-24'</v>
      </c>
      <c r="S818" s="74">
        <f>db_emp[[#This Row],[NIP (UPDATE)]]</f>
        <v>140838</v>
      </c>
    </row>
    <row r="819" spans="2:19" hidden="1" x14ac:dyDescent="0.25">
      <c r="B819" s="75">
        <v>789</v>
      </c>
      <c r="C819" s="75">
        <v>140891</v>
      </c>
      <c r="D819" s="74" t="s">
        <v>2072</v>
      </c>
      <c r="E819" s="75" t="s">
        <v>2073</v>
      </c>
      <c r="F819" s="75"/>
      <c r="G819" s="74" t="s">
        <v>2074</v>
      </c>
      <c r="H819" s="80" t="s">
        <v>853</v>
      </c>
      <c r="I819" s="74"/>
      <c r="J819" s="75" t="s">
        <v>314</v>
      </c>
      <c r="K819" s="80" t="s">
        <v>903</v>
      </c>
      <c r="L819" s="76"/>
      <c r="M819" s="77">
        <f t="shared" ca="1" si="27"/>
        <v>45954</v>
      </c>
      <c r="N819" s="74" t="str">
        <f>_xlfn.IFNA(VLOOKUP(db_emp[[#This Row],[ID_DIV]],[1]!db_dpt[[Code_dpt]:[Departement]],2,0),"-")</f>
        <v>-</v>
      </c>
      <c r="O819" s="74" t="str">
        <f>_xlfn.IFNA(VLOOKUP(db_emp[[#This Row],[ID_SDP]],[1]!db_div[[Code_div]:[Division]],2,0),"-")</f>
        <v>-</v>
      </c>
      <c r="P819" s="74" t="str">
        <f>_xlfn.IFNA(VLOOKUP(db_emp[[#This Row],[Code_lvl]],[1]!db_lvl[[#All],[ID_level]:[Leveling Name]],2,0),"-")</f>
        <v>Staff</v>
      </c>
      <c r="Q819" s="74" t="str">
        <f>_xlfn.IFNA(VLOOKUP(db_emp[[#This Row],[Code_site]],[1]!db_site[[ID_Site]:[Url_maps]],3,0),"-")</f>
        <v>Unit - MOI</v>
      </c>
      <c r="R8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140891,'Mujahidin.','CRM','','Customer Relationship Management Staff','LV12','','M02','Resign','1900-01-00','2025-10-24'</v>
      </c>
      <c r="S819" s="74">
        <f>db_emp[[#This Row],[NIP (UPDATE)]]</f>
        <v>140891</v>
      </c>
    </row>
    <row r="820" spans="2:19" hidden="1" x14ac:dyDescent="0.25">
      <c r="B820" s="80">
        <v>790</v>
      </c>
      <c r="C820" s="75">
        <v>140943</v>
      </c>
      <c r="D820" s="74" t="s">
        <v>2075</v>
      </c>
      <c r="E820" s="75" t="s">
        <v>1018</v>
      </c>
      <c r="F820" s="75"/>
      <c r="G820" s="74" t="s">
        <v>1586</v>
      </c>
      <c r="H820" s="75" t="s">
        <v>870</v>
      </c>
      <c r="I820" s="74"/>
      <c r="J820" s="75" t="s">
        <v>316</v>
      </c>
      <c r="K820" s="80" t="s">
        <v>903</v>
      </c>
      <c r="L820" s="76"/>
      <c r="M820" s="77">
        <f t="shared" ca="1" si="27"/>
        <v>45954</v>
      </c>
      <c r="N820" s="74" t="str">
        <f>_xlfn.IFNA(VLOOKUP(db_emp[[#This Row],[ID_DIV]],[1]!db_dpt[[Code_dpt]:[Departement]],2,0),"-")</f>
        <v>Operational</v>
      </c>
      <c r="O820" s="74" t="str">
        <f>_xlfn.IFNA(VLOOKUP(db_emp[[#This Row],[ID_SDP]],[1]!db_div[[Code_div]:[Division]],2,0),"-")</f>
        <v>-</v>
      </c>
      <c r="P820" s="74" t="str">
        <f>_xlfn.IFNA(VLOOKUP(db_emp[[#This Row],[Code_lvl]],[1]!db_lvl[[#All],[ID_level]:[Leveling Name]],2,0),"-")</f>
        <v>Supervisor</v>
      </c>
      <c r="Q820" s="74" t="str">
        <f>_xlfn.IFNA(VLOOKUP(db_emp[[#This Row],[Code_site]],[1]!db_site[[ID_Site]:[Url_maps]],3,0),"-")</f>
        <v>Unit - GGP</v>
      </c>
      <c r="R8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140943,'Romlih.','OPR','','Landscape Supervisor','LV09','','M03','Resign','1900-01-00','2025-10-24'</v>
      </c>
      <c r="S820" s="74">
        <f>db_emp[[#This Row],[NIP (UPDATE)]]</f>
        <v>140943</v>
      </c>
    </row>
    <row r="821" spans="2:19" hidden="1" x14ac:dyDescent="0.25">
      <c r="B821" s="75">
        <v>791</v>
      </c>
      <c r="C821" s="75">
        <v>140963</v>
      </c>
      <c r="D821" s="74" t="s">
        <v>2076</v>
      </c>
      <c r="E821" s="75" t="s">
        <v>2077</v>
      </c>
      <c r="F821" s="75"/>
      <c r="G821" s="74" t="s">
        <v>2078</v>
      </c>
      <c r="H821" s="75" t="s">
        <v>885</v>
      </c>
      <c r="I821" s="74"/>
      <c r="J821" s="75" t="s">
        <v>314</v>
      </c>
      <c r="K821" s="80" t="s">
        <v>903</v>
      </c>
      <c r="L821" s="76"/>
      <c r="M821" s="77">
        <f t="shared" ca="1" si="27"/>
        <v>45954</v>
      </c>
      <c r="N821" s="74" t="str">
        <f>_xlfn.IFNA(VLOOKUP(db_emp[[#This Row],[ID_DIV]],[1]!db_dpt[[Code_dpt]:[Departement]],2,0),"-")</f>
        <v>-</v>
      </c>
      <c r="O821" s="74" t="str">
        <f>_xlfn.IFNA(VLOOKUP(db_emp[[#This Row],[ID_SDP]],[1]!db_div[[Code_div]:[Division]],2,0),"-")</f>
        <v>-</v>
      </c>
      <c r="P821" s="74" t="str">
        <f>_xlfn.IFNA(VLOOKUP(db_emp[[#This Row],[Code_lvl]],[1]!db_lvl[[#All],[ID_level]:[Leveling Name]],2,0),"-")</f>
        <v>Senior Staff</v>
      </c>
      <c r="Q821" s="74" t="str">
        <f>_xlfn.IFNA(VLOOKUP(db_emp[[#This Row],[Code_site]],[1]!db_site[[ID_Site]:[Url_maps]],3,0),"-")</f>
        <v>Unit - MOI</v>
      </c>
      <c r="R8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140963,'Muhamad Yusuf','GNT','','TR Senior Staff','LV11','','M02','Resign','1900-01-00','2025-10-24'</v>
      </c>
      <c r="S821" s="74">
        <f>db_emp[[#This Row],[NIP (UPDATE)]]</f>
        <v>140963</v>
      </c>
    </row>
    <row r="822" spans="2:19" hidden="1" x14ac:dyDescent="0.25">
      <c r="B822" s="75">
        <v>792</v>
      </c>
      <c r="C822" s="75">
        <v>141016</v>
      </c>
      <c r="D822" s="74" t="s">
        <v>2079</v>
      </c>
      <c r="E822" s="75" t="s">
        <v>964</v>
      </c>
      <c r="F822" s="75"/>
      <c r="G822" s="74" t="s">
        <v>25</v>
      </c>
      <c r="H822" s="75" t="s">
        <v>2080</v>
      </c>
      <c r="I822" s="74"/>
      <c r="J822" s="75" t="s">
        <v>315</v>
      </c>
      <c r="K822" s="80" t="s">
        <v>903</v>
      </c>
      <c r="L822" s="76"/>
      <c r="M822" s="77">
        <f t="shared" ca="1" si="27"/>
        <v>45954</v>
      </c>
      <c r="N822" s="74" t="str">
        <f>_xlfn.IFNA(VLOOKUP(db_emp[[#This Row],[ID_DIV]],[1]!db_dpt[[Code_dpt]:[Departement]],2,0),"-")</f>
        <v>Marketing Communication</v>
      </c>
      <c r="O822" s="74" t="str">
        <f>_xlfn.IFNA(VLOOKUP(db_emp[[#This Row],[ID_SDP]],[1]!db_div[[Code_div]:[Division]],2,0),"-")</f>
        <v>-</v>
      </c>
      <c r="P822" s="74" t="str">
        <f>_xlfn.IFNA(VLOOKUP(db_emp[[#This Row],[Code_lvl]],[1]!db_lvl[[#All],[ID_level]:[Leveling Name]],2,0),"-")</f>
        <v>Chief</v>
      </c>
      <c r="Q822" s="74" t="str">
        <f>_xlfn.IFNA(VLOOKUP(db_emp[[#This Row],[Code_site]],[1]!db_site[[ID_Site]:[Url_maps]],3,0),"-")</f>
        <v>Head Office - ASGO</v>
      </c>
      <c r="R8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141016,'Frans Kurnia Arsianto','MAR','','Chief Marketing Officer','LV00','','O99','Resign','1900-01-00','2025-10-24'</v>
      </c>
      <c r="S822" s="74">
        <f>db_emp[[#This Row],[NIP (UPDATE)]]</f>
        <v>141016</v>
      </c>
    </row>
    <row r="823" spans="2:19" hidden="1" x14ac:dyDescent="0.25">
      <c r="B823" s="75">
        <v>793</v>
      </c>
      <c r="C823" s="75">
        <v>141056</v>
      </c>
      <c r="D823" s="74" t="s">
        <v>2081</v>
      </c>
      <c r="E823" s="75" t="s">
        <v>1018</v>
      </c>
      <c r="F823" s="75"/>
      <c r="G823" s="74" t="s">
        <v>2082</v>
      </c>
      <c r="H823" s="75" t="s">
        <v>870</v>
      </c>
      <c r="I823" s="74"/>
      <c r="J823" s="75" t="s">
        <v>314</v>
      </c>
      <c r="K823" s="80" t="s">
        <v>903</v>
      </c>
      <c r="L823" s="76"/>
      <c r="M823" s="77">
        <f t="shared" ca="1" si="27"/>
        <v>45954</v>
      </c>
      <c r="N823" s="74" t="str">
        <f>_xlfn.IFNA(VLOOKUP(db_emp[[#This Row],[ID_DIV]],[1]!db_dpt[[Code_dpt]:[Departement]],2,0),"-")</f>
        <v>Operational</v>
      </c>
      <c r="O823" s="74" t="str">
        <f>_xlfn.IFNA(VLOOKUP(db_emp[[#This Row],[ID_SDP]],[1]!db_div[[Code_div]:[Division]],2,0),"-")</f>
        <v>-</v>
      </c>
      <c r="P823" s="74" t="str">
        <f>_xlfn.IFNA(VLOOKUP(db_emp[[#This Row],[Code_lvl]],[1]!db_lvl[[#All],[ID_level]:[Leveling Name]],2,0),"-")</f>
        <v>Supervisor</v>
      </c>
      <c r="Q823" s="74" t="str">
        <f>_xlfn.IFNA(VLOOKUP(db_emp[[#This Row],[Code_site]],[1]!db_site[[ID_Site]:[Url_maps]],3,0),"-")</f>
        <v>Unit - MOI</v>
      </c>
      <c r="R8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141056,'Mohamad Rofi'I','OPR','','Kawasan Supervisor','LV09','','M02','Resign','1900-01-00','2025-10-24'</v>
      </c>
      <c r="S823" s="74">
        <f>db_emp[[#This Row],[NIP (UPDATE)]]</f>
        <v>141056</v>
      </c>
    </row>
    <row r="824" spans="2:19" hidden="1" x14ac:dyDescent="0.25">
      <c r="B824" s="80">
        <v>794</v>
      </c>
      <c r="C824" s="75">
        <v>150055</v>
      </c>
      <c r="D824" s="74" t="s">
        <v>2083</v>
      </c>
      <c r="E824" s="75" t="s">
        <v>2053</v>
      </c>
      <c r="F824" s="75"/>
      <c r="G824" s="74" t="s">
        <v>2084</v>
      </c>
      <c r="H824" s="75" t="s">
        <v>953</v>
      </c>
      <c r="I824" s="74"/>
      <c r="J824" s="75" t="s">
        <v>315</v>
      </c>
      <c r="K824" s="80" t="s">
        <v>903</v>
      </c>
      <c r="L824" s="76"/>
      <c r="M824" s="77">
        <f t="shared" ca="1" si="27"/>
        <v>45954</v>
      </c>
      <c r="N824" s="74" t="str">
        <f>_xlfn.IFNA(VLOOKUP(db_emp[[#This Row],[ID_DIV]],[1]!db_dpt[[Code_dpt]:[Departement]],2,0),"-")</f>
        <v>-</v>
      </c>
      <c r="O824" s="74" t="str">
        <f>_xlfn.IFNA(VLOOKUP(db_emp[[#This Row],[ID_SDP]],[1]!db_div[[Code_div]:[Division]],2,0),"-")</f>
        <v>-</v>
      </c>
      <c r="P824" s="74" t="str">
        <f>_xlfn.IFNA(VLOOKUP(db_emp[[#This Row],[Code_lvl]],[1]!db_lvl[[#All],[ID_level]:[Leveling Name]],2,0),"-")</f>
        <v>Manager</v>
      </c>
      <c r="Q824" s="74" t="str">
        <f>_xlfn.IFNA(VLOOKUP(db_emp[[#This Row],[Code_site]],[1]!db_site[[ID_Site]:[Url_maps]],3,0),"-")</f>
        <v>Head Office - ASGO</v>
      </c>
      <c r="R8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150055,'Sandi Yudha','TES','','Sr. Manager Architect','LV05','','O99','Resign','1900-01-00','2025-10-24'</v>
      </c>
      <c r="S824" s="74">
        <f>db_emp[[#This Row],[NIP (UPDATE)]]</f>
        <v>150055</v>
      </c>
    </row>
    <row r="825" spans="2:19" hidden="1" x14ac:dyDescent="0.25">
      <c r="B825" s="75">
        <v>795</v>
      </c>
      <c r="C825" s="75">
        <v>150252</v>
      </c>
      <c r="D825" s="74" t="s">
        <v>2085</v>
      </c>
      <c r="E825" s="75" t="s">
        <v>845</v>
      </c>
      <c r="F825" s="75"/>
      <c r="G825" s="74" t="s">
        <v>1894</v>
      </c>
      <c r="H825" s="80" t="s">
        <v>853</v>
      </c>
      <c r="I825" s="74"/>
      <c r="J825" s="75" t="s">
        <v>315</v>
      </c>
      <c r="K825" s="80" t="s">
        <v>903</v>
      </c>
      <c r="L825" s="76"/>
      <c r="M825" s="77">
        <f t="shared" ca="1" si="27"/>
        <v>45954</v>
      </c>
      <c r="N825" s="74" t="str">
        <f>_xlfn.IFNA(VLOOKUP(db_emp[[#This Row],[ID_DIV]],[1]!db_dpt[[Code_dpt]:[Departement]],2,0),"-")</f>
        <v>Finance &amp; Accounting</v>
      </c>
      <c r="O825" s="74" t="str">
        <f>_xlfn.IFNA(VLOOKUP(db_emp[[#This Row],[ID_SDP]],[1]!db_div[[Code_div]:[Division]],2,0),"-")</f>
        <v>-</v>
      </c>
      <c r="P825" s="74" t="str">
        <f>_xlfn.IFNA(VLOOKUP(db_emp[[#This Row],[Code_lvl]],[1]!db_lvl[[#All],[ID_level]:[Leveling Name]],2,0),"-")</f>
        <v>Staff</v>
      </c>
      <c r="Q825" s="74" t="str">
        <f>_xlfn.IFNA(VLOOKUP(db_emp[[#This Row],[Code_site]],[1]!db_site[[ID_Site]:[Url_maps]],3,0),"-")</f>
        <v>Head Office - ASGO</v>
      </c>
      <c r="R8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150252,'Diniati Meita Sanusi','FIN','','Tax Staff','LV12','','O99','Resign','1900-01-00','2025-10-24'</v>
      </c>
      <c r="S825" s="74">
        <f>db_emp[[#This Row],[NIP (UPDATE)]]</f>
        <v>150252</v>
      </c>
    </row>
    <row r="826" spans="2:19" hidden="1" x14ac:dyDescent="0.25">
      <c r="B826" s="75">
        <v>796</v>
      </c>
      <c r="C826" s="75">
        <v>150334</v>
      </c>
      <c r="D826" s="74" t="s">
        <v>2086</v>
      </c>
      <c r="E826" s="75" t="s">
        <v>1018</v>
      </c>
      <c r="F826" s="75"/>
      <c r="G826" s="74" t="s">
        <v>2087</v>
      </c>
      <c r="H826" s="75" t="s">
        <v>953</v>
      </c>
      <c r="I826" s="74"/>
      <c r="J826" s="75" t="s">
        <v>484</v>
      </c>
      <c r="K826" s="80" t="s">
        <v>903</v>
      </c>
      <c r="L826" s="76"/>
      <c r="M826" s="77">
        <f t="shared" ca="1" si="27"/>
        <v>45954</v>
      </c>
      <c r="N826" s="74" t="str">
        <f>_xlfn.IFNA(VLOOKUP(db_emp[[#This Row],[ID_DIV]],[1]!db_dpt[[Code_dpt]:[Departement]],2,0),"-")</f>
        <v>Operational</v>
      </c>
      <c r="O826" s="74" t="str">
        <f>_xlfn.IFNA(VLOOKUP(db_emp[[#This Row],[ID_SDP]],[1]!db_div[[Code_div]:[Division]],2,0),"-")</f>
        <v>-</v>
      </c>
      <c r="P826" s="74" t="str">
        <f>_xlfn.IFNA(VLOOKUP(db_emp[[#This Row],[Code_lvl]],[1]!db_lvl[[#All],[ID_level]:[Leveling Name]],2,0),"-")</f>
        <v>Manager</v>
      </c>
      <c r="Q826" s="74" t="str">
        <f>_xlfn.IFNA(VLOOKUP(db_emp[[#This Row],[Code_site]],[1]!db_site[[ID_Site]:[Url_maps]],3,0),"-")</f>
        <v>Unit - PIK Avenue</v>
      </c>
      <c r="R8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150334,'Riyanto Darmawan','OPR','','F &amp; B Manager','LV05','','M01','Resign','1900-01-00','2025-10-24'</v>
      </c>
      <c r="S826" s="74">
        <f>db_emp[[#This Row],[NIP (UPDATE)]]</f>
        <v>150334</v>
      </c>
    </row>
    <row r="827" spans="2:19" hidden="1" x14ac:dyDescent="0.25">
      <c r="B827" s="75">
        <v>797</v>
      </c>
      <c r="C827" s="75">
        <v>151110</v>
      </c>
      <c r="D827" s="74" t="s">
        <v>2088</v>
      </c>
      <c r="E827" s="75" t="s">
        <v>911</v>
      </c>
      <c r="F827" s="75"/>
      <c r="G827" s="74" t="s">
        <v>2089</v>
      </c>
      <c r="H827" s="80" t="s">
        <v>853</v>
      </c>
      <c r="I827" s="74"/>
      <c r="J827" s="75" t="s">
        <v>316</v>
      </c>
      <c r="K827" s="80" t="s">
        <v>903</v>
      </c>
      <c r="L827" s="76"/>
      <c r="M827" s="77">
        <f t="shared" ca="1" si="27"/>
        <v>45954</v>
      </c>
      <c r="N827" s="74" t="str">
        <f>_xlfn.IFNA(VLOOKUP(db_emp[[#This Row],[ID_DIV]],[1]!db_dpt[[Code_dpt]:[Departement]],2,0),"-")</f>
        <v>Engineering</v>
      </c>
      <c r="O827" s="74" t="str">
        <f>_xlfn.IFNA(VLOOKUP(db_emp[[#This Row],[ID_SDP]],[1]!db_div[[Code_div]:[Division]],2,0),"-")</f>
        <v>-</v>
      </c>
      <c r="P827" s="74" t="str">
        <f>_xlfn.IFNA(VLOOKUP(db_emp[[#This Row],[Code_lvl]],[1]!db_lvl[[#All],[ID_level]:[Leveling Name]],2,0),"-")</f>
        <v>Staff</v>
      </c>
      <c r="Q827" s="74" t="str">
        <f>_xlfn.IFNA(VLOOKUP(db_emp[[#This Row],[Code_site]],[1]!db_site[[ID_Site]:[Url_maps]],3,0),"-")</f>
        <v>Unit - GGP</v>
      </c>
      <c r="R8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151110,'Taufik Hidayat','ENG','','MVAC Technician Staff','LV12','','M03','Resign','1900-01-00','2025-10-24'</v>
      </c>
      <c r="S827" s="74">
        <f>db_emp[[#This Row],[NIP (UPDATE)]]</f>
        <v>151110</v>
      </c>
    </row>
    <row r="828" spans="2:19" hidden="1" x14ac:dyDescent="0.25">
      <c r="B828" s="80">
        <v>798</v>
      </c>
      <c r="C828" s="75">
        <v>160276</v>
      </c>
      <c r="D828" s="74" t="s">
        <v>2090</v>
      </c>
      <c r="E828" s="75" t="s">
        <v>1398</v>
      </c>
      <c r="F828" s="75"/>
      <c r="G828" s="74" t="s">
        <v>2091</v>
      </c>
      <c r="H828" s="80" t="s">
        <v>848</v>
      </c>
      <c r="I828" s="74"/>
      <c r="J828" s="75" t="s">
        <v>314</v>
      </c>
      <c r="K828" s="80" t="s">
        <v>903</v>
      </c>
      <c r="L828" s="76"/>
      <c r="M828" s="77">
        <f t="shared" ca="1" si="27"/>
        <v>45954</v>
      </c>
      <c r="N828" s="74" t="str">
        <f>_xlfn.IFNA(VLOOKUP(db_emp[[#This Row],[ID_DIV]],[1]!db_dpt[[Code_dpt]:[Departement]],2,0),"-")</f>
        <v>Fit Out</v>
      </c>
      <c r="O828" s="74" t="str">
        <f>_xlfn.IFNA(VLOOKUP(db_emp[[#This Row],[ID_SDP]],[1]!db_div[[Code_div]:[Division]],2,0),"-")</f>
        <v>-</v>
      </c>
      <c r="P828" s="74" t="str">
        <f>_xlfn.IFNA(VLOOKUP(db_emp[[#This Row],[Code_lvl]],[1]!db_lvl[[#All],[ID_level]:[Leveling Name]],2,0),"-")</f>
        <v>Assistant Manager</v>
      </c>
      <c r="Q828" s="74" t="str">
        <f>_xlfn.IFNA(VLOOKUP(db_emp[[#This Row],[Code_site]],[1]!db_site[[ID_Site]:[Url_maps]],3,0),"-")</f>
        <v>Unit - MOI</v>
      </c>
      <c r="R8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160276,'Adhikara Utomo','FIO','','Quantity Surveyor Assistant Manager','LV07','','M02','Resign','1900-01-00','2025-10-24'</v>
      </c>
      <c r="S828" s="74">
        <f>db_emp[[#This Row],[NIP (UPDATE)]]</f>
        <v>160276</v>
      </c>
    </row>
    <row r="829" spans="2:19" hidden="1" x14ac:dyDescent="0.25">
      <c r="B829" s="75">
        <v>799</v>
      </c>
      <c r="C829" s="75">
        <v>160313</v>
      </c>
      <c r="D829" s="74" t="s">
        <v>1197</v>
      </c>
      <c r="E829" s="75" t="s">
        <v>911</v>
      </c>
      <c r="F829" s="75"/>
      <c r="G829" s="74" t="s">
        <v>2092</v>
      </c>
      <c r="H829" s="80" t="s">
        <v>853</v>
      </c>
      <c r="I829" s="74"/>
      <c r="J829" s="75" t="s">
        <v>316</v>
      </c>
      <c r="K829" s="80" t="s">
        <v>903</v>
      </c>
      <c r="L829" s="76"/>
      <c r="M829" s="77">
        <f t="shared" ca="1" si="27"/>
        <v>45954</v>
      </c>
      <c r="N829" s="74" t="str">
        <f>_xlfn.IFNA(VLOOKUP(db_emp[[#This Row],[ID_DIV]],[1]!db_dpt[[Code_dpt]:[Departement]],2,0),"-")</f>
        <v>Engineering</v>
      </c>
      <c r="O829" s="74" t="str">
        <f>_xlfn.IFNA(VLOOKUP(db_emp[[#This Row],[ID_SDP]],[1]!db_div[[Code_div]:[Division]],2,0),"-")</f>
        <v>-</v>
      </c>
      <c r="P829" s="74" t="str">
        <f>_xlfn.IFNA(VLOOKUP(db_emp[[#This Row],[Code_lvl]],[1]!db_lvl[[#All],[ID_level]:[Leveling Name]],2,0),"-")</f>
        <v>Staff</v>
      </c>
      <c r="Q829" s="74" t="str">
        <f>_xlfn.IFNA(VLOOKUP(db_emp[[#This Row],[Code_site]],[1]!db_site[[ID_Site]:[Url_maps]],3,0),"-")</f>
        <v>Unit - GGP</v>
      </c>
      <c r="R8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160313,'Heru Mustofa','ENG','','Mechanical &amp; Electrical Staff','LV12','','M03','Resign','1900-01-00','2025-10-24'</v>
      </c>
      <c r="S829" s="74">
        <f>db_emp[[#This Row],[NIP (UPDATE)]]</f>
        <v>160313</v>
      </c>
    </row>
    <row r="830" spans="2:19" hidden="1" x14ac:dyDescent="0.25">
      <c r="B830" s="75">
        <v>800</v>
      </c>
      <c r="C830" s="75">
        <v>160368</v>
      </c>
      <c r="D830" s="74" t="s">
        <v>2093</v>
      </c>
      <c r="E830" s="75" t="s">
        <v>1018</v>
      </c>
      <c r="F830" s="75"/>
      <c r="G830" s="74" t="s">
        <v>2094</v>
      </c>
      <c r="H830" s="75" t="s">
        <v>870</v>
      </c>
      <c r="I830" s="74"/>
      <c r="J830" s="75" t="s">
        <v>484</v>
      </c>
      <c r="K830" s="80" t="s">
        <v>903</v>
      </c>
      <c r="L830" s="76"/>
      <c r="M830" s="77">
        <f t="shared" ca="1" si="27"/>
        <v>45954</v>
      </c>
      <c r="N830" s="74" t="str">
        <f>_xlfn.IFNA(VLOOKUP(db_emp[[#This Row],[ID_DIV]],[1]!db_dpt[[Code_dpt]:[Departement]],2,0),"-")</f>
        <v>Operational</v>
      </c>
      <c r="O830" s="74" t="str">
        <f>_xlfn.IFNA(VLOOKUP(db_emp[[#This Row],[ID_SDP]],[1]!db_div[[Code_div]:[Division]],2,0),"-")</f>
        <v>-</v>
      </c>
      <c r="P830" s="74" t="str">
        <f>_xlfn.IFNA(VLOOKUP(db_emp[[#This Row],[Code_lvl]],[1]!db_lvl[[#All],[ID_level]:[Leveling Name]],2,0),"-")</f>
        <v>Supervisor</v>
      </c>
      <c r="Q830" s="74" t="str">
        <f>_xlfn.IFNA(VLOOKUP(db_emp[[#This Row],[Code_site]],[1]!db_site[[ID_Site]:[Url_maps]],3,0),"-")</f>
        <v>Unit - PIK Avenue</v>
      </c>
      <c r="R8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160368,'Fiqih Darmawan','OPR','','F&amp;B Operational Supervisor','LV09','','M01','Resign','1900-01-00','2025-10-24'</v>
      </c>
      <c r="S830" s="74">
        <f>db_emp[[#This Row],[NIP (UPDATE)]]</f>
        <v>160368</v>
      </c>
    </row>
    <row r="831" spans="2:19" hidden="1" x14ac:dyDescent="0.25">
      <c r="B831" s="75">
        <v>801</v>
      </c>
      <c r="C831" s="75">
        <v>160446</v>
      </c>
      <c r="D831" s="74" t="s">
        <v>2095</v>
      </c>
      <c r="E831" s="75" t="s">
        <v>1018</v>
      </c>
      <c r="F831" s="75"/>
      <c r="G831" s="74" t="s">
        <v>2096</v>
      </c>
      <c r="H831" s="75" t="s">
        <v>870</v>
      </c>
      <c r="I831" s="74"/>
      <c r="J831" s="75" t="s">
        <v>314</v>
      </c>
      <c r="K831" s="80" t="s">
        <v>903</v>
      </c>
      <c r="L831" s="76"/>
      <c r="M831" s="77">
        <f t="shared" ca="1" si="27"/>
        <v>45954</v>
      </c>
      <c r="N831" s="74" t="str">
        <f>_xlfn.IFNA(VLOOKUP(db_emp[[#This Row],[ID_DIV]],[1]!db_dpt[[Code_dpt]:[Departement]],2,0),"-")</f>
        <v>Operational</v>
      </c>
      <c r="O831" s="74" t="str">
        <f>_xlfn.IFNA(VLOOKUP(db_emp[[#This Row],[ID_SDP]],[1]!db_div[[Code_div]:[Division]],2,0),"-")</f>
        <v>-</v>
      </c>
      <c r="P831" s="74" t="str">
        <f>_xlfn.IFNA(VLOOKUP(db_emp[[#This Row],[Code_lvl]],[1]!db_lvl[[#All],[ID_level]:[Leveling Name]],2,0),"-")</f>
        <v>Supervisor</v>
      </c>
      <c r="Q831" s="74" t="str">
        <f>_xlfn.IFNA(VLOOKUP(db_emp[[#This Row],[Code_site]],[1]!db_site[[ID_Site]:[Url_maps]],3,0),"-")</f>
        <v>Unit - MOI</v>
      </c>
      <c r="R8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160446,'Muhammad Elbareza','OPR','','Food &amp; Beverages Supervisor','LV09','','M02','Resign','1900-01-00','2025-10-24'</v>
      </c>
      <c r="S831" s="74">
        <f>db_emp[[#This Row],[NIP (UPDATE)]]</f>
        <v>160446</v>
      </c>
    </row>
    <row r="832" spans="2:19" hidden="1" x14ac:dyDescent="0.25">
      <c r="B832" s="80">
        <v>802</v>
      </c>
      <c r="C832" s="75">
        <v>160473</v>
      </c>
      <c r="D832" s="74" t="s">
        <v>2097</v>
      </c>
      <c r="E832" s="75" t="s">
        <v>1036</v>
      </c>
      <c r="F832" s="75"/>
      <c r="G832" s="74" t="s">
        <v>2098</v>
      </c>
      <c r="H832" s="80" t="s">
        <v>853</v>
      </c>
      <c r="I832" s="74"/>
      <c r="J832" s="75" t="s">
        <v>433</v>
      </c>
      <c r="K832" s="80" t="s">
        <v>903</v>
      </c>
      <c r="L832" s="76"/>
      <c r="M832" s="77">
        <f t="shared" ca="1" si="27"/>
        <v>45954</v>
      </c>
      <c r="N832" s="74" t="str">
        <f>_xlfn.IFNA(VLOOKUP(db_emp[[#This Row],[ID_DIV]],[1]!db_dpt[[Code_dpt]:[Departement]],2,0),"-")</f>
        <v>Tenant Relation</v>
      </c>
      <c r="O832" s="74" t="str">
        <f>_xlfn.IFNA(VLOOKUP(db_emp[[#This Row],[ID_SDP]],[1]!db_div[[Code_div]:[Division]],2,0),"-")</f>
        <v>-</v>
      </c>
      <c r="P832" s="74" t="str">
        <f>_xlfn.IFNA(VLOOKUP(db_emp[[#This Row],[Code_lvl]],[1]!db_lvl[[#All],[ID_level]:[Leveling Name]],2,0),"-")</f>
        <v>Staff</v>
      </c>
      <c r="Q832" s="74" t="str">
        <f>_xlfn.IFNA(VLOOKUP(db_emp[[#This Row],[Code_site]],[1]!db_site[[ID_Site]:[Url_maps]],3,0),"-")</f>
        <v>Unit - Taman Anggrek Residences</v>
      </c>
      <c r="R8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160473,'Tri Putri Septi Rizki','TRL','','Admin Tenant Relation Staff','LV12','','A01','Resign','1900-01-00','2025-10-24'</v>
      </c>
      <c r="S832" s="74">
        <f>db_emp[[#This Row],[NIP (UPDATE)]]</f>
        <v>160473</v>
      </c>
    </row>
    <row r="833" spans="2:19" hidden="1" x14ac:dyDescent="0.25">
      <c r="B833" s="75">
        <v>803</v>
      </c>
      <c r="C833" s="75">
        <v>160496</v>
      </c>
      <c r="D833" s="74" t="s">
        <v>2099</v>
      </c>
      <c r="E833" s="75" t="s">
        <v>2077</v>
      </c>
      <c r="F833" s="75"/>
      <c r="G833" s="74" t="s">
        <v>2100</v>
      </c>
      <c r="H833" s="75" t="s">
        <v>870</v>
      </c>
      <c r="I833" s="74"/>
      <c r="J833" s="75" t="s">
        <v>316</v>
      </c>
      <c r="K833" s="80" t="s">
        <v>903</v>
      </c>
      <c r="L833" s="76"/>
      <c r="M833" s="77">
        <f t="shared" ca="1" si="27"/>
        <v>45954</v>
      </c>
      <c r="N833" s="74" t="str">
        <f>_xlfn.IFNA(VLOOKUP(db_emp[[#This Row],[ID_DIV]],[1]!db_dpt[[Code_dpt]:[Departement]],2,0),"-")</f>
        <v>-</v>
      </c>
      <c r="O833" s="74" t="str">
        <f>_xlfn.IFNA(VLOOKUP(db_emp[[#This Row],[ID_SDP]],[1]!db_div[[Code_div]:[Division]],2,0),"-")</f>
        <v>-</v>
      </c>
      <c r="P833" s="74" t="str">
        <f>_xlfn.IFNA(VLOOKUP(db_emp[[#This Row],[Code_lvl]],[1]!db_lvl[[#All],[ID_level]:[Leveling Name]],2,0),"-")</f>
        <v>Supervisor</v>
      </c>
      <c r="Q833" s="74" t="str">
        <f>_xlfn.IFNA(VLOOKUP(db_emp[[#This Row],[Code_site]],[1]!db_site[[ID_Site]:[Url_maps]],3,0),"-")</f>
        <v>Unit - GGP</v>
      </c>
      <c r="R8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160496,'Al Ridho Yudha Permana','GNT','','GE &amp; TR Supervisor','LV09','','M03','Resign','1900-01-00','2025-10-24'</v>
      </c>
      <c r="S833" s="74">
        <f>db_emp[[#This Row],[NIP (UPDATE)]]</f>
        <v>160496</v>
      </c>
    </row>
    <row r="834" spans="2:19" hidden="1" x14ac:dyDescent="0.25">
      <c r="B834" s="75">
        <v>804</v>
      </c>
      <c r="C834" s="75">
        <v>160516</v>
      </c>
      <c r="D834" s="74" t="s">
        <v>2101</v>
      </c>
      <c r="E834" s="75" t="s">
        <v>1362</v>
      </c>
      <c r="F834" s="75"/>
      <c r="G834" s="74" t="s">
        <v>2102</v>
      </c>
      <c r="H834" s="80" t="s">
        <v>853</v>
      </c>
      <c r="I834" s="74"/>
      <c r="J834" s="75" t="s">
        <v>433</v>
      </c>
      <c r="K834" s="80" t="s">
        <v>903</v>
      </c>
      <c r="L834" s="76"/>
      <c r="M834" s="77">
        <f t="shared" ca="1" si="27"/>
        <v>45954</v>
      </c>
      <c r="N834" s="74" t="str">
        <f>_xlfn.IFNA(VLOOKUP(db_emp[[#This Row],[ID_DIV]],[1]!db_dpt[[Code_dpt]:[Departement]],2,0),"-")</f>
        <v>-</v>
      </c>
      <c r="O834" s="74" t="str">
        <f>_xlfn.IFNA(VLOOKUP(db_emp[[#This Row],[ID_SDP]],[1]!db_div[[Code_div]:[Division]],2,0),"-")</f>
        <v>-</v>
      </c>
      <c r="P834" s="74" t="str">
        <f>_xlfn.IFNA(VLOOKUP(db_emp[[#This Row],[Code_lvl]],[1]!db_lvl[[#All],[ID_level]:[Leveling Name]],2,0),"-")</f>
        <v>Staff</v>
      </c>
      <c r="Q834" s="74" t="str">
        <f>_xlfn.IFNA(VLOOKUP(db_emp[[#This Row],[Code_site]],[1]!db_site[[ID_Site]:[Url_maps]],3,0),"-")</f>
        <v>Unit - Taman Anggrek Residences</v>
      </c>
      <c r="R8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160516,'Citra Maharani','FAC','','Administrasi Staff','LV12','','A01','Resign','1900-01-00','2025-10-24'</v>
      </c>
      <c r="S834" s="74">
        <f>db_emp[[#This Row],[NIP (UPDATE)]]</f>
        <v>160516</v>
      </c>
    </row>
    <row r="835" spans="2:19" hidden="1" x14ac:dyDescent="0.25">
      <c r="B835" s="75">
        <v>805</v>
      </c>
      <c r="C835" s="75">
        <v>160535</v>
      </c>
      <c r="D835" s="74" t="s">
        <v>2103</v>
      </c>
      <c r="E835" s="75" t="s">
        <v>1018</v>
      </c>
      <c r="F835" s="75"/>
      <c r="G835" s="74" t="s">
        <v>2104</v>
      </c>
      <c r="H835" s="80" t="s">
        <v>853</v>
      </c>
      <c r="I835" s="74"/>
      <c r="J835" s="75" t="s">
        <v>314</v>
      </c>
      <c r="K835" s="80" t="s">
        <v>903</v>
      </c>
      <c r="L835" s="76"/>
      <c r="M835" s="77">
        <f t="shared" ca="1" si="27"/>
        <v>45954</v>
      </c>
      <c r="N835" s="74" t="str">
        <f>_xlfn.IFNA(VLOOKUP(db_emp[[#This Row],[ID_DIV]],[1]!db_dpt[[Code_dpt]:[Departement]],2,0),"-")</f>
        <v>Operational</v>
      </c>
      <c r="O835" s="74" t="str">
        <f>_xlfn.IFNA(VLOOKUP(db_emp[[#This Row],[ID_SDP]],[1]!db_div[[Code_div]:[Division]],2,0),"-")</f>
        <v>-</v>
      </c>
      <c r="P835" s="74" t="str">
        <f>_xlfn.IFNA(VLOOKUP(db_emp[[#This Row],[Code_lvl]],[1]!db_lvl[[#All],[ID_level]:[Leveling Name]],2,0),"-")</f>
        <v>Staff</v>
      </c>
      <c r="Q835" s="74" t="str">
        <f>_xlfn.IFNA(VLOOKUP(db_emp[[#This Row],[Code_site]],[1]!db_site[[ID_Site]:[Url_maps]],3,0),"-")</f>
        <v>Unit - MOI</v>
      </c>
      <c r="R8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160535,'Simangaradja Daud','OPR','','Plant Operator Staff','LV12','','M02','Resign','1900-01-00','2025-10-24'</v>
      </c>
      <c r="S835" s="74">
        <f>db_emp[[#This Row],[NIP (UPDATE)]]</f>
        <v>160535</v>
      </c>
    </row>
    <row r="836" spans="2:19" hidden="1" x14ac:dyDescent="0.25">
      <c r="B836" s="80">
        <v>806</v>
      </c>
      <c r="C836" s="75">
        <v>160590</v>
      </c>
      <c r="D836" s="74" t="s">
        <v>2105</v>
      </c>
      <c r="E836" s="75" t="s">
        <v>2037</v>
      </c>
      <c r="F836" s="75"/>
      <c r="G836" s="74" t="s">
        <v>2106</v>
      </c>
      <c r="H836" s="80" t="s">
        <v>853</v>
      </c>
      <c r="I836" s="74"/>
      <c r="J836" s="75" t="s">
        <v>314</v>
      </c>
      <c r="K836" s="80" t="s">
        <v>903</v>
      </c>
      <c r="L836" s="76"/>
      <c r="M836" s="77">
        <f t="shared" ca="1" si="27"/>
        <v>45954</v>
      </c>
      <c r="N836" s="74" t="str">
        <f>_xlfn.IFNA(VLOOKUP(db_emp[[#This Row],[ID_DIV]],[1]!db_dpt[[Code_dpt]:[Departement]],2,0),"-")</f>
        <v>-</v>
      </c>
      <c r="O836" s="74" t="str">
        <f>_xlfn.IFNA(VLOOKUP(db_emp[[#This Row],[ID_SDP]],[1]!db_div[[Code_div]:[Division]],2,0),"-")</f>
        <v>-</v>
      </c>
      <c r="P836" s="74" t="str">
        <f>_xlfn.IFNA(VLOOKUP(db_emp[[#This Row],[Code_lvl]],[1]!db_lvl[[#All],[ID_level]:[Leveling Name]],2,0),"-")</f>
        <v>Staff</v>
      </c>
      <c r="Q836" s="74" t="str">
        <f>_xlfn.IFNA(VLOOKUP(db_emp[[#This Row],[Code_site]],[1]!db_site[[ID_Site]:[Url_maps]],3,0),"-")</f>
        <v>Unit - MOI</v>
      </c>
      <c r="R8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160590,'Bambang Setiawan','IPP','','Driver &amp; Messenger Staff','LV12','','M02','Resign','1900-01-00','2025-10-24'</v>
      </c>
      <c r="S836" s="74">
        <f>db_emp[[#This Row],[NIP (UPDATE)]]</f>
        <v>160590</v>
      </c>
    </row>
    <row r="837" spans="2:19" hidden="1" x14ac:dyDescent="0.25">
      <c r="B837" s="75">
        <v>807</v>
      </c>
      <c r="C837" s="75">
        <v>160650</v>
      </c>
      <c r="D837" s="74" t="s">
        <v>1301</v>
      </c>
      <c r="E837" s="75" t="s">
        <v>911</v>
      </c>
      <c r="F837" s="75"/>
      <c r="G837" s="74" t="s">
        <v>2049</v>
      </c>
      <c r="H837" s="80" t="s">
        <v>853</v>
      </c>
      <c r="I837" s="74"/>
      <c r="J837" s="75" t="s">
        <v>433</v>
      </c>
      <c r="K837" s="80" t="s">
        <v>903</v>
      </c>
      <c r="L837" s="76"/>
      <c r="M837" s="77">
        <f t="shared" ca="1" si="27"/>
        <v>45954</v>
      </c>
      <c r="N837" s="74" t="str">
        <f>_xlfn.IFNA(VLOOKUP(db_emp[[#This Row],[ID_DIV]],[1]!db_dpt[[Code_dpt]:[Departement]],2,0),"-")</f>
        <v>Engineering</v>
      </c>
      <c r="O837" s="74" t="str">
        <f>_xlfn.IFNA(VLOOKUP(db_emp[[#This Row],[ID_SDP]],[1]!db_div[[Code_div]:[Division]],2,0),"-")</f>
        <v>-</v>
      </c>
      <c r="P837" s="74" t="str">
        <f>_xlfn.IFNA(VLOOKUP(db_emp[[#This Row],[Code_lvl]],[1]!db_lvl[[#All],[ID_level]:[Leveling Name]],2,0),"-")</f>
        <v>Staff</v>
      </c>
      <c r="Q837" s="74" t="str">
        <f>_xlfn.IFNA(VLOOKUP(db_emp[[#This Row],[Code_site]],[1]!db_site[[ID_Site]:[Url_maps]],3,0),"-")</f>
        <v>Unit - Taman Anggrek Residences</v>
      </c>
      <c r="R8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160650,'Diwan.','ENG','','Civil Technician Staff','LV12','','A01','Resign','1900-01-00','2025-10-24'</v>
      </c>
      <c r="S837" s="74">
        <f>db_emp[[#This Row],[NIP (UPDATE)]]</f>
        <v>160650</v>
      </c>
    </row>
    <row r="838" spans="2:19" hidden="1" x14ac:dyDescent="0.25">
      <c r="B838" s="75">
        <v>808</v>
      </c>
      <c r="C838" s="75">
        <v>160674</v>
      </c>
      <c r="D838" s="74" t="s">
        <v>2107</v>
      </c>
      <c r="E838" s="75" t="s">
        <v>2108</v>
      </c>
      <c r="F838" s="75"/>
      <c r="G838" s="74" t="s">
        <v>1752</v>
      </c>
      <c r="H838" s="75" t="s">
        <v>953</v>
      </c>
      <c r="I838" s="74"/>
      <c r="J838" s="75" t="s">
        <v>315</v>
      </c>
      <c r="K838" s="80" t="s">
        <v>903</v>
      </c>
      <c r="L838" s="76"/>
      <c r="M838" s="77">
        <f t="shared" ca="1" si="27"/>
        <v>45954</v>
      </c>
      <c r="N838" s="74" t="str">
        <f>_xlfn.IFNA(VLOOKUP(db_emp[[#This Row],[ID_DIV]],[1]!db_dpt[[Code_dpt]:[Departement]],2,0),"-")</f>
        <v>-</v>
      </c>
      <c r="O838" s="74" t="str">
        <f>_xlfn.IFNA(VLOOKUP(db_emp[[#This Row],[ID_SDP]],[1]!db_div[[Code_div]:[Division]],2,0),"-")</f>
        <v>-</v>
      </c>
      <c r="P838" s="74" t="str">
        <f>_xlfn.IFNA(VLOOKUP(db_emp[[#This Row],[Code_lvl]],[1]!db_lvl[[#All],[ID_level]:[Leveling Name]],2,0),"-")</f>
        <v>Manager</v>
      </c>
      <c r="Q838" s="74" t="str">
        <f>_xlfn.IFNA(VLOOKUP(db_emp[[#This Row],[Code_site]],[1]!db_site[[ID_Site]:[Url_maps]],3,0),"-")</f>
        <v>Head Office - ASGO</v>
      </c>
      <c r="R8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160674,'Mailina Cempakawati','PRO','','Procurement Manager','LV05','','O99','Resign','1900-01-00','2025-10-24'</v>
      </c>
      <c r="S838" s="74">
        <f>db_emp[[#This Row],[NIP (UPDATE)]]</f>
        <v>160674</v>
      </c>
    </row>
    <row r="839" spans="2:19" hidden="1" x14ac:dyDescent="0.25">
      <c r="B839" s="75">
        <v>809</v>
      </c>
      <c r="C839" s="75">
        <v>160707</v>
      </c>
      <c r="D839" s="74" t="s">
        <v>2109</v>
      </c>
      <c r="E839" s="75" t="s">
        <v>845</v>
      </c>
      <c r="F839" s="75"/>
      <c r="G839" s="74" t="s">
        <v>990</v>
      </c>
      <c r="H839" s="80" t="s">
        <v>853</v>
      </c>
      <c r="I839" s="74"/>
      <c r="J839" s="75" t="s">
        <v>484</v>
      </c>
      <c r="K839" s="80" t="s">
        <v>903</v>
      </c>
      <c r="L839" s="76"/>
      <c r="M839" s="77">
        <f t="shared" ref="M839:M902" ca="1" si="28">TODAY()+1</f>
        <v>45954</v>
      </c>
      <c r="N839" s="74" t="str">
        <f>_xlfn.IFNA(VLOOKUP(db_emp[[#This Row],[ID_DIV]],[1]!db_dpt[[Code_dpt]:[Departement]],2,0),"-")</f>
        <v>Finance &amp; Accounting</v>
      </c>
      <c r="O839" s="74" t="str">
        <f>_xlfn.IFNA(VLOOKUP(db_emp[[#This Row],[ID_SDP]],[1]!db_div[[Code_div]:[Division]],2,0),"-")</f>
        <v>-</v>
      </c>
      <c r="P839" s="74" t="str">
        <f>_xlfn.IFNA(VLOOKUP(db_emp[[#This Row],[Code_lvl]],[1]!db_lvl[[#All],[ID_level]:[Leveling Name]],2,0),"-")</f>
        <v>Staff</v>
      </c>
      <c r="Q839" s="74" t="str">
        <f>_xlfn.IFNA(VLOOKUP(db_emp[[#This Row],[Code_site]],[1]!db_site[[ID_Site]:[Url_maps]],3,0),"-")</f>
        <v>Unit - PIK Avenue</v>
      </c>
      <c r="R8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160707,'Nala Rita Dewi','FIN','','Cashier Staff','LV12','','M01','Resign','1900-01-00','2025-10-24'</v>
      </c>
      <c r="S839" s="74">
        <f>db_emp[[#This Row],[NIP (UPDATE)]]</f>
        <v>160707</v>
      </c>
    </row>
    <row r="840" spans="2:19" hidden="1" x14ac:dyDescent="0.25">
      <c r="B840" s="80">
        <v>810</v>
      </c>
      <c r="C840" s="75">
        <v>160710</v>
      </c>
      <c r="D840" s="74" t="s">
        <v>2110</v>
      </c>
      <c r="E840" s="75" t="s">
        <v>2111</v>
      </c>
      <c r="F840" s="75"/>
      <c r="G840" s="74" t="s">
        <v>1013</v>
      </c>
      <c r="H840" s="75" t="s">
        <v>870</v>
      </c>
      <c r="I840" s="74"/>
      <c r="J840" s="75" t="s">
        <v>484</v>
      </c>
      <c r="K840" s="80" t="s">
        <v>903</v>
      </c>
      <c r="L840" s="76"/>
      <c r="M840" s="77">
        <f t="shared" ca="1" si="28"/>
        <v>45954</v>
      </c>
      <c r="N840" s="74" t="str">
        <f>_xlfn.IFNA(VLOOKUP(db_emp[[#This Row],[ID_DIV]],[1]!db_dpt[[Code_dpt]:[Departement]],2,0),"-")</f>
        <v>-</v>
      </c>
      <c r="O840" s="74" t="str">
        <f>_xlfn.IFNA(VLOOKUP(db_emp[[#This Row],[ID_SDP]],[1]!db_div[[Code_div]:[Division]],2,0),"-")</f>
        <v>-</v>
      </c>
      <c r="P840" s="74" t="str">
        <f>_xlfn.IFNA(VLOOKUP(db_emp[[#This Row],[Code_lvl]],[1]!db_lvl[[#All],[ID_level]:[Leveling Name]],2,0),"-")</f>
        <v>Supervisor</v>
      </c>
      <c r="Q840" s="74" t="str">
        <f>_xlfn.IFNA(VLOOKUP(db_emp[[#This Row],[Code_site]],[1]!db_site[[ID_Site]:[Url_maps]],3,0),"-")</f>
        <v>Unit - PIK Avenue</v>
      </c>
      <c r="R8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160710,'Golda Handalia Oktavi','CSL','','Casual Leasing Supervisor','LV09','','M01','Resign','1900-01-00','2025-10-24'</v>
      </c>
      <c r="S840" s="74">
        <f>db_emp[[#This Row],[NIP (UPDATE)]]</f>
        <v>160710</v>
      </c>
    </row>
    <row r="841" spans="2:19" hidden="1" x14ac:dyDescent="0.25">
      <c r="B841" s="75">
        <v>811</v>
      </c>
      <c r="C841" s="75">
        <v>160770</v>
      </c>
      <c r="D841" s="74" t="s">
        <v>1788</v>
      </c>
      <c r="E841" s="75" t="s">
        <v>1018</v>
      </c>
      <c r="F841" s="75"/>
      <c r="G841" s="74" t="s">
        <v>2112</v>
      </c>
      <c r="H841" s="80" t="s">
        <v>853</v>
      </c>
      <c r="I841" s="74"/>
      <c r="J841" s="75" t="s">
        <v>314</v>
      </c>
      <c r="K841" s="80" t="s">
        <v>903</v>
      </c>
      <c r="L841" s="76"/>
      <c r="M841" s="77">
        <f t="shared" ca="1" si="28"/>
        <v>45954</v>
      </c>
      <c r="N841" s="74" t="str">
        <f>_xlfn.IFNA(VLOOKUP(db_emp[[#This Row],[ID_DIV]],[1]!db_dpt[[Code_dpt]:[Departement]],2,0),"-")</f>
        <v>Operational</v>
      </c>
      <c r="O841" s="74" t="str">
        <f>_xlfn.IFNA(VLOOKUP(db_emp[[#This Row],[ID_SDP]],[1]!db_div[[Code_div]:[Division]],2,0),"-")</f>
        <v>-</v>
      </c>
      <c r="P841" s="74" t="str">
        <f>_xlfn.IFNA(VLOOKUP(db_emp[[#This Row],[Code_lvl]],[1]!db_lvl[[#All],[ID_level]:[Leveling Name]],2,0),"-")</f>
        <v>Staff</v>
      </c>
      <c r="Q841" s="74" t="str">
        <f>_xlfn.IFNA(VLOOKUP(db_emp[[#This Row],[Code_site]],[1]!db_site[[ID_Site]:[Url_maps]],3,0),"-")</f>
        <v>Unit - MOI</v>
      </c>
      <c r="R8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160770,'Nur Komarruddin','OPR','','Kawasan Staff','LV12','','M02','Resign','1900-01-00','2025-10-24'</v>
      </c>
      <c r="S841" s="74">
        <f>db_emp[[#This Row],[NIP (UPDATE)]]</f>
        <v>160770</v>
      </c>
    </row>
    <row r="842" spans="2:19" hidden="1" x14ac:dyDescent="0.25">
      <c r="B842" s="75">
        <v>812</v>
      </c>
      <c r="C842" s="75">
        <v>160789</v>
      </c>
      <c r="D842" s="74" t="s">
        <v>2113</v>
      </c>
      <c r="E842" s="75" t="s">
        <v>1018</v>
      </c>
      <c r="F842" s="75"/>
      <c r="G842" s="74" t="s">
        <v>1496</v>
      </c>
      <c r="H842" s="80" t="s">
        <v>853</v>
      </c>
      <c r="I842" s="74"/>
      <c r="J842" s="75" t="s">
        <v>314</v>
      </c>
      <c r="K842" s="80" t="s">
        <v>903</v>
      </c>
      <c r="L842" s="76"/>
      <c r="M842" s="77">
        <f t="shared" ca="1" si="28"/>
        <v>45954</v>
      </c>
      <c r="N842" s="74" t="str">
        <f>_xlfn.IFNA(VLOOKUP(db_emp[[#This Row],[ID_DIV]],[1]!db_dpt[[Code_dpt]:[Departement]],2,0),"-")</f>
        <v>Operational</v>
      </c>
      <c r="O842" s="74" t="str">
        <f>_xlfn.IFNA(VLOOKUP(db_emp[[#This Row],[ID_SDP]],[1]!db_div[[Code_div]:[Division]],2,0),"-")</f>
        <v>-</v>
      </c>
      <c r="P842" s="74" t="str">
        <f>_xlfn.IFNA(VLOOKUP(db_emp[[#This Row],[Code_lvl]],[1]!db_lvl[[#All],[ID_level]:[Leveling Name]],2,0),"-")</f>
        <v>Staff</v>
      </c>
      <c r="Q842" s="74" t="str">
        <f>_xlfn.IFNA(VLOOKUP(db_emp[[#This Row],[Code_site]],[1]!db_site[[ID_Site]:[Url_maps]],3,0),"-")</f>
        <v>Unit - MOI</v>
      </c>
      <c r="R8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160789,'Aditya Prasetyajati','OPR','','Housekeeping &amp; Parking Staff','LV12','','M02','Resign','1900-01-00','2025-10-24'</v>
      </c>
      <c r="S842" s="74">
        <f>db_emp[[#This Row],[NIP (UPDATE)]]</f>
        <v>160789</v>
      </c>
    </row>
    <row r="843" spans="2:19" hidden="1" x14ac:dyDescent="0.25">
      <c r="B843" s="75">
        <v>813</v>
      </c>
      <c r="C843" s="75">
        <v>160801</v>
      </c>
      <c r="D843" s="74" t="s">
        <v>2114</v>
      </c>
      <c r="E843" s="75" t="s">
        <v>130</v>
      </c>
      <c r="F843" s="75"/>
      <c r="G843" s="74" t="s">
        <v>1528</v>
      </c>
      <c r="H843" s="75" t="s">
        <v>870</v>
      </c>
      <c r="I843" s="74"/>
      <c r="J843" s="75" t="s">
        <v>314</v>
      </c>
      <c r="K843" s="80" t="s">
        <v>903</v>
      </c>
      <c r="L843" s="76"/>
      <c r="M843" s="77">
        <f t="shared" ca="1" si="28"/>
        <v>45954</v>
      </c>
      <c r="N843" s="74" t="str">
        <f>_xlfn.IFNA(VLOOKUP(db_emp[[#This Row],[ID_DIV]],[1]!db_dpt[[Code_dpt]:[Departement]],2,0),"-")</f>
        <v>-</v>
      </c>
      <c r="O843" s="74" t="str">
        <f>_xlfn.IFNA(VLOOKUP(db_emp[[#This Row],[ID_SDP]],[1]!db_div[[Code_div]:[Division]],2,0),"-")</f>
        <v>-</v>
      </c>
      <c r="P843" s="74" t="str">
        <f>_xlfn.IFNA(VLOOKUP(db_emp[[#This Row],[Code_lvl]],[1]!db_lvl[[#All],[ID_level]:[Leveling Name]],2,0),"-")</f>
        <v>Supervisor</v>
      </c>
      <c r="Q843" s="74" t="str">
        <f>_xlfn.IFNA(VLOOKUP(db_emp[[#This Row],[Code_site]],[1]!db_site[[ID_Site]:[Url_maps]],3,0),"-")</f>
        <v>Unit - MOI</v>
      </c>
      <c r="R8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160801,'Muhammad Dimsiyi Habibi','HRD','','HR &amp; GA Supervisor','LV09','','M02','Resign','1900-01-00','2025-10-24'</v>
      </c>
      <c r="S843" s="74">
        <f>db_emp[[#This Row],[NIP (UPDATE)]]</f>
        <v>160801</v>
      </c>
    </row>
    <row r="844" spans="2:19" hidden="1" x14ac:dyDescent="0.25">
      <c r="B844" s="80">
        <v>814</v>
      </c>
      <c r="C844" s="75">
        <v>160922</v>
      </c>
      <c r="D844" s="74" t="s">
        <v>2115</v>
      </c>
      <c r="E844" s="75" t="s">
        <v>2053</v>
      </c>
      <c r="F844" s="75"/>
      <c r="G844" s="74" t="s">
        <v>2116</v>
      </c>
      <c r="H844" s="75" t="s">
        <v>953</v>
      </c>
      <c r="I844" s="74"/>
      <c r="J844" s="75" t="s">
        <v>315</v>
      </c>
      <c r="K844" s="80" t="s">
        <v>903</v>
      </c>
      <c r="L844" s="76"/>
      <c r="M844" s="77">
        <f t="shared" ca="1" si="28"/>
        <v>45954</v>
      </c>
      <c r="N844" s="74" t="str">
        <f>_xlfn.IFNA(VLOOKUP(db_emp[[#This Row],[ID_DIV]],[1]!db_dpt[[Code_dpt]:[Departement]],2,0),"-")</f>
        <v>-</v>
      </c>
      <c r="O844" s="74" t="str">
        <f>_xlfn.IFNA(VLOOKUP(db_emp[[#This Row],[ID_SDP]],[1]!db_div[[Code_div]:[Division]],2,0),"-")</f>
        <v>-</v>
      </c>
      <c r="P844" s="74" t="str">
        <f>_xlfn.IFNA(VLOOKUP(db_emp[[#This Row],[Code_lvl]],[1]!db_lvl[[#All],[ID_level]:[Leveling Name]],2,0),"-")</f>
        <v>Manager</v>
      </c>
      <c r="Q844" s="74" t="str">
        <f>_xlfn.IFNA(VLOOKUP(db_emp[[#This Row],[Code_site]],[1]!db_site[[ID_Site]:[Url_maps]],3,0),"-")</f>
        <v>Head Office - ASGO</v>
      </c>
      <c r="R8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160922,'Ade Lesmana','TES','','Interior Design Manager','LV05','','O99','Resign','1900-01-00','2025-10-24'</v>
      </c>
      <c r="S844" s="74">
        <f>db_emp[[#This Row],[NIP (UPDATE)]]</f>
        <v>160922</v>
      </c>
    </row>
    <row r="845" spans="2:19" hidden="1" x14ac:dyDescent="0.25">
      <c r="B845" s="75">
        <v>815</v>
      </c>
      <c r="C845" s="75">
        <v>160931</v>
      </c>
      <c r="D845" s="74" t="s">
        <v>2117</v>
      </c>
      <c r="E845" s="75" t="s">
        <v>1018</v>
      </c>
      <c r="F845" s="75"/>
      <c r="G845" s="74" t="s">
        <v>2118</v>
      </c>
      <c r="H845" s="80" t="s">
        <v>853</v>
      </c>
      <c r="I845" s="74"/>
      <c r="J845" s="75" t="s">
        <v>314</v>
      </c>
      <c r="K845" s="80" t="s">
        <v>903</v>
      </c>
      <c r="L845" s="76"/>
      <c r="M845" s="77">
        <f t="shared" ca="1" si="28"/>
        <v>45954</v>
      </c>
      <c r="N845" s="74" t="str">
        <f>_xlfn.IFNA(VLOOKUP(db_emp[[#This Row],[ID_DIV]],[1]!db_dpt[[Code_dpt]:[Departement]],2,0),"-")</f>
        <v>Operational</v>
      </c>
      <c r="O845" s="74" t="str">
        <f>_xlfn.IFNA(VLOOKUP(db_emp[[#This Row],[ID_SDP]],[1]!db_div[[Code_div]:[Division]],2,0),"-")</f>
        <v>-</v>
      </c>
      <c r="P845" s="74" t="str">
        <f>_xlfn.IFNA(VLOOKUP(db_emp[[#This Row],[Code_lvl]],[1]!db_lvl[[#All],[ID_level]:[Leveling Name]],2,0),"-")</f>
        <v>Staff</v>
      </c>
      <c r="Q845" s="74" t="str">
        <f>_xlfn.IFNA(VLOOKUP(db_emp[[#This Row],[Code_site]],[1]!db_site[[ID_Site]:[Url_maps]],3,0),"-")</f>
        <v>Unit - MOI</v>
      </c>
      <c r="R8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160931,'Zulmartin.','OPR','','F&amp;B Staff','LV12','','M02','Resign','1900-01-00','2025-10-24'</v>
      </c>
      <c r="S845" s="74">
        <f>db_emp[[#This Row],[NIP (UPDATE)]]</f>
        <v>160931</v>
      </c>
    </row>
    <row r="846" spans="2:19" hidden="1" x14ac:dyDescent="0.25">
      <c r="B846" s="75">
        <v>816</v>
      </c>
      <c r="C846" s="75">
        <v>160959</v>
      </c>
      <c r="D846" s="74" t="s">
        <v>2119</v>
      </c>
      <c r="E846" s="75" t="s">
        <v>911</v>
      </c>
      <c r="F846" s="75"/>
      <c r="G846" s="74" t="s">
        <v>1184</v>
      </c>
      <c r="H846" s="80" t="s">
        <v>853</v>
      </c>
      <c r="I846" s="74"/>
      <c r="J846" s="75" t="s">
        <v>484</v>
      </c>
      <c r="K846" s="80" t="s">
        <v>903</v>
      </c>
      <c r="L846" s="76"/>
      <c r="M846" s="77">
        <f t="shared" ca="1" si="28"/>
        <v>45954</v>
      </c>
      <c r="N846" s="74" t="str">
        <f>_xlfn.IFNA(VLOOKUP(db_emp[[#This Row],[ID_DIV]],[1]!db_dpt[[Code_dpt]:[Departement]],2,0),"-")</f>
        <v>Engineering</v>
      </c>
      <c r="O846" s="74" t="str">
        <f>_xlfn.IFNA(VLOOKUP(db_emp[[#This Row],[ID_SDP]],[1]!db_div[[Code_div]:[Division]],2,0),"-")</f>
        <v>-</v>
      </c>
      <c r="P846" s="74" t="str">
        <f>_xlfn.IFNA(VLOOKUP(db_emp[[#This Row],[Code_lvl]],[1]!db_lvl[[#All],[ID_level]:[Leveling Name]],2,0),"-")</f>
        <v>Staff</v>
      </c>
      <c r="Q846" s="74" t="str">
        <f>_xlfn.IFNA(VLOOKUP(db_emp[[#This Row],[Code_site]],[1]!db_site[[ID_Site]:[Url_maps]],3,0),"-")</f>
        <v>Unit - PIK Avenue</v>
      </c>
      <c r="R8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160959,'Sugih Priyono','ENG','','Electrical Staff','LV12','','M01','Resign','1900-01-00','2025-10-24'</v>
      </c>
      <c r="S846" s="74">
        <f>db_emp[[#This Row],[NIP (UPDATE)]]</f>
        <v>160959</v>
      </c>
    </row>
    <row r="847" spans="2:19" hidden="1" x14ac:dyDescent="0.25">
      <c r="B847" s="75">
        <v>817</v>
      </c>
      <c r="C847" s="75">
        <v>161022</v>
      </c>
      <c r="D847" s="74" t="s">
        <v>2120</v>
      </c>
      <c r="E847" s="75" t="s">
        <v>2077</v>
      </c>
      <c r="F847" s="75"/>
      <c r="G847" s="74" t="s">
        <v>1435</v>
      </c>
      <c r="H847" s="75" t="s">
        <v>870</v>
      </c>
      <c r="I847" s="74"/>
      <c r="J847" s="75" t="s">
        <v>490</v>
      </c>
      <c r="K847" s="80" t="s">
        <v>903</v>
      </c>
      <c r="L847" s="76"/>
      <c r="M847" s="77">
        <f t="shared" ca="1" si="28"/>
        <v>45954</v>
      </c>
      <c r="N847" s="74" t="str">
        <f>_xlfn.IFNA(VLOOKUP(db_emp[[#This Row],[ID_DIV]],[1]!db_dpt[[Code_dpt]:[Departement]],2,0),"-")</f>
        <v>-</v>
      </c>
      <c r="O847" s="74" t="str">
        <f>_xlfn.IFNA(VLOOKUP(db_emp[[#This Row],[ID_SDP]],[1]!db_div[[Code_div]:[Division]],2,0),"-")</f>
        <v>-</v>
      </c>
      <c r="P847" s="74" t="str">
        <f>_xlfn.IFNA(VLOOKUP(db_emp[[#This Row],[Code_lvl]],[1]!db_lvl[[#All],[ID_level]:[Leveling Name]],2,0),"-")</f>
        <v>Supervisor</v>
      </c>
      <c r="Q847" s="74" t="str">
        <f>_xlfn.IFNA(VLOOKUP(db_emp[[#This Row],[Code_site]],[1]!db_site[[ID_Site]:[Url_maps]],3,0),"-")</f>
        <v>Unit - ASHTA</v>
      </c>
      <c r="R8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161022,'Linda Delvia','GNT','','GEA &amp; Tenant Relation Supervisor','LV09','','M04','Resign','1900-01-00','2025-10-24'</v>
      </c>
      <c r="S847" s="74">
        <f>db_emp[[#This Row],[NIP (UPDATE)]]</f>
        <v>161022</v>
      </c>
    </row>
    <row r="848" spans="2:19" hidden="1" x14ac:dyDescent="0.25">
      <c r="B848" s="80">
        <v>818</v>
      </c>
      <c r="C848" s="75">
        <v>170086</v>
      </c>
      <c r="D848" s="74" t="s">
        <v>2121</v>
      </c>
      <c r="E848" s="75" t="s">
        <v>1018</v>
      </c>
      <c r="F848" s="75"/>
      <c r="G848" s="74" t="s">
        <v>2122</v>
      </c>
      <c r="H848" s="75" t="s">
        <v>1177</v>
      </c>
      <c r="I848" s="74"/>
      <c r="J848" s="75" t="s">
        <v>484</v>
      </c>
      <c r="K848" s="80" t="s">
        <v>903</v>
      </c>
      <c r="L848" s="76"/>
      <c r="M848" s="77">
        <f t="shared" ca="1" si="28"/>
        <v>45954</v>
      </c>
      <c r="N848" s="74" t="str">
        <f>_xlfn.IFNA(VLOOKUP(db_emp[[#This Row],[ID_DIV]],[1]!db_dpt[[Code_dpt]:[Departement]],2,0),"-")</f>
        <v>Operational</v>
      </c>
      <c r="O848" s="74" t="str">
        <f>_xlfn.IFNA(VLOOKUP(db_emp[[#This Row],[ID_SDP]],[1]!db_div[[Code_div]:[Division]],2,0),"-")</f>
        <v>-</v>
      </c>
      <c r="P848" s="74" t="str">
        <f>_xlfn.IFNA(VLOOKUP(db_emp[[#This Row],[Code_lvl]],[1]!db_lvl[[#All],[ID_level]:[Leveling Name]],2,0),"-")</f>
        <v>Director</v>
      </c>
      <c r="Q848" s="74" t="str">
        <f>_xlfn.IFNA(VLOOKUP(db_emp[[#This Row],[Code_site]],[1]!db_site[[ID_Site]:[Url_maps]],3,0),"-")</f>
        <v>Unit - PIK Avenue</v>
      </c>
      <c r="R8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170086,'Eric Daryl Kurniawan','OPR','','Director Operational Mall','LV01','','M01','Resign','1900-01-00','2025-10-24'</v>
      </c>
      <c r="S848" s="74">
        <f>db_emp[[#This Row],[NIP (UPDATE)]]</f>
        <v>170086</v>
      </c>
    </row>
    <row r="849" spans="2:19" hidden="1" x14ac:dyDescent="0.25">
      <c r="B849" s="75">
        <v>819</v>
      </c>
      <c r="C849" s="75">
        <v>170090</v>
      </c>
      <c r="D849" s="74" t="s">
        <v>2123</v>
      </c>
      <c r="E849" s="75" t="s">
        <v>130</v>
      </c>
      <c r="F849" s="75"/>
      <c r="G849" s="74" t="s">
        <v>185</v>
      </c>
      <c r="H849" s="75" t="s">
        <v>1640</v>
      </c>
      <c r="I849" s="74"/>
      <c r="J849" s="75" t="s">
        <v>314</v>
      </c>
      <c r="K849" s="80" t="s">
        <v>903</v>
      </c>
      <c r="L849" s="76"/>
      <c r="M849" s="77">
        <f t="shared" ca="1" si="28"/>
        <v>45954</v>
      </c>
      <c r="N849" s="74" t="str">
        <f>_xlfn.IFNA(VLOOKUP(db_emp[[#This Row],[ID_DIV]],[1]!db_dpt[[Code_dpt]:[Departement]],2,0),"-")</f>
        <v>-</v>
      </c>
      <c r="O849" s="74" t="str">
        <f>_xlfn.IFNA(VLOOKUP(db_emp[[#This Row],[ID_SDP]],[1]!db_div[[Code_div]:[Division]],2,0),"-")</f>
        <v>-</v>
      </c>
      <c r="P849" s="74" t="str">
        <f>_xlfn.IFNA(VLOOKUP(db_emp[[#This Row],[Code_lvl]],[1]!db_lvl[[#All],[ID_level]:[Leveling Name]],2,0),"-")</f>
        <v>Non Staff</v>
      </c>
      <c r="Q849" s="74" t="str">
        <f>_xlfn.IFNA(VLOOKUP(db_emp[[#This Row],[Code_site]],[1]!db_site[[ID_Site]:[Url_maps]],3,0),"-")</f>
        <v>Unit - MOI</v>
      </c>
      <c r="R8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170090,'Hari Suwandito','HRD','','Office Boy','LV13','','M02','Resign','1900-01-00','2025-10-24'</v>
      </c>
      <c r="S849" s="74">
        <f>db_emp[[#This Row],[NIP (UPDATE)]]</f>
        <v>170090</v>
      </c>
    </row>
    <row r="850" spans="2:19" hidden="1" x14ac:dyDescent="0.25">
      <c r="B850" s="75">
        <v>820</v>
      </c>
      <c r="C850" s="75">
        <v>170103</v>
      </c>
      <c r="D850" s="74" t="s">
        <v>2124</v>
      </c>
      <c r="E850" s="75" t="s">
        <v>130</v>
      </c>
      <c r="F850" s="75"/>
      <c r="G850" s="74" t="s">
        <v>1528</v>
      </c>
      <c r="H850" s="75" t="s">
        <v>870</v>
      </c>
      <c r="I850" s="74"/>
      <c r="J850" s="75" t="s">
        <v>484</v>
      </c>
      <c r="K850" s="80" t="s">
        <v>903</v>
      </c>
      <c r="L850" s="76"/>
      <c r="M850" s="77">
        <f t="shared" ca="1" si="28"/>
        <v>45954</v>
      </c>
      <c r="N850" s="74" t="str">
        <f>_xlfn.IFNA(VLOOKUP(db_emp[[#This Row],[ID_DIV]],[1]!db_dpt[[Code_dpt]:[Departement]],2,0),"-")</f>
        <v>-</v>
      </c>
      <c r="O850" s="74" t="str">
        <f>_xlfn.IFNA(VLOOKUP(db_emp[[#This Row],[ID_SDP]],[1]!db_div[[Code_div]:[Division]],2,0),"-")</f>
        <v>-</v>
      </c>
      <c r="P850" s="74" t="str">
        <f>_xlfn.IFNA(VLOOKUP(db_emp[[#This Row],[Code_lvl]],[1]!db_lvl[[#All],[ID_level]:[Leveling Name]],2,0),"-")</f>
        <v>Supervisor</v>
      </c>
      <c r="Q850" s="74" t="str">
        <f>_xlfn.IFNA(VLOOKUP(db_emp[[#This Row],[Code_site]],[1]!db_site[[ID_Site]:[Url_maps]],3,0),"-")</f>
        <v>Unit - PIK Avenue</v>
      </c>
      <c r="R8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170103,'Santi Silviana','HRD','','HR &amp; GA Supervisor','LV09','','M01','Resign','1900-01-00','2025-10-24'</v>
      </c>
      <c r="S850" s="74">
        <f>db_emp[[#This Row],[NIP (UPDATE)]]</f>
        <v>170103</v>
      </c>
    </row>
    <row r="851" spans="2:19" hidden="1" x14ac:dyDescent="0.25">
      <c r="B851" s="75">
        <v>821</v>
      </c>
      <c r="C851" s="75">
        <v>170111</v>
      </c>
      <c r="D851" s="74" t="s">
        <v>1182</v>
      </c>
      <c r="E851" s="75" t="s">
        <v>911</v>
      </c>
      <c r="F851" s="75"/>
      <c r="G851" s="74" t="s">
        <v>2125</v>
      </c>
      <c r="H851" s="80" t="s">
        <v>853</v>
      </c>
      <c r="I851" s="74"/>
      <c r="J851" s="75" t="s">
        <v>314</v>
      </c>
      <c r="K851" s="80" t="s">
        <v>903</v>
      </c>
      <c r="L851" s="76"/>
      <c r="M851" s="77">
        <f t="shared" ca="1" si="28"/>
        <v>45954</v>
      </c>
      <c r="N851" s="74" t="str">
        <f>_xlfn.IFNA(VLOOKUP(db_emp[[#This Row],[ID_DIV]],[1]!db_dpt[[Code_dpt]:[Departement]],2,0),"-")</f>
        <v>Engineering</v>
      </c>
      <c r="O851" s="74" t="str">
        <f>_xlfn.IFNA(VLOOKUP(db_emp[[#This Row],[ID_SDP]],[1]!db_div[[Code_div]:[Division]],2,0),"-")</f>
        <v>-</v>
      </c>
      <c r="P851" s="74" t="str">
        <f>_xlfn.IFNA(VLOOKUP(db_emp[[#This Row],[Code_lvl]],[1]!db_lvl[[#All],[ID_level]:[Leveling Name]],2,0),"-")</f>
        <v>Staff</v>
      </c>
      <c r="Q851" s="74" t="str">
        <f>_xlfn.IFNA(VLOOKUP(db_emp[[#This Row],[Code_site]],[1]!db_site[[ID_Site]:[Url_maps]],3,0),"-")</f>
        <v>Unit - MOI</v>
      </c>
      <c r="R8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170111,'Yanuarsah Priyanto','ENG','','Operational Eng Staff','LV12','','M02','Resign','1900-01-00','2025-10-24'</v>
      </c>
      <c r="S851" s="74">
        <f>db_emp[[#This Row],[NIP (UPDATE)]]</f>
        <v>170111</v>
      </c>
    </row>
    <row r="852" spans="2:19" hidden="1" x14ac:dyDescent="0.25">
      <c r="B852" s="80">
        <v>822</v>
      </c>
      <c r="C852" s="75">
        <v>170169</v>
      </c>
      <c r="D852" s="74" t="s">
        <v>2126</v>
      </c>
      <c r="E852" s="75" t="s">
        <v>1018</v>
      </c>
      <c r="F852" s="75"/>
      <c r="G852" s="74" t="s">
        <v>2127</v>
      </c>
      <c r="H852" s="80" t="s">
        <v>848</v>
      </c>
      <c r="I852" s="74"/>
      <c r="J852" s="75" t="s">
        <v>490</v>
      </c>
      <c r="K852" s="80" t="s">
        <v>903</v>
      </c>
      <c r="L852" s="76"/>
      <c r="M852" s="77">
        <f t="shared" ca="1" si="28"/>
        <v>45954</v>
      </c>
      <c r="N852" s="74" t="str">
        <f>_xlfn.IFNA(VLOOKUP(db_emp[[#This Row],[ID_DIV]],[1]!db_dpt[[Code_dpt]:[Departement]],2,0),"-")</f>
        <v>Operational</v>
      </c>
      <c r="O852" s="74" t="str">
        <f>_xlfn.IFNA(VLOOKUP(db_emp[[#This Row],[ID_SDP]],[1]!db_div[[Code_div]:[Division]],2,0),"-")</f>
        <v>-</v>
      </c>
      <c r="P852" s="74" t="str">
        <f>_xlfn.IFNA(VLOOKUP(db_emp[[#This Row],[Code_lvl]],[1]!db_lvl[[#All],[ID_level]:[Leveling Name]],2,0),"-")</f>
        <v>Assistant Manager</v>
      </c>
      <c r="Q852" s="74" t="str">
        <f>_xlfn.IFNA(VLOOKUP(db_emp[[#This Row],[Code_site]],[1]!db_site[[ID_Site]:[Url_maps]],3,0),"-")</f>
        <v>Unit - ASHTA</v>
      </c>
      <c r="R8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170169,'Adang Kurnia','OPR','','Operation Mall Assistant Manager','LV07','','M04','Resign','1900-01-00','2025-10-24'</v>
      </c>
      <c r="S852" s="74">
        <f>db_emp[[#This Row],[NIP (UPDATE)]]</f>
        <v>170169</v>
      </c>
    </row>
    <row r="853" spans="2:19" hidden="1" x14ac:dyDescent="0.25">
      <c r="B853" s="75">
        <v>823</v>
      </c>
      <c r="C853" s="75">
        <v>170198</v>
      </c>
      <c r="D853" s="74" t="s">
        <v>2128</v>
      </c>
      <c r="E853" s="75" t="s">
        <v>1018</v>
      </c>
      <c r="F853" s="75"/>
      <c r="G853" s="74" t="s">
        <v>2129</v>
      </c>
      <c r="H853" s="75" t="s">
        <v>870</v>
      </c>
      <c r="I853" s="74"/>
      <c r="J853" s="75" t="s">
        <v>492</v>
      </c>
      <c r="K853" s="80" t="s">
        <v>903</v>
      </c>
      <c r="L853" s="76"/>
      <c r="M853" s="77">
        <f t="shared" ca="1" si="28"/>
        <v>45954</v>
      </c>
      <c r="N853" s="74" t="str">
        <f>_xlfn.IFNA(VLOOKUP(db_emp[[#This Row],[ID_DIV]],[1]!db_dpt[[Code_dpt]:[Departement]],2,0),"-")</f>
        <v>Operational</v>
      </c>
      <c r="O853" s="74" t="str">
        <f>_xlfn.IFNA(VLOOKUP(db_emp[[#This Row],[ID_SDP]],[1]!db_div[[Code_div]:[Division]],2,0),"-")</f>
        <v>-</v>
      </c>
      <c r="P853" s="74" t="str">
        <f>_xlfn.IFNA(VLOOKUP(db_emp[[#This Row],[Code_lvl]],[1]!db_lvl[[#All],[ID_level]:[Leveling Name]],2,0),"-")</f>
        <v>Supervisor</v>
      </c>
      <c r="Q853" s="74" t="str">
        <f>_xlfn.IFNA(VLOOKUP(db_emp[[#This Row],[Code_site]],[1]!db_site[[ID_Site]:[Url_maps]],3,0),"-")</f>
        <v>Unit - Hublife</v>
      </c>
      <c r="R8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170198,'Triyanto','OPR','','Parkir &amp; Housekeeping Supervisor','LV09','','M05','Resign','1900-01-00','2025-10-24'</v>
      </c>
      <c r="S853" s="74">
        <f>db_emp[[#This Row],[NIP (UPDATE)]]</f>
        <v>170198</v>
      </c>
    </row>
    <row r="854" spans="2:19" hidden="1" x14ac:dyDescent="0.25">
      <c r="B854" s="75">
        <v>824</v>
      </c>
      <c r="C854" s="75">
        <v>170215</v>
      </c>
      <c r="D854" s="74" t="s">
        <v>1739</v>
      </c>
      <c r="E854" s="75" t="s">
        <v>911</v>
      </c>
      <c r="F854" s="75"/>
      <c r="G854" s="74" t="s">
        <v>1727</v>
      </c>
      <c r="H854" s="80" t="s">
        <v>853</v>
      </c>
      <c r="I854" s="74"/>
      <c r="J854" s="75" t="s">
        <v>484</v>
      </c>
      <c r="K854" s="80" t="s">
        <v>903</v>
      </c>
      <c r="L854" s="76"/>
      <c r="M854" s="77">
        <f t="shared" ca="1" si="28"/>
        <v>45954</v>
      </c>
      <c r="N854" s="74" t="str">
        <f>_xlfn.IFNA(VLOOKUP(db_emp[[#This Row],[ID_DIV]],[1]!db_dpt[[Code_dpt]:[Departement]],2,0),"-")</f>
        <v>Engineering</v>
      </c>
      <c r="O854" s="74" t="str">
        <f>_xlfn.IFNA(VLOOKUP(db_emp[[#This Row],[ID_SDP]],[1]!db_div[[Code_div]:[Division]],2,0),"-")</f>
        <v>-</v>
      </c>
      <c r="P854" s="74" t="str">
        <f>_xlfn.IFNA(VLOOKUP(db_emp[[#This Row],[Code_lvl]],[1]!db_lvl[[#All],[ID_level]:[Leveling Name]],2,0),"-")</f>
        <v>Staff</v>
      </c>
      <c r="Q854" s="74" t="str">
        <f>_xlfn.IFNA(VLOOKUP(db_emp[[#This Row],[Code_site]],[1]!db_site[[ID_Site]:[Url_maps]],3,0),"-")</f>
        <v>Unit - PIK Avenue</v>
      </c>
      <c r="R8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170215,'Moh Nur hadi Kusuma','ENG','','Plumbing Staff','LV12','','M01','Resign','1900-01-00','2025-10-24'</v>
      </c>
      <c r="S854" s="74">
        <f>db_emp[[#This Row],[NIP (UPDATE)]]</f>
        <v>170215</v>
      </c>
    </row>
    <row r="855" spans="2:19" hidden="1" x14ac:dyDescent="0.25">
      <c r="B855" s="75">
        <v>825</v>
      </c>
      <c r="C855" s="75">
        <v>170376</v>
      </c>
      <c r="D855" s="74" t="s">
        <v>2130</v>
      </c>
      <c r="E855" s="75" t="s">
        <v>2029</v>
      </c>
      <c r="F855" s="75"/>
      <c r="G855" s="74" t="s">
        <v>2131</v>
      </c>
      <c r="H855" s="75" t="s">
        <v>870</v>
      </c>
      <c r="I855" s="74"/>
      <c r="J855" s="75" t="s">
        <v>314</v>
      </c>
      <c r="K855" s="80" t="s">
        <v>903</v>
      </c>
      <c r="L855" s="76"/>
      <c r="M855" s="77">
        <f t="shared" ca="1" si="28"/>
        <v>45954</v>
      </c>
      <c r="N855" s="74" t="str">
        <f>_xlfn.IFNA(VLOOKUP(db_emp[[#This Row],[ID_DIV]],[1]!db_dpt[[Code_dpt]:[Departement]],2,0),"-")</f>
        <v>-</v>
      </c>
      <c r="O855" s="74" t="str">
        <f>_xlfn.IFNA(VLOOKUP(db_emp[[#This Row],[ID_SDP]],[1]!db_div[[Code_div]:[Division]],2,0),"-")</f>
        <v>-</v>
      </c>
      <c r="P855" s="74" t="str">
        <f>_xlfn.IFNA(VLOOKUP(db_emp[[#This Row],[Code_lvl]],[1]!db_lvl[[#All],[ID_level]:[Leveling Name]],2,0),"-")</f>
        <v>Supervisor</v>
      </c>
      <c r="Q855" s="74" t="str">
        <f>_xlfn.IFNA(VLOOKUP(db_emp[[#This Row],[Code_site]],[1]!db_site[[ID_Site]:[Url_maps]],3,0),"-")</f>
        <v>Unit - MOI</v>
      </c>
      <c r="R8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170376,'Juri Eko Wiyono','SPM','','Site Engineer Supervisor','LV09','','M02','Resign','1900-01-00','2025-10-24'</v>
      </c>
      <c r="S855" s="74">
        <f>db_emp[[#This Row],[NIP (UPDATE)]]</f>
        <v>170376</v>
      </c>
    </row>
    <row r="856" spans="2:19" hidden="1" x14ac:dyDescent="0.25">
      <c r="B856" s="80">
        <v>826</v>
      </c>
      <c r="C856" s="75">
        <v>170482</v>
      </c>
      <c r="D856" s="74" t="s">
        <v>2132</v>
      </c>
      <c r="E856" s="75" t="s">
        <v>1461</v>
      </c>
      <c r="F856" s="75"/>
      <c r="G856" s="74" t="s">
        <v>1619</v>
      </c>
      <c r="H856" s="80" t="s">
        <v>848</v>
      </c>
      <c r="I856" s="74"/>
      <c r="J856" s="75" t="s">
        <v>315</v>
      </c>
      <c r="K856" s="80" t="s">
        <v>903</v>
      </c>
      <c r="L856" s="76"/>
      <c r="M856" s="77">
        <f t="shared" ca="1" si="28"/>
        <v>45954</v>
      </c>
      <c r="N856" s="74" t="str">
        <f>_xlfn.IFNA(VLOOKUP(db_emp[[#This Row],[ID_DIV]],[1]!db_dpt[[Code_dpt]:[Departement]],2,0),"-")</f>
        <v>Legal &amp; Govrel</v>
      </c>
      <c r="O856" s="74" t="str">
        <f>_xlfn.IFNA(VLOOKUP(db_emp[[#This Row],[ID_SDP]],[1]!db_div[[Code_div]:[Division]],2,0),"-")</f>
        <v>-</v>
      </c>
      <c r="P856" s="74" t="str">
        <f>_xlfn.IFNA(VLOOKUP(db_emp[[#This Row],[Code_lvl]],[1]!db_lvl[[#All],[ID_level]:[Leveling Name]],2,0),"-")</f>
        <v>Assistant Manager</v>
      </c>
      <c r="Q856" s="74" t="str">
        <f>_xlfn.IFNA(VLOOKUP(db_emp[[#This Row],[Code_site]],[1]!db_site[[ID_Site]:[Url_maps]],3,0),"-")</f>
        <v>Head Office - ASGO</v>
      </c>
      <c r="R8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170482,'Frans Putra Perdana Mulatua','LEG','','Legal Assistant Manager','LV07','','O99','Resign','1900-01-00','2025-10-24'</v>
      </c>
      <c r="S856" s="74">
        <f>db_emp[[#This Row],[NIP (UPDATE)]]</f>
        <v>170482</v>
      </c>
    </row>
    <row r="857" spans="2:19" hidden="1" x14ac:dyDescent="0.25">
      <c r="B857" s="75">
        <v>827</v>
      </c>
      <c r="C857" s="75">
        <v>170484</v>
      </c>
      <c r="D857" s="74" t="s">
        <v>2133</v>
      </c>
      <c r="E857" s="75" t="s">
        <v>845</v>
      </c>
      <c r="F857" s="75"/>
      <c r="G857" s="74" t="s">
        <v>186</v>
      </c>
      <c r="H857" s="75" t="s">
        <v>1640</v>
      </c>
      <c r="I857" s="74"/>
      <c r="J857" s="75" t="s">
        <v>315</v>
      </c>
      <c r="K857" s="80" t="s">
        <v>903</v>
      </c>
      <c r="L857" s="76"/>
      <c r="M857" s="77">
        <f t="shared" ca="1" si="28"/>
        <v>45954</v>
      </c>
      <c r="N857" s="74" t="str">
        <f>_xlfn.IFNA(VLOOKUP(db_emp[[#This Row],[ID_DIV]],[1]!db_dpt[[Code_dpt]:[Departement]],2,0),"-")</f>
        <v>Finance &amp; Accounting</v>
      </c>
      <c r="O857" s="74" t="str">
        <f>_xlfn.IFNA(VLOOKUP(db_emp[[#This Row],[ID_SDP]],[1]!db_div[[Code_div]:[Division]],2,0),"-")</f>
        <v>-</v>
      </c>
      <c r="P857" s="74" t="str">
        <f>_xlfn.IFNA(VLOOKUP(db_emp[[#This Row],[Code_lvl]],[1]!db_lvl[[#All],[ID_level]:[Leveling Name]],2,0),"-")</f>
        <v>Non Staff</v>
      </c>
      <c r="Q857" s="74" t="str">
        <f>_xlfn.IFNA(VLOOKUP(db_emp[[#This Row],[Code_site]],[1]!db_site[[ID_Site]:[Url_maps]],3,0),"-")</f>
        <v>Head Office - ASGO</v>
      </c>
      <c r="R8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170484,'Erwin Wasidi','FIN','','Messenger','LV13','','O99','Resign','1900-01-00','2025-10-24'</v>
      </c>
      <c r="S857" s="74">
        <f>db_emp[[#This Row],[NIP (UPDATE)]]</f>
        <v>170484</v>
      </c>
    </row>
    <row r="858" spans="2:19" hidden="1" x14ac:dyDescent="0.25">
      <c r="B858" s="75">
        <v>828</v>
      </c>
      <c r="C858" s="75">
        <v>170552</v>
      </c>
      <c r="D858" s="74" t="s">
        <v>2134</v>
      </c>
      <c r="E858" s="75" t="s">
        <v>1018</v>
      </c>
      <c r="F858" s="75"/>
      <c r="G858" s="74" t="s">
        <v>2135</v>
      </c>
      <c r="H858" s="80" t="s">
        <v>848</v>
      </c>
      <c r="I858" s="74"/>
      <c r="J858" s="75" t="s">
        <v>314</v>
      </c>
      <c r="K858" s="80" t="s">
        <v>903</v>
      </c>
      <c r="L858" s="76"/>
      <c r="M858" s="77">
        <f t="shared" ca="1" si="28"/>
        <v>45954</v>
      </c>
      <c r="N858" s="74" t="str">
        <f>_xlfn.IFNA(VLOOKUP(db_emp[[#This Row],[ID_DIV]],[1]!db_dpt[[Code_dpt]:[Departement]],2,0),"-")</f>
        <v>Operational</v>
      </c>
      <c r="O858" s="74" t="str">
        <f>_xlfn.IFNA(VLOOKUP(db_emp[[#This Row],[ID_SDP]],[1]!db_div[[Code_div]:[Division]],2,0),"-")</f>
        <v>-</v>
      </c>
      <c r="P858" s="74" t="str">
        <f>_xlfn.IFNA(VLOOKUP(db_emp[[#This Row],[Code_lvl]],[1]!db_lvl[[#All],[ID_level]:[Leveling Name]],2,0),"-")</f>
        <v>Assistant Manager</v>
      </c>
      <c r="Q858" s="74" t="str">
        <f>_xlfn.IFNA(VLOOKUP(db_emp[[#This Row],[Code_site]],[1]!db_site[[ID_Site]:[Url_maps]],3,0),"-")</f>
        <v>Unit - MOI</v>
      </c>
      <c r="R8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170552,'Yohanes Puguh Pangestu','OPR','','Operational Assistant Manager','LV07','','M02','Resign','1900-01-00','2025-10-24'</v>
      </c>
      <c r="S858" s="74">
        <f>db_emp[[#This Row],[NIP (UPDATE)]]</f>
        <v>170552</v>
      </c>
    </row>
    <row r="859" spans="2:19" hidden="1" x14ac:dyDescent="0.25">
      <c r="B859" s="75">
        <v>829</v>
      </c>
      <c r="C859" s="75">
        <v>170556</v>
      </c>
      <c r="D859" s="74" t="s">
        <v>2136</v>
      </c>
      <c r="E859" s="75" t="s">
        <v>2037</v>
      </c>
      <c r="F859" s="75"/>
      <c r="G859" s="74" t="s">
        <v>2104</v>
      </c>
      <c r="H859" s="80" t="s">
        <v>853</v>
      </c>
      <c r="I859" s="74"/>
      <c r="J859" s="75" t="s">
        <v>314</v>
      </c>
      <c r="K859" s="80" t="s">
        <v>903</v>
      </c>
      <c r="L859" s="76"/>
      <c r="M859" s="77">
        <f t="shared" ca="1" si="28"/>
        <v>45954</v>
      </c>
      <c r="N859" s="74" t="str">
        <f>_xlfn.IFNA(VLOOKUP(db_emp[[#This Row],[ID_DIV]],[1]!db_dpt[[Code_dpt]:[Departement]],2,0),"-")</f>
        <v>-</v>
      </c>
      <c r="O859" s="74" t="str">
        <f>_xlfn.IFNA(VLOOKUP(db_emp[[#This Row],[ID_SDP]],[1]!db_div[[Code_div]:[Division]],2,0),"-")</f>
        <v>-</v>
      </c>
      <c r="P859" s="74" t="str">
        <f>_xlfn.IFNA(VLOOKUP(db_emp[[#This Row],[Code_lvl]],[1]!db_lvl[[#All],[ID_level]:[Leveling Name]],2,0),"-")</f>
        <v>Staff</v>
      </c>
      <c r="Q859" s="74" t="str">
        <f>_xlfn.IFNA(VLOOKUP(db_emp[[#This Row],[Code_site]],[1]!db_site[[ID_Site]:[Url_maps]],3,0),"-")</f>
        <v>Unit - MOI</v>
      </c>
      <c r="R8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170556,'Bambang Untoro','IPP','','Plant Operator Staff','LV12','','M02','Resign','1900-01-00','2025-10-24'</v>
      </c>
      <c r="S859" s="74">
        <f>db_emp[[#This Row],[NIP (UPDATE)]]</f>
        <v>170556</v>
      </c>
    </row>
    <row r="860" spans="2:19" hidden="1" x14ac:dyDescent="0.25">
      <c r="B860" s="80">
        <v>830</v>
      </c>
      <c r="C860" s="75">
        <v>170615</v>
      </c>
      <c r="D860" s="74" t="s">
        <v>1645</v>
      </c>
      <c r="E860" s="75" t="s">
        <v>130</v>
      </c>
      <c r="F860" s="75"/>
      <c r="G860" s="74" t="s">
        <v>186</v>
      </c>
      <c r="H860" s="75" t="s">
        <v>1640</v>
      </c>
      <c r="I860" s="74"/>
      <c r="J860" s="75" t="s">
        <v>484</v>
      </c>
      <c r="K860" s="80" t="s">
        <v>903</v>
      </c>
      <c r="L860" s="76"/>
      <c r="M860" s="77">
        <f t="shared" ca="1" si="28"/>
        <v>45954</v>
      </c>
      <c r="N860" s="74" t="str">
        <f>_xlfn.IFNA(VLOOKUP(db_emp[[#This Row],[ID_DIV]],[1]!db_dpt[[Code_dpt]:[Departement]],2,0),"-")</f>
        <v>-</v>
      </c>
      <c r="O860" s="74" t="str">
        <f>_xlfn.IFNA(VLOOKUP(db_emp[[#This Row],[ID_SDP]],[1]!db_div[[Code_div]:[Division]],2,0),"-")</f>
        <v>-</v>
      </c>
      <c r="P860" s="74" t="str">
        <f>_xlfn.IFNA(VLOOKUP(db_emp[[#This Row],[Code_lvl]],[1]!db_lvl[[#All],[ID_level]:[Leveling Name]],2,0),"-")</f>
        <v>Non Staff</v>
      </c>
      <c r="Q860" s="74" t="str">
        <f>_xlfn.IFNA(VLOOKUP(db_emp[[#This Row],[Code_site]],[1]!db_site[[ID_Site]:[Url_maps]],3,0),"-")</f>
        <v>Unit - PIK Avenue</v>
      </c>
      <c r="R8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170615,'Deri Ardiansyah','HRD','','Messenger','LV13','','M01','Resign','1900-01-00','2025-10-24'</v>
      </c>
      <c r="S860" s="74">
        <f>db_emp[[#This Row],[NIP (UPDATE)]]</f>
        <v>170615</v>
      </c>
    </row>
    <row r="861" spans="2:19" hidden="1" x14ac:dyDescent="0.25">
      <c r="B861" s="75">
        <v>831</v>
      </c>
      <c r="C861" s="75">
        <v>170624</v>
      </c>
      <c r="D861" s="74" t="s">
        <v>2137</v>
      </c>
      <c r="E861" s="75" t="s">
        <v>2138</v>
      </c>
      <c r="F861" s="75"/>
      <c r="G861" s="74" t="s">
        <v>2139</v>
      </c>
      <c r="H861" s="75" t="s">
        <v>848</v>
      </c>
      <c r="I861" s="74"/>
      <c r="J861" s="75" t="s">
        <v>484</v>
      </c>
      <c r="K861" s="80" t="s">
        <v>903</v>
      </c>
      <c r="L861" s="76"/>
      <c r="M861" s="77">
        <f t="shared" ca="1" si="28"/>
        <v>45954</v>
      </c>
      <c r="N861" s="74" t="str">
        <f>_xlfn.IFNA(VLOOKUP(db_emp[[#This Row],[ID_DIV]],[1]!db_dpt[[Code_dpt]:[Departement]],2,0),"-")</f>
        <v>-</v>
      </c>
      <c r="O861" s="74" t="str">
        <f>_xlfn.IFNA(VLOOKUP(db_emp[[#This Row],[ID_SDP]],[1]!db_div[[Code_div]:[Division]],2,0),"-")</f>
        <v>-</v>
      </c>
      <c r="P861" s="74" t="str">
        <f>_xlfn.IFNA(VLOOKUP(db_emp[[#This Row],[Code_lvl]],[1]!db_lvl[[#All],[ID_level]:[Leveling Name]],2,0),"-")</f>
        <v>Assistant Manager</v>
      </c>
      <c r="Q861" s="74" t="str">
        <f>_xlfn.IFNA(VLOOKUP(db_emp[[#This Row],[Code_site]],[1]!db_site[[ID_Site]:[Url_maps]],3,0),"-")</f>
        <v>Unit - PIK Avenue</v>
      </c>
      <c r="R8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170624,'Albert Marvindo','CCM','','Visual Merchandise Asst. Manager','LV07','','M01','Resign','1900-01-00','2025-10-24'</v>
      </c>
      <c r="S861" s="74">
        <f>db_emp[[#This Row],[NIP (UPDATE)]]</f>
        <v>170624</v>
      </c>
    </row>
    <row r="862" spans="2:19" hidden="1" x14ac:dyDescent="0.25">
      <c r="B862" s="75">
        <v>832</v>
      </c>
      <c r="C862" s="75">
        <v>170671</v>
      </c>
      <c r="D862" s="74" t="s">
        <v>1789</v>
      </c>
      <c r="E862" s="75" t="s">
        <v>1018</v>
      </c>
      <c r="F862" s="75"/>
      <c r="G862" s="74" t="s">
        <v>2112</v>
      </c>
      <c r="H862" s="80" t="s">
        <v>853</v>
      </c>
      <c r="I862" s="74"/>
      <c r="J862" s="75" t="s">
        <v>314</v>
      </c>
      <c r="K862" s="80" t="s">
        <v>903</v>
      </c>
      <c r="L862" s="76"/>
      <c r="M862" s="77">
        <f t="shared" ca="1" si="28"/>
        <v>45954</v>
      </c>
      <c r="N862" s="74" t="str">
        <f>_xlfn.IFNA(VLOOKUP(db_emp[[#This Row],[ID_DIV]],[1]!db_dpt[[Code_dpt]:[Departement]],2,0),"-")</f>
        <v>Operational</v>
      </c>
      <c r="O862" s="74" t="str">
        <f>_xlfn.IFNA(VLOOKUP(db_emp[[#This Row],[ID_SDP]],[1]!db_div[[Code_div]:[Division]],2,0),"-")</f>
        <v>-</v>
      </c>
      <c r="P862" s="74" t="str">
        <f>_xlfn.IFNA(VLOOKUP(db_emp[[#This Row],[Code_lvl]],[1]!db_lvl[[#All],[ID_level]:[Leveling Name]],2,0),"-")</f>
        <v>Staff</v>
      </c>
      <c r="Q862" s="74" t="str">
        <f>_xlfn.IFNA(VLOOKUP(db_emp[[#This Row],[Code_site]],[1]!db_site[[ID_Site]:[Url_maps]],3,0),"-")</f>
        <v>Unit - MOI</v>
      </c>
      <c r="R8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170671,'Leo Andika','OPR','','Kawasan Staff','LV12','','M02','Resign','1900-01-00','2025-10-24'</v>
      </c>
      <c r="S862" s="74">
        <f>db_emp[[#This Row],[NIP (UPDATE)]]</f>
        <v>170671</v>
      </c>
    </row>
    <row r="863" spans="2:19" hidden="1" x14ac:dyDescent="0.25">
      <c r="B863" s="75">
        <v>833</v>
      </c>
      <c r="C863" s="75">
        <v>170794</v>
      </c>
      <c r="D863" s="74" t="s">
        <v>2140</v>
      </c>
      <c r="E863" s="75" t="s">
        <v>920</v>
      </c>
      <c r="F863" s="75"/>
      <c r="G863" s="74" t="s">
        <v>2141</v>
      </c>
      <c r="H863" s="75" t="s">
        <v>853</v>
      </c>
      <c r="I863" s="74"/>
      <c r="J863" s="75" t="s">
        <v>314</v>
      </c>
      <c r="K863" s="80" t="s">
        <v>903</v>
      </c>
      <c r="L863" s="76"/>
      <c r="M863" s="77">
        <f t="shared" ca="1" si="28"/>
        <v>45954</v>
      </c>
      <c r="N863" s="74" t="str">
        <f>_xlfn.IFNA(VLOOKUP(db_emp[[#This Row],[ID_DIV]],[1]!db_dpt[[Code_dpt]:[Departement]],2,0),"-")</f>
        <v>Leasing</v>
      </c>
      <c r="O863" s="74" t="str">
        <f>_xlfn.IFNA(VLOOKUP(db_emp[[#This Row],[ID_SDP]],[1]!db_div[[Code_div]:[Division]],2,0),"-")</f>
        <v>-</v>
      </c>
      <c r="P863" s="74" t="str">
        <f>_xlfn.IFNA(VLOOKUP(db_emp[[#This Row],[Code_lvl]],[1]!db_lvl[[#All],[ID_level]:[Leveling Name]],2,0),"-")</f>
        <v>Staff</v>
      </c>
      <c r="Q863" s="74" t="str">
        <f>_xlfn.IFNA(VLOOKUP(db_emp[[#This Row],[Code_site]],[1]!db_site[[ID_Site]:[Url_maps]],3,0),"-")</f>
        <v>Unit - MOI</v>
      </c>
      <c r="R8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170794,'Grace Agustina Prasisca','LEA','','Leasing Admin','LV12','','M02','Resign','1900-01-00','2025-10-24'</v>
      </c>
      <c r="S863" s="74">
        <f>db_emp[[#This Row],[NIP (UPDATE)]]</f>
        <v>170794</v>
      </c>
    </row>
    <row r="864" spans="2:19" hidden="1" x14ac:dyDescent="0.25">
      <c r="B864" s="80">
        <v>834</v>
      </c>
      <c r="C864" s="75">
        <v>170848</v>
      </c>
      <c r="D864" s="74" t="s">
        <v>2142</v>
      </c>
      <c r="E864" s="75" t="s">
        <v>845</v>
      </c>
      <c r="F864" s="75"/>
      <c r="G864" s="74" t="s">
        <v>876</v>
      </c>
      <c r="H864" s="80" t="s">
        <v>853</v>
      </c>
      <c r="I864" s="74"/>
      <c r="J864" s="75" t="s">
        <v>315</v>
      </c>
      <c r="K864" s="80" t="s">
        <v>903</v>
      </c>
      <c r="L864" s="76"/>
      <c r="M864" s="77">
        <f t="shared" ca="1" si="28"/>
        <v>45954</v>
      </c>
      <c r="N864" s="74" t="str">
        <f>_xlfn.IFNA(VLOOKUP(db_emp[[#This Row],[ID_DIV]],[1]!db_dpt[[Code_dpt]:[Departement]],2,0),"-")</f>
        <v>Finance &amp; Accounting</v>
      </c>
      <c r="O864" s="74" t="str">
        <f>_xlfn.IFNA(VLOOKUP(db_emp[[#This Row],[ID_SDP]],[1]!db_div[[Code_div]:[Division]],2,0),"-")</f>
        <v>-</v>
      </c>
      <c r="P864" s="74" t="str">
        <f>_xlfn.IFNA(VLOOKUP(db_emp[[#This Row],[Code_lvl]],[1]!db_lvl[[#All],[ID_level]:[Leveling Name]],2,0),"-")</f>
        <v>Staff</v>
      </c>
      <c r="Q864" s="74" t="str">
        <f>_xlfn.IFNA(VLOOKUP(db_emp[[#This Row],[Code_site]],[1]!db_site[[ID_Site]:[Url_maps]],3,0),"-")</f>
        <v>Head Office - ASGO</v>
      </c>
      <c r="R8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170848,'Ericka Zulfalina','FIN','','Account Receivable Staff','LV12','','O99','Resign','1900-01-00','2025-10-24'</v>
      </c>
      <c r="S864" s="74">
        <f>db_emp[[#This Row],[NIP (UPDATE)]]</f>
        <v>170848</v>
      </c>
    </row>
    <row r="865" spans="2:19" hidden="1" x14ac:dyDescent="0.25">
      <c r="B865" s="75">
        <v>835</v>
      </c>
      <c r="C865" s="75">
        <v>170902</v>
      </c>
      <c r="D865" s="74" t="s">
        <v>2143</v>
      </c>
      <c r="E865" s="75" t="s">
        <v>2108</v>
      </c>
      <c r="F865" s="75"/>
      <c r="G865" s="74" t="s">
        <v>1755</v>
      </c>
      <c r="H865" s="80" t="s">
        <v>853</v>
      </c>
      <c r="I865" s="74"/>
      <c r="J865" s="75" t="s">
        <v>315</v>
      </c>
      <c r="K865" s="80" t="s">
        <v>903</v>
      </c>
      <c r="L865" s="76"/>
      <c r="M865" s="77">
        <f t="shared" ca="1" si="28"/>
        <v>45954</v>
      </c>
      <c r="N865" s="74" t="str">
        <f>_xlfn.IFNA(VLOOKUP(db_emp[[#This Row],[ID_DIV]],[1]!db_dpt[[Code_dpt]:[Departement]],2,0),"-")</f>
        <v>-</v>
      </c>
      <c r="O865" s="74" t="str">
        <f>_xlfn.IFNA(VLOOKUP(db_emp[[#This Row],[ID_SDP]],[1]!db_div[[Code_div]:[Division]],2,0),"-")</f>
        <v>-</v>
      </c>
      <c r="P865" s="74" t="str">
        <f>_xlfn.IFNA(VLOOKUP(db_emp[[#This Row],[Code_lvl]],[1]!db_lvl[[#All],[ID_level]:[Leveling Name]],2,0),"-")</f>
        <v>Staff</v>
      </c>
      <c r="Q865" s="74" t="str">
        <f>_xlfn.IFNA(VLOOKUP(db_emp[[#This Row],[Code_site]],[1]!db_site[[ID_Site]:[Url_maps]],3,0),"-")</f>
        <v>Head Office - ASGO</v>
      </c>
      <c r="R8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170902,'Komalasari.','PRO','','Procurement Staff','LV12','','O99','Resign','1900-01-00','2025-10-24'</v>
      </c>
      <c r="S865" s="74">
        <f>db_emp[[#This Row],[NIP (UPDATE)]]</f>
        <v>170902</v>
      </c>
    </row>
    <row r="866" spans="2:19" hidden="1" x14ac:dyDescent="0.25">
      <c r="B866" s="75">
        <v>836</v>
      </c>
      <c r="C866" s="75">
        <v>170919</v>
      </c>
      <c r="D866" s="74" t="s">
        <v>2144</v>
      </c>
      <c r="E866" s="75" t="s">
        <v>845</v>
      </c>
      <c r="F866" s="75"/>
      <c r="G866" s="74" t="s">
        <v>876</v>
      </c>
      <c r="H866" s="80" t="s">
        <v>853</v>
      </c>
      <c r="I866" s="74"/>
      <c r="J866" s="75" t="s">
        <v>315</v>
      </c>
      <c r="K866" s="80" t="s">
        <v>903</v>
      </c>
      <c r="L866" s="76"/>
      <c r="M866" s="77">
        <f t="shared" ca="1" si="28"/>
        <v>45954</v>
      </c>
      <c r="N866" s="74" t="str">
        <f>_xlfn.IFNA(VLOOKUP(db_emp[[#This Row],[ID_DIV]],[1]!db_dpt[[Code_dpt]:[Departement]],2,0),"-")</f>
        <v>Finance &amp; Accounting</v>
      </c>
      <c r="O866" s="74" t="str">
        <f>_xlfn.IFNA(VLOOKUP(db_emp[[#This Row],[ID_SDP]],[1]!db_div[[Code_div]:[Division]],2,0),"-")</f>
        <v>-</v>
      </c>
      <c r="P866" s="74" t="str">
        <f>_xlfn.IFNA(VLOOKUP(db_emp[[#This Row],[Code_lvl]],[1]!db_lvl[[#All],[ID_level]:[Leveling Name]],2,0),"-")</f>
        <v>Staff</v>
      </c>
      <c r="Q866" s="74" t="str">
        <f>_xlfn.IFNA(VLOOKUP(db_emp[[#This Row],[Code_site]],[1]!db_site[[ID_Site]:[Url_maps]],3,0),"-")</f>
        <v>Head Office - ASGO</v>
      </c>
      <c r="R8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170919,'Siti Yuli Yanna','FIN','','Account Receivable Staff','LV12','','O99','Resign','1900-01-00','2025-10-24'</v>
      </c>
      <c r="S866" s="74">
        <f>db_emp[[#This Row],[NIP (UPDATE)]]</f>
        <v>170919</v>
      </c>
    </row>
    <row r="867" spans="2:19" hidden="1" x14ac:dyDescent="0.25">
      <c r="B867" s="75">
        <v>837</v>
      </c>
      <c r="C867" s="75">
        <v>170921</v>
      </c>
      <c r="D867" s="74" t="s">
        <v>1641</v>
      </c>
      <c r="E867" s="75" t="s">
        <v>130</v>
      </c>
      <c r="F867" s="75"/>
      <c r="G867" s="74" t="s">
        <v>186</v>
      </c>
      <c r="H867" s="75" t="s">
        <v>1640</v>
      </c>
      <c r="I867" s="74"/>
      <c r="J867" s="75" t="s">
        <v>316</v>
      </c>
      <c r="K867" s="80" t="s">
        <v>903</v>
      </c>
      <c r="L867" s="76"/>
      <c r="M867" s="77">
        <f t="shared" ca="1" si="28"/>
        <v>45954</v>
      </c>
      <c r="N867" s="74" t="str">
        <f>_xlfn.IFNA(VLOOKUP(db_emp[[#This Row],[ID_DIV]],[1]!db_dpt[[Code_dpt]:[Departement]],2,0),"-")</f>
        <v>-</v>
      </c>
      <c r="O867" s="74" t="str">
        <f>_xlfn.IFNA(VLOOKUP(db_emp[[#This Row],[ID_SDP]],[1]!db_div[[Code_div]:[Division]],2,0),"-")</f>
        <v>-</v>
      </c>
      <c r="P867" s="74" t="str">
        <f>_xlfn.IFNA(VLOOKUP(db_emp[[#This Row],[Code_lvl]],[1]!db_lvl[[#All],[ID_level]:[Leveling Name]],2,0),"-")</f>
        <v>Non Staff</v>
      </c>
      <c r="Q867" s="74" t="str">
        <f>_xlfn.IFNA(VLOOKUP(db_emp[[#This Row],[Code_site]],[1]!db_site[[ID_Site]:[Url_maps]],3,0),"-")</f>
        <v>Unit - GGP</v>
      </c>
      <c r="R8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170921,'Azistia Kurniadi','HRD','','Messenger','LV13','','M03','Resign','1900-01-00','2025-10-24'</v>
      </c>
      <c r="S867" s="74">
        <f>db_emp[[#This Row],[NIP (UPDATE)]]</f>
        <v>170921</v>
      </c>
    </row>
    <row r="868" spans="2:19" hidden="1" x14ac:dyDescent="0.25">
      <c r="B868" s="80">
        <v>838</v>
      </c>
      <c r="C868" s="75">
        <v>180188</v>
      </c>
      <c r="D868" s="74" t="s">
        <v>2145</v>
      </c>
      <c r="E868" s="75" t="s">
        <v>845</v>
      </c>
      <c r="F868" s="75"/>
      <c r="G868" s="74" t="s">
        <v>1894</v>
      </c>
      <c r="H868" s="80" t="s">
        <v>853</v>
      </c>
      <c r="I868" s="74"/>
      <c r="J868" s="75" t="s">
        <v>315</v>
      </c>
      <c r="K868" s="80" t="s">
        <v>903</v>
      </c>
      <c r="L868" s="76"/>
      <c r="M868" s="77">
        <f t="shared" ca="1" si="28"/>
        <v>45954</v>
      </c>
      <c r="N868" s="74" t="str">
        <f>_xlfn.IFNA(VLOOKUP(db_emp[[#This Row],[ID_DIV]],[1]!db_dpt[[Code_dpt]:[Departement]],2,0),"-")</f>
        <v>Finance &amp; Accounting</v>
      </c>
      <c r="O868" s="74" t="str">
        <f>_xlfn.IFNA(VLOOKUP(db_emp[[#This Row],[ID_SDP]],[1]!db_div[[Code_div]:[Division]],2,0),"-")</f>
        <v>-</v>
      </c>
      <c r="P868" s="74" t="str">
        <f>_xlfn.IFNA(VLOOKUP(db_emp[[#This Row],[Code_lvl]],[1]!db_lvl[[#All],[ID_level]:[Leveling Name]],2,0),"-")</f>
        <v>Staff</v>
      </c>
      <c r="Q868" s="74" t="str">
        <f>_xlfn.IFNA(VLOOKUP(db_emp[[#This Row],[Code_site]],[1]!db_site[[ID_Site]:[Url_maps]],3,0),"-")</f>
        <v>Head Office - ASGO</v>
      </c>
      <c r="R8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180188,'Suhaibah.','FIN','','Tax Staff','LV12','','O99','Resign','1900-01-00','2025-10-24'</v>
      </c>
      <c r="S868" s="74">
        <f>db_emp[[#This Row],[NIP (UPDATE)]]</f>
        <v>180188</v>
      </c>
    </row>
    <row r="869" spans="2:19" hidden="1" x14ac:dyDescent="0.25">
      <c r="B869" s="75">
        <v>839</v>
      </c>
      <c r="C869" s="75">
        <v>180202</v>
      </c>
      <c r="D869" s="74" t="s">
        <v>2146</v>
      </c>
      <c r="E869" s="75" t="s">
        <v>845</v>
      </c>
      <c r="F869" s="75"/>
      <c r="G869" s="74" t="s">
        <v>908</v>
      </c>
      <c r="H869" s="75" t="s">
        <v>870</v>
      </c>
      <c r="I869" s="74"/>
      <c r="J869" s="75" t="s">
        <v>315</v>
      </c>
      <c r="K869" s="80" t="s">
        <v>903</v>
      </c>
      <c r="L869" s="76"/>
      <c r="M869" s="77">
        <f t="shared" ca="1" si="28"/>
        <v>45954</v>
      </c>
      <c r="N869" s="74" t="str">
        <f>_xlfn.IFNA(VLOOKUP(db_emp[[#This Row],[ID_DIV]],[1]!db_dpt[[Code_dpt]:[Departement]],2,0),"-")</f>
        <v>Finance &amp; Accounting</v>
      </c>
      <c r="O869" s="74" t="str">
        <f>_xlfn.IFNA(VLOOKUP(db_emp[[#This Row],[ID_SDP]],[1]!db_div[[Code_div]:[Division]],2,0),"-")</f>
        <v>-</v>
      </c>
      <c r="P869" s="74" t="str">
        <f>_xlfn.IFNA(VLOOKUP(db_emp[[#This Row],[Code_lvl]],[1]!db_lvl[[#All],[ID_level]:[Leveling Name]],2,0),"-")</f>
        <v>Supervisor</v>
      </c>
      <c r="Q869" s="74" t="str">
        <f>_xlfn.IFNA(VLOOKUP(db_emp[[#This Row],[Code_site]],[1]!db_site[[ID_Site]:[Url_maps]],3,0),"-")</f>
        <v>Head Office - ASGO</v>
      </c>
      <c r="R8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180202,'Citra Puspa Soraya','FIN','','Accounting Supervisor','LV09','','O99','Resign','1900-01-00','2025-10-24'</v>
      </c>
      <c r="S869" s="74">
        <f>db_emp[[#This Row],[NIP (UPDATE)]]</f>
        <v>180202</v>
      </c>
    </row>
    <row r="870" spans="2:19" hidden="1" x14ac:dyDescent="0.25">
      <c r="B870" s="75">
        <v>840</v>
      </c>
      <c r="C870" s="75">
        <v>180263</v>
      </c>
      <c r="D870" s="74" t="s">
        <v>2147</v>
      </c>
      <c r="E870" s="75" t="s">
        <v>2073</v>
      </c>
      <c r="F870" s="75"/>
      <c r="G870" s="74" t="s">
        <v>2148</v>
      </c>
      <c r="H870" s="75" t="s">
        <v>870</v>
      </c>
      <c r="I870" s="74"/>
      <c r="J870" s="75" t="s">
        <v>315</v>
      </c>
      <c r="K870" s="80" t="s">
        <v>903</v>
      </c>
      <c r="L870" s="76"/>
      <c r="M870" s="77">
        <f t="shared" ca="1" si="28"/>
        <v>45954</v>
      </c>
      <c r="N870" s="74" t="str">
        <f>_xlfn.IFNA(VLOOKUP(db_emp[[#This Row],[ID_DIV]],[1]!db_dpt[[Code_dpt]:[Departement]],2,0),"-")</f>
        <v>-</v>
      </c>
      <c r="O870" s="74" t="str">
        <f>_xlfn.IFNA(VLOOKUP(db_emp[[#This Row],[ID_SDP]],[1]!db_div[[Code_div]:[Division]],2,0),"-")</f>
        <v>-</v>
      </c>
      <c r="P870" s="74" t="str">
        <f>_xlfn.IFNA(VLOOKUP(db_emp[[#This Row],[Code_lvl]],[1]!db_lvl[[#All],[ID_level]:[Leveling Name]],2,0),"-")</f>
        <v>Supervisor</v>
      </c>
      <c r="Q870" s="74" t="str">
        <f>_xlfn.IFNA(VLOOKUP(db_emp[[#This Row],[Code_site]],[1]!db_site[[ID_Site]:[Url_maps]],3,0),"-")</f>
        <v>Head Office - ASGO</v>
      </c>
      <c r="R8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180263,'Agung Hidayat','CRM','','System Analyst Supervisor','LV09','','O99','Resign','1900-01-00','2025-10-24'</v>
      </c>
      <c r="S870" s="74">
        <f>db_emp[[#This Row],[NIP (UPDATE)]]</f>
        <v>180263</v>
      </c>
    </row>
    <row r="871" spans="2:19" hidden="1" x14ac:dyDescent="0.25">
      <c r="B871" s="75">
        <v>841</v>
      </c>
      <c r="C871" s="75">
        <v>180282</v>
      </c>
      <c r="D871" s="74" t="s">
        <v>1178</v>
      </c>
      <c r="E871" s="75" t="s">
        <v>920</v>
      </c>
      <c r="F871" s="75"/>
      <c r="G871" s="74" t="s">
        <v>2149</v>
      </c>
      <c r="H871" s="75" t="s">
        <v>853</v>
      </c>
      <c r="I871" s="74"/>
      <c r="J871" s="75" t="s">
        <v>314</v>
      </c>
      <c r="K871" s="80" t="s">
        <v>903</v>
      </c>
      <c r="L871" s="76"/>
      <c r="M871" s="77">
        <f t="shared" ca="1" si="28"/>
        <v>45954</v>
      </c>
      <c r="N871" s="74" t="str">
        <f>_xlfn.IFNA(VLOOKUP(db_emp[[#This Row],[ID_DIV]],[1]!db_dpt[[Code_dpt]:[Departement]],2,0),"-")</f>
        <v>Leasing</v>
      </c>
      <c r="O871" s="74" t="str">
        <f>_xlfn.IFNA(VLOOKUP(db_emp[[#This Row],[ID_SDP]],[1]!db_div[[Code_div]:[Division]],2,0),"-")</f>
        <v>-</v>
      </c>
      <c r="P871" s="74" t="str">
        <f>_xlfn.IFNA(VLOOKUP(db_emp[[#This Row],[Code_lvl]],[1]!db_lvl[[#All],[ID_level]:[Leveling Name]],2,0),"-")</f>
        <v>Staff</v>
      </c>
      <c r="Q871" s="74" t="str">
        <f>_xlfn.IFNA(VLOOKUP(db_emp[[#This Row],[Code_site]],[1]!db_site[[ID_Site]:[Url_maps]],3,0),"-")</f>
        <v>Unit - MOI</v>
      </c>
      <c r="R8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180282,'Sidha Primanda','LEA','','Drafter Leasing','LV12','','M02','Resign','1900-01-00','2025-10-24'</v>
      </c>
      <c r="S871" s="74">
        <f>db_emp[[#This Row],[NIP (UPDATE)]]</f>
        <v>180282</v>
      </c>
    </row>
    <row r="872" spans="2:19" hidden="1" x14ac:dyDescent="0.25">
      <c r="B872" s="80">
        <v>842</v>
      </c>
      <c r="C872" s="75">
        <v>180358</v>
      </c>
      <c r="D872" s="74" t="s">
        <v>1287</v>
      </c>
      <c r="E872" s="75" t="s">
        <v>911</v>
      </c>
      <c r="F872" s="75"/>
      <c r="G872" s="74" t="s">
        <v>1905</v>
      </c>
      <c r="H872" s="80" t="s">
        <v>853</v>
      </c>
      <c r="I872" s="74"/>
      <c r="J872" s="75" t="s">
        <v>433</v>
      </c>
      <c r="K872" s="80" t="s">
        <v>903</v>
      </c>
      <c r="L872" s="76"/>
      <c r="M872" s="77">
        <f t="shared" ca="1" si="28"/>
        <v>45954</v>
      </c>
      <c r="N872" s="74" t="str">
        <f>_xlfn.IFNA(VLOOKUP(db_emp[[#This Row],[ID_DIV]],[1]!db_dpt[[Code_dpt]:[Departement]],2,0),"-")</f>
        <v>Engineering</v>
      </c>
      <c r="O872" s="74" t="str">
        <f>_xlfn.IFNA(VLOOKUP(db_emp[[#This Row],[ID_SDP]],[1]!db_div[[Code_div]:[Division]],2,0),"-")</f>
        <v>-</v>
      </c>
      <c r="P872" s="74" t="str">
        <f>_xlfn.IFNA(VLOOKUP(db_emp[[#This Row],[Code_lvl]],[1]!db_lvl[[#All],[ID_level]:[Leveling Name]],2,0),"-")</f>
        <v>Staff</v>
      </c>
      <c r="Q872" s="74" t="str">
        <f>_xlfn.IFNA(VLOOKUP(db_emp[[#This Row],[Code_site]],[1]!db_site[[ID_Site]:[Url_maps]],3,0),"-")</f>
        <v>Unit - Taman Anggrek Residences</v>
      </c>
      <c r="R8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180358,'Muhammad Tri Sumantri','ENG','','Technician Staff','LV12','','A01','Resign','1900-01-00','2025-10-24'</v>
      </c>
      <c r="S872" s="74">
        <f>db_emp[[#This Row],[NIP (UPDATE)]]</f>
        <v>180358</v>
      </c>
    </row>
    <row r="873" spans="2:19" hidden="1" x14ac:dyDescent="0.25">
      <c r="B873" s="75">
        <v>843</v>
      </c>
      <c r="C873" s="75">
        <v>180397</v>
      </c>
      <c r="D873" s="74" t="s">
        <v>1289</v>
      </c>
      <c r="E873" s="75" t="s">
        <v>911</v>
      </c>
      <c r="F873" s="75"/>
      <c r="G873" s="74" t="s">
        <v>1905</v>
      </c>
      <c r="H873" s="80" t="s">
        <v>853</v>
      </c>
      <c r="I873" s="74"/>
      <c r="J873" s="75" t="s">
        <v>433</v>
      </c>
      <c r="K873" s="80" t="s">
        <v>903</v>
      </c>
      <c r="L873" s="76"/>
      <c r="M873" s="77">
        <f t="shared" ca="1" si="28"/>
        <v>45954</v>
      </c>
      <c r="N873" s="74" t="str">
        <f>_xlfn.IFNA(VLOOKUP(db_emp[[#This Row],[ID_DIV]],[1]!db_dpt[[Code_dpt]:[Departement]],2,0),"-")</f>
        <v>Engineering</v>
      </c>
      <c r="O873" s="74" t="str">
        <f>_xlfn.IFNA(VLOOKUP(db_emp[[#This Row],[ID_SDP]],[1]!db_div[[Code_div]:[Division]],2,0),"-")</f>
        <v>-</v>
      </c>
      <c r="P873" s="74" t="str">
        <f>_xlfn.IFNA(VLOOKUP(db_emp[[#This Row],[Code_lvl]],[1]!db_lvl[[#All],[ID_level]:[Leveling Name]],2,0),"-")</f>
        <v>Staff</v>
      </c>
      <c r="Q873" s="74" t="str">
        <f>_xlfn.IFNA(VLOOKUP(db_emp[[#This Row],[Code_site]],[1]!db_site[[ID_Site]:[Url_maps]],3,0),"-")</f>
        <v>Unit - Taman Anggrek Residences</v>
      </c>
      <c r="R8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180397,'Ariz Kharisma','ENG','','Technician Staff','LV12','','A01','Resign','1900-01-00','2025-10-24'</v>
      </c>
      <c r="S873" s="74">
        <f>db_emp[[#This Row],[NIP (UPDATE)]]</f>
        <v>180397</v>
      </c>
    </row>
    <row r="874" spans="2:19" hidden="1" x14ac:dyDescent="0.25">
      <c r="B874" s="75">
        <v>844</v>
      </c>
      <c r="C874" s="75">
        <v>180398</v>
      </c>
      <c r="D874" s="74" t="s">
        <v>1288</v>
      </c>
      <c r="E874" s="75" t="s">
        <v>911</v>
      </c>
      <c r="F874" s="75"/>
      <c r="G874" s="74" t="s">
        <v>1905</v>
      </c>
      <c r="H874" s="80" t="s">
        <v>853</v>
      </c>
      <c r="I874" s="74"/>
      <c r="J874" s="75" t="s">
        <v>433</v>
      </c>
      <c r="K874" s="80" t="s">
        <v>903</v>
      </c>
      <c r="L874" s="76"/>
      <c r="M874" s="77">
        <f t="shared" ca="1" si="28"/>
        <v>45954</v>
      </c>
      <c r="N874" s="74" t="str">
        <f>_xlfn.IFNA(VLOOKUP(db_emp[[#This Row],[ID_DIV]],[1]!db_dpt[[Code_dpt]:[Departement]],2,0),"-")</f>
        <v>Engineering</v>
      </c>
      <c r="O874" s="74" t="str">
        <f>_xlfn.IFNA(VLOOKUP(db_emp[[#This Row],[ID_SDP]],[1]!db_div[[Code_div]:[Division]],2,0),"-")</f>
        <v>-</v>
      </c>
      <c r="P874" s="74" t="str">
        <f>_xlfn.IFNA(VLOOKUP(db_emp[[#This Row],[Code_lvl]],[1]!db_lvl[[#All],[ID_level]:[Leveling Name]],2,0),"-")</f>
        <v>Staff</v>
      </c>
      <c r="Q874" s="74" t="str">
        <f>_xlfn.IFNA(VLOOKUP(db_emp[[#This Row],[Code_site]],[1]!db_site[[ID_Site]:[Url_maps]],3,0),"-")</f>
        <v>Unit - Taman Anggrek Residences</v>
      </c>
      <c r="R8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180398,'Mohammad Reza Pratama','ENG','','Technician Staff','LV12','','A01','Resign','1900-01-00','2025-10-24'</v>
      </c>
      <c r="S874" s="74">
        <f>db_emp[[#This Row],[NIP (UPDATE)]]</f>
        <v>180398</v>
      </c>
    </row>
    <row r="875" spans="2:19" hidden="1" x14ac:dyDescent="0.25">
      <c r="B875" s="75">
        <v>845</v>
      </c>
      <c r="C875" s="75">
        <v>180416</v>
      </c>
      <c r="D875" s="74" t="s">
        <v>2150</v>
      </c>
      <c r="E875" s="75" t="s">
        <v>1018</v>
      </c>
      <c r="F875" s="75"/>
      <c r="G875" s="74" t="s">
        <v>1496</v>
      </c>
      <c r="H875" s="80" t="s">
        <v>853</v>
      </c>
      <c r="I875" s="74"/>
      <c r="J875" s="75" t="s">
        <v>314</v>
      </c>
      <c r="K875" s="80" t="s">
        <v>903</v>
      </c>
      <c r="L875" s="76"/>
      <c r="M875" s="77">
        <f t="shared" ca="1" si="28"/>
        <v>45954</v>
      </c>
      <c r="N875" s="74" t="str">
        <f>_xlfn.IFNA(VLOOKUP(db_emp[[#This Row],[ID_DIV]],[1]!db_dpt[[Code_dpt]:[Departement]],2,0),"-")</f>
        <v>Operational</v>
      </c>
      <c r="O875" s="74" t="str">
        <f>_xlfn.IFNA(VLOOKUP(db_emp[[#This Row],[ID_SDP]],[1]!db_div[[Code_div]:[Division]],2,0),"-")</f>
        <v>-</v>
      </c>
      <c r="P875" s="74" t="str">
        <f>_xlfn.IFNA(VLOOKUP(db_emp[[#This Row],[Code_lvl]],[1]!db_lvl[[#All],[ID_level]:[Leveling Name]],2,0),"-")</f>
        <v>Staff</v>
      </c>
      <c r="Q875" s="74" t="str">
        <f>_xlfn.IFNA(VLOOKUP(db_emp[[#This Row],[Code_site]],[1]!db_site[[ID_Site]:[Url_maps]],3,0),"-")</f>
        <v>Unit - MOI</v>
      </c>
      <c r="R8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180416,'Danang Prasetyo','OPR','','Housekeeping &amp; Parking Staff','LV12','','M02','Resign','1900-01-00','2025-10-24'</v>
      </c>
      <c r="S875" s="74">
        <f>db_emp[[#This Row],[NIP (UPDATE)]]</f>
        <v>180416</v>
      </c>
    </row>
    <row r="876" spans="2:19" hidden="1" x14ac:dyDescent="0.25">
      <c r="B876" s="80">
        <v>846</v>
      </c>
      <c r="C876" s="75">
        <v>180520</v>
      </c>
      <c r="D876" s="74" t="s">
        <v>1827</v>
      </c>
      <c r="E876" s="75" t="s">
        <v>1018</v>
      </c>
      <c r="F876" s="75"/>
      <c r="G876" s="74" t="s">
        <v>2151</v>
      </c>
      <c r="H876" s="75" t="s">
        <v>853</v>
      </c>
      <c r="I876" s="74"/>
      <c r="J876" s="75" t="s">
        <v>316</v>
      </c>
      <c r="K876" s="80" t="s">
        <v>903</v>
      </c>
      <c r="L876" s="76"/>
      <c r="M876" s="77">
        <f t="shared" ca="1" si="28"/>
        <v>45954</v>
      </c>
      <c r="N876" s="74" t="str">
        <f>_xlfn.IFNA(VLOOKUP(db_emp[[#This Row],[ID_DIV]],[1]!db_dpt[[Code_dpt]:[Departement]],2,0),"-")</f>
        <v>Operational</v>
      </c>
      <c r="O876" s="74" t="str">
        <f>_xlfn.IFNA(VLOOKUP(db_emp[[#This Row],[ID_SDP]],[1]!db_div[[Code_div]:[Division]],2,0),"-")</f>
        <v>-</v>
      </c>
      <c r="P876" s="74" t="str">
        <f>_xlfn.IFNA(VLOOKUP(db_emp[[#This Row],[Code_lvl]],[1]!db_lvl[[#All],[ID_level]:[Leveling Name]],2,0),"-")</f>
        <v>Staff</v>
      </c>
      <c r="Q876" s="74" t="str">
        <f>_xlfn.IFNA(VLOOKUP(db_emp[[#This Row],[Code_site]],[1]!db_site[[ID_Site]:[Url_maps]],3,0),"-")</f>
        <v>Unit - GGP</v>
      </c>
      <c r="R8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180520,'Wiharto Abie','OPR','','Leader CCTV','LV12','','M03','Resign','1900-01-00','2025-10-24'</v>
      </c>
      <c r="S876" s="74">
        <f>db_emp[[#This Row],[NIP (UPDATE)]]</f>
        <v>180520</v>
      </c>
    </row>
    <row r="877" spans="2:19" hidden="1" x14ac:dyDescent="0.25">
      <c r="B877" s="75">
        <v>847</v>
      </c>
      <c r="C877" s="75">
        <v>180595</v>
      </c>
      <c r="D877" s="74" t="s">
        <v>2152</v>
      </c>
      <c r="E877" s="75" t="s">
        <v>2153</v>
      </c>
      <c r="F877" s="75"/>
      <c r="G877" s="74" t="s">
        <v>2154</v>
      </c>
      <c r="H877" s="75" t="s">
        <v>2080</v>
      </c>
      <c r="I877" s="74"/>
      <c r="J877" s="75" t="s">
        <v>315</v>
      </c>
      <c r="K877" s="80" t="s">
        <v>903</v>
      </c>
      <c r="L877" s="76"/>
      <c r="M877" s="77">
        <f t="shared" ca="1" si="28"/>
        <v>45954</v>
      </c>
      <c r="N877" s="74" t="str">
        <f>_xlfn.IFNA(VLOOKUP(db_emp[[#This Row],[ID_DIV]],[1]!db_dpt[[Code_dpt]:[Departement]],2,0),"-")</f>
        <v>Hospitality</v>
      </c>
      <c r="O877" s="74" t="str">
        <f>_xlfn.IFNA(VLOOKUP(db_emp[[#This Row],[ID_SDP]],[1]!db_div[[Code_div]:[Division]],2,0),"-")</f>
        <v>-</v>
      </c>
      <c r="P877" s="74" t="str">
        <f>_xlfn.IFNA(VLOOKUP(db_emp[[#This Row],[Code_lvl]],[1]!db_lvl[[#All],[ID_level]:[Leveling Name]],2,0),"-")</f>
        <v>Chief</v>
      </c>
      <c r="Q877" s="74" t="str">
        <f>_xlfn.IFNA(VLOOKUP(db_emp[[#This Row],[Code_site]],[1]!db_site[[ID_Site]:[Url_maps]],3,0),"-")</f>
        <v>Head Office - ASGO</v>
      </c>
      <c r="R8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180595,'Ivan Casadevall Parra','HOS','','COO Hotel','LV00','','O99','Resign','1900-01-00','2025-10-24'</v>
      </c>
      <c r="S877" s="74">
        <f>db_emp[[#This Row],[NIP (UPDATE)]]</f>
        <v>180595</v>
      </c>
    </row>
    <row r="878" spans="2:19" hidden="1" x14ac:dyDescent="0.25">
      <c r="B878" s="75">
        <v>848</v>
      </c>
      <c r="C878" s="75">
        <v>180631</v>
      </c>
      <c r="D878" s="74" t="s">
        <v>2155</v>
      </c>
      <c r="E878" s="75" t="s">
        <v>920</v>
      </c>
      <c r="F878" s="75"/>
      <c r="G878" s="74" t="s">
        <v>1613</v>
      </c>
      <c r="H878" s="75" t="s">
        <v>870</v>
      </c>
      <c r="I878" s="74"/>
      <c r="J878" s="75" t="s">
        <v>314</v>
      </c>
      <c r="K878" s="80" t="s">
        <v>903</v>
      </c>
      <c r="L878" s="76"/>
      <c r="M878" s="77">
        <f t="shared" ca="1" si="28"/>
        <v>45954</v>
      </c>
      <c r="N878" s="74" t="str">
        <f>_xlfn.IFNA(VLOOKUP(db_emp[[#This Row],[ID_DIV]],[1]!db_dpt[[Code_dpt]:[Departement]],2,0),"-")</f>
        <v>Leasing</v>
      </c>
      <c r="O878" s="74" t="str">
        <f>_xlfn.IFNA(VLOOKUP(db_emp[[#This Row],[ID_SDP]],[1]!db_div[[Code_div]:[Division]],2,0),"-")</f>
        <v>-</v>
      </c>
      <c r="P878" s="74" t="str">
        <f>_xlfn.IFNA(VLOOKUP(db_emp[[#This Row],[Code_lvl]],[1]!db_lvl[[#All],[ID_level]:[Leveling Name]],2,0),"-")</f>
        <v>Supervisor</v>
      </c>
      <c r="Q878" s="74" t="str">
        <f>_xlfn.IFNA(VLOOKUP(db_emp[[#This Row],[Code_site]],[1]!db_site[[ID_Site]:[Url_maps]],3,0),"-")</f>
        <v>Unit - MOI</v>
      </c>
      <c r="R8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180631,'Stephanie Chrestella','LEA','','Leasing Supervisor','LV09','','M02','Resign','1900-01-00','2025-10-24'</v>
      </c>
      <c r="S878" s="74">
        <f>db_emp[[#This Row],[NIP (UPDATE)]]</f>
        <v>180631</v>
      </c>
    </row>
    <row r="879" spans="2:19" hidden="1" x14ac:dyDescent="0.25">
      <c r="B879" s="75">
        <v>849</v>
      </c>
      <c r="C879" s="75">
        <v>180649</v>
      </c>
      <c r="D879" s="74" t="s">
        <v>1690</v>
      </c>
      <c r="E879" s="75" t="s">
        <v>2037</v>
      </c>
      <c r="F879" s="75"/>
      <c r="G879" s="74" t="s">
        <v>2104</v>
      </c>
      <c r="H879" s="80" t="s">
        <v>853</v>
      </c>
      <c r="I879" s="74"/>
      <c r="J879" s="75" t="s">
        <v>314</v>
      </c>
      <c r="K879" s="80" t="s">
        <v>903</v>
      </c>
      <c r="L879" s="76"/>
      <c r="M879" s="77">
        <f t="shared" ca="1" si="28"/>
        <v>45954</v>
      </c>
      <c r="N879" s="74" t="str">
        <f>_xlfn.IFNA(VLOOKUP(db_emp[[#This Row],[ID_DIV]],[1]!db_dpt[[Code_dpt]:[Departement]],2,0),"-")</f>
        <v>-</v>
      </c>
      <c r="O879" s="74" t="str">
        <f>_xlfn.IFNA(VLOOKUP(db_emp[[#This Row],[ID_SDP]],[1]!db_div[[Code_div]:[Division]],2,0),"-")</f>
        <v>-</v>
      </c>
      <c r="P879" s="74" t="str">
        <f>_xlfn.IFNA(VLOOKUP(db_emp[[#This Row],[Code_lvl]],[1]!db_lvl[[#All],[ID_level]:[Leveling Name]],2,0),"-")</f>
        <v>Staff</v>
      </c>
      <c r="Q879" s="74" t="str">
        <f>_xlfn.IFNA(VLOOKUP(db_emp[[#This Row],[Code_site]],[1]!db_site[[ID_Site]:[Url_maps]],3,0),"-")</f>
        <v>Unit - MOI</v>
      </c>
      <c r="R8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180649,'Triyono.','IPP','','Plant Operator Staff','LV12','','M02','Resign','1900-01-00','2025-10-24'</v>
      </c>
      <c r="S879" s="74">
        <f>db_emp[[#This Row],[NIP (UPDATE)]]</f>
        <v>180649</v>
      </c>
    </row>
    <row r="880" spans="2:19" hidden="1" x14ac:dyDescent="0.25">
      <c r="B880" s="80">
        <v>850</v>
      </c>
      <c r="C880" s="75">
        <v>180657</v>
      </c>
      <c r="D880" s="74" t="s">
        <v>2156</v>
      </c>
      <c r="E880" s="75" t="s">
        <v>1036</v>
      </c>
      <c r="F880" s="75"/>
      <c r="G880" s="74" t="s">
        <v>1933</v>
      </c>
      <c r="H880" s="80" t="s">
        <v>853</v>
      </c>
      <c r="I880" s="74"/>
      <c r="J880" s="75" t="s">
        <v>433</v>
      </c>
      <c r="K880" s="80" t="s">
        <v>903</v>
      </c>
      <c r="L880" s="76"/>
      <c r="M880" s="77">
        <f t="shared" ca="1" si="28"/>
        <v>45954</v>
      </c>
      <c r="N880" s="74" t="str">
        <f>_xlfn.IFNA(VLOOKUP(db_emp[[#This Row],[ID_DIV]],[1]!db_dpt[[Code_dpt]:[Departement]],2,0),"-")</f>
        <v>Tenant Relation</v>
      </c>
      <c r="O880" s="74" t="str">
        <f>_xlfn.IFNA(VLOOKUP(db_emp[[#This Row],[ID_SDP]],[1]!db_div[[Code_div]:[Division]],2,0),"-")</f>
        <v>-</v>
      </c>
      <c r="P880" s="74" t="str">
        <f>_xlfn.IFNA(VLOOKUP(db_emp[[#This Row],[Code_lvl]],[1]!db_lvl[[#All],[ID_level]:[Leveling Name]],2,0),"-")</f>
        <v>Staff</v>
      </c>
      <c r="Q880" s="74" t="str">
        <f>_xlfn.IFNA(VLOOKUP(db_emp[[#This Row],[Code_site]],[1]!db_site[[ID_Site]:[Url_maps]],3,0),"-")</f>
        <v>Unit - Taman Anggrek Residences</v>
      </c>
      <c r="R8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180657,'Cendonahara Rizanda','TRL','','Tenant Relation Staff','LV12','','A01','Resign','1900-01-00','2025-10-24'</v>
      </c>
      <c r="S880" s="74">
        <f>db_emp[[#This Row],[NIP (UPDATE)]]</f>
        <v>180657</v>
      </c>
    </row>
    <row r="881" spans="2:19" hidden="1" x14ac:dyDescent="0.25">
      <c r="B881" s="75">
        <v>851</v>
      </c>
      <c r="C881" s="75">
        <v>180668</v>
      </c>
      <c r="D881" s="74" t="s">
        <v>2157</v>
      </c>
      <c r="E881" s="75" t="s">
        <v>1018</v>
      </c>
      <c r="F881" s="75"/>
      <c r="G881" s="74" t="s">
        <v>2158</v>
      </c>
      <c r="H881" s="75" t="s">
        <v>853</v>
      </c>
      <c r="I881" s="74"/>
      <c r="J881" s="75" t="s">
        <v>314</v>
      </c>
      <c r="K881" s="80" t="s">
        <v>903</v>
      </c>
      <c r="L881" s="76"/>
      <c r="M881" s="77">
        <f t="shared" ca="1" si="28"/>
        <v>45954</v>
      </c>
      <c r="N881" s="74" t="str">
        <f>_xlfn.IFNA(VLOOKUP(db_emp[[#This Row],[ID_DIV]],[1]!db_dpt[[Code_dpt]:[Departement]],2,0),"-")</f>
        <v>Operational</v>
      </c>
      <c r="O881" s="74" t="str">
        <f>_xlfn.IFNA(VLOOKUP(db_emp[[#This Row],[ID_SDP]],[1]!db_div[[Code_div]:[Division]],2,0),"-")</f>
        <v>-</v>
      </c>
      <c r="P881" s="74" t="str">
        <f>_xlfn.IFNA(VLOOKUP(db_emp[[#This Row],[Code_lvl]],[1]!db_lvl[[#All],[ID_level]:[Leveling Name]],2,0),"-")</f>
        <v>Staff</v>
      </c>
      <c r="Q881" s="74" t="str">
        <f>_xlfn.IFNA(VLOOKUP(db_emp[[#This Row],[Code_site]],[1]!db_site[[ID_Site]:[Url_maps]],3,0),"-")</f>
        <v>Unit - MOI</v>
      </c>
      <c r="R8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180668,'Iwan Setiawan','OPR','','Security Leader','LV12','','M02','Resign','1900-01-00','2025-10-24'</v>
      </c>
      <c r="S881" s="74">
        <f>db_emp[[#This Row],[NIP (UPDATE)]]</f>
        <v>180668</v>
      </c>
    </row>
    <row r="882" spans="2:19" hidden="1" x14ac:dyDescent="0.25">
      <c r="B882" s="75">
        <v>852</v>
      </c>
      <c r="C882" s="75">
        <v>180815</v>
      </c>
      <c r="D882" s="74" t="s">
        <v>2159</v>
      </c>
      <c r="E882" s="75" t="s">
        <v>920</v>
      </c>
      <c r="F882" s="75"/>
      <c r="G882" s="74" t="s">
        <v>2160</v>
      </c>
      <c r="H882" s="75" t="s">
        <v>1673</v>
      </c>
      <c r="I882" s="74"/>
      <c r="J882" s="75" t="s">
        <v>492</v>
      </c>
      <c r="K882" s="80" t="s">
        <v>903</v>
      </c>
      <c r="L882" s="76"/>
      <c r="M882" s="77">
        <f t="shared" ca="1" si="28"/>
        <v>45954</v>
      </c>
      <c r="N882" s="74" t="str">
        <f>_xlfn.IFNA(VLOOKUP(db_emp[[#This Row],[ID_DIV]],[1]!db_dpt[[Code_dpt]:[Departement]],2,0),"-")</f>
        <v>Leasing</v>
      </c>
      <c r="O882" s="74" t="str">
        <f>_xlfn.IFNA(VLOOKUP(db_emp[[#This Row],[ID_SDP]],[1]!db_div[[Code_div]:[Division]],2,0),"-")</f>
        <v>-</v>
      </c>
      <c r="P882" s="74" t="str">
        <f>_xlfn.IFNA(VLOOKUP(db_emp[[#This Row],[Code_lvl]],[1]!db_lvl[[#All],[ID_level]:[Leveling Name]],2,0),"-")</f>
        <v>Deputy General Manager</v>
      </c>
      <c r="Q882" s="74" t="str">
        <f>_xlfn.IFNA(VLOOKUP(db_emp[[#This Row],[Code_site]],[1]!db_site[[ID_Site]:[Url_maps]],3,0),"-")</f>
        <v>Unit - Hublife</v>
      </c>
      <c r="R8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180815,'Dahlia Salim','LEA','','Deputy GM Leasing','LV03','','M05','Resign','1900-01-00','2025-10-24'</v>
      </c>
      <c r="S882" s="74">
        <f>db_emp[[#This Row],[NIP (UPDATE)]]</f>
        <v>180815</v>
      </c>
    </row>
    <row r="883" spans="2:19" hidden="1" x14ac:dyDescent="0.25">
      <c r="B883" s="75">
        <v>853</v>
      </c>
      <c r="C883" s="75">
        <v>180827</v>
      </c>
      <c r="D883" s="74" t="s">
        <v>1291</v>
      </c>
      <c r="E883" s="75" t="s">
        <v>911</v>
      </c>
      <c r="F883" s="75"/>
      <c r="G883" s="74" t="s">
        <v>1905</v>
      </c>
      <c r="H883" s="80" t="s">
        <v>853</v>
      </c>
      <c r="I883" s="74"/>
      <c r="J883" s="75" t="s">
        <v>433</v>
      </c>
      <c r="K883" s="80" t="s">
        <v>903</v>
      </c>
      <c r="L883" s="76"/>
      <c r="M883" s="77">
        <f t="shared" ca="1" si="28"/>
        <v>45954</v>
      </c>
      <c r="N883" s="74" t="str">
        <f>_xlfn.IFNA(VLOOKUP(db_emp[[#This Row],[ID_DIV]],[1]!db_dpt[[Code_dpt]:[Departement]],2,0),"-")</f>
        <v>Engineering</v>
      </c>
      <c r="O883" s="74" t="str">
        <f>_xlfn.IFNA(VLOOKUP(db_emp[[#This Row],[ID_SDP]],[1]!db_div[[Code_div]:[Division]],2,0),"-")</f>
        <v>-</v>
      </c>
      <c r="P883" s="74" t="str">
        <f>_xlfn.IFNA(VLOOKUP(db_emp[[#This Row],[Code_lvl]],[1]!db_lvl[[#All],[ID_level]:[Leveling Name]],2,0),"-")</f>
        <v>Staff</v>
      </c>
      <c r="Q883" s="74" t="str">
        <f>_xlfn.IFNA(VLOOKUP(db_emp[[#This Row],[Code_site]],[1]!db_site[[ID_Site]:[Url_maps]],3,0),"-")</f>
        <v>Unit - Taman Anggrek Residences</v>
      </c>
      <c r="R8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180827,'Iqbal Heriyanto','ENG','','Technician Staff','LV12','','A01','Resign','1900-01-00','2025-10-24'</v>
      </c>
      <c r="S883" s="74">
        <f>db_emp[[#This Row],[NIP (UPDATE)]]</f>
        <v>180827</v>
      </c>
    </row>
    <row r="884" spans="2:19" hidden="1" x14ac:dyDescent="0.25">
      <c r="B884" s="80">
        <v>854</v>
      </c>
      <c r="C884" s="75">
        <v>180829</v>
      </c>
      <c r="D884" s="74" t="s">
        <v>1290</v>
      </c>
      <c r="E884" s="75" t="s">
        <v>911</v>
      </c>
      <c r="F884" s="75"/>
      <c r="G884" s="74" t="s">
        <v>1905</v>
      </c>
      <c r="H884" s="80" t="s">
        <v>853</v>
      </c>
      <c r="I884" s="74"/>
      <c r="J884" s="75" t="s">
        <v>433</v>
      </c>
      <c r="K884" s="80" t="s">
        <v>903</v>
      </c>
      <c r="L884" s="76"/>
      <c r="M884" s="77">
        <f t="shared" ca="1" si="28"/>
        <v>45954</v>
      </c>
      <c r="N884" s="74" t="str">
        <f>_xlfn.IFNA(VLOOKUP(db_emp[[#This Row],[ID_DIV]],[1]!db_dpt[[Code_dpt]:[Departement]],2,0),"-")</f>
        <v>Engineering</v>
      </c>
      <c r="O884" s="74" t="str">
        <f>_xlfn.IFNA(VLOOKUP(db_emp[[#This Row],[ID_SDP]],[1]!db_div[[Code_div]:[Division]],2,0),"-")</f>
        <v>-</v>
      </c>
      <c r="P884" s="74" t="str">
        <f>_xlfn.IFNA(VLOOKUP(db_emp[[#This Row],[Code_lvl]],[1]!db_lvl[[#All],[ID_level]:[Leveling Name]],2,0),"-")</f>
        <v>Staff</v>
      </c>
      <c r="Q884" s="74" t="str">
        <f>_xlfn.IFNA(VLOOKUP(db_emp[[#This Row],[Code_site]],[1]!db_site[[ID_Site]:[Url_maps]],3,0),"-")</f>
        <v>Unit - Taman Anggrek Residences</v>
      </c>
      <c r="R8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180829,'Jefri Iya Hatta','ENG','','Technician Staff','LV12','','A01','Resign','1900-01-00','2025-10-24'</v>
      </c>
      <c r="S884" s="74">
        <f>db_emp[[#This Row],[NIP (UPDATE)]]</f>
        <v>180829</v>
      </c>
    </row>
    <row r="885" spans="2:19" hidden="1" x14ac:dyDescent="0.25">
      <c r="B885" s="75">
        <v>855</v>
      </c>
      <c r="C885" s="75">
        <v>180840</v>
      </c>
      <c r="D885" s="74" t="s">
        <v>1646</v>
      </c>
      <c r="E885" s="75" t="s">
        <v>130</v>
      </c>
      <c r="F885" s="75"/>
      <c r="G885" s="74" t="s">
        <v>186</v>
      </c>
      <c r="H885" s="75" t="s">
        <v>1640</v>
      </c>
      <c r="I885" s="74"/>
      <c r="J885" s="75" t="s">
        <v>433</v>
      </c>
      <c r="K885" s="80" t="s">
        <v>903</v>
      </c>
      <c r="L885" s="76"/>
      <c r="M885" s="77">
        <f t="shared" ca="1" si="28"/>
        <v>45954</v>
      </c>
      <c r="N885" s="74" t="str">
        <f>_xlfn.IFNA(VLOOKUP(db_emp[[#This Row],[ID_DIV]],[1]!db_dpt[[Code_dpt]:[Departement]],2,0),"-")</f>
        <v>-</v>
      </c>
      <c r="O885" s="74" t="str">
        <f>_xlfn.IFNA(VLOOKUP(db_emp[[#This Row],[ID_SDP]],[1]!db_div[[Code_div]:[Division]],2,0),"-")</f>
        <v>-</v>
      </c>
      <c r="P885" s="74" t="str">
        <f>_xlfn.IFNA(VLOOKUP(db_emp[[#This Row],[Code_lvl]],[1]!db_lvl[[#All],[ID_level]:[Leveling Name]],2,0),"-")</f>
        <v>Non Staff</v>
      </c>
      <c r="Q885" s="74" t="str">
        <f>_xlfn.IFNA(VLOOKUP(db_emp[[#This Row],[Code_site]],[1]!db_site[[ID_Site]:[Url_maps]],3,0),"-")</f>
        <v>Unit - Taman Anggrek Residences</v>
      </c>
      <c r="R8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180840,'Muhamad Haris','HRD','','Messenger','LV13','','A01','Resign','1900-01-00','2025-10-24'</v>
      </c>
      <c r="S885" s="74">
        <f>db_emp[[#This Row],[NIP (UPDATE)]]</f>
        <v>180840</v>
      </c>
    </row>
    <row r="886" spans="2:19" hidden="1" x14ac:dyDescent="0.25">
      <c r="B886" s="75">
        <v>856</v>
      </c>
      <c r="C886" s="75">
        <v>180853</v>
      </c>
      <c r="D886" s="74" t="s">
        <v>2161</v>
      </c>
      <c r="E886" s="75" t="s">
        <v>920</v>
      </c>
      <c r="F886" s="75"/>
      <c r="G886" s="74" t="s">
        <v>1600</v>
      </c>
      <c r="H886" s="75" t="s">
        <v>953</v>
      </c>
      <c r="I886" s="74"/>
      <c r="J886" s="75" t="s">
        <v>492</v>
      </c>
      <c r="K886" s="80" t="s">
        <v>903</v>
      </c>
      <c r="L886" s="76"/>
      <c r="M886" s="77">
        <f t="shared" ca="1" si="28"/>
        <v>45954</v>
      </c>
      <c r="N886" s="74" t="str">
        <f>_xlfn.IFNA(VLOOKUP(db_emp[[#This Row],[ID_DIV]],[1]!db_dpt[[Code_dpt]:[Departement]],2,0),"-")</f>
        <v>Leasing</v>
      </c>
      <c r="O886" s="74" t="str">
        <f>_xlfn.IFNA(VLOOKUP(db_emp[[#This Row],[ID_SDP]],[1]!db_div[[Code_div]:[Division]],2,0),"-")</f>
        <v>-</v>
      </c>
      <c r="P886" s="74" t="str">
        <f>_xlfn.IFNA(VLOOKUP(db_emp[[#This Row],[Code_lvl]],[1]!db_lvl[[#All],[ID_level]:[Leveling Name]],2,0),"-")</f>
        <v>Manager</v>
      </c>
      <c r="Q886" s="74" t="str">
        <f>_xlfn.IFNA(VLOOKUP(db_emp[[#This Row],[Code_site]],[1]!db_site[[ID_Site]:[Url_maps]],3,0),"-")</f>
        <v>Unit - Hublife</v>
      </c>
      <c r="R8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180853,'Siti Koryanah','LEA','','Leasing Manager','LV05','','M05','Resign','1900-01-00','2025-10-24'</v>
      </c>
      <c r="S886" s="74">
        <f>db_emp[[#This Row],[NIP (UPDATE)]]</f>
        <v>180853</v>
      </c>
    </row>
    <row r="887" spans="2:19" hidden="1" x14ac:dyDescent="0.25">
      <c r="B887" s="75">
        <v>857</v>
      </c>
      <c r="C887" s="75">
        <v>180860</v>
      </c>
      <c r="D887" s="74" t="s">
        <v>2162</v>
      </c>
      <c r="E887" s="75" t="s">
        <v>1398</v>
      </c>
      <c r="F887" s="75"/>
      <c r="G887" s="74" t="s">
        <v>1416</v>
      </c>
      <c r="H887" s="75" t="s">
        <v>870</v>
      </c>
      <c r="I887" s="74"/>
      <c r="J887" s="75" t="s">
        <v>492</v>
      </c>
      <c r="K887" s="80" t="s">
        <v>903</v>
      </c>
      <c r="L887" s="76"/>
      <c r="M887" s="77">
        <f t="shared" ca="1" si="28"/>
        <v>45954</v>
      </c>
      <c r="N887" s="74" t="str">
        <f>_xlfn.IFNA(VLOOKUP(db_emp[[#This Row],[ID_DIV]],[1]!db_dpt[[Code_dpt]:[Departement]],2,0),"-")</f>
        <v>Fit Out</v>
      </c>
      <c r="O887" s="74" t="str">
        <f>_xlfn.IFNA(VLOOKUP(db_emp[[#This Row],[ID_SDP]],[1]!db_div[[Code_div]:[Division]],2,0),"-")</f>
        <v>-</v>
      </c>
      <c r="P887" s="74" t="str">
        <f>_xlfn.IFNA(VLOOKUP(db_emp[[#This Row],[Code_lvl]],[1]!db_lvl[[#All],[ID_level]:[Leveling Name]],2,0),"-")</f>
        <v>Supervisor</v>
      </c>
      <c r="Q887" s="74" t="str">
        <f>_xlfn.IFNA(VLOOKUP(db_emp[[#This Row],[Code_site]],[1]!db_site[[ID_Site]:[Url_maps]],3,0),"-")</f>
        <v>Unit - Hublife</v>
      </c>
      <c r="R8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180860,'Yulia','FIO','','Fit Out Supervisor','LV09','','M05','Resign','1900-01-00','2025-10-24'</v>
      </c>
      <c r="S887" s="74">
        <f>db_emp[[#This Row],[NIP (UPDATE)]]</f>
        <v>180860</v>
      </c>
    </row>
    <row r="888" spans="2:19" hidden="1" x14ac:dyDescent="0.25">
      <c r="B888" s="80">
        <v>858</v>
      </c>
      <c r="C888" s="75">
        <v>180883</v>
      </c>
      <c r="D888" s="74" t="s">
        <v>2163</v>
      </c>
      <c r="E888" s="75" t="s">
        <v>2077</v>
      </c>
      <c r="F888" s="75"/>
      <c r="G888" s="74" t="s">
        <v>1933</v>
      </c>
      <c r="H888" s="80" t="s">
        <v>853</v>
      </c>
      <c r="I888" s="74"/>
      <c r="J888" s="75" t="s">
        <v>316</v>
      </c>
      <c r="K888" s="80" t="s">
        <v>903</v>
      </c>
      <c r="L888" s="76"/>
      <c r="M888" s="77">
        <f t="shared" ca="1" si="28"/>
        <v>45954</v>
      </c>
      <c r="N888" s="74" t="str">
        <f>_xlfn.IFNA(VLOOKUP(db_emp[[#This Row],[ID_DIV]],[1]!db_dpt[[Code_dpt]:[Departement]],2,0),"-")</f>
        <v>-</v>
      </c>
      <c r="O888" s="74" t="str">
        <f>_xlfn.IFNA(VLOOKUP(db_emp[[#This Row],[ID_SDP]],[1]!db_div[[Code_div]:[Division]],2,0),"-")</f>
        <v>-</v>
      </c>
      <c r="P888" s="74" t="str">
        <f>_xlfn.IFNA(VLOOKUP(db_emp[[#This Row],[Code_lvl]],[1]!db_lvl[[#All],[ID_level]:[Leveling Name]],2,0),"-")</f>
        <v>Staff</v>
      </c>
      <c r="Q888" s="74" t="str">
        <f>_xlfn.IFNA(VLOOKUP(db_emp[[#This Row],[Code_site]],[1]!db_site[[ID_Site]:[Url_maps]],3,0),"-")</f>
        <v>Unit - GGP</v>
      </c>
      <c r="R8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180883,'Cris Juniardi','GNT','','Tenant Relation Staff','LV12','','M03','Resign','1900-01-00','2025-10-24'</v>
      </c>
      <c r="S888" s="74">
        <f>db_emp[[#This Row],[NIP (UPDATE)]]</f>
        <v>180883</v>
      </c>
    </row>
    <row r="889" spans="2:19" hidden="1" x14ac:dyDescent="0.25">
      <c r="B889" s="75">
        <v>859</v>
      </c>
      <c r="C889" s="75">
        <v>180896</v>
      </c>
      <c r="D889" s="74" t="s">
        <v>2164</v>
      </c>
      <c r="E889" s="75" t="s">
        <v>1036</v>
      </c>
      <c r="F889" s="75"/>
      <c r="G889" s="74" t="s">
        <v>2098</v>
      </c>
      <c r="H889" s="80" t="s">
        <v>853</v>
      </c>
      <c r="I889" s="74"/>
      <c r="J889" s="75" t="s">
        <v>433</v>
      </c>
      <c r="K889" s="80" t="s">
        <v>903</v>
      </c>
      <c r="L889" s="76"/>
      <c r="M889" s="77">
        <f t="shared" ca="1" si="28"/>
        <v>45954</v>
      </c>
      <c r="N889" s="74" t="str">
        <f>_xlfn.IFNA(VLOOKUP(db_emp[[#This Row],[ID_DIV]],[1]!db_dpt[[Code_dpt]:[Departement]],2,0),"-")</f>
        <v>Tenant Relation</v>
      </c>
      <c r="O889" s="74" t="str">
        <f>_xlfn.IFNA(VLOOKUP(db_emp[[#This Row],[ID_SDP]],[1]!db_div[[Code_div]:[Division]],2,0),"-")</f>
        <v>-</v>
      </c>
      <c r="P889" s="74" t="str">
        <f>_xlfn.IFNA(VLOOKUP(db_emp[[#This Row],[Code_lvl]],[1]!db_lvl[[#All],[ID_level]:[Leveling Name]],2,0),"-")</f>
        <v>Staff</v>
      </c>
      <c r="Q889" s="74" t="str">
        <f>_xlfn.IFNA(VLOOKUP(db_emp[[#This Row],[Code_site]],[1]!db_site[[ID_Site]:[Url_maps]],3,0),"-")</f>
        <v>Unit - Taman Anggrek Residences</v>
      </c>
      <c r="R8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180896,'Henny Syahfitri','TRL','','Admin Tenant Relation Staff','LV12','','A01','Resign','1900-01-00','2025-10-24'</v>
      </c>
      <c r="S889" s="74">
        <f>db_emp[[#This Row],[NIP (UPDATE)]]</f>
        <v>180896</v>
      </c>
    </row>
    <row r="890" spans="2:19" hidden="1" x14ac:dyDescent="0.25">
      <c r="B890" s="75">
        <v>860</v>
      </c>
      <c r="C890" s="75">
        <v>180920</v>
      </c>
      <c r="D890" s="74" t="s">
        <v>2165</v>
      </c>
      <c r="E890" s="75" t="s">
        <v>2111</v>
      </c>
      <c r="F890" s="75"/>
      <c r="G890" s="74" t="s">
        <v>1013</v>
      </c>
      <c r="H890" s="75" t="s">
        <v>870</v>
      </c>
      <c r="I890" s="74"/>
      <c r="J890" s="75" t="s">
        <v>490</v>
      </c>
      <c r="K890" s="80" t="s">
        <v>903</v>
      </c>
      <c r="L890" s="76"/>
      <c r="M890" s="77">
        <f t="shared" ca="1" si="28"/>
        <v>45954</v>
      </c>
      <c r="N890" s="74" t="str">
        <f>_xlfn.IFNA(VLOOKUP(db_emp[[#This Row],[ID_DIV]],[1]!db_dpt[[Code_dpt]:[Departement]],2,0),"-")</f>
        <v>-</v>
      </c>
      <c r="O890" s="74" t="str">
        <f>_xlfn.IFNA(VLOOKUP(db_emp[[#This Row],[ID_SDP]],[1]!db_div[[Code_div]:[Division]],2,0),"-")</f>
        <v>-</v>
      </c>
      <c r="P890" s="74" t="str">
        <f>_xlfn.IFNA(VLOOKUP(db_emp[[#This Row],[Code_lvl]],[1]!db_lvl[[#All],[ID_level]:[Leveling Name]],2,0),"-")</f>
        <v>Supervisor</v>
      </c>
      <c r="Q890" s="74" t="str">
        <f>_xlfn.IFNA(VLOOKUP(db_emp[[#This Row],[Code_site]],[1]!db_site[[ID_Site]:[Url_maps]],3,0),"-")</f>
        <v>Unit - ASHTA</v>
      </c>
      <c r="R8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180920,'Suci Ardina Fitriani H','CSL','','Casual Leasing Supervisor','LV09','','M04','Resign','1900-01-00','2025-10-24'</v>
      </c>
      <c r="S890" s="74">
        <f>db_emp[[#This Row],[NIP (UPDATE)]]</f>
        <v>180920</v>
      </c>
    </row>
    <row r="891" spans="2:19" hidden="1" x14ac:dyDescent="0.25">
      <c r="B891" s="75">
        <v>861</v>
      </c>
      <c r="C891" s="75">
        <v>180929</v>
      </c>
      <c r="D891" s="74" t="s">
        <v>1292</v>
      </c>
      <c r="E891" s="75" t="s">
        <v>911</v>
      </c>
      <c r="F891" s="75"/>
      <c r="G891" s="74" t="s">
        <v>1905</v>
      </c>
      <c r="H891" s="80" t="s">
        <v>853</v>
      </c>
      <c r="I891" s="74"/>
      <c r="J891" s="75" t="s">
        <v>433</v>
      </c>
      <c r="K891" s="80" t="s">
        <v>903</v>
      </c>
      <c r="L891" s="76"/>
      <c r="M891" s="77">
        <f t="shared" ca="1" si="28"/>
        <v>45954</v>
      </c>
      <c r="N891" s="74" t="str">
        <f>_xlfn.IFNA(VLOOKUP(db_emp[[#This Row],[ID_DIV]],[1]!db_dpt[[Code_dpt]:[Departement]],2,0),"-")</f>
        <v>Engineering</v>
      </c>
      <c r="O891" s="74" t="str">
        <f>_xlfn.IFNA(VLOOKUP(db_emp[[#This Row],[ID_SDP]],[1]!db_div[[Code_div]:[Division]],2,0),"-")</f>
        <v>-</v>
      </c>
      <c r="P891" s="74" t="str">
        <f>_xlfn.IFNA(VLOOKUP(db_emp[[#This Row],[Code_lvl]],[1]!db_lvl[[#All],[ID_level]:[Leveling Name]],2,0),"-")</f>
        <v>Staff</v>
      </c>
      <c r="Q891" s="74" t="str">
        <f>_xlfn.IFNA(VLOOKUP(db_emp[[#This Row],[Code_site]],[1]!db_site[[ID_Site]:[Url_maps]],3,0),"-")</f>
        <v>Unit - Taman Anggrek Residences</v>
      </c>
      <c r="R8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180929,'Wahyu Saputra','ENG','','Technician Staff','LV12','','A01','Resign','1900-01-00','2025-10-24'</v>
      </c>
      <c r="S891" s="74">
        <f>db_emp[[#This Row],[NIP (UPDATE)]]</f>
        <v>180929</v>
      </c>
    </row>
    <row r="892" spans="2:19" hidden="1" x14ac:dyDescent="0.25">
      <c r="B892" s="80">
        <v>862</v>
      </c>
      <c r="C892" s="75">
        <v>180973</v>
      </c>
      <c r="D892" s="74" t="s">
        <v>2166</v>
      </c>
      <c r="E892" s="75" t="s">
        <v>1398</v>
      </c>
      <c r="F892" s="75"/>
      <c r="G892" s="74" t="s">
        <v>1409</v>
      </c>
      <c r="H892" s="75" t="s">
        <v>953</v>
      </c>
      <c r="I892" s="74"/>
      <c r="J892" s="75" t="s">
        <v>492</v>
      </c>
      <c r="K892" s="80" t="s">
        <v>903</v>
      </c>
      <c r="L892" s="76"/>
      <c r="M892" s="77">
        <f t="shared" ca="1" si="28"/>
        <v>45954</v>
      </c>
      <c r="N892" s="74" t="str">
        <f>_xlfn.IFNA(VLOOKUP(db_emp[[#This Row],[ID_DIV]],[1]!db_dpt[[Code_dpt]:[Departement]],2,0),"-")</f>
        <v>Fit Out</v>
      </c>
      <c r="O892" s="74" t="str">
        <f>_xlfn.IFNA(VLOOKUP(db_emp[[#This Row],[ID_SDP]],[1]!db_div[[Code_div]:[Division]],2,0),"-")</f>
        <v>-</v>
      </c>
      <c r="P892" s="74" t="str">
        <f>_xlfn.IFNA(VLOOKUP(db_emp[[#This Row],[Code_lvl]],[1]!db_lvl[[#All],[ID_level]:[Leveling Name]],2,0),"-")</f>
        <v>Manager</v>
      </c>
      <c r="Q892" s="74" t="str">
        <f>_xlfn.IFNA(VLOOKUP(db_emp[[#This Row],[Code_site]],[1]!db_site[[ID_Site]:[Url_maps]],3,0),"-")</f>
        <v>Unit - Hublife</v>
      </c>
      <c r="R8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180973,'Monica Karina Dewi','FIO','','Fit Out Manager','LV05','','M05','Resign','1900-01-00','2025-10-24'</v>
      </c>
      <c r="S892" s="74">
        <f>db_emp[[#This Row],[NIP (UPDATE)]]</f>
        <v>180973</v>
      </c>
    </row>
    <row r="893" spans="2:19" hidden="1" x14ac:dyDescent="0.25">
      <c r="B893" s="75">
        <v>863</v>
      </c>
      <c r="C893" s="75">
        <v>181017</v>
      </c>
      <c r="D893" s="74" t="s">
        <v>1560</v>
      </c>
      <c r="E893" s="75" t="s">
        <v>131</v>
      </c>
      <c r="F893" s="75"/>
      <c r="G893" s="74" t="s">
        <v>1561</v>
      </c>
      <c r="H893" s="80" t="s">
        <v>853</v>
      </c>
      <c r="I893" s="74"/>
      <c r="J893" s="75" t="s">
        <v>315</v>
      </c>
      <c r="K893" s="80" t="s">
        <v>903</v>
      </c>
      <c r="L893" s="76"/>
      <c r="M893" s="77">
        <f t="shared" ca="1" si="28"/>
        <v>45954</v>
      </c>
      <c r="N893" s="74" t="str">
        <f>_xlfn.IFNA(VLOOKUP(db_emp[[#This Row],[ID_DIV]],[1]!db_dpt[[Code_dpt]:[Departement]],2,0),"-")</f>
        <v>Internal Audit &amp; Business Process</v>
      </c>
      <c r="O893" s="74" t="str">
        <f>_xlfn.IFNA(VLOOKUP(db_emp[[#This Row],[ID_SDP]],[1]!db_div[[Code_div]:[Division]],2,0),"-")</f>
        <v>-</v>
      </c>
      <c r="P893" s="74" t="str">
        <f>_xlfn.IFNA(VLOOKUP(db_emp[[#This Row],[Code_lvl]],[1]!db_lvl[[#All],[ID_level]:[Leveling Name]],2,0),"-")</f>
        <v>Staff</v>
      </c>
      <c r="Q893" s="74" t="str">
        <f>_xlfn.IFNA(VLOOKUP(db_emp[[#This Row],[Code_site]],[1]!db_site[[ID_Site]:[Url_maps]],3,0),"-")</f>
        <v>Head Office - ASGO</v>
      </c>
      <c r="R8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181017,'Rachmat Hidayat','ISO','','Internal Audit &amp; Business Process Staff','LV12','','O99','Resign','1900-01-00','2025-10-24'</v>
      </c>
      <c r="S893" s="74">
        <f>db_emp[[#This Row],[NIP (UPDATE)]]</f>
        <v>181017</v>
      </c>
    </row>
    <row r="894" spans="2:19" hidden="1" x14ac:dyDescent="0.25">
      <c r="B894" s="75">
        <v>864</v>
      </c>
      <c r="C894" s="75">
        <v>181025</v>
      </c>
      <c r="D894" s="74" t="s">
        <v>1323</v>
      </c>
      <c r="E894" s="75" t="s">
        <v>911</v>
      </c>
      <c r="F894" s="75"/>
      <c r="G894" s="74" t="s">
        <v>1317</v>
      </c>
      <c r="H894" s="75" t="s">
        <v>870</v>
      </c>
      <c r="I894" s="74"/>
      <c r="J894" s="75" t="s">
        <v>433</v>
      </c>
      <c r="K894" s="80" t="s">
        <v>903</v>
      </c>
      <c r="L894" s="76"/>
      <c r="M894" s="77">
        <f t="shared" ca="1" si="28"/>
        <v>45954</v>
      </c>
      <c r="N894" s="74" t="str">
        <f>_xlfn.IFNA(VLOOKUP(db_emp[[#This Row],[ID_DIV]],[1]!db_dpt[[Code_dpt]:[Departement]],2,0),"-")</f>
        <v>Engineering</v>
      </c>
      <c r="O894" s="74" t="str">
        <f>_xlfn.IFNA(VLOOKUP(db_emp[[#This Row],[ID_SDP]],[1]!db_div[[Code_div]:[Division]],2,0),"-")</f>
        <v>-</v>
      </c>
      <c r="P894" s="74" t="str">
        <f>_xlfn.IFNA(VLOOKUP(db_emp[[#This Row],[Code_lvl]],[1]!db_lvl[[#All],[ID_level]:[Leveling Name]],2,0),"-")</f>
        <v>Supervisor</v>
      </c>
      <c r="Q894" s="74" t="str">
        <f>_xlfn.IFNA(VLOOKUP(db_emp[[#This Row],[Code_site]],[1]!db_site[[ID_Site]:[Url_maps]],3,0),"-")</f>
        <v>Unit - Taman Anggrek Residences</v>
      </c>
      <c r="R8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181025,'Darmawan Sutiyadi','ENG','','Engineering Supervisor','LV09','','A01','Resign','1900-01-00','2025-10-24'</v>
      </c>
      <c r="S894" s="74">
        <f>db_emp[[#This Row],[NIP (UPDATE)]]</f>
        <v>181025</v>
      </c>
    </row>
    <row r="895" spans="2:19" hidden="1" x14ac:dyDescent="0.25">
      <c r="B895" s="75">
        <v>865</v>
      </c>
      <c r="C895" s="75">
        <v>181046</v>
      </c>
      <c r="D895" s="74" t="s">
        <v>1454</v>
      </c>
      <c r="E895" s="75" t="s">
        <v>2167</v>
      </c>
      <c r="F895" s="75"/>
      <c r="G895" s="74" t="s">
        <v>2102</v>
      </c>
      <c r="H895" s="80" t="s">
        <v>853</v>
      </c>
      <c r="I895" s="74"/>
      <c r="J895" s="75" t="s">
        <v>433</v>
      </c>
      <c r="K895" s="80" t="s">
        <v>903</v>
      </c>
      <c r="L895" s="76"/>
      <c r="M895" s="77">
        <f t="shared" ca="1" si="28"/>
        <v>45954</v>
      </c>
      <c r="N895" s="74" t="str">
        <f>_xlfn.IFNA(VLOOKUP(db_emp[[#This Row],[ID_DIV]],[1]!db_dpt[[Code_dpt]:[Departement]],2,0),"-")</f>
        <v>-</v>
      </c>
      <c r="O895" s="74" t="str">
        <f>_xlfn.IFNA(VLOOKUP(db_emp[[#This Row],[ID_SDP]],[1]!db_div[[Code_div]:[Division]],2,0),"-")</f>
        <v>-</v>
      </c>
      <c r="P895" s="74" t="str">
        <f>_xlfn.IFNA(VLOOKUP(db_emp[[#This Row],[Code_lvl]],[1]!db_lvl[[#All],[ID_level]:[Leveling Name]],2,0),"-")</f>
        <v>Staff</v>
      </c>
      <c r="Q895" s="74" t="str">
        <f>_xlfn.IFNA(VLOOKUP(db_emp[[#This Row],[Code_site]],[1]!db_site[[ID_Site]:[Url_maps]],3,0),"-")</f>
        <v>Unit - Taman Anggrek Residences</v>
      </c>
      <c r="R8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181046,'Ade Yulyadi','GNS','','Administrasi Staff','LV12','','A01','Resign','1900-01-00','2025-10-24'</v>
      </c>
      <c r="S895" s="74">
        <f>db_emp[[#This Row],[NIP (UPDATE)]]</f>
        <v>181046</v>
      </c>
    </row>
    <row r="896" spans="2:19" hidden="1" x14ac:dyDescent="0.25">
      <c r="B896" s="80">
        <v>866</v>
      </c>
      <c r="C896" s="75">
        <v>181055</v>
      </c>
      <c r="D896" s="74" t="s">
        <v>887</v>
      </c>
      <c r="E896" s="75" t="s">
        <v>845</v>
      </c>
      <c r="F896" s="75"/>
      <c r="G896" s="74" t="s">
        <v>2168</v>
      </c>
      <c r="H896" s="80" t="s">
        <v>853</v>
      </c>
      <c r="I896" s="74"/>
      <c r="J896" s="75" t="s">
        <v>433</v>
      </c>
      <c r="K896" s="80" t="s">
        <v>903</v>
      </c>
      <c r="L896" s="76"/>
      <c r="M896" s="77">
        <f t="shared" ca="1" si="28"/>
        <v>45954</v>
      </c>
      <c r="N896" s="74" t="str">
        <f>_xlfn.IFNA(VLOOKUP(db_emp[[#This Row],[ID_DIV]],[1]!db_dpt[[Code_dpt]:[Departement]],2,0),"-")</f>
        <v>Finance &amp; Accounting</v>
      </c>
      <c r="O896" s="74" t="str">
        <f>_xlfn.IFNA(VLOOKUP(db_emp[[#This Row],[ID_SDP]],[1]!db_div[[Code_div]:[Division]],2,0),"-")</f>
        <v>-</v>
      </c>
      <c r="P896" s="74" t="str">
        <f>_xlfn.IFNA(VLOOKUP(db_emp[[#This Row],[Code_lvl]],[1]!db_lvl[[#All],[ID_level]:[Leveling Name]],2,0),"-")</f>
        <v>Staff</v>
      </c>
      <c r="Q896" s="74" t="str">
        <f>_xlfn.IFNA(VLOOKUP(db_emp[[#This Row],[Code_site]],[1]!db_site[[ID_Site]:[Url_maps]],3,0),"-")</f>
        <v>Unit - Taman Anggrek Residences</v>
      </c>
      <c r="R8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181055,'Nurlely Rositasari','FIN','','AR Staff','LV12','','A01','Resign','1900-01-00','2025-10-24'</v>
      </c>
      <c r="S896" s="74">
        <f>db_emp[[#This Row],[NIP (UPDATE)]]</f>
        <v>181055</v>
      </c>
    </row>
    <row r="897" spans="2:19" hidden="1" x14ac:dyDescent="0.25">
      <c r="B897" s="75">
        <v>867</v>
      </c>
      <c r="C897" s="75">
        <v>181057</v>
      </c>
      <c r="D897" s="74" t="s">
        <v>2169</v>
      </c>
      <c r="E897" s="75" t="s">
        <v>2167</v>
      </c>
      <c r="F897" s="75"/>
      <c r="G897" s="74" t="s">
        <v>2170</v>
      </c>
      <c r="H897" s="75" t="s">
        <v>870</v>
      </c>
      <c r="I897" s="74"/>
      <c r="J897" s="75" t="s">
        <v>433</v>
      </c>
      <c r="K897" s="80" t="s">
        <v>903</v>
      </c>
      <c r="L897" s="76"/>
      <c r="M897" s="77">
        <f t="shared" ca="1" si="28"/>
        <v>45954</v>
      </c>
      <c r="N897" s="74" t="str">
        <f>_xlfn.IFNA(VLOOKUP(db_emp[[#This Row],[ID_DIV]],[1]!db_dpt[[Code_dpt]:[Departement]],2,0),"-")</f>
        <v>-</v>
      </c>
      <c r="O897" s="74" t="str">
        <f>_xlfn.IFNA(VLOOKUP(db_emp[[#This Row],[ID_SDP]],[1]!db_div[[Code_div]:[Division]],2,0),"-")</f>
        <v>-</v>
      </c>
      <c r="P897" s="74" t="str">
        <f>_xlfn.IFNA(VLOOKUP(db_emp[[#This Row],[Code_lvl]],[1]!db_lvl[[#All],[ID_level]:[Leveling Name]],2,0),"-")</f>
        <v>Supervisor</v>
      </c>
      <c r="Q897" s="74" t="str">
        <f>_xlfn.IFNA(VLOOKUP(db_emp[[#This Row],[Code_site]],[1]!db_site[[ID_Site]:[Url_maps]],3,0),"-")</f>
        <v>Unit - Taman Anggrek Residences</v>
      </c>
      <c r="R8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181057,'Reggi Alfianto','GNS','','General Service Spv','LV09','','A01','Resign','1900-01-00','2025-10-24'</v>
      </c>
      <c r="S897" s="74">
        <f>db_emp[[#This Row],[NIP (UPDATE)]]</f>
        <v>181057</v>
      </c>
    </row>
    <row r="898" spans="2:19" hidden="1" x14ac:dyDescent="0.25">
      <c r="B898" s="75">
        <v>868</v>
      </c>
      <c r="C898" s="75">
        <v>181064</v>
      </c>
      <c r="D898" s="74" t="s">
        <v>2171</v>
      </c>
      <c r="E898" s="75" t="s">
        <v>1018</v>
      </c>
      <c r="F898" s="75"/>
      <c r="G898" s="74" t="s">
        <v>1808</v>
      </c>
      <c r="H898" s="75" t="s">
        <v>870</v>
      </c>
      <c r="I898" s="74"/>
      <c r="J898" s="75" t="s">
        <v>316</v>
      </c>
      <c r="K898" s="80" t="s">
        <v>903</v>
      </c>
      <c r="L898" s="76"/>
      <c r="M898" s="77">
        <f t="shared" ca="1" si="28"/>
        <v>45954</v>
      </c>
      <c r="N898" s="74" t="str">
        <f>_xlfn.IFNA(VLOOKUP(db_emp[[#This Row],[ID_DIV]],[1]!db_dpt[[Code_dpt]:[Departement]],2,0),"-")</f>
        <v>Operational</v>
      </c>
      <c r="O898" s="74" t="str">
        <f>_xlfn.IFNA(VLOOKUP(db_emp[[#This Row],[ID_SDP]],[1]!db_div[[Code_div]:[Division]],2,0),"-")</f>
        <v>-</v>
      </c>
      <c r="P898" s="74" t="str">
        <f>_xlfn.IFNA(VLOOKUP(db_emp[[#This Row],[Code_lvl]],[1]!db_lvl[[#All],[ID_level]:[Leveling Name]],2,0),"-")</f>
        <v>Supervisor</v>
      </c>
      <c r="Q898" s="74" t="str">
        <f>_xlfn.IFNA(VLOOKUP(db_emp[[#This Row],[Code_site]],[1]!db_site[[ID_Site]:[Url_maps]],3,0),"-")</f>
        <v>Unit - GGP</v>
      </c>
      <c r="R8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181064,'Muhamad Idris','OPR','','Safety Supervisor','LV09','','M03','Resign','1900-01-00','2025-10-24'</v>
      </c>
      <c r="S898" s="74">
        <f>db_emp[[#This Row],[NIP (UPDATE)]]</f>
        <v>181064</v>
      </c>
    </row>
    <row r="899" spans="2:19" hidden="1" x14ac:dyDescent="0.25">
      <c r="B899" s="75">
        <v>869</v>
      </c>
      <c r="C899" s="75">
        <v>181066</v>
      </c>
      <c r="D899" s="74" t="s">
        <v>2172</v>
      </c>
      <c r="E899" s="75" t="s">
        <v>920</v>
      </c>
      <c r="F899" s="75"/>
      <c r="G899" s="74" t="s">
        <v>1600</v>
      </c>
      <c r="H899" s="75" t="s">
        <v>953</v>
      </c>
      <c r="I899" s="74"/>
      <c r="J899" s="75" t="s">
        <v>314</v>
      </c>
      <c r="K899" s="80" t="s">
        <v>903</v>
      </c>
      <c r="L899" s="76"/>
      <c r="M899" s="77">
        <f t="shared" ca="1" si="28"/>
        <v>45954</v>
      </c>
      <c r="N899" s="74" t="str">
        <f>_xlfn.IFNA(VLOOKUP(db_emp[[#This Row],[ID_DIV]],[1]!db_dpt[[Code_dpt]:[Departement]],2,0),"-")</f>
        <v>Leasing</v>
      </c>
      <c r="O899" s="74" t="str">
        <f>_xlfn.IFNA(VLOOKUP(db_emp[[#This Row],[ID_SDP]],[1]!db_div[[Code_div]:[Division]],2,0),"-")</f>
        <v>-</v>
      </c>
      <c r="P899" s="74" t="str">
        <f>_xlfn.IFNA(VLOOKUP(db_emp[[#This Row],[Code_lvl]],[1]!db_lvl[[#All],[ID_level]:[Leveling Name]],2,0),"-")</f>
        <v>Manager</v>
      </c>
      <c r="Q899" s="74" t="str">
        <f>_xlfn.IFNA(VLOOKUP(db_emp[[#This Row],[Code_site]],[1]!db_site[[ID_Site]:[Url_maps]],3,0),"-")</f>
        <v>Unit - MOI</v>
      </c>
      <c r="R8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181066,'Shirleen Ganda Handria','LEA','','Leasing Manager','LV05','','M02','Resign','1900-01-00','2025-10-24'</v>
      </c>
      <c r="S899" s="74">
        <f>db_emp[[#This Row],[NIP (UPDATE)]]</f>
        <v>181066</v>
      </c>
    </row>
    <row r="900" spans="2:19" hidden="1" x14ac:dyDescent="0.25">
      <c r="B900" s="80">
        <v>870</v>
      </c>
      <c r="C900" s="75">
        <v>181104</v>
      </c>
      <c r="D900" s="74" t="s">
        <v>2173</v>
      </c>
      <c r="E900" s="75" t="s">
        <v>2077</v>
      </c>
      <c r="F900" s="75"/>
      <c r="G900" s="74" t="s">
        <v>2174</v>
      </c>
      <c r="H900" s="75" t="s">
        <v>870</v>
      </c>
      <c r="I900" s="74"/>
      <c r="J900" s="75" t="s">
        <v>314</v>
      </c>
      <c r="K900" s="80" t="s">
        <v>903</v>
      </c>
      <c r="L900" s="76"/>
      <c r="M900" s="77">
        <f t="shared" ca="1" si="28"/>
        <v>45954</v>
      </c>
      <c r="N900" s="74" t="str">
        <f>_xlfn.IFNA(VLOOKUP(db_emp[[#This Row],[ID_DIV]],[1]!db_dpt[[Code_dpt]:[Departement]],2,0),"-")</f>
        <v>-</v>
      </c>
      <c r="O900" s="74" t="str">
        <f>_xlfn.IFNA(VLOOKUP(db_emp[[#This Row],[ID_SDP]],[1]!db_div[[Code_div]:[Division]],2,0),"-")</f>
        <v>-</v>
      </c>
      <c r="P900" s="74" t="str">
        <f>_xlfn.IFNA(VLOOKUP(db_emp[[#This Row],[Code_lvl]],[1]!db_lvl[[#All],[ID_level]:[Leveling Name]],2,0),"-")</f>
        <v>Supervisor</v>
      </c>
      <c r="Q900" s="74" t="str">
        <f>_xlfn.IFNA(VLOOKUP(db_emp[[#This Row],[Code_site]],[1]!db_site[[ID_Site]:[Url_maps]],3,0),"-")</f>
        <v>Unit - MOI</v>
      </c>
      <c r="R9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181104,'Raiyan Ramadhan','GNT','','GEA Leader','LV09','','M02','Resign','1900-01-00','2025-10-24'</v>
      </c>
      <c r="S900" s="74">
        <f>db_emp[[#This Row],[NIP (UPDATE)]]</f>
        <v>181104</v>
      </c>
    </row>
    <row r="901" spans="2:19" hidden="1" x14ac:dyDescent="0.25">
      <c r="B901" s="75">
        <v>871</v>
      </c>
      <c r="C901" s="75">
        <v>181120</v>
      </c>
      <c r="D901" s="74" t="s">
        <v>2175</v>
      </c>
      <c r="E901" s="75" t="s">
        <v>845</v>
      </c>
      <c r="F901" s="75"/>
      <c r="G901" s="74" t="s">
        <v>852</v>
      </c>
      <c r="H901" s="80" t="s">
        <v>853</v>
      </c>
      <c r="I901" s="74"/>
      <c r="J901" s="75" t="s">
        <v>433</v>
      </c>
      <c r="K901" s="80" t="s">
        <v>903</v>
      </c>
      <c r="L901" s="76"/>
      <c r="M901" s="77">
        <f t="shared" ca="1" si="28"/>
        <v>45954</v>
      </c>
      <c r="N901" s="74" t="str">
        <f>_xlfn.IFNA(VLOOKUP(db_emp[[#This Row],[ID_DIV]],[1]!db_dpt[[Code_dpt]:[Departement]],2,0),"-")</f>
        <v>Finance &amp; Accounting</v>
      </c>
      <c r="O901" s="74" t="str">
        <f>_xlfn.IFNA(VLOOKUP(db_emp[[#This Row],[ID_SDP]],[1]!db_div[[Code_div]:[Division]],2,0),"-")</f>
        <v>-</v>
      </c>
      <c r="P901" s="74" t="str">
        <f>_xlfn.IFNA(VLOOKUP(db_emp[[#This Row],[Code_lvl]],[1]!db_lvl[[#All],[ID_level]:[Leveling Name]],2,0),"-")</f>
        <v>Staff</v>
      </c>
      <c r="Q901" s="74" t="str">
        <f>_xlfn.IFNA(VLOOKUP(db_emp[[#This Row],[Code_site]],[1]!db_site[[ID_Site]:[Url_maps]],3,0),"-")</f>
        <v>Unit - Taman Anggrek Residences</v>
      </c>
      <c r="R9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181120,'Anna Maria Genoviva','FIN','','Account Payable Staff','LV12','','A01','Resign','1900-01-00','2025-10-24'</v>
      </c>
      <c r="S901" s="74">
        <f>db_emp[[#This Row],[NIP (UPDATE)]]</f>
        <v>181120</v>
      </c>
    </row>
    <row r="902" spans="2:19" hidden="1" x14ac:dyDescent="0.25">
      <c r="B902" s="75">
        <v>872</v>
      </c>
      <c r="C902" s="75">
        <v>181140</v>
      </c>
      <c r="D902" s="74" t="s">
        <v>1555</v>
      </c>
      <c r="E902" s="75" t="s">
        <v>131</v>
      </c>
      <c r="F902" s="75"/>
      <c r="G902" s="74" t="s">
        <v>1563</v>
      </c>
      <c r="H902" s="75" t="s">
        <v>870</v>
      </c>
      <c r="I902" s="74"/>
      <c r="J902" s="75" t="s">
        <v>315</v>
      </c>
      <c r="K902" s="80" t="s">
        <v>903</v>
      </c>
      <c r="L902" s="76"/>
      <c r="M902" s="77">
        <f t="shared" ca="1" si="28"/>
        <v>45954</v>
      </c>
      <c r="N902" s="74" t="str">
        <f>_xlfn.IFNA(VLOOKUP(db_emp[[#This Row],[ID_DIV]],[1]!db_dpt[[Code_dpt]:[Departement]],2,0),"-")</f>
        <v>Internal Audit &amp; Business Process</v>
      </c>
      <c r="O902" s="74" t="str">
        <f>_xlfn.IFNA(VLOOKUP(db_emp[[#This Row],[ID_SDP]],[1]!db_div[[Code_div]:[Division]],2,0),"-")</f>
        <v>-</v>
      </c>
      <c r="P902" s="74" t="str">
        <f>_xlfn.IFNA(VLOOKUP(db_emp[[#This Row],[Code_lvl]],[1]!db_lvl[[#All],[ID_level]:[Leveling Name]],2,0),"-")</f>
        <v>Supervisor</v>
      </c>
      <c r="Q902" s="74" t="str">
        <f>_xlfn.IFNA(VLOOKUP(db_emp[[#This Row],[Code_site]],[1]!db_site[[ID_Site]:[Url_maps]],3,0),"-")</f>
        <v>Head Office - ASGO</v>
      </c>
      <c r="R9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181140,'Tiana Dewi Andini','ISO','','Internal Audit &amp; Business Process Supervisor','LV09','','O99','Resign','1900-01-00','2025-10-24'</v>
      </c>
      <c r="S902" s="74">
        <f>db_emp[[#This Row],[NIP (UPDATE)]]</f>
        <v>181140</v>
      </c>
    </row>
    <row r="903" spans="2:19" hidden="1" x14ac:dyDescent="0.25">
      <c r="B903" s="75">
        <v>873</v>
      </c>
      <c r="C903" s="75">
        <v>181150</v>
      </c>
      <c r="D903" s="74" t="s">
        <v>1114</v>
      </c>
      <c r="E903" s="75" t="s">
        <v>845</v>
      </c>
      <c r="F903" s="75"/>
      <c r="G903" s="74" t="s">
        <v>1105</v>
      </c>
      <c r="H903" s="80" t="s">
        <v>853</v>
      </c>
      <c r="I903" s="74"/>
      <c r="J903" s="75" t="s">
        <v>433</v>
      </c>
      <c r="K903" s="80" t="s">
        <v>903</v>
      </c>
      <c r="L903" s="76"/>
      <c r="M903" s="77">
        <f t="shared" ref="M903:M966" ca="1" si="29">TODAY()+1</f>
        <v>45954</v>
      </c>
      <c r="N903" s="74" t="str">
        <f>_xlfn.IFNA(VLOOKUP(db_emp[[#This Row],[ID_DIV]],[1]!db_dpt[[Code_dpt]:[Departement]],2,0),"-")</f>
        <v>Finance &amp; Accounting</v>
      </c>
      <c r="O903" s="74" t="str">
        <f>_xlfn.IFNA(VLOOKUP(db_emp[[#This Row],[ID_SDP]],[1]!db_div[[Code_div]:[Division]],2,0),"-")</f>
        <v>-</v>
      </c>
      <c r="P903" s="74" t="str">
        <f>_xlfn.IFNA(VLOOKUP(db_emp[[#This Row],[Code_lvl]],[1]!db_lvl[[#All],[ID_level]:[Leveling Name]],2,0),"-")</f>
        <v>Staff</v>
      </c>
      <c r="Q903" s="74" t="str">
        <f>_xlfn.IFNA(VLOOKUP(db_emp[[#This Row],[Code_site]],[1]!db_site[[ID_Site]:[Url_maps]],3,0),"-")</f>
        <v>Unit - Taman Anggrek Residences</v>
      </c>
      <c r="R9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181150,'Nabilla Rininta Puspita Tn','FIN','','Collection Staff','LV12','','A01','Resign','1900-01-00','2025-10-24'</v>
      </c>
      <c r="S903" s="74">
        <f>db_emp[[#This Row],[NIP (UPDATE)]]</f>
        <v>181150</v>
      </c>
    </row>
    <row r="904" spans="2:19" hidden="1" x14ac:dyDescent="0.25">
      <c r="B904" s="80">
        <v>874</v>
      </c>
      <c r="C904" s="75">
        <v>181172</v>
      </c>
      <c r="D904" s="74" t="s">
        <v>884</v>
      </c>
      <c r="E904" s="75" t="s">
        <v>845</v>
      </c>
      <c r="F904" s="75"/>
      <c r="G904" s="74" t="s">
        <v>990</v>
      </c>
      <c r="H904" s="80" t="s">
        <v>853</v>
      </c>
      <c r="I904" s="74"/>
      <c r="J904" s="75" t="s">
        <v>433</v>
      </c>
      <c r="K904" s="80" t="s">
        <v>903</v>
      </c>
      <c r="L904" s="76"/>
      <c r="M904" s="77">
        <f t="shared" ca="1" si="29"/>
        <v>45954</v>
      </c>
      <c r="N904" s="74" t="str">
        <f>_xlfn.IFNA(VLOOKUP(db_emp[[#This Row],[ID_DIV]],[1]!db_dpt[[Code_dpt]:[Departement]],2,0),"-")</f>
        <v>Finance &amp; Accounting</v>
      </c>
      <c r="O904" s="74" t="str">
        <f>_xlfn.IFNA(VLOOKUP(db_emp[[#This Row],[ID_SDP]],[1]!db_div[[Code_div]:[Division]],2,0),"-")</f>
        <v>-</v>
      </c>
      <c r="P904" s="74" t="str">
        <f>_xlfn.IFNA(VLOOKUP(db_emp[[#This Row],[Code_lvl]],[1]!db_lvl[[#All],[ID_level]:[Leveling Name]],2,0),"-")</f>
        <v>Staff</v>
      </c>
      <c r="Q904" s="74" t="str">
        <f>_xlfn.IFNA(VLOOKUP(db_emp[[#This Row],[Code_site]],[1]!db_site[[ID_Site]:[Url_maps]],3,0),"-")</f>
        <v>Unit - Taman Anggrek Residences</v>
      </c>
      <c r="R9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181172,'Tiya Mariadi Tarihoran','FIN','','Cashier Staff','LV12','','A01','Resign','1900-01-00','2025-10-24'</v>
      </c>
      <c r="S904" s="74">
        <f>db_emp[[#This Row],[NIP (UPDATE)]]</f>
        <v>181172</v>
      </c>
    </row>
    <row r="905" spans="2:19" hidden="1" x14ac:dyDescent="0.25">
      <c r="B905" s="75">
        <v>875</v>
      </c>
      <c r="C905" s="75">
        <v>181198</v>
      </c>
      <c r="D905" s="74" t="s">
        <v>2176</v>
      </c>
      <c r="E905" s="75" t="s">
        <v>2077</v>
      </c>
      <c r="F905" s="75"/>
      <c r="G905" s="74" t="s">
        <v>2174</v>
      </c>
      <c r="H905" s="75" t="s">
        <v>870</v>
      </c>
      <c r="I905" s="74"/>
      <c r="J905" s="75" t="s">
        <v>314</v>
      </c>
      <c r="K905" s="80" t="s">
        <v>903</v>
      </c>
      <c r="L905" s="76"/>
      <c r="M905" s="77">
        <f t="shared" ca="1" si="29"/>
        <v>45954</v>
      </c>
      <c r="N905" s="74" t="str">
        <f>_xlfn.IFNA(VLOOKUP(db_emp[[#This Row],[ID_DIV]],[1]!db_dpt[[Code_dpt]:[Departement]],2,0),"-")</f>
        <v>-</v>
      </c>
      <c r="O905" s="74" t="str">
        <f>_xlfn.IFNA(VLOOKUP(db_emp[[#This Row],[ID_SDP]],[1]!db_div[[Code_div]:[Division]],2,0),"-")</f>
        <v>-</v>
      </c>
      <c r="P905" s="74" t="str">
        <f>_xlfn.IFNA(VLOOKUP(db_emp[[#This Row],[Code_lvl]],[1]!db_lvl[[#All],[ID_level]:[Leveling Name]],2,0),"-")</f>
        <v>Supervisor</v>
      </c>
      <c r="Q905" s="74" t="str">
        <f>_xlfn.IFNA(VLOOKUP(db_emp[[#This Row],[Code_site]],[1]!db_site[[ID_Site]:[Url_maps]],3,0),"-")</f>
        <v>Unit - MOI</v>
      </c>
      <c r="R9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181198,'Dara Puspita Kirana','GNT','','GEA Leader','LV09','','M02','Resign','1900-01-00','2025-10-24'</v>
      </c>
      <c r="S905" s="74">
        <f>db_emp[[#This Row],[NIP (UPDATE)]]</f>
        <v>181198</v>
      </c>
    </row>
    <row r="906" spans="2:19" hidden="1" x14ac:dyDescent="0.25">
      <c r="B906" s="75">
        <v>876</v>
      </c>
      <c r="C906" s="75">
        <v>181203</v>
      </c>
      <c r="D906" s="74" t="s">
        <v>2177</v>
      </c>
      <c r="E906" s="75" t="s">
        <v>911</v>
      </c>
      <c r="F906" s="75"/>
      <c r="G906" s="74" t="s">
        <v>1414</v>
      </c>
      <c r="H906" s="80" t="s">
        <v>853</v>
      </c>
      <c r="I906" s="74"/>
      <c r="J906" s="75" t="s">
        <v>433</v>
      </c>
      <c r="K906" s="80" t="s">
        <v>903</v>
      </c>
      <c r="L906" s="76"/>
      <c r="M906" s="77">
        <f t="shared" ca="1" si="29"/>
        <v>45954</v>
      </c>
      <c r="N906" s="74" t="str">
        <f>_xlfn.IFNA(VLOOKUP(db_emp[[#This Row],[ID_DIV]],[1]!db_dpt[[Code_dpt]:[Departement]],2,0),"-")</f>
        <v>Engineering</v>
      </c>
      <c r="O906" s="74" t="str">
        <f>_xlfn.IFNA(VLOOKUP(db_emp[[#This Row],[ID_SDP]],[1]!db_div[[Code_div]:[Division]],2,0),"-")</f>
        <v>-</v>
      </c>
      <c r="P906" s="74" t="str">
        <f>_xlfn.IFNA(VLOOKUP(db_emp[[#This Row],[Code_lvl]],[1]!db_lvl[[#All],[ID_level]:[Leveling Name]],2,0),"-")</f>
        <v>Staff</v>
      </c>
      <c r="Q906" s="74" t="str">
        <f>_xlfn.IFNA(VLOOKUP(db_emp[[#This Row],[Code_site]],[1]!db_site[[ID_Site]:[Url_maps]],3,0),"-")</f>
        <v>Unit - Taman Anggrek Residences</v>
      </c>
      <c r="R9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181203,'Legi Sali Devi Purba','ENG','','Fit Out Staff','LV12','','A01','Resign','1900-01-00','2025-10-24'</v>
      </c>
      <c r="S906" s="74">
        <f>db_emp[[#This Row],[NIP (UPDATE)]]</f>
        <v>181203</v>
      </c>
    </row>
    <row r="907" spans="2:19" hidden="1" x14ac:dyDescent="0.25">
      <c r="B907" s="75">
        <v>877</v>
      </c>
      <c r="C907" s="75">
        <v>181253</v>
      </c>
      <c r="D907" s="74" t="s">
        <v>1148</v>
      </c>
      <c r="E907" s="75" t="s">
        <v>2037</v>
      </c>
      <c r="F907" s="75"/>
      <c r="G907" s="74" t="s">
        <v>2104</v>
      </c>
      <c r="H907" s="80" t="s">
        <v>853</v>
      </c>
      <c r="I907" s="74"/>
      <c r="J907" s="75" t="s">
        <v>314</v>
      </c>
      <c r="K907" s="80" t="s">
        <v>903</v>
      </c>
      <c r="L907" s="76"/>
      <c r="M907" s="77">
        <f t="shared" ca="1" si="29"/>
        <v>45954</v>
      </c>
      <c r="N907" s="74" t="str">
        <f>_xlfn.IFNA(VLOOKUP(db_emp[[#This Row],[ID_DIV]],[1]!db_dpt[[Code_dpt]:[Departement]],2,0),"-")</f>
        <v>-</v>
      </c>
      <c r="O907" s="74" t="str">
        <f>_xlfn.IFNA(VLOOKUP(db_emp[[#This Row],[ID_SDP]],[1]!db_div[[Code_div]:[Division]],2,0),"-")</f>
        <v>-</v>
      </c>
      <c r="P907" s="74" t="str">
        <f>_xlfn.IFNA(VLOOKUP(db_emp[[#This Row],[Code_lvl]],[1]!db_lvl[[#All],[ID_level]:[Leveling Name]],2,0),"-")</f>
        <v>Staff</v>
      </c>
      <c r="Q907" s="74" t="str">
        <f>_xlfn.IFNA(VLOOKUP(db_emp[[#This Row],[Code_site]],[1]!db_site[[ID_Site]:[Url_maps]],3,0),"-")</f>
        <v>Unit - MOI</v>
      </c>
      <c r="R9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181253,'Kurniawan Abdul Latif','IPP','','Plant Operator Staff','LV12','','M02','Resign','1900-01-00','2025-10-24'</v>
      </c>
      <c r="S907" s="74">
        <f>db_emp[[#This Row],[NIP (UPDATE)]]</f>
        <v>181253</v>
      </c>
    </row>
    <row r="908" spans="2:19" hidden="1" x14ac:dyDescent="0.25">
      <c r="B908" s="80">
        <v>878</v>
      </c>
      <c r="C908" s="75">
        <v>181267</v>
      </c>
      <c r="D908" s="74" t="s">
        <v>2178</v>
      </c>
      <c r="E908" s="75" t="s">
        <v>1018</v>
      </c>
      <c r="F908" s="75"/>
      <c r="G908" s="74" t="s">
        <v>2021</v>
      </c>
      <c r="H908" s="75" t="s">
        <v>953</v>
      </c>
      <c r="I908" s="74"/>
      <c r="J908" s="75" t="s">
        <v>484</v>
      </c>
      <c r="K908" s="80" t="s">
        <v>903</v>
      </c>
      <c r="L908" s="76"/>
      <c r="M908" s="77">
        <f t="shared" ca="1" si="29"/>
        <v>45954</v>
      </c>
      <c r="N908" s="74" t="str">
        <f>_xlfn.IFNA(VLOOKUP(db_emp[[#This Row],[ID_DIV]],[1]!db_dpt[[Code_dpt]:[Departement]],2,0),"-")</f>
        <v>Operational</v>
      </c>
      <c r="O908" s="74" t="str">
        <f>_xlfn.IFNA(VLOOKUP(db_emp[[#This Row],[ID_SDP]],[1]!db_div[[Code_div]:[Division]],2,0),"-")</f>
        <v>-</v>
      </c>
      <c r="P908" s="74" t="str">
        <f>_xlfn.IFNA(VLOOKUP(db_emp[[#This Row],[Code_lvl]],[1]!db_lvl[[#All],[ID_level]:[Leveling Name]],2,0),"-")</f>
        <v>Manager</v>
      </c>
      <c r="Q908" s="74" t="str">
        <f>_xlfn.IFNA(VLOOKUP(db_emp[[#This Row],[Code_site]],[1]!db_site[[ID_Site]:[Url_maps]],3,0),"-")</f>
        <v>Unit - PIK Avenue</v>
      </c>
      <c r="R9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181267,'Sulardi','OPR','','Operational Manager','LV05','','M01','Resign','1900-01-00','2025-10-24'</v>
      </c>
      <c r="S908" s="74">
        <f>db_emp[[#This Row],[NIP (UPDATE)]]</f>
        <v>181267</v>
      </c>
    </row>
    <row r="909" spans="2:19" hidden="1" x14ac:dyDescent="0.25">
      <c r="B909" s="75">
        <v>879</v>
      </c>
      <c r="C909" s="75">
        <v>181299</v>
      </c>
      <c r="D909" s="74" t="s">
        <v>1947</v>
      </c>
      <c r="E909" s="75" t="s">
        <v>1362</v>
      </c>
      <c r="F909" s="75"/>
      <c r="G909" s="74" t="s">
        <v>1365</v>
      </c>
      <c r="H909" s="80" t="s">
        <v>853</v>
      </c>
      <c r="I909" s="74"/>
      <c r="J909" s="75" t="s">
        <v>433</v>
      </c>
      <c r="K909" s="80" t="s">
        <v>903</v>
      </c>
      <c r="L909" s="76"/>
      <c r="M909" s="77">
        <f t="shared" ca="1" si="29"/>
        <v>45954</v>
      </c>
      <c r="N909" s="74" t="str">
        <f>_xlfn.IFNA(VLOOKUP(db_emp[[#This Row],[ID_DIV]],[1]!db_dpt[[Code_dpt]:[Departement]],2,0),"-")</f>
        <v>-</v>
      </c>
      <c r="O909" s="74" t="str">
        <f>_xlfn.IFNA(VLOOKUP(db_emp[[#This Row],[ID_SDP]],[1]!db_div[[Code_div]:[Division]],2,0),"-")</f>
        <v>-</v>
      </c>
      <c r="P909" s="74" t="str">
        <f>_xlfn.IFNA(VLOOKUP(db_emp[[#This Row],[Code_lvl]],[1]!db_lvl[[#All],[ID_level]:[Leveling Name]],2,0),"-")</f>
        <v>Staff</v>
      </c>
      <c r="Q909" s="74" t="str">
        <f>_xlfn.IFNA(VLOOKUP(db_emp[[#This Row],[Code_site]],[1]!db_site[[ID_Site]:[Url_maps]],3,0),"-")</f>
        <v>Unit - Taman Anggrek Residences</v>
      </c>
      <c r="R9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181299,'Ricky Ramadhan','FAC','','Facility Staff','LV12','','A01','Resign','1900-01-00','2025-10-24'</v>
      </c>
      <c r="S909" s="74">
        <f>db_emp[[#This Row],[NIP (UPDATE)]]</f>
        <v>181299</v>
      </c>
    </row>
    <row r="910" spans="2:19" hidden="1" x14ac:dyDescent="0.25">
      <c r="B910" s="75">
        <v>880</v>
      </c>
      <c r="C910" s="75">
        <v>181347</v>
      </c>
      <c r="D910" s="74" t="s">
        <v>2179</v>
      </c>
      <c r="E910" s="75" t="s">
        <v>130</v>
      </c>
      <c r="F910" s="75"/>
      <c r="G910" s="74" t="s">
        <v>185</v>
      </c>
      <c r="H910" s="75" t="s">
        <v>1640</v>
      </c>
      <c r="I910" s="74"/>
      <c r="J910" s="75" t="s">
        <v>492</v>
      </c>
      <c r="K910" s="80" t="s">
        <v>903</v>
      </c>
      <c r="L910" s="76"/>
      <c r="M910" s="77">
        <f t="shared" ca="1" si="29"/>
        <v>45954</v>
      </c>
      <c r="N910" s="74" t="str">
        <f>_xlfn.IFNA(VLOOKUP(db_emp[[#This Row],[ID_DIV]],[1]!db_dpt[[Code_dpt]:[Departement]],2,0),"-")</f>
        <v>-</v>
      </c>
      <c r="O910" s="74" t="str">
        <f>_xlfn.IFNA(VLOOKUP(db_emp[[#This Row],[ID_SDP]],[1]!db_div[[Code_div]:[Division]],2,0),"-")</f>
        <v>-</v>
      </c>
      <c r="P910" s="74" t="str">
        <f>_xlfn.IFNA(VLOOKUP(db_emp[[#This Row],[Code_lvl]],[1]!db_lvl[[#All],[ID_level]:[Leveling Name]],2,0),"-")</f>
        <v>Non Staff</v>
      </c>
      <c r="Q910" s="74" t="str">
        <f>_xlfn.IFNA(VLOOKUP(db_emp[[#This Row],[Code_site]],[1]!db_site[[ID_Site]:[Url_maps]],3,0),"-")</f>
        <v>Unit - Hublife</v>
      </c>
      <c r="R9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181347,'Dulyani','HRD','','Office Boy','LV13','','M05','Resign','1900-01-00','2025-10-24'</v>
      </c>
      <c r="S910" s="74">
        <f>db_emp[[#This Row],[NIP (UPDATE)]]</f>
        <v>181347</v>
      </c>
    </row>
    <row r="911" spans="2:19" hidden="1" x14ac:dyDescent="0.25">
      <c r="B911" s="75">
        <v>881</v>
      </c>
      <c r="C911" s="75">
        <v>181395</v>
      </c>
      <c r="D911" s="74" t="s">
        <v>1294</v>
      </c>
      <c r="E911" s="75" t="s">
        <v>911</v>
      </c>
      <c r="F911" s="75"/>
      <c r="G911" s="74" t="s">
        <v>1905</v>
      </c>
      <c r="H911" s="80" t="s">
        <v>853</v>
      </c>
      <c r="I911" s="74"/>
      <c r="J911" s="75" t="s">
        <v>433</v>
      </c>
      <c r="K911" s="80" t="s">
        <v>903</v>
      </c>
      <c r="L911" s="76"/>
      <c r="M911" s="77">
        <f t="shared" ca="1" si="29"/>
        <v>45954</v>
      </c>
      <c r="N911" s="74" t="str">
        <f>_xlfn.IFNA(VLOOKUP(db_emp[[#This Row],[ID_DIV]],[1]!db_dpt[[Code_dpt]:[Departement]],2,0),"-")</f>
        <v>Engineering</v>
      </c>
      <c r="O911" s="74" t="str">
        <f>_xlfn.IFNA(VLOOKUP(db_emp[[#This Row],[ID_SDP]],[1]!db_div[[Code_div]:[Division]],2,0),"-")</f>
        <v>-</v>
      </c>
      <c r="P911" s="74" t="str">
        <f>_xlfn.IFNA(VLOOKUP(db_emp[[#This Row],[Code_lvl]],[1]!db_lvl[[#All],[ID_level]:[Leveling Name]],2,0),"-")</f>
        <v>Staff</v>
      </c>
      <c r="Q911" s="74" t="str">
        <f>_xlfn.IFNA(VLOOKUP(db_emp[[#This Row],[Code_site]],[1]!db_site[[ID_Site]:[Url_maps]],3,0),"-")</f>
        <v>Unit - Taman Anggrek Residences</v>
      </c>
      <c r="R9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181395,'Hidayat Apdila','ENG','','Technician Staff','LV12','','A01','Resign','1900-01-00','2025-10-24'</v>
      </c>
      <c r="S911" s="74">
        <f>db_emp[[#This Row],[NIP (UPDATE)]]</f>
        <v>181395</v>
      </c>
    </row>
    <row r="912" spans="2:19" hidden="1" x14ac:dyDescent="0.25">
      <c r="B912" s="80">
        <v>882</v>
      </c>
      <c r="C912" s="75">
        <v>181407</v>
      </c>
      <c r="D912" s="74" t="s">
        <v>1637</v>
      </c>
      <c r="E912" s="75" t="s">
        <v>130</v>
      </c>
      <c r="F912" s="75"/>
      <c r="G912" s="74" t="s">
        <v>186</v>
      </c>
      <c r="H912" s="75" t="s">
        <v>1640</v>
      </c>
      <c r="I912" s="74"/>
      <c r="J912" s="75" t="s">
        <v>492</v>
      </c>
      <c r="K912" s="80" t="s">
        <v>903</v>
      </c>
      <c r="L912" s="76"/>
      <c r="M912" s="77">
        <f t="shared" ca="1" si="29"/>
        <v>45954</v>
      </c>
      <c r="N912" s="74" t="str">
        <f>_xlfn.IFNA(VLOOKUP(db_emp[[#This Row],[ID_DIV]],[1]!db_dpt[[Code_dpt]:[Departement]],2,0),"-")</f>
        <v>-</v>
      </c>
      <c r="O912" s="74" t="str">
        <f>_xlfn.IFNA(VLOOKUP(db_emp[[#This Row],[ID_SDP]],[1]!db_div[[Code_div]:[Division]],2,0),"-")</f>
        <v>-</v>
      </c>
      <c r="P912" s="74" t="str">
        <f>_xlfn.IFNA(VLOOKUP(db_emp[[#This Row],[Code_lvl]],[1]!db_lvl[[#All],[ID_level]:[Leveling Name]],2,0),"-")</f>
        <v>Non Staff</v>
      </c>
      <c r="Q912" s="74" t="str">
        <f>_xlfn.IFNA(VLOOKUP(db_emp[[#This Row],[Code_site]],[1]!db_site[[ID_Site]:[Url_maps]],3,0),"-")</f>
        <v>Unit - Hublife</v>
      </c>
      <c r="R9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181407,'Syahrulloh.','HRD','','Messenger','LV13','','M05','Resign','1900-01-00','2025-10-24'</v>
      </c>
      <c r="S912" s="74">
        <f>db_emp[[#This Row],[NIP (UPDATE)]]</f>
        <v>181407</v>
      </c>
    </row>
    <row r="913" spans="2:19" hidden="1" x14ac:dyDescent="0.25">
      <c r="B913" s="75">
        <v>883</v>
      </c>
      <c r="C913" s="75">
        <v>181411</v>
      </c>
      <c r="D913" s="74" t="s">
        <v>1293</v>
      </c>
      <c r="E913" s="75" t="s">
        <v>911</v>
      </c>
      <c r="F913" s="75"/>
      <c r="G913" s="74" t="s">
        <v>1905</v>
      </c>
      <c r="H913" s="80" t="s">
        <v>853</v>
      </c>
      <c r="I913" s="74"/>
      <c r="J913" s="75" t="s">
        <v>433</v>
      </c>
      <c r="K913" s="80" t="s">
        <v>903</v>
      </c>
      <c r="L913" s="76"/>
      <c r="M913" s="77">
        <f t="shared" ca="1" si="29"/>
        <v>45954</v>
      </c>
      <c r="N913" s="74" t="str">
        <f>_xlfn.IFNA(VLOOKUP(db_emp[[#This Row],[ID_DIV]],[1]!db_dpt[[Code_dpt]:[Departement]],2,0),"-")</f>
        <v>Engineering</v>
      </c>
      <c r="O913" s="74" t="str">
        <f>_xlfn.IFNA(VLOOKUP(db_emp[[#This Row],[ID_SDP]],[1]!db_div[[Code_div]:[Division]],2,0),"-")</f>
        <v>-</v>
      </c>
      <c r="P913" s="74" t="str">
        <f>_xlfn.IFNA(VLOOKUP(db_emp[[#This Row],[Code_lvl]],[1]!db_lvl[[#All],[ID_level]:[Leveling Name]],2,0),"-")</f>
        <v>Staff</v>
      </c>
      <c r="Q913" s="74" t="str">
        <f>_xlfn.IFNA(VLOOKUP(db_emp[[#This Row],[Code_site]],[1]!db_site[[ID_Site]:[Url_maps]],3,0),"-")</f>
        <v>Unit - Taman Anggrek Residences</v>
      </c>
      <c r="R9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181411,'Tubagus Erwan Nurrahman','ENG','','Technician Staff','LV12','','A01','Resign','1900-01-00','2025-10-24'</v>
      </c>
      <c r="S913" s="74">
        <f>db_emp[[#This Row],[NIP (UPDATE)]]</f>
        <v>181411</v>
      </c>
    </row>
    <row r="914" spans="2:19" hidden="1" x14ac:dyDescent="0.25">
      <c r="B914" s="75">
        <v>884</v>
      </c>
      <c r="C914" s="75">
        <v>181464</v>
      </c>
      <c r="D914" s="74" t="s">
        <v>1303</v>
      </c>
      <c r="E914" s="75" t="s">
        <v>911</v>
      </c>
      <c r="F914" s="75"/>
      <c r="G914" s="74" t="s">
        <v>1072</v>
      </c>
      <c r="H914" s="80" t="s">
        <v>853</v>
      </c>
      <c r="I914" s="74"/>
      <c r="J914" s="75" t="s">
        <v>433</v>
      </c>
      <c r="K914" s="80" t="s">
        <v>903</v>
      </c>
      <c r="L914" s="76"/>
      <c r="M914" s="77">
        <f t="shared" ca="1" si="29"/>
        <v>45954</v>
      </c>
      <c r="N914" s="74" t="str">
        <f>_xlfn.IFNA(VLOOKUP(db_emp[[#This Row],[ID_DIV]],[1]!db_dpt[[Code_dpt]:[Departement]],2,0),"-")</f>
        <v>Engineering</v>
      </c>
      <c r="O914" s="74" t="str">
        <f>_xlfn.IFNA(VLOOKUP(db_emp[[#This Row],[ID_SDP]],[1]!db_div[[Code_div]:[Division]],2,0),"-")</f>
        <v>-</v>
      </c>
      <c r="P914" s="74" t="str">
        <f>_xlfn.IFNA(VLOOKUP(db_emp[[#This Row],[Code_lvl]],[1]!db_lvl[[#All],[ID_level]:[Leveling Name]],2,0),"-")</f>
        <v>Staff</v>
      </c>
      <c r="Q914" s="74" t="str">
        <f>_xlfn.IFNA(VLOOKUP(db_emp[[#This Row],[Code_site]],[1]!db_site[[ID_Site]:[Url_maps]],3,0),"-")</f>
        <v>Unit - Taman Anggrek Residences</v>
      </c>
      <c r="R9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181464,'Bayu Tri Hernowo','ENG','','Civil Staff','LV12','','A01','Resign','1900-01-00','2025-10-24'</v>
      </c>
      <c r="S914" s="74">
        <f>db_emp[[#This Row],[NIP (UPDATE)]]</f>
        <v>181464</v>
      </c>
    </row>
    <row r="915" spans="2:19" hidden="1" x14ac:dyDescent="0.25">
      <c r="B915" s="75">
        <v>885</v>
      </c>
      <c r="C915" s="75">
        <v>181535</v>
      </c>
      <c r="D915" s="74" t="s">
        <v>1643</v>
      </c>
      <c r="E915" s="75" t="s">
        <v>130</v>
      </c>
      <c r="F915" s="75"/>
      <c r="G915" s="74" t="s">
        <v>185</v>
      </c>
      <c r="H915" s="75" t="s">
        <v>1640</v>
      </c>
      <c r="I915" s="74"/>
      <c r="J915" s="75" t="s">
        <v>484</v>
      </c>
      <c r="K915" s="80" t="s">
        <v>903</v>
      </c>
      <c r="L915" s="76"/>
      <c r="M915" s="77">
        <f t="shared" ca="1" si="29"/>
        <v>45954</v>
      </c>
      <c r="N915" s="74" t="str">
        <f>_xlfn.IFNA(VLOOKUP(db_emp[[#This Row],[ID_DIV]],[1]!db_dpt[[Code_dpt]:[Departement]],2,0),"-")</f>
        <v>-</v>
      </c>
      <c r="O915" s="74" t="str">
        <f>_xlfn.IFNA(VLOOKUP(db_emp[[#This Row],[ID_SDP]],[1]!db_div[[Code_div]:[Division]],2,0),"-")</f>
        <v>-</v>
      </c>
      <c r="P915" s="74" t="str">
        <f>_xlfn.IFNA(VLOOKUP(db_emp[[#This Row],[Code_lvl]],[1]!db_lvl[[#All],[ID_level]:[Leveling Name]],2,0),"-")</f>
        <v>Non Staff</v>
      </c>
      <c r="Q915" s="74" t="str">
        <f>_xlfn.IFNA(VLOOKUP(db_emp[[#This Row],[Code_site]],[1]!db_site[[ID_Site]:[Url_maps]],3,0),"-")</f>
        <v>Unit - PIK Avenue</v>
      </c>
      <c r="R9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181535,'Unang Satyanggara','HRD','','Office Boy','LV13','','M01','Resign','1900-01-00','2025-10-24'</v>
      </c>
      <c r="S915" s="74">
        <f>db_emp[[#This Row],[NIP (UPDATE)]]</f>
        <v>181535</v>
      </c>
    </row>
    <row r="916" spans="2:19" hidden="1" x14ac:dyDescent="0.25">
      <c r="B916" s="80">
        <v>886</v>
      </c>
      <c r="C916" s="75">
        <v>190024</v>
      </c>
      <c r="D916" s="74" t="s">
        <v>2180</v>
      </c>
      <c r="E916" s="75" t="s">
        <v>1398</v>
      </c>
      <c r="F916" s="75"/>
      <c r="G916" s="74" t="s">
        <v>2181</v>
      </c>
      <c r="H916" s="75" t="s">
        <v>870</v>
      </c>
      <c r="I916" s="74"/>
      <c r="J916" s="75" t="s">
        <v>492</v>
      </c>
      <c r="K916" s="80" t="s">
        <v>903</v>
      </c>
      <c r="L916" s="76"/>
      <c r="M916" s="77">
        <f t="shared" ca="1" si="29"/>
        <v>45954</v>
      </c>
      <c r="N916" s="74" t="str">
        <f>_xlfn.IFNA(VLOOKUP(db_emp[[#This Row],[ID_DIV]],[1]!db_dpt[[Code_dpt]:[Departement]],2,0),"-")</f>
        <v>Fit Out</v>
      </c>
      <c r="O916" s="74" t="str">
        <f>_xlfn.IFNA(VLOOKUP(db_emp[[#This Row],[ID_SDP]],[1]!db_div[[Code_div]:[Division]],2,0),"-")</f>
        <v>-</v>
      </c>
      <c r="P916" s="74" t="str">
        <f>_xlfn.IFNA(VLOOKUP(db_emp[[#This Row],[Code_lvl]],[1]!db_lvl[[#All],[ID_level]:[Leveling Name]],2,0),"-")</f>
        <v>Supervisor</v>
      </c>
      <c r="Q916" s="74" t="str">
        <f>_xlfn.IFNA(VLOOKUP(db_emp[[#This Row],[Code_site]],[1]!db_site[[ID_Site]:[Url_maps]],3,0),"-")</f>
        <v>Unit - Hublife</v>
      </c>
      <c r="R9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190024,'Irwan Setiyawan','FIO','','M/E &amp; Fit Out Supervisor ','LV09','','M05','Resign','1900-01-00','2025-10-24'</v>
      </c>
      <c r="S916" s="74">
        <f>db_emp[[#This Row],[NIP (UPDATE)]]</f>
        <v>190024</v>
      </c>
    </row>
    <row r="917" spans="2:19" hidden="1" x14ac:dyDescent="0.25">
      <c r="B917" s="75">
        <v>887</v>
      </c>
      <c r="C917" s="75">
        <v>190042</v>
      </c>
      <c r="D917" s="74" t="s">
        <v>2182</v>
      </c>
      <c r="E917" s="75" t="s">
        <v>130</v>
      </c>
      <c r="F917" s="75"/>
      <c r="G917" s="74" t="s">
        <v>2183</v>
      </c>
      <c r="H917" s="75" t="s">
        <v>973</v>
      </c>
      <c r="I917" s="74"/>
      <c r="J917" s="75" t="s">
        <v>315</v>
      </c>
      <c r="K917" s="80" t="s">
        <v>903</v>
      </c>
      <c r="L917" s="76"/>
      <c r="M917" s="77">
        <f t="shared" ca="1" si="29"/>
        <v>45954</v>
      </c>
      <c r="N917" s="74" t="str">
        <f>_xlfn.IFNA(VLOOKUP(db_emp[[#This Row],[ID_DIV]],[1]!db_dpt[[Code_dpt]:[Departement]],2,0),"-")</f>
        <v>-</v>
      </c>
      <c r="O917" s="74" t="str">
        <f>_xlfn.IFNA(VLOOKUP(db_emp[[#This Row],[ID_SDP]],[1]!db_div[[Code_div]:[Division]],2,0),"-")</f>
        <v>-</v>
      </c>
      <c r="P917" s="74" t="str">
        <f>_xlfn.IFNA(VLOOKUP(db_emp[[#This Row],[Code_lvl]],[1]!db_lvl[[#All],[ID_level]:[Leveling Name]],2,0),"-")</f>
        <v>General Manager</v>
      </c>
      <c r="Q917" s="74" t="str">
        <f>_xlfn.IFNA(VLOOKUP(db_emp[[#This Row],[Code_site]],[1]!db_site[[ID_Site]:[Url_maps]],3,0),"-")</f>
        <v>Head Office - ASGO</v>
      </c>
      <c r="R9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190042,'Mellani Kurniawati S','HRD','','GM HRD','LV02','','O99','Resign','1900-01-00','2025-10-24'</v>
      </c>
      <c r="S917" s="74">
        <f>db_emp[[#This Row],[NIP (UPDATE)]]</f>
        <v>190042</v>
      </c>
    </row>
    <row r="918" spans="2:19" hidden="1" x14ac:dyDescent="0.25">
      <c r="B918" s="75">
        <v>888</v>
      </c>
      <c r="C918" s="75">
        <v>190083</v>
      </c>
      <c r="D918" s="74" t="s">
        <v>2184</v>
      </c>
      <c r="E918" s="75" t="s">
        <v>2185</v>
      </c>
      <c r="F918" s="75"/>
      <c r="G918" s="74" t="s">
        <v>2186</v>
      </c>
      <c r="H918" s="75" t="s">
        <v>870</v>
      </c>
      <c r="I918" s="74"/>
      <c r="J918" s="75" t="s">
        <v>433</v>
      </c>
      <c r="K918" s="80" t="s">
        <v>903</v>
      </c>
      <c r="L918" s="76"/>
      <c r="M918" s="77">
        <f t="shared" ca="1" si="29"/>
        <v>45954</v>
      </c>
      <c r="N918" s="74" t="str">
        <f>_xlfn.IFNA(VLOOKUP(db_emp[[#This Row],[ID_DIV]],[1]!db_dpt[[Code_dpt]:[Departement]],2,0),"-")</f>
        <v>-</v>
      </c>
      <c r="O918" s="74" t="str">
        <f>_xlfn.IFNA(VLOOKUP(db_emp[[#This Row],[ID_SDP]],[1]!db_div[[Code_div]:[Division]],2,0),"-")</f>
        <v>-</v>
      </c>
      <c r="P918" s="74" t="str">
        <f>_xlfn.IFNA(VLOOKUP(db_emp[[#This Row],[Code_lvl]],[1]!db_lvl[[#All],[ID_level]:[Leveling Name]],2,0),"-")</f>
        <v>Supervisor</v>
      </c>
      <c r="Q918" s="74" t="str">
        <f>_xlfn.IFNA(VLOOKUP(db_emp[[#This Row],[Code_site]],[1]!db_site[[ID_Site]:[Url_maps]],3,0),"-")</f>
        <v>Unit - Taman Anggrek Residences</v>
      </c>
      <c r="R9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190083,'Ihsan Sambudi','PCH','','Purchasing Supervisor','LV09','','A01','Resign','1900-01-00','2025-10-24'</v>
      </c>
      <c r="S918" s="74">
        <f>db_emp[[#This Row],[NIP (UPDATE)]]</f>
        <v>190083</v>
      </c>
    </row>
    <row r="919" spans="2:19" hidden="1" x14ac:dyDescent="0.25">
      <c r="B919" s="75">
        <v>889</v>
      </c>
      <c r="C919" s="75">
        <v>190094</v>
      </c>
      <c r="D919" s="74" t="s">
        <v>1364</v>
      </c>
      <c r="E919" s="75" t="s">
        <v>1362</v>
      </c>
      <c r="F919" s="75"/>
      <c r="G919" s="74" t="s">
        <v>2187</v>
      </c>
      <c r="H919" s="75" t="s">
        <v>853</v>
      </c>
      <c r="I919" s="74"/>
      <c r="J919" s="75" t="s">
        <v>433</v>
      </c>
      <c r="K919" s="80" t="s">
        <v>903</v>
      </c>
      <c r="L919" s="76"/>
      <c r="M919" s="77">
        <f t="shared" ca="1" si="29"/>
        <v>45954</v>
      </c>
      <c r="N919" s="74" t="str">
        <f>_xlfn.IFNA(VLOOKUP(db_emp[[#This Row],[ID_DIV]],[1]!db_dpt[[Code_dpt]:[Departement]],2,0),"-")</f>
        <v>-</v>
      </c>
      <c r="O919" s="74" t="str">
        <f>_xlfn.IFNA(VLOOKUP(db_emp[[#This Row],[ID_SDP]],[1]!db_div[[Code_div]:[Division]],2,0),"-")</f>
        <v>-</v>
      </c>
      <c r="P919" s="74" t="str">
        <f>_xlfn.IFNA(VLOOKUP(db_emp[[#This Row],[Code_lvl]],[1]!db_lvl[[#All],[ID_level]:[Leveling Name]],2,0),"-")</f>
        <v>Staff</v>
      </c>
      <c r="Q919" s="74" t="str">
        <f>_xlfn.IFNA(VLOOKUP(db_emp[[#This Row],[Code_site]],[1]!db_site[[ID_Site]:[Url_maps]],3,0),"-")</f>
        <v>Unit - Taman Anggrek Residences</v>
      </c>
      <c r="R9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190094,'Haris.','FAC','','Pool Attendant','LV12','','A01','Resign','1900-01-00','2025-10-24'</v>
      </c>
      <c r="S919" s="74">
        <f>db_emp[[#This Row],[NIP (UPDATE)]]</f>
        <v>190094</v>
      </c>
    </row>
    <row r="920" spans="2:19" hidden="1" x14ac:dyDescent="0.25">
      <c r="B920" s="80">
        <v>890</v>
      </c>
      <c r="C920" s="75">
        <v>190109</v>
      </c>
      <c r="D920" s="74" t="s">
        <v>1232</v>
      </c>
      <c r="E920" s="75" t="s">
        <v>911</v>
      </c>
      <c r="F920" s="75"/>
      <c r="G920" s="74" t="s">
        <v>2042</v>
      </c>
      <c r="H920" s="75" t="s">
        <v>953</v>
      </c>
      <c r="I920" s="74"/>
      <c r="J920" s="75" t="s">
        <v>433</v>
      </c>
      <c r="K920" s="80" t="s">
        <v>903</v>
      </c>
      <c r="L920" s="76"/>
      <c r="M920" s="77">
        <f t="shared" ca="1" si="29"/>
        <v>45954</v>
      </c>
      <c r="N920" s="74" t="str">
        <f>_xlfn.IFNA(VLOOKUP(db_emp[[#This Row],[ID_DIV]],[1]!db_dpt[[Code_dpt]:[Departement]],2,0),"-")</f>
        <v>Engineering</v>
      </c>
      <c r="O920" s="74" t="str">
        <f>_xlfn.IFNA(VLOOKUP(db_emp[[#This Row],[ID_SDP]],[1]!db_div[[Code_div]:[Division]],2,0),"-")</f>
        <v>-</v>
      </c>
      <c r="P920" s="74" t="str">
        <f>_xlfn.IFNA(VLOOKUP(db_emp[[#This Row],[Code_lvl]],[1]!db_lvl[[#All],[ID_level]:[Leveling Name]],2,0),"-")</f>
        <v>Manager</v>
      </c>
      <c r="Q920" s="74" t="str">
        <f>_xlfn.IFNA(VLOOKUP(db_emp[[#This Row],[Code_site]],[1]!db_site[[ID_Site]:[Url_maps]],3,0),"-")</f>
        <v>Unit - Taman Anggrek Residences</v>
      </c>
      <c r="R9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190109,'Alexander Leonidas O','ENG','','Engineering Chief','LV05','','A01','Resign','1900-01-00','2025-10-24'</v>
      </c>
      <c r="S920" s="74">
        <f>db_emp[[#This Row],[NIP (UPDATE)]]</f>
        <v>190109</v>
      </c>
    </row>
    <row r="921" spans="2:19" hidden="1" x14ac:dyDescent="0.25">
      <c r="B921" s="75">
        <v>891</v>
      </c>
      <c r="C921" s="75">
        <v>190128</v>
      </c>
      <c r="D921" s="74" t="s">
        <v>2188</v>
      </c>
      <c r="E921" s="75" t="s">
        <v>845</v>
      </c>
      <c r="F921" s="75"/>
      <c r="G921" s="74" t="s">
        <v>898</v>
      </c>
      <c r="H921" s="80" t="s">
        <v>853</v>
      </c>
      <c r="I921" s="74"/>
      <c r="J921" s="75" t="s">
        <v>315</v>
      </c>
      <c r="K921" s="80" t="s">
        <v>903</v>
      </c>
      <c r="L921" s="76"/>
      <c r="M921" s="77">
        <f t="shared" ca="1" si="29"/>
        <v>45954</v>
      </c>
      <c r="N921" s="74" t="str">
        <f>_xlfn.IFNA(VLOOKUP(db_emp[[#This Row],[ID_DIV]],[1]!db_dpt[[Code_dpt]:[Departement]],2,0),"-")</f>
        <v>Finance &amp; Accounting</v>
      </c>
      <c r="O921" s="74" t="str">
        <f>_xlfn.IFNA(VLOOKUP(db_emp[[#This Row],[ID_SDP]],[1]!db_div[[Code_div]:[Division]],2,0),"-")</f>
        <v>-</v>
      </c>
      <c r="P921" s="74" t="str">
        <f>_xlfn.IFNA(VLOOKUP(db_emp[[#This Row],[Code_lvl]],[1]!db_lvl[[#All],[ID_level]:[Leveling Name]],2,0),"-")</f>
        <v>Staff</v>
      </c>
      <c r="Q921" s="74" t="str">
        <f>_xlfn.IFNA(VLOOKUP(db_emp[[#This Row],[Code_site]],[1]!db_site[[ID_Site]:[Url_maps]],3,0),"-")</f>
        <v>Head Office - ASGO</v>
      </c>
      <c r="R9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190128,'Putri Rafika ','FIN','','Accounting Staff','LV12','','O99','Resign','1900-01-00','2025-10-24'</v>
      </c>
      <c r="S921" s="74">
        <f>db_emp[[#This Row],[NIP (UPDATE)]]</f>
        <v>190128</v>
      </c>
    </row>
    <row r="922" spans="2:19" hidden="1" x14ac:dyDescent="0.25">
      <c r="B922" s="75">
        <v>892</v>
      </c>
      <c r="C922" s="75">
        <v>190147</v>
      </c>
      <c r="D922" s="74" t="s">
        <v>1425</v>
      </c>
      <c r="E922" s="75" t="s">
        <v>911</v>
      </c>
      <c r="F922" s="75"/>
      <c r="G922" s="74" t="s">
        <v>1416</v>
      </c>
      <c r="H922" s="75" t="s">
        <v>870</v>
      </c>
      <c r="I922" s="74"/>
      <c r="J922" s="75" t="s">
        <v>433</v>
      </c>
      <c r="K922" s="80" t="s">
        <v>903</v>
      </c>
      <c r="L922" s="76"/>
      <c r="M922" s="77">
        <f t="shared" ca="1" si="29"/>
        <v>45954</v>
      </c>
      <c r="N922" s="74" t="str">
        <f>_xlfn.IFNA(VLOOKUP(db_emp[[#This Row],[ID_DIV]],[1]!db_dpt[[Code_dpt]:[Departement]],2,0),"-")</f>
        <v>Engineering</v>
      </c>
      <c r="O922" s="74" t="str">
        <f>_xlfn.IFNA(VLOOKUP(db_emp[[#This Row],[ID_SDP]],[1]!db_div[[Code_div]:[Division]],2,0),"-")</f>
        <v>-</v>
      </c>
      <c r="P922" s="74" t="str">
        <f>_xlfn.IFNA(VLOOKUP(db_emp[[#This Row],[Code_lvl]],[1]!db_lvl[[#All],[ID_level]:[Leveling Name]],2,0),"-")</f>
        <v>Supervisor</v>
      </c>
      <c r="Q922" s="74" t="str">
        <f>_xlfn.IFNA(VLOOKUP(db_emp[[#This Row],[Code_site]],[1]!db_site[[ID_Site]:[Url_maps]],3,0),"-")</f>
        <v>Unit - Taman Anggrek Residences</v>
      </c>
      <c r="R9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190147,'Florentinus Frengky Boleng','ENG','','Fit Out Supervisor','LV09','','A01','Resign','1900-01-00','2025-10-24'</v>
      </c>
      <c r="S922" s="74">
        <f>db_emp[[#This Row],[NIP (UPDATE)]]</f>
        <v>190147</v>
      </c>
    </row>
    <row r="923" spans="2:19" hidden="1" x14ac:dyDescent="0.25">
      <c r="B923" s="75">
        <v>893</v>
      </c>
      <c r="C923" s="75">
        <v>190148</v>
      </c>
      <c r="D923" s="74" t="s">
        <v>2189</v>
      </c>
      <c r="E923" s="75" t="s">
        <v>1018</v>
      </c>
      <c r="F923" s="75"/>
      <c r="G923" s="74" t="s">
        <v>1839</v>
      </c>
      <c r="H923" s="80" t="s">
        <v>853</v>
      </c>
      <c r="I923" s="74"/>
      <c r="J923" s="75" t="s">
        <v>484</v>
      </c>
      <c r="K923" s="80" t="s">
        <v>903</v>
      </c>
      <c r="L923" s="76"/>
      <c r="M923" s="77">
        <f t="shared" ca="1" si="29"/>
        <v>45954</v>
      </c>
      <c r="N923" s="74" t="str">
        <f>_xlfn.IFNA(VLOOKUP(db_emp[[#This Row],[ID_DIV]],[1]!db_dpt[[Code_dpt]:[Departement]],2,0),"-")</f>
        <v>Operational</v>
      </c>
      <c r="O923" s="74" t="str">
        <f>_xlfn.IFNA(VLOOKUP(db_emp[[#This Row],[ID_SDP]],[1]!db_div[[Code_div]:[Division]],2,0),"-")</f>
        <v>-</v>
      </c>
      <c r="P923" s="74" t="str">
        <f>_xlfn.IFNA(VLOOKUP(db_emp[[#This Row],[Code_lvl]],[1]!db_lvl[[#All],[ID_level]:[Leveling Name]],2,0),"-")</f>
        <v>Staff</v>
      </c>
      <c r="Q923" s="74" t="str">
        <f>_xlfn.IFNA(VLOOKUP(db_emp[[#This Row],[Code_site]],[1]!db_site[[ID_Site]:[Url_maps]],3,0),"-")</f>
        <v>Unit - PIK Avenue</v>
      </c>
      <c r="R9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190148,'Rustamaji.','OPR','','Security Staff','LV12','','M01','Resign','1900-01-00','2025-10-24'</v>
      </c>
      <c r="S923" s="74">
        <f>db_emp[[#This Row],[NIP (UPDATE)]]</f>
        <v>190148</v>
      </c>
    </row>
    <row r="924" spans="2:19" hidden="1" x14ac:dyDescent="0.25">
      <c r="B924" s="80">
        <v>894</v>
      </c>
      <c r="C924" s="75">
        <v>190150</v>
      </c>
      <c r="D924" s="74" t="s">
        <v>1366</v>
      </c>
      <c r="E924" s="75" t="s">
        <v>1362</v>
      </c>
      <c r="F924" s="75"/>
      <c r="G924" s="74" t="s">
        <v>1365</v>
      </c>
      <c r="H924" s="80" t="s">
        <v>853</v>
      </c>
      <c r="I924" s="74"/>
      <c r="J924" s="75" t="s">
        <v>433</v>
      </c>
      <c r="K924" s="80" t="s">
        <v>903</v>
      </c>
      <c r="L924" s="76"/>
      <c r="M924" s="77">
        <f t="shared" ca="1" si="29"/>
        <v>45954</v>
      </c>
      <c r="N924" s="74" t="str">
        <f>_xlfn.IFNA(VLOOKUP(db_emp[[#This Row],[ID_DIV]],[1]!db_dpt[[Code_dpt]:[Departement]],2,0),"-")</f>
        <v>-</v>
      </c>
      <c r="O924" s="74" t="str">
        <f>_xlfn.IFNA(VLOOKUP(db_emp[[#This Row],[ID_SDP]],[1]!db_div[[Code_div]:[Division]],2,0),"-")</f>
        <v>-</v>
      </c>
      <c r="P924" s="74" t="str">
        <f>_xlfn.IFNA(VLOOKUP(db_emp[[#This Row],[Code_lvl]],[1]!db_lvl[[#All],[ID_level]:[Leveling Name]],2,0),"-")</f>
        <v>Staff</v>
      </c>
      <c r="Q924" s="74" t="str">
        <f>_xlfn.IFNA(VLOOKUP(db_emp[[#This Row],[Code_site]],[1]!db_site[[ID_Site]:[Url_maps]],3,0),"-")</f>
        <v>Unit - Taman Anggrek Residences</v>
      </c>
      <c r="R9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190150,'David Rusly','FAC','','Facility Staff','LV12','','A01','Resign','1900-01-00','2025-10-24'</v>
      </c>
      <c r="S924" s="74">
        <f>db_emp[[#This Row],[NIP (UPDATE)]]</f>
        <v>190150</v>
      </c>
    </row>
    <row r="925" spans="2:19" hidden="1" x14ac:dyDescent="0.25">
      <c r="B925" s="75">
        <v>895</v>
      </c>
      <c r="C925" s="75">
        <v>190155</v>
      </c>
      <c r="D925" s="74" t="s">
        <v>2190</v>
      </c>
      <c r="E925" s="75" t="s">
        <v>130</v>
      </c>
      <c r="F925" s="75"/>
      <c r="G925" s="74" t="s">
        <v>2191</v>
      </c>
      <c r="H925" s="80" t="s">
        <v>853</v>
      </c>
      <c r="I925" s="74"/>
      <c r="J925" s="75" t="s">
        <v>315</v>
      </c>
      <c r="K925" s="80" t="s">
        <v>903</v>
      </c>
      <c r="L925" s="76"/>
      <c r="M925" s="77">
        <f t="shared" ca="1" si="29"/>
        <v>45954</v>
      </c>
      <c r="N925" s="74" t="str">
        <f>_xlfn.IFNA(VLOOKUP(db_emp[[#This Row],[ID_DIV]],[1]!db_dpt[[Code_dpt]:[Departement]],2,0),"-")</f>
        <v>-</v>
      </c>
      <c r="O925" s="74" t="str">
        <f>_xlfn.IFNA(VLOOKUP(db_emp[[#This Row],[ID_SDP]],[1]!db_div[[Code_div]:[Division]],2,0),"-")</f>
        <v>-</v>
      </c>
      <c r="P925" s="74" t="str">
        <f>_xlfn.IFNA(VLOOKUP(db_emp[[#This Row],[Code_lvl]],[1]!db_lvl[[#All],[ID_level]:[Leveling Name]],2,0),"-")</f>
        <v>Staff</v>
      </c>
      <c r="Q925" s="74" t="str">
        <f>_xlfn.IFNA(VLOOKUP(db_emp[[#This Row],[Code_site]],[1]!db_site[[ID_Site]:[Url_maps]],3,0),"-")</f>
        <v>Head Office - ASGO</v>
      </c>
      <c r="R9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190155,'Florencia Nelci Pulu','HRD','','HR &amp; GA Staff','LV12','','O99','Resign','1900-01-00','2025-10-24'</v>
      </c>
      <c r="S925" s="74">
        <f>db_emp[[#This Row],[NIP (UPDATE)]]</f>
        <v>190155</v>
      </c>
    </row>
    <row r="926" spans="2:19" hidden="1" x14ac:dyDescent="0.25">
      <c r="B926" s="75">
        <v>896</v>
      </c>
      <c r="C926" s="75">
        <v>190177</v>
      </c>
      <c r="D926" s="74" t="s">
        <v>1367</v>
      </c>
      <c r="E926" s="75" t="s">
        <v>1362</v>
      </c>
      <c r="F926" s="75"/>
      <c r="G926" s="74" t="s">
        <v>2192</v>
      </c>
      <c r="H926" s="80" t="s">
        <v>853</v>
      </c>
      <c r="I926" s="74"/>
      <c r="J926" s="75" t="s">
        <v>433</v>
      </c>
      <c r="K926" s="80" t="s">
        <v>903</v>
      </c>
      <c r="L926" s="76"/>
      <c r="M926" s="77">
        <f t="shared" ca="1" si="29"/>
        <v>45954</v>
      </c>
      <c r="N926" s="74" t="str">
        <f>_xlfn.IFNA(VLOOKUP(db_emp[[#This Row],[ID_DIV]],[1]!db_dpt[[Code_dpt]:[Departement]],2,0),"-")</f>
        <v>-</v>
      </c>
      <c r="O926" s="74" t="str">
        <f>_xlfn.IFNA(VLOOKUP(db_emp[[#This Row],[ID_SDP]],[1]!db_div[[Code_div]:[Division]],2,0),"-")</f>
        <v>-</v>
      </c>
      <c r="P926" s="74" t="str">
        <f>_xlfn.IFNA(VLOOKUP(db_emp[[#This Row],[Code_lvl]],[1]!db_lvl[[#All],[ID_level]:[Leveling Name]],2,0),"-")</f>
        <v>Staff</v>
      </c>
      <c r="Q926" s="74" t="str">
        <f>_xlfn.IFNA(VLOOKUP(db_emp[[#This Row],[Code_site]],[1]!db_site[[ID_Site]:[Url_maps]],3,0),"-")</f>
        <v>Unit - Taman Anggrek Residences</v>
      </c>
      <c r="R9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190177,'Gunawan.','FAC','','Pool Attendant Staff','LV12','','A01','Resign','1900-01-00','2025-10-24'</v>
      </c>
      <c r="S926" s="74">
        <f>db_emp[[#This Row],[NIP (UPDATE)]]</f>
        <v>190177</v>
      </c>
    </row>
    <row r="927" spans="2:19" hidden="1" x14ac:dyDescent="0.25">
      <c r="B927" s="75">
        <v>897</v>
      </c>
      <c r="C927" s="75">
        <v>190188</v>
      </c>
      <c r="D927" s="74" t="s">
        <v>1295</v>
      </c>
      <c r="E927" s="75" t="s">
        <v>911</v>
      </c>
      <c r="F927" s="75"/>
      <c r="G927" s="74" t="s">
        <v>1254</v>
      </c>
      <c r="H927" s="80" t="s">
        <v>853</v>
      </c>
      <c r="I927" s="74"/>
      <c r="J927" s="75" t="s">
        <v>433</v>
      </c>
      <c r="K927" s="80" t="s">
        <v>903</v>
      </c>
      <c r="L927" s="76"/>
      <c r="M927" s="77">
        <f t="shared" ca="1" si="29"/>
        <v>45954</v>
      </c>
      <c r="N927" s="74" t="str">
        <f>_xlfn.IFNA(VLOOKUP(db_emp[[#This Row],[ID_DIV]],[1]!db_dpt[[Code_dpt]:[Departement]],2,0),"-")</f>
        <v>Engineering</v>
      </c>
      <c r="O927" s="74" t="str">
        <f>_xlfn.IFNA(VLOOKUP(db_emp[[#This Row],[ID_SDP]],[1]!db_div[[Code_div]:[Division]],2,0),"-")</f>
        <v>-</v>
      </c>
      <c r="P927" s="74" t="str">
        <f>_xlfn.IFNA(VLOOKUP(db_emp[[#This Row],[Code_lvl]],[1]!db_lvl[[#All],[ID_level]:[Leveling Name]],2,0),"-")</f>
        <v>Staff</v>
      </c>
      <c r="Q927" s="74" t="str">
        <f>_xlfn.IFNA(VLOOKUP(db_emp[[#This Row],[Code_site]],[1]!db_site[[ID_Site]:[Url_maps]],3,0),"-")</f>
        <v>Unit - Taman Anggrek Residences</v>
      </c>
      <c r="R9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190188,'Solehudin.','ENG','','Engineering Staff','LV12','','A01','Resign','1900-01-00','2025-10-24'</v>
      </c>
      <c r="S927" s="74">
        <f>db_emp[[#This Row],[NIP (UPDATE)]]</f>
        <v>190188</v>
      </c>
    </row>
    <row r="928" spans="2:19" hidden="1" x14ac:dyDescent="0.25">
      <c r="B928" s="80">
        <v>898</v>
      </c>
      <c r="C928" s="75">
        <v>190259</v>
      </c>
      <c r="D928" s="74" t="s">
        <v>2193</v>
      </c>
      <c r="E928" s="75" t="s">
        <v>130</v>
      </c>
      <c r="F928" s="75"/>
      <c r="G928" s="74" t="s">
        <v>185</v>
      </c>
      <c r="H928" s="75" t="s">
        <v>1640</v>
      </c>
      <c r="I928" s="74"/>
      <c r="J928" s="75" t="s">
        <v>490</v>
      </c>
      <c r="K928" s="80" t="s">
        <v>903</v>
      </c>
      <c r="L928" s="76"/>
      <c r="M928" s="77">
        <f t="shared" ca="1" si="29"/>
        <v>45954</v>
      </c>
      <c r="N928" s="74" t="str">
        <f>_xlfn.IFNA(VLOOKUP(db_emp[[#This Row],[ID_DIV]],[1]!db_dpt[[Code_dpt]:[Departement]],2,0),"-")</f>
        <v>-</v>
      </c>
      <c r="O928" s="74" t="str">
        <f>_xlfn.IFNA(VLOOKUP(db_emp[[#This Row],[ID_SDP]],[1]!db_div[[Code_div]:[Division]],2,0),"-")</f>
        <v>-</v>
      </c>
      <c r="P928" s="74" t="str">
        <f>_xlfn.IFNA(VLOOKUP(db_emp[[#This Row],[Code_lvl]],[1]!db_lvl[[#All],[ID_level]:[Leveling Name]],2,0),"-")</f>
        <v>Non Staff</v>
      </c>
      <c r="Q928" s="74" t="str">
        <f>_xlfn.IFNA(VLOOKUP(db_emp[[#This Row],[Code_site]],[1]!db_site[[ID_Site]:[Url_maps]],3,0),"-")</f>
        <v>Unit - ASHTA</v>
      </c>
      <c r="R9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190259,'Dicka Kembara','HRD','','Office Boy','LV13','','M04','Resign','1900-01-00','2025-10-24'</v>
      </c>
      <c r="S928" s="74">
        <f>db_emp[[#This Row],[NIP (UPDATE)]]</f>
        <v>190259</v>
      </c>
    </row>
    <row r="929" spans="2:19" hidden="1" x14ac:dyDescent="0.25">
      <c r="B929" s="75">
        <v>899</v>
      </c>
      <c r="C929" s="75">
        <v>190277</v>
      </c>
      <c r="D929" s="74" t="s">
        <v>1296</v>
      </c>
      <c r="E929" s="75" t="s">
        <v>911</v>
      </c>
      <c r="F929" s="75"/>
      <c r="G929" s="74" t="s">
        <v>1905</v>
      </c>
      <c r="H929" s="80" t="s">
        <v>853</v>
      </c>
      <c r="I929" s="74"/>
      <c r="J929" s="75" t="s">
        <v>433</v>
      </c>
      <c r="K929" s="80" t="s">
        <v>903</v>
      </c>
      <c r="L929" s="76"/>
      <c r="M929" s="77">
        <f t="shared" ca="1" si="29"/>
        <v>45954</v>
      </c>
      <c r="N929" s="74" t="str">
        <f>_xlfn.IFNA(VLOOKUP(db_emp[[#This Row],[ID_DIV]],[1]!db_dpt[[Code_dpt]:[Departement]],2,0),"-")</f>
        <v>Engineering</v>
      </c>
      <c r="O929" s="74" t="str">
        <f>_xlfn.IFNA(VLOOKUP(db_emp[[#This Row],[ID_SDP]],[1]!db_div[[Code_div]:[Division]],2,0),"-")</f>
        <v>-</v>
      </c>
      <c r="P929" s="74" t="str">
        <f>_xlfn.IFNA(VLOOKUP(db_emp[[#This Row],[Code_lvl]],[1]!db_lvl[[#All],[ID_level]:[Leveling Name]],2,0),"-")</f>
        <v>Staff</v>
      </c>
      <c r="Q929" s="74" t="str">
        <f>_xlfn.IFNA(VLOOKUP(db_emp[[#This Row],[Code_site]],[1]!db_site[[ID_Site]:[Url_maps]],3,0),"-")</f>
        <v>Unit - Taman Anggrek Residences</v>
      </c>
      <c r="R9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190277,'Nasrul Rovi','ENG','','Technician Staff','LV12','','A01','Resign','1900-01-00','2025-10-24'</v>
      </c>
      <c r="S929" s="74">
        <f>db_emp[[#This Row],[NIP (UPDATE)]]</f>
        <v>190277</v>
      </c>
    </row>
    <row r="930" spans="2:19" hidden="1" x14ac:dyDescent="0.25">
      <c r="B930" s="75">
        <v>900</v>
      </c>
      <c r="C930" s="75">
        <v>190289</v>
      </c>
      <c r="D930" s="74" t="s">
        <v>1297</v>
      </c>
      <c r="E930" s="75" t="s">
        <v>911</v>
      </c>
      <c r="F930" s="75"/>
      <c r="G930" s="74" t="s">
        <v>1905</v>
      </c>
      <c r="H930" s="80" t="s">
        <v>853</v>
      </c>
      <c r="I930" s="74"/>
      <c r="J930" s="75" t="s">
        <v>433</v>
      </c>
      <c r="K930" s="80" t="s">
        <v>903</v>
      </c>
      <c r="L930" s="76"/>
      <c r="M930" s="77">
        <f t="shared" ca="1" si="29"/>
        <v>45954</v>
      </c>
      <c r="N930" s="74" t="str">
        <f>_xlfn.IFNA(VLOOKUP(db_emp[[#This Row],[ID_DIV]],[1]!db_dpt[[Code_dpt]:[Departement]],2,0),"-")</f>
        <v>Engineering</v>
      </c>
      <c r="O930" s="74" t="str">
        <f>_xlfn.IFNA(VLOOKUP(db_emp[[#This Row],[ID_SDP]],[1]!db_div[[Code_div]:[Division]],2,0),"-")</f>
        <v>-</v>
      </c>
      <c r="P930" s="74" t="str">
        <f>_xlfn.IFNA(VLOOKUP(db_emp[[#This Row],[Code_lvl]],[1]!db_lvl[[#All],[ID_level]:[Leveling Name]],2,0),"-")</f>
        <v>Staff</v>
      </c>
      <c r="Q930" s="74" t="str">
        <f>_xlfn.IFNA(VLOOKUP(db_emp[[#This Row],[Code_site]],[1]!db_site[[ID_Site]:[Url_maps]],3,0),"-")</f>
        <v>Unit - Taman Anggrek Residences</v>
      </c>
      <c r="R9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190289,'Yusup.','ENG','','Technician Staff','LV12','','A01','Resign','1900-01-00','2025-10-24'</v>
      </c>
      <c r="S930" s="74">
        <f>db_emp[[#This Row],[NIP (UPDATE)]]</f>
        <v>190289</v>
      </c>
    </row>
    <row r="931" spans="2:19" hidden="1" x14ac:dyDescent="0.25">
      <c r="B931" s="75">
        <v>901</v>
      </c>
      <c r="C931" s="75">
        <v>190302</v>
      </c>
      <c r="D931" s="74" t="s">
        <v>2194</v>
      </c>
      <c r="E931" s="75" t="s">
        <v>1018</v>
      </c>
      <c r="F931" s="75"/>
      <c r="G931" s="74" t="s">
        <v>1496</v>
      </c>
      <c r="H931" s="80" t="s">
        <v>853</v>
      </c>
      <c r="I931" s="74"/>
      <c r="J931" s="75" t="s">
        <v>314</v>
      </c>
      <c r="K931" s="80" t="s">
        <v>903</v>
      </c>
      <c r="L931" s="76"/>
      <c r="M931" s="77">
        <f t="shared" ca="1" si="29"/>
        <v>45954</v>
      </c>
      <c r="N931" s="74" t="str">
        <f>_xlfn.IFNA(VLOOKUP(db_emp[[#This Row],[ID_DIV]],[1]!db_dpt[[Code_dpt]:[Departement]],2,0),"-")</f>
        <v>Operational</v>
      </c>
      <c r="O931" s="74" t="str">
        <f>_xlfn.IFNA(VLOOKUP(db_emp[[#This Row],[ID_SDP]],[1]!db_div[[Code_div]:[Division]],2,0),"-")</f>
        <v>-</v>
      </c>
      <c r="P931" s="74" t="str">
        <f>_xlfn.IFNA(VLOOKUP(db_emp[[#This Row],[Code_lvl]],[1]!db_lvl[[#All],[ID_level]:[Leveling Name]],2,0),"-")</f>
        <v>Staff</v>
      </c>
      <c r="Q931" s="74" t="str">
        <f>_xlfn.IFNA(VLOOKUP(db_emp[[#This Row],[Code_site]],[1]!db_site[[ID_Site]:[Url_maps]],3,0),"-")</f>
        <v>Unit - MOI</v>
      </c>
      <c r="R9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190302,'Mohamad Yusuf','OPR','','Housekeeping &amp; Parking Staff','LV12','','M02','Resign','1900-01-00','2025-10-24'</v>
      </c>
      <c r="S931" s="74">
        <f>db_emp[[#This Row],[NIP (UPDATE)]]</f>
        <v>190302</v>
      </c>
    </row>
    <row r="932" spans="2:19" hidden="1" x14ac:dyDescent="0.25">
      <c r="B932" s="80">
        <v>902</v>
      </c>
      <c r="C932" s="75">
        <v>190321</v>
      </c>
      <c r="D932" s="74" t="s">
        <v>2195</v>
      </c>
      <c r="E932" s="75" t="s">
        <v>1018</v>
      </c>
      <c r="F932" s="75"/>
      <c r="G932" s="74" t="s">
        <v>2196</v>
      </c>
      <c r="H932" s="75" t="s">
        <v>870</v>
      </c>
      <c r="I932" s="74"/>
      <c r="J932" s="75" t="s">
        <v>492</v>
      </c>
      <c r="K932" s="80" t="s">
        <v>903</v>
      </c>
      <c r="L932" s="76"/>
      <c r="M932" s="77">
        <f t="shared" ca="1" si="29"/>
        <v>45954</v>
      </c>
      <c r="N932" s="74" t="str">
        <f>_xlfn.IFNA(VLOOKUP(db_emp[[#This Row],[ID_DIV]],[1]!db_dpt[[Code_dpt]:[Departement]],2,0),"-")</f>
        <v>Operational</v>
      </c>
      <c r="O932" s="74" t="str">
        <f>_xlfn.IFNA(VLOOKUP(db_emp[[#This Row],[ID_SDP]],[1]!db_div[[Code_div]:[Division]],2,0),"-")</f>
        <v>-</v>
      </c>
      <c r="P932" s="74" t="str">
        <f>_xlfn.IFNA(VLOOKUP(db_emp[[#This Row],[Code_lvl]],[1]!db_lvl[[#All],[ID_level]:[Leveling Name]],2,0),"-")</f>
        <v>Supervisor</v>
      </c>
      <c r="Q932" s="74" t="str">
        <f>_xlfn.IFNA(VLOOKUP(db_emp[[#This Row],[Code_site]],[1]!db_site[[ID_Site]:[Url_maps]],3,0),"-")</f>
        <v>Unit - Hublife</v>
      </c>
      <c r="R9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190321,'Hendra Setiawan','OPR','','Security &amp; CCTV Supervisor ','LV09','','M05','Resign','1900-01-00','2025-10-24'</v>
      </c>
      <c r="S932" s="74">
        <f>db_emp[[#This Row],[NIP (UPDATE)]]</f>
        <v>190321</v>
      </c>
    </row>
    <row r="933" spans="2:19" hidden="1" x14ac:dyDescent="0.25">
      <c r="B933" s="75">
        <v>903</v>
      </c>
      <c r="C933" s="75">
        <v>190397</v>
      </c>
      <c r="D933" s="74" t="s">
        <v>2197</v>
      </c>
      <c r="E933" s="75" t="s">
        <v>1036</v>
      </c>
      <c r="F933" s="75"/>
      <c r="G933" s="74" t="s">
        <v>1962</v>
      </c>
      <c r="H933" s="75" t="s">
        <v>870</v>
      </c>
      <c r="I933" s="74"/>
      <c r="J933" s="75" t="s">
        <v>433</v>
      </c>
      <c r="K933" s="80" t="s">
        <v>903</v>
      </c>
      <c r="L933" s="76"/>
      <c r="M933" s="77">
        <f t="shared" ca="1" si="29"/>
        <v>45954</v>
      </c>
      <c r="N933" s="74" t="str">
        <f>_xlfn.IFNA(VLOOKUP(db_emp[[#This Row],[ID_DIV]],[1]!db_dpt[[Code_dpt]:[Departement]],2,0),"-")</f>
        <v>Tenant Relation</v>
      </c>
      <c r="O933" s="74" t="str">
        <f>_xlfn.IFNA(VLOOKUP(db_emp[[#This Row],[ID_SDP]],[1]!db_div[[Code_div]:[Division]],2,0),"-")</f>
        <v>-</v>
      </c>
      <c r="P933" s="74" t="str">
        <f>_xlfn.IFNA(VLOOKUP(db_emp[[#This Row],[Code_lvl]],[1]!db_lvl[[#All],[ID_level]:[Leveling Name]],2,0),"-")</f>
        <v>Supervisor</v>
      </c>
      <c r="Q933" s="74" t="str">
        <f>_xlfn.IFNA(VLOOKUP(db_emp[[#This Row],[Code_site]],[1]!db_site[[ID_Site]:[Url_maps]],3,0),"-")</f>
        <v>Unit - Taman Anggrek Residences</v>
      </c>
      <c r="R9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190397,'Yansen Marvin Hutauruk','TRL','','Tenant Relation Supervisor','LV09','','A01','Resign','1900-01-00','2025-10-24'</v>
      </c>
      <c r="S933" s="74">
        <f>db_emp[[#This Row],[NIP (UPDATE)]]</f>
        <v>190397</v>
      </c>
    </row>
    <row r="934" spans="2:19" hidden="1" x14ac:dyDescent="0.25">
      <c r="B934" s="75">
        <v>904</v>
      </c>
      <c r="C934" s="75">
        <v>190407</v>
      </c>
      <c r="D934" s="74" t="s">
        <v>914</v>
      </c>
      <c r="E934" s="75" t="s">
        <v>916</v>
      </c>
      <c r="F934" s="75"/>
      <c r="G934" s="74" t="s">
        <v>2198</v>
      </c>
      <c r="H934" s="80" t="s">
        <v>853</v>
      </c>
      <c r="I934" s="74"/>
      <c r="J934" s="75" t="s">
        <v>314</v>
      </c>
      <c r="K934" s="80" t="s">
        <v>903</v>
      </c>
      <c r="L934" s="76"/>
      <c r="M934" s="77">
        <f t="shared" ca="1" si="29"/>
        <v>45954</v>
      </c>
      <c r="N934" s="74" t="str">
        <f>_xlfn.IFNA(VLOOKUP(db_emp[[#This Row],[ID_DIV]],[1]!db_dpt[[Code_dpt]:[Departement]],2,0),"-")</f>
        <v>Property Management</v>
      </c>
      <c r="O934" s="74" t="str">
        <f>_xlfn.IFNA(VLOOKUP(db_emp[[#This Row],[ID_SDP]],[1]!db_div[[Code_div]:[Division]],2,0),"-")</f>
        <v>-</v>
      </c>
      <c r="P934" s="74" t="str">
        <f>_xlfn.IFNA(VLOOKUP(db_emp[[#This Row],[Code_lvl]],[1]!db_lvl[[#All],[ID_level]:[Leveling Name]],2,0),"-")</f>
        <v>Staff</v>
      </c>
      <c r="Q934" s="74" t="str">
        <f>_xlfn.IFNA(VLOOKUP(db_emp[[#This Row],[Code_site]],[1]!db_site[[ID_Site]:[Url_maps]],3,0),"-")</f>
        <v>Unit - MOI</v>
      </c>
      <c r="R9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190407,'Febriana Eka Hermayati','POM','','Estimator &amp; Tender Staff','LV12','','M02','Resign','1900-01-00','2025-10-24'</v>
      </c>
      <c r="S934" s="74">
        <f>db_emp[[#This Row],[NIP (UPDATE)]]</f>
        <v>190407</v>
      </c>
    </row>
    <row r="935" spans="2:19" hidden="1" x14ac:dyDescent="0.25">
      <c r="B935" s="75">
        <v>905</v>
      </c>
      <c r="C935" s="75">
        <v>190410</v>
      </c>
      <c r="D935" s="74" t="s">
        <v>2199</v>
      </c>
      <c r="E935" s="75" t="s">
        <v>1018</v>
      </c>
      <c r="F935" s="75"/>
      <c r="G935" s="74" t="s">
        <v>2200</v>
      </c>
      <c r="H935" s="75" t="s">
        <v>853</v>
      </c>
      <c r="I935" s="74"/>
      <c r="J935" s="75" t="s">
        <v>492</v>
      </c>
      <c r="K935" s="80" t="s">
        <v>903</v>
      </c>
      <c r="L935" s="76"/>
      <c r="M935" s="77">
        <f t="shared" ca="1" si="29"/>
        <v>45954</v>
      </c>
      <c r="N935" s="74" t="str">
        <f>_xlfn.IFNA(VLOOKUP(db_emp[[#This Row],[ID_DIV]],[1]!db_dpt[[Code_dpt]:[Departement]],2,0),"-")</f>
        <v>Operational</v>
      </c>
      <c r="O935" s="74" t="str">
        <f>_xlfn.IFNA(VLOOKUP(db_emp[[#This Row],[ID_SDP]],[1]!db_div[[Code_div]:[Division]],2,0),"-")</f>
        <v>-</v>
      </c>
      <c r="P935" s="74" t="str">
        <f>_xlfn.IFNA(VLOOKUP(db_emp[[#This Row],[Code_lvl]],[1]!db_lvl[[#All],[ID_level]:[Leveling Name]],2,0),"-")</f>
        <v>Staff</v>
      </c>
      <c r="Q935" s="74" t="str">
        <f>_xlfn.IFNA(VLOOKUP(db_emp[[#This Row],[Code_site]],[1]!db_site[[ID_Site]:[Url_maps]],3,0),"-")</f>
        <v>Unit - Hublife</v>
      </c>
      <c r="R9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190410,'Nanik Ayu Astuti','OPR','','Admin Operation','LV12','','M05','Resign','1900-01-00','2025-10-24'</v>
      </c>
      <c r="S935" s="74">
        <f>db_emp[[#This Row],[NIP (UPDATE)]]</f>
        <v>190410</v>
      </c>
    </row>
    <row r="936" spans="2:19" hidden="1" x14ac:dyDescent="0.25">
      <c r="B936" s="80">
        <v>906</v>
      </c>
      <c r="C936" s="75">
        <v>190469</v>
      </c>
      <c r="D936" s="74" t="s">
        <v>2201</v>
      </c>
      <c r="E936" s="75" t="s">
        <v>911</v>
      </c>
      <c r="F936" s="75"/>
      <c r="G936" s="74" t="s">
        <v>1905</v>
      </c>
      <c r="H936" s="80" t="s">
        <v>853</v>
      </c>
      <c r="I936" s="74"/>
      <c r="J936" s="75" t="s">
        <v>433</v>
      </c>
      <c r="K936" s="80" t="s">
        <v>903</v>
      </c>
      <c r="L936" s="76"/>
      <c r="M936" s="77">
        <f t="shared" ca="1" si="29"/>
        <v>45954</v>
      </c>
      <c r="N936" s="74" t="str">
        <f>_xlfn.IFNA(VLOOKUP(db_emp[[#This Row],[ID_DIV]],[1]!db_dpt[[Code_dpt]:[Departement]],2,0),"-")</f>
        <v>Engineering</v>
      </c>
      <c r="O936" s="74" t="str">
        <f>_xlfn.IFNA(VLOOKUP(db_emp[[#This Row],[ID_SDP]],[1]!db_div[[Code_div]:[Division]],2,0),"-")</f>
        <v>-</v>
      </c>
      <c r="P936" s="74" t="str">
        <f>_xlfn.IFNA(VLOOKUP(db_emp[[#This Row],[Code_lvl]],[1]!db_lvl[[#All],[ID_level]:[Leveling Name]],2,0),"-")</f>
        <v>Staff</v>
      </c>
      <c r="Q936" s="74" t="str">
        <f>_xlfn.IFNA(VLOOKUP(db_emp[[#This Row],[Code_site]],[1]!db_site[[ID_Site]:[Url_maps]],3,0),"-")</f>
        <v>Unit - Taman Anggrek Residences</v>
      </c>
      <c r="R9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190469,'Sultan Agung','ENG','','Technician Staff','LV12','','A01','Resign','1900-01-00','2025-10-24'</v>
      </c>
      <c r="S936" s="74">
        <f>db_emp[[#This Row],[NIP (UPDATE)]]</f>
        <v>190469</v>
      </c>
    </row>
    <row r="937" spans="2:19" hidden="1" x14ac:dyDescent="0.25">
      <c r="B937" s="75">
        <v>907</v>
      </c>
      <c r="C937" s="75">
        <v>190475</v>
      </c>
      <c r="D937" s="74" t="s">
        <v>1298</v>
      </c>
      <c r="E937" s="75" t="s">
        <v>911</v>
      </c>
      <c r="F937" s="75"/>
      <c r="G937" s="74" t="s">
        <v>1905</v>
      </c>
      <c r="H937" s="80" t="s">
        <v>853</v>
      </c>
      <c r="I937" s="74"/>
      <c r="J937" s="75" t="s">
        <v>433</v>
      </c>
      <c r="K937" s="80" t="s">
        <v>903</v>
      </c>
      <c r="L937" s="76"/>
      <c r="M937" s="77">
        <f t="shared" ca="1" si="29"/>
        <v>45954</v>
      </c>
      <c r="N937" s="74" t="str">
        <f>_xlfn.IFNA(VLOOKUP(db_emp[[#This Row],[ID_DIV]],[1]!db_dpt[[Code_dpt]:[Departement]],2,0),"-")</f>
        <v>Engineering</v>
      </c>
      <c r="O937" s="74" t="str">
        <f>_xlfn.IFNA(VLOOKUP(db_emp[[#This Row],[ID_SDP]],[1]!db_div[[Code_div]:[Division]],2,0),"-")</f>
        <v>-</v>
      </c>
      <c r="P937" s="74" t="str">
        <f>_xlfn.IFNA(VLOOKUP(db_emp[[#This Row],[Code_lvl]],[1]!db_lvl[[#All],[ID_level]:[Leveling Name]],2,0),"-")</f>
        <v>Staff</v>
      </c>
      <c r="Q937" s="74" t="str">
        <f>_xlfn.IFNA(VLOOKUP(db_emp[[#This Row],[Code_site]],[1]!db_site[[ID_Site]:[Url_maps]],3,0),"-")</f>
        <v>Unit - Taman Anggrek Residences</v>
      </c>
      <c r="R9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190475,'Warsa Wijaya','ENG','','Technician Staff','LV12','','A01','Resign','1900-01-00','2025-10-24'</v>
      </c>
      <c r="S937" s="74">
        <f>db_emp[[#This Row],[NIP (UPDATE)]]</f>
        <v>190475</v>
      </c>
    </row>
    <row r="938" spans="2:19" hidden="1" x14ac:dyDescent="0.25">
      <c r="B938" s="75">
        <v>908</v>
      </c>
      <c r="C938" s="75">
        <v>190544</v>
      </c>
      <c r="D938" s="74" t="s">
        <v>1299</v>
      </c>
      <c r="E938" s="75" t="s">
        <v>911</v>
      </c>
      <c r="F938" s="75"/>
      <c r="G938" s="74" t="s">
        <v>1905</v>
      </c>
      <c r="H938" s="80" t="s">
        <v>853</v>
      </c>
      <c r="I938" s="74"/>
      <c r="J938" s="75" t="s">
        <v>433</v>
      </c>
      <c r="K938" s="80" t="s">
        <v>903</v>
      </c>
      <c r="L938" s="76"/>
      <c r="M938" s="77">
        <f t="shared" ca="1" si="29"/>
        <v>45954</v>
      </c>
      <c r="N938" s="74" t="str">
        <f>_xlfn.IFNA(VLOOKUP(db_emp[[#This Row],[ID_DIV]],[1]!db_dpt[[Code_dpt]:[Departement]],2,0),"-")</f>
        <v>Engineering</v>
      </c>
      <c r="O938" s="74" t="str">
        <f>_xlfn.IFNA(VLOOKUP(db_emp[[#This Row],[ID_SDP]],[1]!db_div[[Code_div]:[Division]],2,0),"-")</f>
        <v>-</v>
      </c>
      <c r="P938" s="74" t="str">
        <f>_xlfn.IFNA(VLOOKUP(db_emp[[#This Row],[Code_lvl]],[1]!db_lvl[[#All],[ID_level]:[Leveling Name]],2,0),"-")</f>
        <v>Staff</v>
      </c>
      <c r="Q938" s="74" t="str">
        <f>_xlfn.IFNA(VLOOKUP(db_emp[[#This Row],[Code_site]],[1]!db_site[[ID_Site]:[Url_maps]],3,0),"-")</f>
        <v>Unit - Taman Anggrek Residences</v>
      </c>
      <c r="R9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190544,'Bambang Sunariyadi','ENG','','Technician Staff','LV12','','A01','Resign','1900-01-00','2025-10-24'</v>
      </c>
      <c r="S938" s="74">
        <f>db_emp[[#This Row],[NIP (UPDATE)]]</f>
        <v>190544</v>
      </c>
    </row>
    <row r="939" spans="2:19" hidden="1" x14ac:dyDescent="0.25">
      <c r="B939" s="75">
        <v>909</v>
      </c>
      <c r="C939" s="75">
        <v>190552</v>
      </c>
      <c r="D939" s="74" t="s">
        <v>2202</v>
      </c>
      <c r="E939" s="75" t="s">
        <v>964</v>
      </c>
      <c r="F939" s="75"/>
      <c r="G939" s="74" t="s">
        <v>2203</v>
      </c>
      <c r="H939" s="75" t="s">
        <v>953</v>
      </c>
      <c r="I939" s="74"/>
      <c r="J939" s="75" t="s">
        <v>492</v>
      </c>
      <c r="K939" s="80" t="s">
        <v>903</v>
      </c>
      <c r="L939" s="76"/>
      <c r="M939" s="77">
        <f t="shared" ca="1" si="29"/>
        <v>45954</v>
      </c>
      <c r="N939" s="74" t="str">
        <f>_xlfn.IFNA(VLOOKUP(db_emp[[#This Row],[ID_DIV]],[1]!db_dpt[[Code_dpt]:[Departement]],2,0),"-")</f>
        <v>Marketing Communication</v>
      </c>
      <c r="O939" s="74" t="str">
        <f>_xlfn.IFNA(VLOOKUP(db_emp[[#This Row],[ID_SDP]],[1]!db_div[[Code_div]:[Division]],2,0),"-")</f>
        <v>-</v>
      </c>
      <c r="P939" s="74" t="str">
        <f>_xlfn.IFNA(VLOOKUP(db_emp[[#This Row],[Code_lvl]],[1]!db_lvl[[#All],[ID_level]:[Leveling Name]],2,0),"-")</f>
        <v>Manager</v>
      </c>
      <c r="Q939" s="74" t="str">
        <f>_xlfn.IFNA(VLOOKUP(db_emp[[#This Row],[Code_site]],[1]!db_site[[ID_Site]:[Url_maps]],3,0),"-")</f>
        <v>Unit - Hublife</v>
      </c>
      <c r="R9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190552,'Juli Erliyanto','MAR','','Marketing Communication Manager','LV05','','M05','Resign','1900-01-00','2025-10-24'</v>
      </c>
      <c r="S939" s="74">
        <f>db_emp[[#This Row],[NIP (UPDATE)]]</f>
        <v>190552</v>
      </c>
    </row>
    <row r="940" spans="2:19" hidden="1" x14ac:dyDescent="0.25">
      <c r="B940" s="80">
        <v>910</v>
      </c>
      <c r="C940" s="75">
        <v>190569</v>
      </c>
      <c r="D940" s="74" t="s">
        <v>930</v>
      </c>
      <c r="E940" s="75" t="s">
        <v>964</v>
      </c>
      <c r="F940" s="75"/>
      <c r="G940" s="74" t="s">
        <v>2204</v>
      </c>
      <c r="H940" s="80" t="s">
        <v>853</v>
      </c>
      <c r="I940" s="74"/>
      <c r="J940" s="75" t="s">
        <v>316</v>
      </c>
      <c r="K940" s="80" t="s">
        <v>903</v>
      </c>
      <c r="L940" s="76"/>
      <c r="M940" s="77">
        <f t="shared" ca="1" si="29"/>
        <v>45954</v>
      </c>
      <c r="N940" s="74" t="str">
        <f>_xlfn.IFNA(VLOOKUP(db_emp[[#This Row],[ID_DIV]],[1]!db_dpt[[Code_dpt]:[Departement]],2,0),"-")</f>
        <v>Marketing Communication</v>
      </c>
      <c r="O940" s="74" t="str">
        <f>_xlfn.IFNA(VLOOKUP(db_emp[[#This Row],[ID_SDP]],[1]!db_div[[Code_div]:[Division]],2,0),"-")</f>
        <v>-</v>
      </c>
      <c r="P940" s="74" t="str">
        <f>_xlfn.IFNA(VLOOKUP(db_emp[[#This Row],[Code_lvl]],[1]!db_lvl[[#All],[ID_level]:[Leveling Name]],2,0),"-")</f>
        <v>Staff</v>
      </c>
      <c r="Q940" s="74" t="str">
        <f>_xlfn.IFNA(VLOOKUP(db_emp[[#This Row],[Code_site]],[1]!db_site[[ID_Site]:[Url_maps]],3,0),"-")</f>
        <v>Unit - GGP</v>
      </c>
      <c r="R9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190569,'Yuriza Vidya Bramantio','MAR','','Marketing Communication Staff','LV12','','M03','Resign','1900-01-00','2025-10-24'</v>
      </c>
      <c r="S940" s="74">
        <f>db_emp[[#This Row],[NIP (UPDATE)]]</f>
        <v>190569</v>
      </c>
    </row>
    <row r="941" spans="2:19" hidden="1" x14ac:dyDescent="0.25">
      <c r="B941" s="75">
        <v>911</v>
      </c>
      <c r="C941" s="75">
        <v>190637</v>
      </c>
      <c r="D941" s="74" t="s">
        <v>2205</v>
      </c>
      <c r="E941" s="75" t="s">
        <v>911</v>
      </c>
      <c r="F941" s="75"/>
      <c r="G941" s="74" t="s">
        <v>2206</v>
      </c>
      <c r="H941" s="80" t="s">
        <v>853</v>
      </c>
      <c r="I941" s="74"/>
      <c r="J941" s="75" t="s">
        <v>314</v>
      </c>
      <c r="K941" s="80" t="s">
        <v>903</v>
      </c>
      <c r="L941" s="76"/>
      <c r="M941" s="77">
        <f t="shared" ca="1" si="29"/>
        <v>45954</v>
      </c>
      <c r="N941" s="74" t="str">
        <f>_xlfn.IFNA(VLOOKUP(db_emp[[#This Row],[ID_DIV]],[1]!db_dpt[[Code_dpt]:[Departement]],2,0),"-")</f>
        <v>Engineering</v>
      </c>
      <c r="O941" s="74" t="str">
        <f>_xlfn.IFNA(VLOOKUP(db_emp[[#This Row],[ID_SDP]],[1]!db_div[[Code_div]:[Division]],2,0),"-")</f>
        <v>-</v>
      </c>
      <c r="P941" s="74" t="str">
        <f>_xlfn.IFNA(VLOOKUP(db_emp[[#This Row],[Code_lvl]],[1]!db_lvl[[#All],[ID_level]:[Leveling Name]],2,0),"-")</f>
        <v>Staff</v>
      </c>
      <c r="Q941" s="74" t="str">
        <f>_xlfn.IFNA(VLOOKUP(db_emp[[#This Row],[Code_site]],[1]!db_site[[ID_Site]:[Url_maps]],3,0),"-")</f>
        <v>Unit - MOI</v>
      </c>
      <c r="R9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190637,'Samsudin.','ENG','','Electric Technician Staff','LV12','','M02','Resign','1900-01-00','2025-10-24'</v>
      </c>
      <c r="S941" s="74">
        <f>db_emp[[#This Row],[NIP (UPDATE)]]</f>
        <v>190637</v>
      </c>
    </row>
    <row r="942" spans="2:19" hidden="1" x14ac:dyDescent="0.25">
      <c r="B942" s="75">
        <v>912</v>
      </c>
      <c r="C942" s="75">
        <v>190663</v>
      </c>
      <c r="D942" s="74" t="s">
        <v>2207</v>
      </c>
      <c r="E942" s="75" t="s">
        <v>2153</v>
      </c>
      <c r="F942" s="75"/>
      <c r="G942" s="74" t="s">
        <v>2208</v>
      </c>
      <c r="H942" s="75" t="s">
        <v>1640</v>
      </c>
      <c r="I942" s="74"/>
      <c r="J942" s="75" t="s">
        <v>315</v>
      </c>
      <c r="K942" s="80" t="s">
        <v>903</v>
      </c>
      <c r="L942" s="76"/>
      <c r="M942" s="77">
        <f t="shared" ca="1" si="29"/>
        <v>45954</v>
      </c>
      <c r="N942" s="74" t="str">
        <f>_xlfn.IFNA(VLOOKUP(db_emp[[#This Row],[ID_DIV]],[1]!db_dpt[[Code_dpt]:[Departement]],2,0),"-")</f>
        <v>Hospitality</v>
      </c>
      <c r="O942" s="74" t="str">
        <f>_xlfn.IFNA(VLOOKUP(db_emp[[#This Row],[ID_SDP]],[1]!db_div[[Code_div]:[Division]],2,0),"-")</f>
        <v>-</v>
      </c>
      <c r="P942" s="74" t="str">
        <f>_xlfn.IFNA(VLOOKUP(db_emp[[#This Row],[Code_lvl]],[1]!db_lvl[[#All],[ID_level]:[Leveling Name]],2,0),"-")</f>
        <v>Non Staff</v>
      </c>
      <c r="Q942" s="74" t="str">
        <f>_xlfn.IFNA(VLOOKUP(db_emp[[#This Row],[Code_site]],[1]!db_site[[ID_Site]:[Url_maps]],3,0),"-")</f>
        <v>Head Office - ASGO</v>
      </c>
      <c r="R9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190663,'Linggar Abdul Majid','HOS','','Driver COO','LV13','','O99','Resign','1900-01-00','2025-10-24'</v>
      </c>
      <c r="S942" s="74">
        <f>db_emp[[#This Row],[NIP (UPDATE)]]</f>
        <v>190663</v>
      </c>
    </row>
    <row r="943" spans="2:19" hidden="1" x14ac:dyDescent="0.25">
      <c r="B943" s="75">
        <v>913</v>
      </c>
      <c r="C943" s="75">
        <v>190730</v>
      </c>
      <c r="D943" s="74" t="s">
        <v>2209</v>
      </c>
      <c r="E943" s="75" t="s">
        <v>1018</v>
      </c>
      <c r="F943" s="75"/>
      <c r="G943" s="74" t="s">
        <v>1586</v>
      </c>
      <c r="H943" s="75" t="s">
        <v>870</v>
      </c>
      <c r="I943" s="74"/>
      <c r="J943" s="75" t="s">
        <v>314</v>
      </c>
      <c r="K943" s="80" t="s">
        <v>903</v>
      </c>
      <c r="L943" s="76"/>
      <c r="M943" s="77">
        <f t="shared" ca="1" si="29"/>
        <v>45954</v>
      </c>
      <c r="N943" s="74" t="str">
        <f>_xlfn.IFNA(VLOOKUP(db_emp[[#This Row],[ID_DIV]],[1]!db_dpt[[Code_dpt]:[Departement]],2,0),"-")</f>
        <v>Operational</v>
      </c>
      <c r="O943" s="74" t="str">
        <f>_xlfn.IFNA(VLOOKUP(db_emp[[#This Row],[ID_SDP]],[1]!db_div[[Code_div]:[Division]],2,0),"-")</f>
        <v>-</v>
      </c>
      <c r="P943" s="74" t="str">
        <f>_xlfn.IFNA(VLOOKUP(db_emp[[#This Row],[Code_lvl]],[1]!db_lvl[[#All],[ID_level]:[Leveling Name]],2,0),"-")</f>
        <v>Supervisor</v>
      </c>
      <c r="Q943" s="74" t="str">
        <f>_xlfn.IFNA(VLOOKUP(db_emp[[#This Row],[Code_site]],[1]!db_site[[ID_Site]:[Url_maps]],3,0),"-")</f>
        <v>Unit - MOI</v>
      </c>
      <c r="R9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190730,'Yaomi Ifadha','OPR','','Landscape Supervisor','LV09','','M02','Resign','1900-01-00','2025-10-24'</v>
      </c>
      <c r="S943" s="74">
        <f>db_emp[[#This Row],[NIP (UPDATE)]]</f>
        <v>190730</v>
      </c>
    </row>
    <row r="944" spans="2:19" hidden="1" x14ac:dyDescent="0.25">
      <c r="B944" s="80">
        <v>914</v>
      </c>
      <c r="C944" s="75">
        <v>190789</v>
      </c>
      <c r="D944" s="74" t="s">
        <v>1010</v>
      </c>
      <c r="E944" s="75" t="s">
        <v>2111</v>
      </c>
      <c r="F944" s="75"/>
      <c r="G944" s="74" t="s">
        <v>1009</v>
      </c>
      <c r="H944" s="80" t="s">
        <v>853</v>
      </c>
      <c r="I944" s="74"/>
      <c r="J944" s="75" t="s">
        <v>316</v>
      </c>
      <c r="K944" s="80" t="s">
        <v>903</v>
      </c>
      <c r="L944" s="76"/>
      <c r="M944" s="77">
        <f t="shared" ca="1" si="29"/>
        <v>45954</v>
      </c>
      <c r="N944" s="74" t="str">
        <f>_xlfn.IFNA(VLOOKUP(db_emp[[#This Row],[ID_DIV]],[1]!db_dpt[[Code_dpt]:[Departement]],2,0),"-")</f>
        <v>-</v>
      </c>
      <c r="O944" s="74" t="str">
        <f>_xlfn.IFNA(VLOOKUP(db_emp[[#This Row],[ID_SDP]],[1]!db_div[[Code_div]:[Division]],2,0),"-")</f>
        <v>-</v>
      </c>
      <c r="P944" s="74" t="str">
        <f>_xlfn.IFNA(VLOOKUP(db_emp[[#This Row],[Code_lvl]],[1]!db_lvl[[#All],[ID_level]:[Leveling Name]],2,0),"-")</f>
        <v>Staff</v>
      </c>
      <c r="Q944" s="74" t="str">
        <f>_xlfn.IFNA(VLOOKUP(db_emp[[#This Row],[Code_site]],[1]!db_site[[ID_Site]:[Url_maps]],3,0),"-")</f>
        <v>Unit - GGP</v>
      </c>
      <c r="R9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190789,'Hery Hermawan','CSL','','Casual Leasing Staff','LV12','','M03','Resign','1900-01-00','2025-10-24'</v>
      </c>
      <c r="S944" s="74">
        <f>db_emp[[#This Row],[NIP (UPDATE)]]</f>
        <v>190789</v>
      </c>
    </row>
    <row r="945" spans="2:19" hidden="1" x14ac:dyDescent="0.25">
      <c r="B945" s="75">
        <v>915</v>
      </c>
      <c r="C945" s="75">
        <v>190955</v>
      </c>
      <c r="D945" s="74" t="s">
        <v>2210</v>
      </c>
      <c r="E945" s="75" t="s">
        <v>845</v>
      </c>
      <c r="F945" s="75"/>
      <c r="G945" s="74" t="s">
        <v>1894</v>
      </c>
      <c r="H945" s="80" t="s">
        <v>853</v>
      </c>
      <c r="I945" s="74"/>
      <c r="J945" s="75" t="s">
        <v>433</v>
      </c>
      <c r="K945" s="80" t="s">
        <v>903</v>
      </c>
      <c r="L945" s="76"/>
      <c r="M945" s="77">
        <f t="shared" ca="1" si="29"/>
        <v>45954</v>
      </c>
      <c r="N945" s="74" t="str">
        <f>_xlfn.IFNA(VLOOKUP(db_emp[[#This Row],[ID_DIV]],[1]!db_dpt[[Code_dpt]:[Departement]],2,0),"-")</f>
        <v>Finance &amp; Accounting</v>
      </c>
      <c r="O945" s="74" t="str">
        <f>_xlfn.IFNA(VLOOKUP(db_emp[[#This Row],[ID_SDP]],[1]!db_div[[Code_div]:[Division]],2,0),"-")</f>
        <v>-</v>
      </c>
      <c r="P945" s="74" t="str">
        <f>_xlfn.IFNA(VLOOKUP(db_emp[[#This Row],[Code_lvl]],[1]!db_lvl[[#All],[ID_level]:[Leveling Name]],2,0),"-")</f>
        <v>Staff</v>
      </c>
      <c r="Q945" s="74" t="str">
        <f>_xlfn.IFNA(VLOOKUP(db_emp[[#This Row],[Code_site]],[1]!db_site[[ID_Site]:[Url_maps]],3,0),"-")</f>
        <v>Unit - Taman Anggrek Residences</v>
      </c>
      <c r="R9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190955,'Muhamad Adi Sopian','FIN','','Tax Staff','LV12','','A01','Resign','1900-01-00','2025-10-24'</v>
      </c>
      <c r="S945" s="74">
        <f>db_emp[[#This Row],[NIP (UPDATE)]]</f>
        <v>190955</v>
      </c>
    </row>
    <row r="946" spans="2:19" hidden="1" x14ac:dyDescent="0.25">
      <c r="B946" s="75">
        <v>916</v>
      </c>
      <c r="C946" s="75">
        <v>190958</v>
      </c>
      <c r="D946" s="74" t="s">
        <v>2211</v>
      </c>
      <c r="E946" s="75" t="s">
        <v>1036</v>
      </c>
      <c r="F946" s="75"/>
      <c r="G946" s="74" t="s">
        <v>1933</v>
      </c>
      <c r="H946" s="80" t="s">
        <v>853</v>
      </c>
      <c r="I946" s="74"/>
      <c r="J946" s="75" t="s">
        <v>433</v>
      </c>
      <c r="K946" s="80" t="s">
        <v>903</v>
      </c>
      <c r="L946" s="76"/>
      <c r="M946" s="77">
        <f t="shared" ca="1" si="29"/>
        <v>45954</v>
      </c>
      <c r="N946" s="74" t="str">
        <f>_xlfn.IFNA(VLOOKUP(db_emp[[#This Row],[ID_DIV]],[1]!db_dpt[[Code_dpt]:[Departement]],2,0),"-")</f>
        <v>Tenant Relation</v>
      </c>
      <c r="O946" s="74" t="str">
        <f>_xlfn.IFNA(VLOOKUP(db_emp[[#This Row],[ID_SDP]],[1]!db_div[[Code_div]:[Division]],2,0),"-")</f>
        <v>-</v>
      </c>
      <c r="P946" s="74" t="str">
        <f>_xlfn.IFNA(VLOOKUP(db_emp[[#This Row],[Code_lvl]],[1]!db_lvl[[#All],[ID_level]:[Leveling Name]],2,0),"-")</f>
        <v>Staff</v>
      </c>
      <c r="Q946" s="74" t="str">
        <f>_xlfn.IFNA(VLOOKUP(db_emp[[#This Row],[Code_site]],[1]!db_site[[ID_Site]:[Url_maps]],3,0),"-")</f>
        <v>Unit - Taman Anggrek Residences</v>
      </c>
      <c r="R9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190958,'Soni Gunawan','TRL','','Tenant Relation Staff','LV12','','A01','Resign','1900-01-00','2025-10-24'</v>
      </c>
      <c r="S946" s="74">
        <f>db_emp[[#This Row],[NIP (UPDATE)]]</f>
        <v>190958</v>
      </c>
    </row>
    <row r="947" spans="2:19" hidden="1" x14ac:dyDescent="0.25">
      <c r="B947" s="75">
        <v>917</v>
      </c>
      <c r="C947" s="75">
        <v>191021</v>
      </c>
      <c r="D947" s="74" t="s">
        <v>1519</v>
      </c>
      <c r="E947" s="75" t="s">
        <v>130</v>
      </c>
      <c r="F947" s="75"/>
      <c r="G947" s="74" t="s">
        <v>2212</v>
      </c>
      <c r="H947" s="75" t="s">
        <v>853</v>
      </c>
      <c r="I947" s="74"/>
      <c r="J947" s="75" t="s">
        <v>315</v>
      </c>
      <c r="K947" s="80" t="s">
        <v>903</v>
      </c>
      <c r="L947" s="76"/>
      <c r="M947" s="77">
        <f t="shared" ca="1" si="29"/>
        <v>45954</v>
      </c>
      <c r="N947" s="74" t="str">
        <f>_xlfn.IFNA(VLOOKUP(db_emp[[#This Row],[ID_DIV]],[1]!db_dpt[[Code_dpt]:[Departement]],2,0),"-")</f>
        <v>-</v>
      </c>
      <c r="O947" s="74" t="str">
        <f>_xlfn.IFNA(VLOOKUP(db_emp[[#This Row],[ID_SDP]],[1]!db_div[[Code_div]:[Division]],2,0),"-")</f>
        <v>-</v>
      </c>
      <c r="P947" s="74" t="str">
        <f>_xlfn.IFNA(VLOOKUP(db_emp[[#This Row],[Code_lvl]],[1]!db_lvl[[#All],[ID_level]:[Leveling Name]],2,0),"-")</f>
        <v>Staff</v>
      </c>
      <c r="Q947" s="74" t="str">
        <f>_xlfn.IFNA(VLOOKUP(db_emp[[#This Row],[Code_site]],[1]!db_site[[ID_Site]:[Url_maps]],3,0),"-")</f>
        <v>Head Office - ASGO</v>
      </c>
      <c r="R9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191021,'Winda Wijaya','HRD','','HR &amp; Transport Administration','LV12','','O99','Resign','1900-01-00','2025-10-24'</v>
      </c>
      <c r="S947" s="74">
        <f>db_emp[[#This Row],[NIP (UPDATE)]]</f>
        <v>191021</v>
      </c>
    </row>
    <row r="948" spans="2:19" hidden="1" x14ac:dyDescent="0.25">
      <c r="B948" s="80">
        <v>918</v>
      </c>
      <c r="C948" s="75">
        <v>191048</v>
      </c>
      <c r="D948" s="74" t="s">
        <v>2213</v>
      </c>
      <c r="E948" s="75" t="s">
        <v>911</v>
      </c>
      <c r="F948" s="75"/>
      <c r="G948" s="74" t="s">
        <v>2214</v>
      </c>
      <c r="H948" s="75" t="s">
        <v>870</v>
      </c>
      <c r="I948" s="74"/>
      <c r="J948" s="75" t="s">
        <v>490</v>
      </c>
      <c r="K948" s="80" t="s">
        <v>903</v>
      </c>
      <c r="L948" s="76"/>
      <c r="M948" s="77">
        <f t="shared" ca="1" si="29"/>
        <v>45954</v>
      </c>
      <c r="N948" s="74" t="str">
        <f>_xlfn.IFNA(VLOOKUP(db_emp[[#This Row],[ID_DIV]],[1]!db_dpt[[Code_dpt]:[Departement]],2,0),"-")</f>
        <v>Engineering</v>
      </c>
      <c r="O948" s="74" t="str">
        <f>_xlfn.IFNA(VLOOKUP(db_emp[[#This Row],[ID_SDP]],[1]!db_div[[Code_div]:[Division]],2,0),"-")</f>
        <v>-</v>
      </c>
      <c r="P948" s="74" t="str">
        <f>_xlfn.IFNA(VLOOKUP(db_emp[[#This Row],[Code_lvl]],[1]!db_lvl[[#All],[ID_level]:[Leveling Name]],2,0),"-")</f>
        <v>Supervisor</v>
      </c>
      <c r="Q948" s="74" t="str">
        <f>_xlfn.IFNA(VLOOKUP(db_emp[[#This Row],[Code_site]],[1]!db_site[[ID_Site]:[Url_maps]],3,0),"-")</f>
        <v>Unit - ASHTA</v>
      </c>
      <c r="R9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191048,'Asmari.','ENG','','HVAC Supervisor ','LV09','','M04','Resign','1900-01-00','2025-10-24'</v>
      </c>
      <c r="S948" s="74">
        <f>db_emp[[#This Row],[NIP (UPDATE)]]</f>
        <v>191048</v>
      </c>
    </row>
    <row r="949" spans="2:19" hidden="1" x14ac:dyDescent="0.25">
      <c r="B949" s="75">
        <v>919</v>
      </c>
      <c r="C949" s="75">
        <v>191058</v>
      </c>
      <c r="D949" s="74" t="s">
        <v>2215</v>
      </c>
      <c r="E949" s="75" t="s">
        <v>2037</v>
      </c>
      <c r="F949" s="75"/>
      <c r="G949" s="74" t="s">
        <v>2216</v>
      </c>
      <c r="H949" s="80" t="s">
        <v>853</v>
      </c>
      <c r="I949" s="74"/>
      <c r="J949" s="75" t="s">
        <v>314</v>
      </c>
      <c r="K949" s="80" t="s">
        <v>903</v>
      </c>
      <c r="L949" s="76"/>
      <c r="M949" s="77">
        <f t="shared" ca="1" si="29"/>
        <v>45954</v>
      </c>
      <c r="N949" s="74" t="str">
        <f>_xlfn.IFNA(VLOOKUP(db_emp[[#This Row],[ID_DIV]],[1]!db_dpt[[Code_dpt]:[Departement]],2,0),"-")</f>
        <v>-</v>
      </c>
      <c r="O949" s="74" t="str">
        <f>_xlfn.IFNA(VLOOKUP(db_emp[[#This Row],[ID_SDP]],[1]!db_div[[Code_div]:[Division]],2,0),"-")</f>
        <v>-</v>
      </c>
      <c r="P949" s="74" t="str">
        <f>_xlfn.IFNA(VLOOKUP(db_emp[[#This Row],[Code_lvl]],[1]!db_lvl[[#All],[ID_level]:[Leveling Name]],2,0),"-")</f>
        <v>Staff</v>
      </c>
      <c r="Q949" s="74" t="str">
        <f>_xlfn.IFNA(VLOOKUP(db_emp[[#This Row],[Code_site]],[1]!db_site[[ID_Site]:[Url_maps]],3,0),"-")</f>
        <v>Unit - MOI</v>
      </c>
      <c r="R9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191058,'Sahrul Basri','IPP','','Office Boy Non Staff','LV12','','M02','Resign','1900-01-00','2025-10-24'</v>
      </c>
      <c r="S949" s="74">
        <f>db_emp[[#This Row],[NIP (UPDATE)]]</f>
        <v>191058</v>
      </c>
    </row>
    <row r="950" spans="2:19" hidden="1" x14ac:dyDescent="0.25">
      <c r="B950" s="75">
        <v>920</v>
      </c>
      <c r="C950" s="75">
        <v>191086</v>
      </c>
      <c r="D950" s="74" t="s">
        <v>2217</v>
      </c>
      <c r="E950" s="75" t="s">
        <v>1018</v>
      </c>
      <c r="F950" s="75"/>
      <c r="G950" s="74" t="s">
        <v>2218</v>
      </c>
      <c r="H950" s="75" t="s">
        <v>870</v>
      </c>
      <c r="I950" s="74"/>
      <c r="J950" s="75" t="s">
        <v>484</v>
      </c>
      <c r="K950" s="80" t="s">
        <v>903</v>
      </c>
      <c r="L950" s="76"/>
      <c r="M950" s="77">
        <f t="shared" ca="1" si="29"/>
        <v>45954</v>
      </c>
      <c r="N950" s="74" t="str">
        <f>_xlfn.IFNA(VLOOKUP(db_emp[[#This Row],[ID_DIV]],[1]!db_dpt[[Code_dpt]:[Departement]],2,0),"-")</f>
        <v>Operational</v>
      </c>
      <c r="O950" s="74" t="str">
        <f>_xlfn.IFNA(VLOOKUP(db_emp[[#This Row],[ID_SDP]],[1]!db_div[[Code_div]:[Division]],2,0),"-")</f>
        <v>-</v>
      </c>
      <c r="P950" s="74" t="str">
        <f>_xlfn.IFNA(VLOOKUP(db_emp[[#This Row],[Code_lvl]],[1]!db_lvl[[#All],[ID_level]:[Leveling Name]],2,0),"-")</f>
        <v>Supervisor</v>
      </c>
      <c r="Q950" s="74" t="str">
        <f>_xlfn.IFNA(VLOOKUP(db_emp[[#This Row],[Code_site]],[1]!db_site[[ID_Site]:[Url_maps]],3,0),"-")</f>
        <v>Unit - PIK Avenue</v>
      </c>
      <c r="R9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191086,'Ester Lidya Lewi','OPR','','Sekretaris GM','LV09','','M01','Resign','1900-01-00','2025-10-24'</v>
      </c>
      <c r="S950" s="74">
        <f>db_emp[[#This Row],[NIP (UPDATE)]]</f>
        <v>191086</v>
      </c>
    </row>
    <row r="951" spans="2:19" hidden="1" x14ac:dyDescent="0.25">
      <c r="B951" s="75">
        <v>921</v>
      </c>
      <c r="C951" s="75">
        <v>191153</v>
      </c>
      <c r="D951" s="74" t="s">
        <v>2219</v>
      </c>
      <c r="E951" s="75" t="s">
        <v>920</v>
      </c>
      <c r="F951" s="75"/>
      <c r="G951" s="74" t="s">
        <v>2220</v>
      </c>
      <c r="H951" s="80" t="s">
        <v>848</v>
      </c>
      <c r="I951" s="74"/>
      <c r="J951" s="75" t="s">
        <v>492</v>
      </c>
      <c r="K951" s="80" t="s">
        <v>903</v>
      </c>
      <c r="L951" s="76"/>
      <c r="M951" s="77">
        <f t="shared" ca="1" si="29"/>
        <v>45954</v>
      </c>
      <c r="N951" s="74" t="str">
        <f>_xlfn.IFNA(VLOOKUP(db_emp[[#This Row],[ID_DIV]],[1]!db_dpt[[Code_dpt]:[Departement]],2,0),"-")</f>
        <v>Leasing</v>
      </c>
      <c r="O951" s="74" t="str">
        <f>_xlfn.IFNA(VLOOKUP(db_emp[[#This Row],[ID_SDP]],[1]!db_div[[Code_div]:[Division]],2,0),"-")</f>
        <v>-</v>
      </c>
      <c r="P951" s="74" t="str">
        <f>_xlfn.IFNA(VLOOKUP(db_emp[[#This Row],[Code_lvl]],[1]!db_lvl[[#All],[ID_level]:[Leveling Name]],2,0),"-")</f>
        <v>Assistant Manager</v>
      </c>
      <c r="Q951" s="74" t="str">
        <f>_xlfn.IFNA(VLOOKUP(db_emp[[#This Row],[Code_site]],[1]!db_site[[ID_Site]:[Url_maps]],3,0),"-")</f>
        <v>Unit - Hublife</v>
      </c>
      <c r="R9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191153,'Yolanda Sutrisna','LEA','','Leasing Assistant Manager','LV07','','M05','Resign','1900-01-00','2025-10-24'</v>
      </c>
      <c r="S951" s="74">
        <f>db_emp[[#This Row],[NIP (UPDATE)]]</f>
        <v>191153</v>
      </c>
    </row>
    <row r="952" spans="2:19" hidden="1" x14ac:dyDescent="0.25">
      <c r="B952" s="80">
        <v>922</v>
      </c>
      <c r="C952" s="75">
        <v>191156</v>
      </c>
      <c r="D952" s="74" t="s">
        <v>1302</v>
      </c>
      <c r="E952" s="75" t="s">
        <v>911</v>
      </c>
      <c r="F952" s="75"/>
      <c r="G952" s="74" t="s">
        <v>1254</v>
      </c>
      <c r="H952" s="80" t="s">
        <v>853</v>
      </c>
      <c r="I952" s="74"/>
      <c r="J952" s="75" t="s">
        <v>433</v>
      </c>
      <c r="K952" s="80" t="s">
        <v>903</v>
      </c>
      <c r="L952" s="76"/>
      <c r="M952" s="77">
        <f t="shared" ca="1" si="29"/>
        <v>45954</v>
      </c>
      <c r="N952" s="74" t="str">
        <f>_xlfn.IFNA(VLOOKUP(db_emp[[#This Row],[ID_DIV]],[1]!db_dpt[[Code_dpt]:[Departement]],2,0),"-")</f>
        <v>Engineering</v>
      </c>
      <c r="O952" s="74" t="str">
        <f>_xlfn.IFNA(VLOOKUP(db_emp[[#This Row],[ID_SDP]],[1]!db_div[[Code_div]:[Division]],2,0),"-")</f>
        <v>-</v>
      </c>
      <c r="P952" s="74" t="str">
        <f>_xlfn.IFNA(VLOOKUP(db_emp[[#This Row],[Code_lvl]],[1]!db_lvl[[#All],[ID_level]:[Leveling Name]],2,0),"-")</f>
        <v>Staff</v>
      </c>
      <c r="Q952" s="74" t="str">
        <f>_xlfn.IFNA(VLOOKUP(db_emp[[#This Row],[Code_site]],[1]!db_site[[ID_Site]:[Url_maps]],3,0),"-")</f>
        <v>Unit - Taman Anggrek Residences</v>
      </c>
      <c r="R9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191156,'Deri Kurniawan','ENG','','Engineering Staff','LV12','','A01','Resign','1900-01-00','2025-10-24'</v>
      </c>
      <c r="S952" s="74">
        <f>db_emp[[#This Row],[NIP (UPDATE)]]</f>
        <v>191156</v>
      </c>
    </row>
    <row r="953" spans="2:19" hidden="1" x14ac:dyDescent="0.25">
      <c r="B953" s="75">
        <v>923</v>
      </c>
      <c r="C953" s="75">
        <v>191158</v>
      </c>
      <c r="D953" s="74" t="s">
        <v>2221</v>
      </c>
      <c r="E953" s="75" t="s">
        <v>911</v>
      </c>
      <c r="F953" s="75"/>
      <c r="G953" s="74" t="s">
        <v>2049</v>
      </c>
      <c r="H953" s="80" t="s">
        <v>853</v>
      </c>
      <c r="I953" s="74"/>
      <c r="J953" s="75" t="s">
        <v>314</v>
      </c>
      <c r="K953" s="80" t="s">
        <v>903</v>
      </c>
      <c r="L953" s="76"/>
      <c r="M953" s="77">
        <f t="shared" ca="1" si="29"/>
        <v>45954</v>
      </c>
      <c r="N953" s="74" t="str">
        <f>_xlfn.IFNA(VLOOKUP(db_emp[[#This Row],[ID_DIV]],[1]!db_dpt[[Code_dpt]:[Departement]],2,0),"-")</f>
        <v>Engineering</v>
      </c>
      <c r="O953" s="74" t="str">
        <f>_xlfn.IFNA(VLOOKUP(db_emp[[#This Row],[ID_SDP]],[1]!db_div[[Code_div]:[Division]],2,0),"-")</f>
        <v>-</v>
      </c>
      <c r="P953" s="74" t="str">
        <f>_xlfn.IFNA(VLOOKUP(db_emp[[#This Row],[Code_lvl]],[1]!db_lvl[[#All],[ID_level]:[Leveling Name]],2,0),"-")</f>
        <v>Staff</v>
      </c>
      <c r="Q953" s="74" t="str">
        <f>_xlfn.IFNA(VLOOKUP(db_emp[[#This Row],[Code_site]],[1]!db_site[[ID_Site]:[Url_maps]],3,0),"-")</f>
        <v>Unit - MOI</v>
      </c>
      <c r="R9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191158,'Dicky Prasetyo','ENG','','Civil Technician Staff','LV12','','M02','Resign','1900-01-00','2025-10-24'</v>
      </c>
      <c r="S953" s="74">
        <f>db_emp[[#This Row],[NIP (UPDATE)]]</f>
        <v>191158</v>
      </c>
    </row>
    <row r="954" spans="2:19" hidden="1" x14ac:dyDescent="0.25">
      <c r="B954" s="75">
        <v>924</v>
      </c>
      <c r="C954" s="75">
        <v>191194</v>
      </c>
      <c r="D954" s="74" t="s">
        <v>2222</v>
      </c>
      <c r="E954" s="75" t="s">
        <v>964</v>
      </c>
      <c r="F954" s="75"/>
      <c r="G954" s="74" t="s">
        <v>1863</v>
      </c>
      <c r="H954" s="80" t="s">
        <v>853</v>
      </c>
      <c r="I954" s="74"/>
      <c r="J954" s="75" t="s">
        <v>316</v>
      </c>
      <c r="K954" s="80" t="s">
        <v>903</v>
      </c>
      <c r="L954" s="76"/>
      <c r="M954" s="77">
        <f t="shared" ca="1" si="29"/>
        <v>45954</v>
      </c>
      <c r="N954" s="74" t="str">
        <f>_xlfn.IFNA(VLOOKUP(db_emp[[#This Row],[ID_DIV]],[1]!db_dpt[[Code_dpt]:[Departement]],2,0),"-")</f>
        <v>Marketing Communication</v>
      </c>
      <c r="O954" s="74" t="str">
        <f>_xlfn.IFNA(VLOOKUP(db_emp[[#This Row],[ID_SDP]],[1]!db_div[[Code_div]:[Division]],2,0),"-")</f>
        <v>-</v>
      </c>
      <c r="P954" s="74" t="str">
        <f>_xlfn.IFNA(VLOOKUP(db_emp[[#This Row],[Code_lvl]],[1]!db_lvl[[#All],[ID_level]:[Leveling Name]],2,0),"-")</f>
        <v>Staff</v>
      </c>
      <c r="Q954" s="74" t="str">
        <f>_xlfn.IFNA(VLOOKUP(db_emp[[#This Row],[Code_site]],[1]!db_site[[ID_Site]:[Url_maps]],3,0),"-")</f>
        <v>Unit - GGP</v>
      </c>
      <c r="R9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191194,'Irwan Firmansyah','MAR','','Social Media Staff','LV12','','M03','Resign','1900-01-00','2025-10-24'</v>
      </c>
      <c r="S954" s="74">
        <f>db_emp[[#This Row],[NIP (UPDATE)]]</f>
        <v>191194</v>
      </c>
    </row>
    <row r="955" spans="2:19" hidden="1" x14ac:dyDescent="0.25">
      <c r="B955" s="75">
        <v>925</v>
      </c>
      <c r="C955" s="75">
        <v>200063</v>
      </c>
      <c r="D955" s="74" t="s">
        <v>2223</v>
      </c>
      <c r="E955" s="75" t="s">
        <v>1042</v>
      </c>
      <c r="F955" s="75"/>
      <c r="G955" s="74" t="s">
        <v>2224</v>
      </c>
      <c r="H955" s="80" t="s">
        <v>853</v>
      </c>
      <c r="I955" s="74"/>
      <c r="J955" s="75" t="s">
        <v>464</v>
      </c>
      <c r="K955" s="80" t="s">
        <v>903</v>
      </c>
      <c r="L955" s="76"/>
      <c r="M955" s="77">
        <f t="shared" ca="1" si="29"/>
        <v>45954</v>
      </c>
      <c r="N955" s="74" t="str">
        <f>_xlfn.IFNA(VLOOKUP(db_emp[[#This Row],[ID_DIV]],[1]!db_dpt[[Code_dpt]:[Departement]],2,0),"-")</f>
        <v>Cinema</v>
      </c>
      <c r="O955" s="74" t="str">
        <f>_xlfn.IFNA(VLOOKUP(db_emp[[#This Row],[ID_SDP]],[1]!db_div[[Code_div]:[Division]],2,0),"-")</f>
        <v>-</v>
      </c>
      <c r="P955" s="74" t="str">
        <f>_xlfn.IFNA(VLOOKUP(db_emp[[#This Row],[Code_lvl]],[1]!db_lvl[[#All],[ID_level]:[Leveling Name]],2,0),"-")</f>
        <v>Staff</v>
      </c>
      <c r="Q955" s="74" t="str">
        <f>_xlfn.IFNA(VLOOKUP(db_emp[[#This Row],[Code_site]],[1]!db_site[[ID_Site]:[Url_maps]],3,0),"-")</f>
        <v>Unit - FLIX GGP</v>
      </c>
      <c r="R9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200063,'Ega Dwihandika','CIN','','Crew Cinema Staff','LV12','','F03','Resign','1900-01-00','2025-10-24'</v>
      </c>
      <c r="S955" s="74">
        <f>db_emp[[#This Row],[NIP (UPDATE)]]</f>
        <v>200063</v>
      </c>
    </row>
    <row r="956" spans="2:19" hidden="1" x14ac:dyDescent="0.25">
      <c r="B956" s="80">
        <v>926</v>
      </c>
      <c r="C956" s="75">
        <v>200136</v>
      </c>
      <c r="D956" s="74" t="s">
        <v>2225</v>
      </c>
      <c r="E956" s="75" t="s">
        <v>2108</v>
      </c>
      <c r="F956" s="75"/>
      <c r="G956" s="74" t="s">
        <v>1755</v>
      </c>
      <c r="H956" s="80" t="s">
        <v>853</v>
      </c>
      <c r="I956" s="74"/>
      <c r="J956" s="75" t="s">
        <v>315</v>
      </c>
      <c r="K956" s="80" t="s">
        <v>903</v>
      </c>
      <c r="L956" s="76"/>
      <c r="M956" s="77">
        <f t="shared" ca="1" si="29"/>
        <v>45954</v>
      </c>
      <c r="N956" s="74" t="str">
        <f>_xlfn.IFNA(VLOOKUP(db_emp[[#This Row],[ID_DIV]],[1]!db_dpt[[Code_dpt]:[Departement]],2,0),"-")</f>
        <v>-</v>
      </c>
      <c r="O956" s="74" t="str">
        <f>_xlfn.IFNA(VLOOKUP(db_emp[[#This Row],[ID_SDP]],[1]!db_div[[Code_div]:[Division]],2,0),"-")</f>
        <v>-</v>
      </c>
      <c r="P956" s="74" t="str">
        <f>_xlfn.IFNA(VLOOKUP(db_emp[[#This Row],[Code_lvl]],[1]!db_lvl[[#All],[ID_level]:[Leveling Name]],2,0),"-")</f>
        <v>Staff</v>
      </c>
      <c r="Q956" s="74" t="str">
        <f>_xlfn.IFNA(VLOOKUP(db_emp[[#This Row],[Code_site]],[1]!db_site[[ID_Site]:[Url_maps]],3,0),"-")</f>
        <v>Head Office - ASGO</v>
      </c>
      <c r="R9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200136,'Adella Majesty Bella Puspita','PRO','','Procurement Staff','LV12','','O99','Resign','1900-01-00','2025-10-24'</v>
      </c>
      <c r="S956" s="74">
        <f>db_emp[[#This Row],[NIP (UPDATE)]]</f>
        <v>200136</v>
      </c>
    </row>
    <row r="957" spans="2:19" hidden="1" x14ac:dyDescent="0.25">
      <c r="B957" s="75">
        <v>927</v>
      </c>
      <c r="C957" s="75">
        <v>200157</v>
      </c>
      <c r="D957" s="74" t="s">
        <v>2226</v>
      </c>
      <c r="E957" s="75" t="s">
        <v>964</v>
      </c>
      <c r="F957" s="75"/>
      <c r="G957" s="74" t="s">
        <v>1633</v>
      </c>
      <c r="H957" s="75" t="s">
        <v>870</v>
      </c>
      <c r="I957" s="74"/>
      <c r="J957" s="75" t="s">
        <v>316</v>
      </c>
      <c r="K957" s="80" t="s">
        <v>903</v>
      </c>
      <c r="L957" s="76"/>
      <c r="M957" s="77">
        <f t="shared" ca="1" si="29"/>
        <v>45954</v>
      </c>
      <c r="N957" s="74" t="str">
        <f>_xlfn.IFNA(VLOOKUP(db_emp[[#This Row],[ID_DIV]],[1]!db_dpt[[Code_dpt]:[Departement]],2,0),"-")</f>
        <v>Marketing Communication</v>
      </c>
      <c r="O957" s="74" t="str">
        <f>_xlfn.IFNA(VLOOKUP(db_emp[[#This Row],[ID_SDP]],[1]!db_div[[Code_div]:[Division]],2,0),"-")</f>
        <v>-</v>
      </c>
      <c r="P957" s="74" t="str">
        <f>_xlfn.IFNA(VLOOKUP(db_emp[[#This Row],[Code_lvl]],[1]!db_lvl[[#All],[ID_level]:[Leveling Name]],2,0),"-")</f>
        <v>Supervisor</v>
      </c>
      <c r="Q957" s="74" t="str">
        <f>_xlfn.IFNA(VLOOKUP(db_emp[[#This Row],[Code_site]],[1]!db_site[[ID_Site]:[Url_maps]],3,0),"-")</f>
        <v>Unit - GGP</v>
      </c>
      <c r="R9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200157,'Novan Firmando','MAR','','Marketing Communication Supervisor','LV09','','M03','Resign','1900-01-00','2025-10-24'</v>
      </c>
      <c r="S957" s="74">
        <f>db_emp[[#This Row],[NIP (UPDATE)]]</f>
        <v>200157</v>
      </c>
    </row>
    <row r="958" spans="2:19" hidden="1" x14ac:dyDescent="0.25">
      <c r="B958" s="75">
        <v>928</v>
      </c>
      <c r="C958" s="75">
        <v>200191</v>
      </c>
      <c r="D958" s="74" t="s">
        <v>2227</v>
      </c>
      <c r="E958" s="75" t="s">
        <v>845</v>
      </c>
      <c r="F958" s="75"/>
      <c r="G958" s="74" t="s">
        <v>852</v>
      </c>
      <c r="H958" s="80" t="s">
        <v>853</v>
      </c>
      <c r="I958" s="74"/>
      <c r="J958" s="75" t="s">
        <v>315</v>
      </c>
      <c r="K958" s="80" t="s">
        <v>903</v>
      </c>
      <c r="L958" s="76"/>
      <c r="M958" s="77">
        <f t="shared" ca="1" si="29"/>
        <v>45954</v>
      </c>
      <c r="N958" s="74" t="str">
        <f>_xlfn.IFNA(VLOOKUP(db_emp[[#This Row],[ID_DIV]],[1]!db_dpt[[Code_dpt]:[Departement]],2,0),"-")</f>
        <v>Finance &amp; Accounting</v>
      </c>
      <c r="O958" s="74" t="str">
        <f>_xlfn.IFNA(VLOOKUP(db_emp[[#This Row],[ID_SDP]],[1]!db_div[[Code_div]:[Division]],2,0),"-")</f>
        <v>-</v>
      </c>
      <c r="P958" s="74" t="str">
        <f>_xlfn.IFNA(VLOOKUP(db_emp[[#This Row],[Code_lvl]],[1]!db_lvl[[#All],[ID_level]:[Leveling Name]],2,0),"-")</f>
        <v>Staff</v>
      </c>
      <c r="Q958" s="74" t="str">
        <f>_xlfn.IFNA(VLOOKUP(db_emp[[#This Row],[Code_site]],[1]!db_site[[ID_Site]:[Url_maps]],3,0),"-")</f>
        <v>Head Office - ASGO</v>
      </c>
      <c r="R9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200191,'Agnes Natassia','FIN','','Account Payable Staff','LV12','','O99','Resign','1900-01-00','2025-10-24'</v>
      </c>
      <c r="S958" s="74">
        <f>db_emp[[#This Row],[NIP (UPDATE)]]</f>
        <v>200191</v>
      </c>
    </row>
    <row r="959" spans="2:19" hidden="1" x14ac:dyDescent="0.25">
      <c r="B959" s="75">
        <v>929</v>
      </c>
      <c r="C959" s="75">
        <v>200259</v>
      </c>
      <c r="D959" s="74" t="s">
        <v>2228</v>
      </c>
      <c r="E959" s="75" t="s">
        <v>2167</v>
      </c>
      <c r="F959" s="75"/>
      <c r="G959" s="74" t="s">
        <v>1545</v>
      </c>
      <c r="H959" s="75" t="s">
        <v>870</v>
      </c>
      <c r="I959" s="74"/>
      <c r="J959" s="75" t="s">
        <v>433</v>
      </c>
      <c r="K959" s="80" t="s">
        <v>903</v>
      </c>
      <c r="L959" s="76"/>
      <c r="M959" s="77">
        <f t="shared" ca="1" si="29"/>
        <v>45954</v>
      </c>
      <c r="N959" s="74" t="str">
        <f>_xlfn.IFNA(VLOOKUP(db_emp[[#This Row],[ID_DIV]],[1]!db_dpt[[Code_dpt]:[Departement]],2,0),"-")</f>
        <v>-</v>
      </c>
      <c r="O959" s="74" t="str">
        <f>_xlfn.IFNA(VLOOKUP(db_emp[[#This Row],[ID_SDP]],[1]!db_div[[Code_div]:[Division]],2,0),"-")</f>
        <v>-</v>
      </c>
      <c r="P959" s="74" t="str">
        <f>_xlfn.IFNA(VLOOKUP(db_emp[[#This Row],[Code_lvl]],[1]!db_lvl[[#All],[ID_level]:[Leveling Name]],2,0),"-")</f>
        <v>Supervisor</v>
      </c>
      <c r="Q959" s="74" t="str">
        <f>_xlfn.IFNA(VLOOKUP(db_emp[[#This Row],[Code_site]],[1]!db_site[[ID_Site]:[Url_maps]],3,0),"-")</f>
        <v>Unit - Taman Anggrek Residences</v>
      </c>
      <c r="R9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200259,'Sagi Mambang','GNS','','HSE Supervisor','LV09','','A01','Resign','1900-01-00','2025-10-24'</v>
      </c>
      <c r="S959" s="74">
        <f>db_emp[[#This Row],[NIP (UPDATE)]]</f>
        <v>200259</v>
      </c>
    </row>
    <row r="960" spans="2:19" hidden="1" x14ac:dyDescent="0.25">
      <c r="B960" s="75" t="s">
        <v>2413</v>
      </c>
      <c r="C960" s="75">
        <v>200264</v>
      </c>
      <c r="D960" s="74" t="s">
        <v>268</v>
      </c>
      <c r="E960" s="75" t="s">
        <v>1566</v>
      </c>
      <c r="F960" s="75"/>
      <c r="G960" s="74" t="s">
        <v>2229</v>
      </c>
      <c r="H960" s="80" t="s">
        <v>853</v>
      </c>
      <c r="I960" s="74"/>
      <c r="J960" s="75" t="s">
        <v>316</v>
      </c>
      <c r="K960" s="80" t="s">
        <v>903</v>
      </c>
      <c r="L960" s="76"/>
      <c r="M960" s="77">
        <f t="shared" ca="1" si="29"/>
        <v>45954</v>
      </c>
      <c r="N960" s="74" t="str">
        <f>_xlfn.IFNA(VLOOKUP(db_emp[[#This Row],[ID_DIV]],[1]!db_dpt[[Code_dpt]:[Departement]],2,0),"-")</f>
        <v>IT</v>
      </c>
      <c r="O960" s="74" t="str">
        <f>_xlfn.IFNA(VLOOKUP(db_emp[[#This Row],[ID_SDP]],[1]!db_div[[Code_div]:[Division]],2,0),"-")</f>
        <v>-</v>
      </c>
      <c r="P960" s="74" t="str">
        <f>_xlfn.IFNA(VLOOKUP(db_emp[[#This Row],[Code_lvl]],[1]!db_lvl[[#All],[ID_level]:[Leveling Name]],2,0),"-")</f>
        <v>Staff</v>
      </c>
      <c r="Q960" s="74" t="str">
        <f>_xlfn.IFNA(VLOOKUP(db_emp[[#This Row],[Code_site]],[1]!db_site[[ID_Site]:[Url_maps]],3,0),"-")</f>
        <v>Unit - GGP</v>
      </c>
      <c r="R9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200264,'Achmad Fika Muntafa','ITD','','IT Support Staff','LV12','','M03','Resign','1900-01-00','2025-10-24'</v>
      </c>
      <c r="S960" s="74">
        <f>db_emp[[#This Row],[NIP (UPDATE)]]</f>
        <v>200264</v>
      </c>
    </row>
    <row r="961" spans="2:19" hidden="1" x14ac:dyDescent="0.25">
      <c r="B961" s="75">
        <v>931</v>
      </c>
      <c r="C961" s="75">
        <v>200275</v>
      </c>
      <c r="D961" s="74" t="s">
        <v>1300</v>
      </c>
      <c r="E961" s="75" t="s">
        <v>911</v>
      </c>
      <c r="F961" s="75"/>
      <c r="G961" s="74" t="s">
        <v>1905</v>
      </c>
      <c r="H961" s="80" t="s">
        <v>853</v>
      </c>
      <c r="I961" s="74"/>
      <c r="J961" s="75" t="s">
        <v>433</v>
      </c>
      <c r="K961" s="80" t="s">
        <v>903</v>
      </c>
      <c r="L961" s="76"/>
      <c r="M961" s="77">
        <f t="shared" ca="1" si="29"/>
        <v>45954</v>
      </c>
      <c r="N961" s="74" t="str">
        <f>_xlfn.IFNA(VLOOKUP(db_emp[[#This Row],[ID_DIV]],[1]!db_dpt[[Code_dpt]:[Departement]],2,0),"-")</f>
        <v>Engineering</v>
      </c>
      <c r="O961" s="74" t="str">
        <f>_xlfn.IFNA(VLOOKUP(db_emp[[#This Row],[ID_SDP]],[1]!db_div[[Code_div]:[Division]],2,0),"-")</f>
        <v>-</v>
      </c>
      <c r="P961" s="74" t="str">
        <f>_xlfn.IFNA(VLOOKUP(db_emp[[#This Row],[Code_lvl]],[1]!db_lvl[[#All],[ID_level]:[Leveling Name]],2,0),"-")</f>
        <v>Staff</v>
      </c>
      <c r="Q961" s="74" t="str">
        <f>_xlfn.IFNA(VLOOKUP(db_emp[[#This Row],[Code_site]],[1]!db_site[[ID_Site]:[Url_maps]],3,0),"-")</f>
        <v>Unit - Taman Anggrek Residences</v>
      </c>
      <c r="R9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200275,'Demas Yosef Maulana','ENG','','Technician Staff','LV12','','A01','Resign','1900-01-00','2025-10-24'</v>
      </c>
      <c r="S961" s="74">
        <f>db_emp[[#This Row],[NIP (UPDATE)]]</f>
        <v>200275</v>
      </c>
    </row>
    <row r="962" spans="2:19" hidden="1" x14ac:dyDescent="0.25">
      <c r="B962" s="75">
        <v>932</v>
      </c>
      <c r="C962" s="75">
        <v>200328</v>
      </c>
      <c r="D962" s="74" t="s">
        <v>2230</v>
      </c>
      <c r="E962" s="75" t="s">
        <v>131</v>
      </c>
      <c r="F962" s="75"/>
      <c r="G962" s="74" t="s">
        <v>1563</v>
      </c>
      <c r="H962" s="75" t="s">
        <v>870</v>
      </c>
      <c r="I962" s="74"/>
      <c r="J962" s="75" t="s">
        <v>315</v>
      </c>
      <c r="K962" s="80" t="s">
        <v>903</v>
      </c>
      <c r="L962" s="76"/>
      <c r="M962" s="77">
        <f t="shared" ca="1" si="29"/>
        <v>45954</v>
      </c>
      <c r="N962" s="74" t="str">
        <f>_xlfn.IFNA(VLOOKUP(db_emp[[#This Row],[ID_DIV]],[1]!db_dpt[[Code_dpt]:[Departement]],2,0),"-")</f>
        <v>Internal Audit &amp; Business Process</v>
      </c>
      <c r="O962" s="74" t="str">
        <f>_xlfn.IFNA(VLOOKUP(db_emp[[#This Row],[ID_SDP]],[1]!db_div[[Code_div]:[Division]],2,0),"-")</f>
        <v>-</v>
      </c>
      <c r="P962" s="74" t="str">
        <f>_xlfn.IFNA(VLOOKUP(db_emp[[#This Row],[Code_lvl]],[1]!db_lvl[[#All],[ID_level]:[Leveling Name]],2,0),"-")</f>
        <v>Supervisor</v>
      </c>
      <c r="Q962" s="74" t="str">
        <f>_xlfn.IFNA(VLOOKUP(db_emp[[#This Row],[Code_site]],[1]!db_site[[ID_Site]:[Url_maps]],3,0),"-")</f>
        <v>Head Office - ASGO</v>
      </c>
      <c r="R9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200328,'Ninu.','ISO','','Internal Audit &amp; Business Process Supervisor','LV09','','O99','Resign','1900-01-00','2025-10-24'</v>
      </c>
      <c r="S962" s="74">
        <f>db_emp[[#This Row],[NIP (UPDATE)]]</f>
        <v>200328</v>
      </c>
    </row>
    <row r="963" spans="2:19" hidden="1" x14ac:dyDescent="0.25">
      <c r="B963" s="75">
        <v>933</v>
      </c>
      <c r="C963" s="75">
        <v>200422</v>
      </c>
      <c r="D963" s="74" t="s">
        <v>2231</v>
      </c>
      <c r="E963" s="75" t="s">
        <v>911</v>
      </c>
      <c r="F963" s="75"/>
      <c r="G963" s="74" t="s">
        <v>1905</v>
      </c>
      <c r="H963" s="80" t="s">
        <v>853</v>
      </c>
      <c r="I963" s="74"/>
      <c r="J963" s="75" t="s">
        <v>433</v>
      </c>
      <c r="K963" s="80" t="s">
        <v>903</v>
      </c>
      <c r="L963" s="76"/>
      <c r="M963" s="77">
        <f t="shared" ca="1" si="29"/>
        <v>45954</v>
      </c>
      <c r="N963" s="74" t="str">
        <f>_xlfn.IFNA(VLOOKUP(db_emp[[#This Row],[ID_DIV]],[1]!db_dpt[[Code_dpt]:[Departement]],2,0),"-")</f>
        <v>Engineering</v>
      </c>
      <c r="O963" s="74" t="str">
        <f>_xlfn.IFNA(VLOOKUP(db_emp[[#This Row],[ID_SDP]],[1]!db_div[[Code_div]:[Division]],2,0),"-")</f>
        <v>-</v>
      </c>
      <c r="P963" s="74" t="str">
        <f>_xlfn.IFNA(VLOOKUP(db_emp[[#This Row],[Code_lvl]],[1]!db_lvl[[#All],[ID_level]:[Leveling Name]],2,0),"-")</f>
        <v>Staff</v>
      </c>
      <c r="Q963" s="74" t="str">
        <f>_xlfn.IFNA(VLOOKUP(db_emp[[#This Row],[Code_site]],[1]!db_site[[ID_Site]:[Url_maps]],3,0),"-")</f>
        <v>Unit - Taman Anggrek Residences</v>
      </c>
      <c r="R9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200422,'Wahyudianto','ENG','','Technician Staff','LV12','','A01','Resign','1900-01-00','2025-10-24'</v>
      </c>
      <c r="S963" s="74">
        <f>db_emp[[#This Row],[NIP (UPDATE)]]</f>
        <v>200422</v>
      </c>
    </row>
    <row r="964" spans="2:19" hidden="1" x14ac:dyDescent="0.25">
      <c r="B964" s="80">
        <v>934</v>
      </c>
      <c r="C964" s="75">
        <v>200423</v>
      </c>
      <c r="D964" s="74" t="s">
        <v>2232</v>
      </c>
      <c r="E964" s="75" t="s">
        <v>911</v>
      </c>
      <c r="F964" s="75"/>
      <c r="G964" s="74" t="s">
        <v>2233</v>
      </c>
      <c r="H964" s="80" t="s">
        <v>853</v>
      </c>
      <c r="I964" s="74"/>
      <c r="J964" s="75" t="s">
        <v>314</v>
      </c>
      <c r="K964" s="80" t="s">
        <v>903</v>
      </c>
      <c r="L964" s="76"/>
      <c r="M964" s="77">
        <f t="shared" ca="1" si="29"/>
        <v>45954</v>
      </c>
      <c r="N964" s="74" t="str">
        <f>_xlfn.IFNA(VLOOKUP(db_emp[[#This Row],[ID_DIV]],[1]!db_dpt[[Code_dpt]:[Departement]],2,0),"-")</f>
        <v>Engineering</v>
      </c>
      <c r="O964" s="74" t="str">
        <f>_xlfn.IFNA(VLOOKUP(db_emp[[#This Row],[ID_SDP]],[1]!db_div[[Code_div]:[Division]],2,0),"-")</f>
        <v>-</v>
      </c>
      <c r="P964" s="74" t="str">
        <f>_xlfn.IFNA(VLOOKUP(db_emp[[#This Row],[Code_lvl]],[1]!db_lvl[[#All],[ID_level]:[Leveling Name]],2,0),"-")</f>
        <v>Staff</v>
      </c>
      <c r="Q964" s="74" t="str">
        <f>_xlfn.IFNA(VLOOKUP(db_emp[[#This Row],[Code_site]],[1]!db_site[[ID_Site]:[Url_maps]],3,0),"-")</f>
        <v>Unit - MOI</v>
      </c>
      <c r="R9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200423,'Muhammad Kadafi','ENG','','Operational Technician Staff','LV12','','M02','Resign','1900-01-00','2025-10-24'</v>
      </c>
      <c r="S964" s="74">
        <f>db_emp[[#This Row],[NIP (UPDATE)]]</f>
        <v>200423</v>
      </c>
    </row>
    <row r="965" spans="2:19" hidden="1" x14ac:dyDescent="0.25">
      <c r="B965" s="75">
        <v>935</v>
      </c>
      <c r="C965" s="75">
        <v>200425</v>
      </c>
      <c r="D965" s="74" t="s">
        <v>2234</v>
      </c>
      <c r="E965" s="75" t="s">
        <v>2029</v>
      </c>
      <c r="F965" s="75"/>
      <c r="G965" s="74" t="s">
        <v>2235</v>
      </c>
      <c r="H965" s="75" t="s">
        <v>870</v>
      </c>
      <c r="I965" s="74"/>
      <c r="J965" s="75" t="s">
        <v>314</v>
      </c>
      <c r="K965" s="80" t="s">
        <v>903</v>
      </c>
      <c r="L965" s="76"/>
      <c r="M965" s="77">
        <f t="shared" ca="1" si="29"/>
        <v>45954</v>
      </c>
      <c r="N965" s="74" t="str">
        <f>_xlfn.IFNA(VLOOKUP(db_emp[[#This Row],[ID_DIV]],[1]!db_dpt[[Code_dpt]:[Departement]],2,0),"-")</f>
        <v>-</v>
      </c>
      <c r="O965" s="74" t="str">
        <f>_xlfn.IFNA(VLOOKUP(db_emp[[#This Row],[ID_SDP]],[1]!db_div[[Code_div]:[Division]],2,0),"-")</f>
        <v>-</v>
      </c>
      <c r="P965" s="74" t="str">
        <f>_xlfn.IFNA(VLOOKUP(db_emp[[#This Row],[Code_lvl]],[1]!db_lvl[[#All],[ID_level]:[Leveling Name]],2,0),"-")</f>
        <v>Supervisor</v>
      </c>
      <c r="Q965" s="74" t="str">
        <f>_xlfn.IFNA(VLOOKUP(db_emp[[#This Row],[Code_site]],[1]!db_site[[ID_Site]:[Url_maps]],3,0),"-")</f>
        <v>Unit - MOI</v>
      </c>
      <c r="R9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200425,'Melianus Manuhutu','SPM','','Electrical Inspector Supervisor','LV09','','M02','Resign','1900-01-00','2025-10-24'</v>
      </c>
      <c r="S965" s="74">
        <f>db_emp[[#This Row],[NIP (UPDATE)]]</f>
        <v>200425</v>
      </c>
    </row>
    <row r="966" spans="2:19" hidden="1" x14ac:dyDescent="0.25">
      <c r="B966" s="75">
        <v>936</v>
      </c>
      <c r="C966" s="75">
        <v>200507</v>
      </c>
      <c r="D966" s="74" t="s">
        <v>2236</v>
      </c>
      <c r="E966" s="75" t="s">
        <v>911</v>
      </c>
      <c r="F966" s="75"/>
      <c r="G966" s="74" t="s">
        <v>1905</v>
      </c>
      <c r="H966" s="80" t="s">
        <v>853</v>
      </c>
      <c r="I966" s="74"/>
      <c r="J966" s="75" t="s">
        <v>433</v>
      </c>
      <c r="K966" s="80" t="s">
        <v>903</v>
      </c>
      <c r="L966" s="76"/>
      <c r="M966" s="77">
        <f t="shared" ca="1" si="29"/>
        <v>45954</v>
      </c>
      <c r="N966" s="74" t="str">
        <f>_xlfn.IFNA(VLOOKUP(db_emp[[#This Row],[ID_DIV]],[1]!db_dpt[[Code_dpt]:[Departement]],2,0),"-")</f>
        <v>Engineering</v>
      </c>
      <c r="O966" s="74" t="str">
        <f>_xlfn.IFNA(VLOOKUP(db_emp[[#This Row],[ID_SDP]],[1]!db_div[[Code_div]:[Division]],2,0),"-")</f>
        <v>-</v>
      </c>
      <c r="P966" s="74" t="str">
        <f>_xlfn.IFNA(VLOOKUP(db_emp[[#This Row],[Code_lvl]],[1]!db_lvl[[#All],[ID_level]:[Leveling Name]],2,0),"-")</f>
        <v>Staff</v>
      </c>
      <c r="Q966" s="74" t="str">
        <f>_xlfn.IFNA(VLOOKUP(db_emp[[#This Row],[Code_site]],[1]!db_site[[ID_Site]:[Url_maps]],3,0),"-")</f>
        <v>Unit - Taman Anggrek Residences</v>
      </c>
      <c r="R9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200507,'Achmad Hidayat','ENG','','Technician Staff','LV12','','A01','Resign','1900-01-00','2025-10-24'</v>
      </c>
      <c r="S966" s="74">
        <f>db_emp[[#This Row],[NIP (UPDATE)]]</f>
        <v>200507</v>
      </c>
    </row>
    <row r="967" spans="2:19" hidden="1" x14ac:dyDescent="0.25">
      <c r="B967" s="75">
        <v>937</v>
      </c>
      <c r="C967" s="75">
        <v>200604</v>
      </c>
      <c r="D967" s="74" t="s">
        <v>2237</v>
      </c>
      <c r="E967" s="75" t="s">
        <v>2238</v>
      </c>
      <c r="F967" s="75"/>
      <c r="G967" s="74" t="s">
        <v>2239</v>
      </c>
      <c r="H967" s="75" t="s">
        <v>953</v>
      </c>
      <c r="I967" s="74"/>
      <c r="J967" s="75" t="s">
        <v>315</v>
      </c>
      <c r="K967" s="80" t="s">
        <v>903</v>
      </c>
      <c r="L967" s="76"/>
      <c r="M967" s="77">
        <f t="shared" ref="M967:M1030" ca="1" si="30">TODAY()+1</f>
        <v>45954</v>
      </c>
      <c r="N967" s="74" t="str">
        <f>_xlfn.IFNA(VLOOKUP(db_emp[[#This Row],[ID_DIV]],[1]!db_dpt[[Code_dpt]:[Departement]],2,0),"-")</f>
        <v>-</v>
      </c>
      <c r="O967" s="74" t="str">
        <f>_xlfn.IFNA(VLOOKUP(db_emp[[#This Row],[ID_SDP]],[1]!db_div[[Code_div]:[Division]],2,0),"-")</f>
        <v>-</v>
      </c>
      <c r="P967" s="74" t="str">
        <f>_xlfn.IFNA(VLOOKUP(db_emp[[#This Row],[Code_lvl]],[1]!db_lvl[[#All],[ID_level]:[Leveling Name]],2,0),"-")</f>
        <v>Manager</v>
      </c>
      <c r="Q967" s="74" t="str">
        <f>_xlfn.IFNA(VLOOKUP(db_emp[[#This Row],[Code_site]],[1]!db_site[[ID_Site]:[Url_maps]],3,0),"-")</f>
        <v>Head Office - ASGO</v>
      </c>
      <c r="R9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200604,'Vitria Handayani','RDV','','Research &amp; Developement Manager','LV05','','O99','Resign','1900-01-00','2025-10-24'</v>
      </c>
      <c r="S967" s="74">
        <f>db_emp[[#This Row],[NIP (UPDATE)]]</f>
        <v>200604</v>
      </c>
    </row>
    <row r="968" spans="2:19" hidden="1" x14ac:dyDescent="0.25">
      <c r="B968" s="80">
        <v>938</v>
      </c>
      <c r="C968" s="75">
        <v>210009</v>
      </c>
      <c r="D968" s="74" t="s">
        <v>2240</v>
      </c>
      <c r="E968" s="75" t="s">
        <v>964</v>
      </c>
      <c r="F968" s="75"/>
      <c r="G968" s="74" t="s">
        <v>2241</v>
      </c>
      <c r="H968" s="75" t="s">
        <v>870</v>
      </c>
      <c r="I968" s="74"/>
      <c r="J968" s="75" t="s">
        <v>315</v>
      </c>
      <c r="K968" s="80" t="s">
        <v>903</v>
      </c>
      <c r="L968" s="76"/>
      <c r="M968" s="77">
        <f t="shared" ca="1" si="30"/>
        <v>45954</v>
      </c>
      <c r="N968" s="74" t="str">
        <f>_xlfn.IFNA(VLOOKUP(db_emp[[#This Row],[ID_DIV]],[1]!db_dpt[[Code_dpt]:[Departement]],2,0),"-")</f>
        <v>Marketing Communication</v>
      </c>
      <c r="O968" s="74" t="str">
        <f>_xlfn.IFNA(VLOOKUP(db_emp[[#This Row],[ID_SDP]],[1]!db_div[[Code_div]:[Division]],2,0),"-")</f>
        <v>-</v>
      </c>
      <c r="P968" s="74" t="str">
        <f>_xlfn.IFNA(VLOOKUP(db_emp[[#This Row],[Code_lvl]],[1]!db_lvl[[#All],[ID_level]:[Leveling Name]],2,0),"-")</f>
        <v>Supervisor</v>
      </c>
      <c r="Q968" s="74" t="str">
        <f>_xlfn.IFNA(VLOOKUP(db_emp[[#This Row],[Code_site]],[1]!db_site[[ID_Site]:[Url_maps]],3,0),"-")</f>
        <v>Head Office - ASGO</v>
      </c>
      <c r="R9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210009,'Mathius','MAR','','Film Programming Supervisor','LV09','','O99','Resign','1900-01-00','2025-10-24'</v>
      </c>
      <c r="S968" s="74">
        <f>db_emp[[#This Row],[NIP (UPDATE)]]</f>
        <v>210009</v>
      </c>
    </row>
    <row r="969" spans="2:19" hidden="1" x14ac:dyDescent="0.25">
      <c r="B969" s="75">
        <v>939</v>
      </c>
      <c r="C969" s="75">
        <v>210010</v>
      </c>
      <c r="D969" s="74" t="s">
        <v>2242</v>
      </c>
      <c r="E969" s="75" t="s">
        <v>2138</v>
      </c>
      <c r="F969" s="75"/>
      <c r="G969" s="74" t="s">
        <v>2243</v>
      </c>
      <c r="H969" s="75" t="s">
        <v>870</v>
      </c>
      <c r="I969" s="74"/>
      <c r="J969" s="75" t="s">
        <v>484</v>
      </c>
      <c r="K969" s="80" t="s">
        <v>903</v>
      </c>
      <c r="L969" s="76"/>
      <c r="M969" s="77">
        <f t="shared" ca="1" si="30"/>
        <v>45954</v>
      </c>
      <c r="N969" s="74" t="str">
        <f>_xlfn.IFNA(VLOOKUP(db_emp[[#This Row],[ID_DIV]],[1]!db_dpt[[Code_dpt]:[Departement]],2,0),"-")</f>
        <v>-</v>
      </c>
      <c r="O969" s="74" t="str">
        <f>_xlfn.IFNA(VLOOKUP(db_emp[[#This Row],[ID_SDP]],[1]!db_div[[Code_div]:[Division]],2,0),"-")</f>
        <v>-</v>
      </c>
      <c r="P969" s="74" t="str">
        <f>_xlfn.IFNA(VLOOKUP(db_emp[[#This Row],[Code_lvl]],[1]!db_lvl[[#All],[ID_level]:[Leveling Name]],2,0),"-")</f>
        <v>Supervisor</v>
      </c>
      <c r="Q969" s="74" t="str">
        <f>_xlfn.IFNA(VLOOKUP(db_emp[[#This Row],[Code_site]],[1]!db_site[[ID_Site]:[Url_maps]],3,0),"-")</f>
        <v>Unit - PIK Avenue</v>
      </c>
      <c r="R9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210010,'Prasandi Bagus Santoso','CCM','','Visual Merchandise Supervisor','LV09','','M01','Resign','1900-01-00','2025-10-24'</v>
      </c>
      <c r="S969" s="74">
        <f>db_emp[[#This Row],[NIP (UPDATE)]]</f>
        <v>210010</v>
      </c>
    </row>
    <row r="970" spans="2:19" hidden="1" x14ac:dyDescent="0.25">
      <c r="B970" s="75">
        <v>940</v>
      </c>
      <c r="C970" s="75">
        <v>210049</v>
      </c>
      <c r="D970" s="74" t="s">
        <v>2244</v>
      </c>
      <c r="E970" s="75" t="s">
        <v>2138</v>
      </c>
      <c r="F970" s="75"/>
      <c r="G970" s="74" t="s">
        <v>2245</v>
      </c>
      <c r="H970" s="80" t="s">
        <v>853</v>
      </c>
      <c r="I970" s="74"/>
      <c r="J970" s="75" t="s">
        <v>484</v>
      </c>
      <c r="K970" s="80" t="s">
        <v>903</v>
      </c>
      <c r="L970" s="76"/>
      <c r="M970" s="77">
        <f t="shared" ca="1" si="30"/>
        <v>45954</v>
      </c>
      <c r="N970" s="74" t="str">
        <f>_xlfn.IFNA(VLOOKUP(db_emp[[#This Row],[ID_DIV]],[1]!db_dpt[[Code_dpt]:[Departement]],2,0),"-")</f>
        <v>-</v>
      </c>
      <c r="O970" s="74" t="str">
        <f>_xlfn.IFNA(VLOOKUP(db_emp[[#This Row],[ID_SDP]],[1]!db_div[[Code_div]:[Division]],2,0),"-")</f>
        <v>-</v>
      </c>
      <c r="P970" s="74" t="str">
        <f>_xlfn.IFNA(VLOOKUP(db_emp[[#This Row],[Code_lvl]],[1]!db_lvl[[#All],[ID_level]:[Leveling Name]],2,0),"-")</f>
        <v>Staff</v>
      </c>
      <c r="Q970" s="74" t="str">
        <f>_xlfn.IFNA(VLOOKUP(db_emp[[#This Row],[Code_site]],[1]!db_site[[ID_Site]:[Url_maps]],3,0),"-")</f>
        <v>Unit - PIK Avenue</v>
      </c>
      <c r="R9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210049,'Egit Fandikson','CCM','','Visual Merchandise Staff','LV12','','M01','Resign','1900-01-00','2025-10-24'</v>
      </c>
      <c r="S970" s="74">
        <f>db_emp[[#This Row],[NIP (UPDATE)]]</f>
        <v>210049</v>
      </c>
    </row>
    <row r="971" spans="2:19" hidden="1" x14ac:dyDescent="0.25">
      <c r="B971" s="75">
        <v>941</v>
      </c>
      <c r="C971" s="75">
        <v>210070</v>
      </c>
      <c r="D971" s="74" t="s">
        <v>2246</v>
      </c>
      <c r="E971" s="75" t="s">
        <v>2247</v>
      </c>
      <c r="F971" s="75"/>
      <c r="G971" s="74" t="s">
        <v>2248</v>
      </c>
      <c r="H971" s="75" t="s">
        <v>1673</v>
      </c>
      <c r="I971" s="74"/>
      <c r="J971" s="75" t="s">
        <v>315</v>
      </c>
      <c r="K971" s="80" t="s">
        <v>903</v>
      </c>
      <c r="L971" s="76"/>
      <c r="M971" s="77">
        <f t="shared" ca="1" si="30"/>
        <v>45954</v>
      </c>
      <c r="N971" s="74" t="str">
        <f>_xlfn.IFNA(VLOOKUP(db_emp[[#This Row],[ID_DIV]],[1]!db_dpt[[Code_dpt]:[Departement]],2,0),"-")</f>
        <v>-</v>
      </c>
      <c r="O971" s="74" t="str">
        <f>_xlfn.IFNA(VLOOKUP(db_emp[[#This Row],[ID_SDP]],[1]!db_div[[Code_div]:[Division]],2,0),"-")</f>
        <v>-</v>
      </c>
      <c r="P971" s="74" t="str">
        <f>_xlfn.IFNA(VLOOKUP(db_emp[[#This Row],[Code_lvl]],[1]!db_lvl[[#All],[ID_level]:[Leveling Name]],2,0),"-")</f>
        <v>Deputy General Manager</v>
      </c>
      <c r="Q971" s="74" t="str">
        <f>_xlfn.IFNA(VLOOKUP(db_emp[[#This Row],[Code_site]],[1]!db_site[[ID_Site]:[Url_maps]],3,0),"-")</f>
        <v>Head Office - ASGO</v>
      </c>
      <c r="R9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210070,'Nita Nazira C. Noer','MBD','','Marketing Business Development Junior General Manager','LV03','','O99','Resign','1900-01-00','2025-10-24'</v>
      </c>
      <c r="S971" s="74">
        <f>db_emp[[#This Row],[NIP (UPDATE)]]</f>
        <v>210070</v>
      </c>
    </row>
    <row r="972" spans="2:19" hidden="1" x14ac:dyDescent="0.25">
      <c r="B972" s="80">
        <v>942</v>
      </c>
      <c r="C972" s="75">
        <v>210175</v>
      </c>
      <c r="D972" s="74" t="s">
        <v>2249</v>
      </c>
      <c r="E972" s="75" t="s">
        <v>1362</v>
      </c>
      <c r="F972" s="75"/>
      <c r="G972" s="74" t="s">
        <v>1488</v>
      </c>
      <c r="H972" s="80" t="s">
        <v>853</v>
      </c>
      <c r="I972" s="74"/>
      <c r="J972" s="75" t="s">
        <v>433</v>
      </c>
      <c r="K972" s="80" t="s">
        <v>903</v>
      </c>
      <c r="L972" s="76"/>
      <c r="M972" s="77">
        <f t="shared" ca="1" si="30"/>
        <v>45954</v>
      </c>
      <c r="N972" s="74" t="str">
        <f>_xlfn.IFNA(VLOOKUP(db_emp[[#This Row],[ID_DIV]],[1]!db_dpt[[Code_dpt]:[Departement]],2,0),"-")</f>
        <v>-</v>
      </c>
      <c r="O972" s="74" t="str">
        <f>_xlfn.IFNA(VLOOKUP(db_emp[[#This Row],[ID_SDP]],[1]!db_div[[Code_div]:[Division]],2,0),"-")</f>
        <v>-</v>
      </c>
      <c r="P972" s="74" t="str">
        <f>_xlfn.IFNA(VLOOKUP(db_emp[[#This Row],[Code_lvl]],[1]!db_lvl[[#All],[ID_level]:[Leveling Name]],2,0),"-")</f>
        <v>Staff</v>
      </c>
      <c r="Q972" s="74" t="str">
        <f>_xlfn.IFNA(VLOOKUP(db_emp[[#This Row],[Code_site]],[1]!db_site[[ID_Site]:[Url_maps]],3,0),"-")</f>
        <v>Unit - Taman Anggrek Residences</v>
      </c>
      <c r="R9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210175,'Irwan Selamet','FAC','','Gym Attendant Staff','LV12','','A01','Resign','1900-01-00','2025-10-24'</v>
      </c>
      <c r="S972" s="74">
        <f>db_emp[[#This Row],[NIP (UPDATE)]]</f>
        <v>210175</v>
      </c>
    </row>
    <row r="973" spans="2:19" hidden="1" x14ac:dyDescent="0.25">
      <c r="B973" s="75">
        <v>943</v>
      </c>
      <c r="C973" s="75">
        <v>210199</v>
      </c>
      <c r="D973" s="74" t="s">
        <v>2250</v>
      </c>
      <c r="E973" s="75" t="s">
        <v>964</v>
      </c>
      <c r="F973" s="75"/>
      <c r="G973" s="74" t="s">
        <v>2204</v>
      </c>
      <c r="H973" s="80" t="s">
        <v>853</v>
      </c>
      <c r="I973" s="74"/>
      <c r="J973" s="75" t="s">
        <v>314</v>
      </c>
      <c r="K973" s="80" t="s">
        <v>903</v>
      </c>
      <c r="L973" s="76"/>
      <c r="M973" s="77">
        <f t="shared" ca="1" si="30"/>
        <v>45954</v>
      </c>
      <c r="N973" s="74" t="str">
        <f>_xlfn.IFNA(VLOOKUP(db_emp[[#This Row],[ID_DIV]],[1]!db_dpt[[Code_dpt]:[Departement]],2,0),"-")</f>
        <v>Marketing Communication</v>
      </c>
      <c r="O973" s="74" t="str">
        <f>_xlfn.IFNA(VLOOKUP(db_emp[[#This Row],[ID_SDP]],[1]!db_div[[Code_div]:[Division]],2,0),"-")</f>
        <v>-</v>
      </c>
      <c r="P973" s="74" t="str">
        <f>_xlfn.IFNA(VLOOKUP(db_emp[[#This Row],[Code_lvl]],[1]!db_lvl[[#All],[ID_level]:[Leveling Name]],2,0),"-")</f>
        <v>Staff</v>
      </c>
      <c r="Q973" s="74" t="str">
        <f>_xlfn.IFNA(VLOOKUP(db_emp[[#This Row],[Code_site]],[1]!db_site[[ID_Site]:[Url_maps]],3,0),"-")</f>
        <v>Unit - MOI</v>
      </c>
      <c r="R9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210199,'Shanaz Janice','MAR','','Marketing Communication Staff','LV12','','M02','Resign','1900-01-00','2025-10-24'</v>
      </c>
      <c r="S973" s="74">
        <f>db_emp[[#This Row],[NIP (UPDATE)]]</f>
        <v>210199</v>
      </c>
    </row>
    <row r="974" spans="2:19" hidden="1" x14ac:dyDescent="0.25">
      <c r="B974" s="75">
        <v>944</v>
      </c>
      <c r="C974" s="75">
        <v>210237</v>
      </c>
      <c r="D974" s="74" t="s">
        <v>2251</v>
      </c>
      <c r="E974" s="75" t="s">
        <v>916</v>
      </c>
      <c r="F974" s="75"/>
      <c r="G974" s="74" t="s">
        <v>1180</v>
      </c>
      <c r="H974" s="80" t="s">
        <v>853</v>
      </c>
      <c r="I974" s="74"/>
      <c r="J974" s="75" t="s">
        <v>314</v>
      </c>
      <c r="K974" s="80" t="s">
        <v>903</v>
      </c>
      <c r="L974" s="76"/>
      <c r="M974" s="77">
        <f t="shared" ca="1" si="30"/>
        <v>45954</v>
      </c>
      <c r="N974" s="74" t="str">
        <f>_xlfn.IFNA(VLOOKUP(db_emp[[#This Row],[ID_DIV]],[1]!db_dpt[[Code_dpt]:[Departement]],2,0),"-")</f>
        <v>Property Management</v>
      </c>
      <c r="O974" s="74" t="str">
        <f>_xlfn.IFNA(VLOOKUP(db_emp[[#This Row],[ID_SDP]],[1]!db_div[[Code_div]:[Division]],2,0),"-")</f>
        <v>-</v>
      </c>
      <c r="P974" s="74" t="str">
        <f>_xlfn.IFNA(VLOOKUP(db_emp[[#This Row],[Code_lvl]],[1]!db_lvl[[#All],[ID_level]:[Leveling Name]],2,0),"-")</f>
        <v>Staff</v>
      </c>
      <c r="Q974" s="74" t="str">
        <f>_xlfn.IFNA(VLOOKUP(db_emp[[#This Row],[Code_site]],[1]!db_site[[ID_Site]:[Url_maps]],3,0),"-")</f>
        <v>Unit - MOI</v>
      </c>
      <c r="R9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210237,'Mohamad Rizki Panca Syahri','POM','','Drafter Staff','LV12','','M02','Resign','1900-01-00','2025-10-24'</v>
      </c>
      <c r="S974" s="74">
        <f>db_emp[[#This Row],[NIP (UPDATE)]]</f>
        <v>210237</v>
      </c>
    </row>
    <row r="975" spans="2:19" hidden="1" x14ac:dyDescent="0.25">
      <c r="B975" s="75">
        <v>945</v>
      </c>
      <c r="C975" s="75">
        <v>210240</v>
      </c>
      <c r="D975" s="74" t="s">
        <v>2252</v>
      </c>
      <c r="E975" s="75" t="s">
        <v>2167</v>
      </c>
      <c r="F975" s="75"/>
      <c r="G975" s="74" t="s">
        <v>2253</v>
      </c>
      <c r="H975" s="75" t="s">
        <v>953</v>
      </c>
      <c r="I975" s="74"/>
      <c r="J975" s="75" t="s">
        <v>433</v>
      </c>
      <c r="K975" s="80" t="s">
        <v>903</v>
      </c>
      <c r="L975" s="76"/>
      <c r="M975" s="77">
        <f t="shared" ca="1" si="30"/>
        <v>45954</v>
      </c>
      <c r="N975" s="74" t="str">
        <f>_xlfn.IFNA(VLOOKUP(db_emp[[#This Row],[ID_DIV]],[1]!db_dpt[[Code_dpt]:[Departement]],2,0),"-")</f>
        <v>-</v>
      </c>
      <c r="O975" s="74" t="str">
        <f>_xlfn.IFNA(VLOOKUP(db_emp[[#This Row],[ID_SDP]],[1]!db_div[[Code_div]:[Division]],2,0),"-")</f>
        <v>-</v>
      </c>
      <c r="P975" s="74" t="str">
        <f>_xlfn.IFNA(VLOOKUP(db_emp[[#This Row],[Code_lvl]],[1]!db_lvl[[#All],[ID_level]:[Leveling Name]],2,0),"-")</f>
        <v>Manager</v>
      </c>
      <c r="Q975" s="74" t="str">
        <f>_xlfn.IFNA(VLOOKUP(db_emp[[#This Row],[Code_site]],[1]!db_site[[ID_Site]:[Url_maps]],3,0),"-")</f>
        <v>Unit - Taman Anggrek Residences</v>
      </c>
      <c r="R9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210240,'Usman Juarna','GNS','','General Service Chief','LV05','','A01','Resign','1900-01-00','2025-10-24'</v>
      </c>
      <c r="S975" s="74">
        <f>db_emp[[#This Row],[NIP (UPDATE)]]</f>
        <v>210240</v>
      </c>
    </row>
    <row r="976" spans="2:19" hidden="1" x14ac:dyDescent="0.25">
      <c r="B976" s="80">
        <v>946</v>
      </c>
      <c r="C976" s="75">
        <v>210241</v>
      </c>
      <c r="D976" s="74" t="s">
        <v>2254</v>
      </c>
      <c r="E976" s="75" t="s">
        <v>964</v>
      </c>
      <c r="F976" s="75"/>
      <c r="G976" s="74" t="s">
        <v>1476</v>
      </c>
      <c r="H976" s="80" t="s">
        <v>853</v>
      </c>
      <c r="I976" s="74"/>
      <c r="J976" s="75" t="s">
        <v>314</v>
      </c>
      <c r="K976" s="80" t="s">
        <v>903</v>
      </c>
      <c r="L976" s="76"/>
      <c r="M976" s="77">
        <f t="shared" ca="1" si="30"/>
        <v>45954</v>
      </c>
      <c r="N976" s="74" t="str">
        <f>_xlfn.IFNA(VLOOKUP(db_emp[[#This Row],[ID_DIV]],[1]!db_dpt[[Code_dpt]:[Departement]],2,0),"-")</f>
        <v>Marketing Communication</v>
      </c>
      <c r="O976" s="74" t="str">
        <f>_xlfn.IFNA(VLOOKUP(db_emp[[#This Row],[ID_SDP]],[1]!db_div[[Code_div]:[Division]],2,0),"-")</f>
        <v>-</v>
      </c>
      <c r="P976" s="74" t="str">
        <f>_xlfn.IFNA(VLOOKUP(db_emp[[#This Row],[Code_lvl]],[1]!db_lvl[[#All],[ID_level]:[Leveling Name]],2,0),"-")</f>
        <v>Staff</v>
      </c>
      <c r="Q976" s="74" t="str">
        <f>_xlfn.IFNA(VLOOKUP(db_emp[[#This Row],[Code_site]],[1]!db_site[[ID_Site]:[Url_maps]],3,0),"-")</f>
        <v>Unit - MOI</v>
      </c>
      <c r="R9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210241,'Delfina','MAR','','Graphic Designer Staff','LV12','','M02','Resign','1900-01-00','2025-10-24'</v>
      </c>
      <c r="S976" s="74">
        <f>db_emp[[#This Row],[NIP (UPDATE)]]</f>
        <v>210241</v>
      </c>
    </row>
    <row r="977" spans="2:19" hidden="1" x14ac:dyDescent="0.25">
      <c r="B977" s="75">
        <v>947</v>
      </c>
      <c r="C977" s="75">
        <v>210300</v>
      </c>
      <c r="D977" s="74" t="s">
        <v>2255</v>
      </c>
      <c r="E977" s="75" t="s">
        <v>2108</v>
      </c>
      <c r="F977" s="75"/>
      <c r="G977" s="74" t="s">
        <v>2256</v>
      </c>
      <c r="H977" s="80" t="s">
        <v>853</v>
      </c>
      <c r="I977" s="74"/>
      <c r="J977" s="75" t="s">
        <v>315</v>
      </c>
      <c r="K977" s="80" t="s">
        <v>903</v>
      </c>
      <c r="L977" s="76"/>
      <c r="M977" s="77">
        <f t="shared" ca="1" si="30"/>
        <v>45954</v>
      </c>
      <c r="N977" s="74" t="str">
        <f>_xlfn.IFNA(VLOOKUP(db_emp[[#This Row],[ID_DIV]],[1]!db_dpt[[Code_dpt]:[Departement]],2,0),"-")</f>
        <v>-</v>
      </c>
      <c r="O977" s="74" t="str">
        <f>_xlfn.IFNA(VLOOKUP(db_emp[[#This Row],[ID_SDP]],[1]!db_div[[Code_div]:[Division]],2,0),"-")</f>
        <v>-</v>
      </c>
      <c r="P977" s="74" t="str">
        <f>_xlfn.IFNA(VLOOKUP(db_emp[[#This Row],[Code_lvl]],[1]!db_lvl[[#All],[ID_level]:[Leveling Name]],2,0),"-")</f>
        <v>Staff</v>
      </c>
      <c r="Q977" s="74" t="str">
        <f>_xlfn.IFNA(VLOOKUP(db_emp[[#This Row],[Code_site]],[1]!db_site[[ID_Site]:[Url_maps]],3,0),"-")</f>
        <v>Head Office - ASGO</v>
      </c>
      <c r="R9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210300,'Nicole Dinda Putri ','PRO','','Procurement Administrasion Staff','LV12','','O99','Resign','1900-01-00','2025-10-24'</v>
      </c>
      <c r="S977" s="74">
        <f>db_emp[[#This Row],[NIP (UPDATE)]]</f>
        <v>210300</v>
      </c>
    </row>
    <row r="978" spans="2:19" hidden="1" x14ac:dyDescent="0.25">
      <c r="B978" s="75">
        <v>948</v>
      </c>
      <c r="C978" s="75">
        <v>210301</v>
      </c>
      <c r="D978" s="74" t="s">
        <v>2257</v>
      </c>
      <c r="E978" s="75" t="s">
        <v>845</v>
      </c>
      <c r="F978" s="75"/>
      <c r="G978" s="74" t="s">
        <v>2258</v>
      </c>
      <c r="H978" s="80" t="s">
        <v>853</v>
      </c>
      <c r="I978" s="74"/>
      <c r="J978" s="75" t="s">
        <v>315</v>
      </c>
      <c r="K978" s="80" t="s">
        <v>903</v>
      </c>
      <c r="L978" s="76"/>
      <c r="M978" s="77">
        <f t="shared" ca="1" si="30"/>
        <v>45954</v>
      </c>
      <c r="N978" s="74" t="str">
        <f>_xlfn.IFNA(VLOOKUP(db_emp[[#This Row],[ID_DIV]],[1]!db_dpt[[Code_dpt]:[Departement]],2,0),"-")</f>
        <v>Finance &amp; Accounting</v>
      </c>
      <c r="O978" s="74" t="str">
        <f>_xlfn.IFNA(VLOOKUP(db_emp[[#This Row],[ID_SDP]],[1]!db_div[[Code_div]:[Division]],2,0),"-")</f>
        <v>-</v>
      </c>
      <c r="P978" s="74" t="str">
        <f>_xlfn.IFNA(VLOOKUP(db_emp[[#This Row],[Code_lvl]],[1]!db_lvl[[#All],[ID_level]:[Leveling Name]],2,0),"-")</f>
        <v>Staff</v>
      </c>
      <c r="Q978" s="74" t="str">
        <f>_xlfn.IFNA(VLOOKUP(db_emp[[#This Row],[Code_site]],[1]!db_site[[ID_Site]:[Url_maps]],3,0),"-")</f>
        <v>Head Office - ASGO</v>
      </c>
      <c r="R9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210301,'Stanley Prasetyo Harsono','FIN','','Asset Management Staff','LV12','','O99','Resign','1900-01-00','2025-10-24'</v>
      </c>
      <c r="S978" s="74">
        <f>db_emp[[#This Row],[NIP (UPDATE)]]</f>
        <v>210301</v>
      </c>
    </row>
    <row r="979" spans="2:19" hidden="1" x14ac:dyDescent="0.25">
      <c r="B979" s="75">
        <v>949</v>
      </c>
      <c r="C979" s="75">
        <v>210384</v>
      </c>
      <c r="D979" s="74" t="s">
        <v>2259</v>
      </c>
      <c r="E979" s="75" t="s">
        <v>964</v>
      </c>
      <c r="F979" s="75"/>
      <c r="G979" s="74" t="s">
        <v>1476</v>
      </c>
      <c r="H979" s="80" t="s">
        <v>853</v>
      </c>
      <c r="I979" s="74"/>
      <c r="J979" s="75" t="s">
        <v>314</v>
      </c>
      <c r="K979" s="80" t="s">
        <v>903</v>
      </c>
      <c r="L979" s="76"/>
      <c r="M979" s="77">
        <f t="shared" ca="1" si="30"/>
        <v>45954</v>
      </c>
      <c r="N979" s="74" t="str">
        <f>_xlfn.IFNA(VLOOKUP(db_emp[[#This Row],[ID_DIV]],[1]!db_dpt[[Code_dpt]:[Departement]],2,0),"-")</f>
        <v>Marketing Communication</v>
      </c>
      <c r="O979" s="74" t="str">
        <f>_xlfn.IFNA(VLOOKUP(db_emp[[#This Row],[ID_SDP]],[1]!db_div[[Code_div]:[Division]],2,0),"-")</f>
        <v>-</v>
      </c>
      <c r="P979" s="74" t="str">
        <f>_xlfn.IFNA(VLOOKUP(db_emp[[#This Row],[Code_lvl]],[1]!db_lvl[[#All],[ID_level]:[Leveling Name]],2,0),"-")</f>
        <v>Staff</v>
      </c>
      <c r="Q979" s="74" t="str">
        <f>_xlfn.IFNA(VLOOKUP(db_emp[[#This Row],[Code_site]],[1]!db_site[[ID_Site]:[Url_maps]],3,0),"-")</f>
        <v>Unit - MOI</v>
      </c>
      <c r="R9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210384,'Audryn Tamara Ristania','MAR','','Graphic Designer Staff','LV12','','M02','Resign','1900-01-00','2025-10-24'</v>
      </c>
      <c r="S979" s="74">
        <f>db_emp[[#This Row],[NIP (UPDATE)]]</f>
        <v>210384</v>
      </c>
    </row>
    <row r="980" spans="2:19" hidden="1" x14ac:dyDescent="0.25">
      <c r="B980" s="80">
        <v>950</v>
      </c>
      <c r="C980" s="75">
        <v>210415</v>
      </c>
      <c r="D980" s="74" t="s">
        <v>2260</v>
      </c>
      <c r="E980" s="75" t="s">
        <v>911</v>
      </c>
      <c r="F980" s="75"/>
      <c r="G980" s="74" t="s">
        <v>1217</v>
      </c>
      <c r="H980" s="80" t="s">
        <v>853</v>
      </c>
      <c r="I980" s="74"/>
      <c r="J980" s="75" t="s">
        <v>484</v>
      </c>
      <c r="K980" s="80" t="s">
        <v>903</v>
      </c>
      <c r="L980" s="76"/>
      <c r="M980" s="77">
        <f t="shared" ca="1" si="30"/>
        <v>45954</v>
      </c>
      <c r="N980" s="74" t="str">
        <f>_xlfn.IFNA(VLOOKUP(db_emp[[#This Row],[ID_DIV]],[1]!db_dpt[[Code_dpt]:[Departement]],2,0),"-")</f>
        <v>Engineering</v>
      </c>
      <c r="O980" s="74" t="str">
        <f>_xlfn.IFNA(VLOOKUP(db_emp[[#This Row],[ID_SDP]],[1]!db_div[[Code_div]:[Division]],2,0),"-")</f>
        <v>-</v>
      </c>
      <c r="P980" s="74" t="str">
        <f>_xlfn.IFNA(VLOOKUP(db_emp[[#This Row],[Code_lvl]],[1]!db_lvl[[#All],[ID_level]:[Leveling Name]],2,0),"-")</f>
        <v>Staff</v>
      </c>
      <c r="Q980" s="74" t="str">
        <f>_xlfn.IFNA(VLOOKUP(db_emp[[#This Row],[Code_site]],[1]!db_site[[ID_Site]:[Url_maps]],3,0),"-")</f>
        <v>Unit - PIK Avenue</v>
      </c>
      <c r="R9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210415,'Dinda Chusnul Khotimah','ENG','','Engineering Administration Staff','LV12','','M01','Resign','1900-01-00','2025-10-24'</v>
      </c>
      <c r="S980" s="74">
        <f>db_emp[[#This Row],[NIP (UPDATE)]]</f>
        <v>210415</v>
      </c>
    </row>
    <row r="981" spans="2:19" hidden="1" x14ac:dyDescent="0.25">
      <c r="B981" s="75">
        <v>951</v>
      </c>
      <c r="C981" s="75">
        <v>210436</v>
      </c>
      <c r="D981" s="74" t="s">
        <v>2261</v>
      </c>
      <c r="E981" s="75" t="s">
        <v>1036</v>
      </c>
      <c r="F981" s="75"/>
      <c r="G981" s="74" t="s">
        <v>1933</v>
      </c>
      <c r="H981" s="80" t="s">
        <v>853</v>
      </c>
      <c r="I981" s="74"/>
      <c r="J981" s="75" t="s">
        <v>433</v>
      </c>
      <c r="K981" s="80" t="s">
        <v>903</v>
      </c>
      <c r="L981" s="76"/>
      <c r="M981" s="77">
        <f t="shared" ca="1" si="30"/>
        <v>45954</v>
      </c>
      <c r="N981" s="74" t="str">
        <f>_xlfn.IFNA(VLOOKUP(db_emp[[#This Row],[ID_DIV]],[1]!db_dpt[[Code_dpt]:[Departement]],2,0),"-")</f>
        <v>Tenant Relation</v>
      </c>
      <c r="O981" s="74" t="str">
        <f>_xlfn.IFNA(VLOOKUP(db_emp[[#This Row],[ID_SDP]],[1]!db_div[[Code_div]:[Division]],2,0),"-")</f>
        <v>-</v>
      </c>
      <c r="P981" s="74" t="str">
        <f>_xlfn.IFNA(VLOOKUP(db_emp[[#This Row],[Code_lvl]],[1]!db_lvl[[#All],[ID_level]:[Leveling Name]],2,0),"-")</f>
        <v>Staff</v>
      </c>
      <c r="Q981" s="74" t="str">
        <f>_xlfn.IFNA(VLOOKUP(db_emp[[#This Row],[Code_site]],[1]!db_site[[ID_Site]:[Url_maps]],3,0),"-")</f>
        <v>Unit - Taman Anggrek Residences</v>
      </c>
      <c r="R9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210436,'Defi Ardy','TRL','','Tenant Relation Staff','LV12','','A01','Resign','1900-01-00','2025-10-24'</v>
      </c>
      <c r="S981" s="74">
        <f>db_emp[[#This Row],[NIP (UPDATE)]]</f>
        <v>210436</v>
      </c>
    </row>
    <row r="982" spans="2:19" hidden="1" x14ac:dyDescent="0.25">
      <c r="B982" s="75">
        <v>952</v>
      </c>
      <c r="C982" s="75">
        <v>210438</v>
      </c>
      <c r="D982" s="74" t="s">
        <v>2262</v>
      </c>
      <c r="E982" s="75" t="s">
        <v>2153</v>
      </c>
      <c r="F982" s="75"/>
      <c r="G982" s="74" t="s">
        <v>2263</v>
      </c>
      <c r="H982" s="80" t="s">
        <v>848</v>
      </c>
      <c r="I982" s="74"/>
      <c r="J982" s="75" t="s">
        <v>315</v>
      </c>
      <c r="K982" s="80" t="s">
        <v>903</v>
      </c>
      <c r="L982" s="76"/>
      <c r="M982" s="77">
        <f t="shared" ca="1" si="30"/>
        <v>45954</v>
      </c>
      <c r="N982" s="74" t="str">
        <f>_xlfn.IFNA(VLOOKUP(db_emp[[#This Row],[ID_DIV]],[1]!db_dpt[[Code_dpt]:[Departement]],2,0),"-")</f>
        <v>Hospitality</v>
      </c>
      <c r="O982" s="74" t="str">
        <f>_xlfn.IFNA(VLOOKUP(db_emp[[#This Row],[ID_SDP]],[1]!db_div[[Code_div]:[Division]],2,0),"-")</f>
        <v>-</v>
      </c>
      <c r="P982" s="74" t="str">
        <f>_xlfn.IFNA(VLOOKUP(db_emp[[#This Row],[Code_lvl]],[1]!db_lvl[[#All],[ID_level]:[Leveling Name]],2,0),"-")</f>
        <v>Assistant Manager</v>
      </c>
      <c r="Q982" s="74" t="str">
        <f>_xlfn.IFNA(VLOOKUP(db_emp[[#This Row],[Code_site]],[1]!db_site[[ID_Site]:[Url_maps]],3,0),"-")</f>
        <v>Head Office - ASGO</v>
      </c>
      <c r="R9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210438,'Phelia Davita Rusli','HOS','','Excecutive Assistant','LV07','','O99','Resign','1900-01-00','2025-10-24'</v>
      </c>
      <c r="S982" s="74">
        <f>db_emp[[#This Row],[NIP (UPDATE)]]</f>
        <v>210438</v>
      </c>
    </row>
    <row r="983" spans="2:19" hidden="1" x14ac:dyDescent="0.25">
      <c r="B983" s="75">
        <v>953</v>
      </c>
      <c r="C983" s="75">
        <v>210448</v>
      </c>
      <c r="D983" s="74" t="s">
        <v>2264</v>
      </c>
      <c r="E983" s="75" t="s">
        <v>130</v>
      </c>
      <c r="F983" s="75"/>
      <c r="G983" s="74" t="s">
        <v>1721</v>
      </c>
      <c r="H983" s="75" t="s">
        <v>953</v>
      </c>
      <c r="I983" s="74"/>
      <c r="J983" s="75" t="s">
        <v>315</v>
      </c>
      <c r="K983" s="80" t="s">
        <v>903</v>
      </c>
      <c r="L983" s="76"/>
      <c r="M983" s="77">
        <f t="shared" ca="1" si="30"/>
        <v>45954</v>
      </c>
      <c r="N983" s="74" t="str">
        <f>_xlfn.IFNA(VLOOKUP(db_emp[[#This Row],[ID_DIV]],[1]!db_dpt[[Code_dpt]:[Departement]],2,0),"-")</f>
        <v>-</v>
      </c>
      <c r="O983" s="74" t="str">
        <f>_xlfn.IFNA(VLOOKUP(db_emp[[#This Row],[ID_SDP]],[1]!db_div[[Code_div]:[Division]],2,0),"-")</f>
        <v>-</v>
      </c>
      <c r="P983" s="74" t="str">
        <f>_xlfn.IFNA(VLOOKUP(db_emp[[#This Row],[Code_lvl]],[1]!db_lvl[[#All],[ID_level]:[Leveling Name]],2,0),"-")</f>
        <v>Manager</v>
      </c>
      <c r="Q983" s="74" t="str">
        <f>_xlfn.IFNA(VLOOKUP(db_emp[[#This Row],[Code_site]],[1]!db_site[[ID_Site]:[Url_maps]],3,0),"-")</f>
        <v>Head Office - ASGO</v>
      </c>
      <c r="R9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210448,'Debby Goesliana Elviria','HRD','','People Development &amp; Career Management Manager','LV05','','O99','Resign','1900-01-00','2025-10-24'</v>
      </c>
      <c r="S983" s="74">
        <f>db_emp[[#This Row],[NIP (UPDATE)]]</f>
        <v>210448</v>
      </c>
    </row>
    <row r="984" spans="2:19" hidden="1" x14ac:dyDescent="0.25">
      <c r="B984" s="80">
        <v>954</v>
      </c>
      <c r="C984" s="75">
        <v>210514</v>
      </c>
      <c r="D984" s="74" t="s">
        <v>2265</v>
      </c>
      <c r="E984" s="75" t="s">
        <v>920</v>
      </c>
      <c r="F984" s="75"/>
      <c r="G984" s="74" t="s">
        <v>2266</v>
      </c>
      <c r="H984" s="75" t="s">
        <v>953</v>
      </c>
      <c r="I984" s="74"/>
      <c r="J984" s="75" t="s">
        <v>314</v>
      </c>
      <c r="K984" s="80" t="s">
        <v>903</v>
      </c>
      <c r="L984" s="76"/>
      <c r="M984" s="77">
        <f t="shared" ca="1" si="30"/>
        <v>45954</v>
      </c>
      <c r="N984" s="74" t="str">
        <f>_xlfn.IFNA(VLOOKUP(db_emp[[#This Row],[ID_DIV]],[1]!db_dpt[[Code_dpt]:[Departement]],2,0),"-")</f>
        <v>Leasing</v>
      </c>
      <c r="O984" s="74" t="str">
        <f>_xlfn.IFNA(VLOOKUP(db_emp[[#This Row],[ID_SDP]],[1]!db_div[[Code_div]:[Division]],2,0),"-")</f>
        <v>-</v>
      </c>
      <c r="P984" s="74" t="str">
        <f>_xlfn.IFNA(VLOOKUP(db_emp[[#This Row],[Code_lvl]],[1]!db_lvl[[#All],[ID_level]:[Leveling Name]],2,0),"-")</f>
        <v>Manager</v>
      </c>
      <c r="Q984" s="74" t="str">
        <f>_xlfn.IFNA(VLOOKUP(db_emp[[#This Row],[Code_site]],[1]!db_site[[ID_Site]:[Url_maps]],3,0),"-")</f>
        <v>Unit - MOI</v>
      </c>
      <c r="R9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210514,'Vanny Novella','LEA','','Leasing Executive','LV05','','M02','Resign','1900-01-00','2025-10-24'</v>
      </c>
      <c r="S984" s="74">
        <f>db_emp[[#This Row],[NIP (UPDATE)]]</f>
        <v>210514</v>
      </c>
    </row>
    <row r="985" spans="2:19" hidden="1" x14ac:dyDescent="0.25">
      <c r="B985" s="75">
        <v>955</v>
      </c>
      <c r="C985" s="75">
        <v>210525</v>
      </c>
      <c r="D985" s="74" t="s">
        <v>2267</v>
      </c>
      <c r="E985" s="75" t="s">
        <v>2077</v>
      </c>
      <c r="F985" s="75"/>
      <c r="G985" s="74" t="s">
        <v>2174</v>
      </c>
      <c r="H985" s="75" t="s">
        <v>853</v>
      </c>
      <c r="I985" s="74"/>
      <c r="J985" s="75" t="s">
        <v>484</v>
      </c>
      <c r="K985" s="80" t="s">
        <v>903</v>
      </c>
      <c r="L985" s="76"/>
      <c r="M985" s="77">
        <f t="shared" ca="1" si="30"/>
        <v>45954</v>
      </c>
      <c r="N985" s="74" t="str">
        <f>_xlfn.IFNA(VLOOKUP(db_emp[[#This Row],[ID_DIV]],[1]!db_dpt[[Code_dpt]:[Departement]],2,0),"-")</f>
        <v>-</v>
      </c>
      <c r="O985" s="74" t="str">
        <f>_xlfn.IFNA(VLOOKUP(db_emp[[#This Row],[ID_SDP]],[1]!db_div[[Code_div]:[Division]],2,0),"-")</f>
        <v>-</v>
      </c>
      <c r="P985" s="74" t="str">
        <f>_xlfn.IFNA(VLOOKUP(db_emp[[#This Row],[Code_lvl]],[1]!db_lvl[[#All],[ID_level]:[Leveling Name]],2,0),"-")</f>
        <v>Staff</v>
      </c>
      <c r="Q985" s="74" t="str">
        <f>_xlfn.IFNA(VLOOKUP(db_emp[[#This Row],[Code_site]],[1]!db_site[[ID_Site]:[Url_maps]],3,0),"-")</f>
        <v>Unit - PIK Avenue</v>
      </c>
      <c r="R9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210525,'Nabila Febriani','GNT','','GEA Leader','LV12','','M01','Resign','1900-01-00','2025-10-24'</v>
      </c>
      <c r="S985" s="74">
        <f>db_emp[[#This Row],[NIP (UPDATE)]]</f>
        <v>210525</v>
      </c>
    </row>
    <row r="986" spans="2:19" hidden="1" x14ac:dyDescent="0.25">
      <c r="B986" s="75">
        <v>956</v>
      </c>
      <c r="C986" s="75">
        <v>210564</v>
      </c>
      <c r="D986" s="74" t="s">
        <v>2268</v>
      </c>
      <c r="E986" s="75" t="s">
        <v>911</v>
      </c>
      <c r="F986" s="75"/>
      <c r="G986" s="74" t="s">
        <v>1238</v>
      </c>
      <c r="H986" s="75" t="s">
        <v>953</v>
      </c>
      <c r="I986" s="74"/>
      <c r="J986" s="75" t="s">
        <v>490</v>
      </c>
      <c r="K986" s="80" t="s">
        <v>903</v>
      </c>
      <c r="L986" s="76"/>
      <c r="M986" s="77">
        <f t="shared" ca="1" si="30"/>
        <v>45954</v>
      </c>
      <c r="N986" s="74" t="str">
        <f>_xlfn.IFNA(VLOOKUP(db_emp[[#This Row],[ID_DIV]],[1]!db_dpt[[Code_dpt]:[Departement]],2,0),"-")</f>
        <v>Engineering</v>
      </c>
      <c r="O986" s="74" t="str">
        <f>_xlfn.IFNA(VLOOKUP(db_emp[[#This Row],[ID_SDP]],[1]!db_div[[Code_div]:[Division]],2,0),"-")</f>
        <v>-</v>
      </c>
      <c r="P986" s="74" t="str">
        <f>_xlfn.IFNA(VLOOKUP(db_emp[[#This Row],[Code_lvl]],[1]!db_lvl[[#All],[ID_level]:[Leveling Name]],2,0),"-")</f>
        <v>Manager</v>
      </c>
      <c r="Q986" s="74" t="str">
        <f>_xlfn.IFNA(VLOOKUP(db_emp[[#This Row],[Code_site]],[1]!db_site[[ID_Site]:[Url_maps]],3,0),"-")</f>
        <v>Unit - ASHTA</v>
      </c>
      <c r="R9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210564,'Ir. Yudi Sepriyanto','ENG','','Engineering Manager','LV05','','M04','Resign','1900-01-00','2025-10-24'</v>
      </c>
      <c r="S986" s="74">
        <f>db_emp[[#This Row],[NIP (UPDATE)]]</f>
        <v>210564</v>
      </c>
    </row>
    <row r="987" spans="2:19" hidden="1" x14ac:dyDescent="0.25">
      <c r="B987" s="75">
        <v>957</v>
      </c>
      <c r="C987" s="75">
        <v>210677</v>
      </c>
      <c r="D987" s="74" t="s">
        <v>2269</v>
      </c>
      <c r="E987" s="75" t="s">
        <v>2270</v>
      </c>
      <c r="F987" s="75"/>
      <c r="G987" s="74" t="s">
        <v>2271</v>
      </c>
      <c r="H987" s="75" t="s">
        <v>973</v>
      </c>
      <c r="I987" s="74"/>
      <c r="J987" s="75" t="s">
        <v>315</v>
      </c>
      <c r="K987" s="80" t="s">
        <v>903</v>
      </c>
      <c r="L987" s="76"/>
      <c r="M987" s="77">
        <f t="shared" ca="1" si="30"/>
        <v>45954</v>
      </c>
      <c r="N987" s="74" t="str">
        <f>_xlfn.IFNA(VLOOKUP(db_emp[[#This Row],[ID_DIV]],[1]!db_dpt[[Code_dpt]:[Departement]],2,0),"-")</f>
        <v>-</v>
      </c>
      <c r="O987" s="74" t="str">
        <f>_xlfn.IFNA(VLOOKUP(db_emp[[#This Row],[ID_SDP]],[1]!db_div[[Code_div]:[Division]],2,0),"-")</f>
        <v>-</v>
      </c>
      <c r="P987" s="74" t="str">
        <f>_xlfn.IFNA(VLOOKUP(db_emp[[#This Row],[Code_lvl]],[1]!db_lvl[[#All],[ID_level]:[Leveling Name]],2,0),"-")</f>
        <v>General Manager</v>
      </c>
      <c r="Q987" s="74" t="str">
        <f>_xlfn.IFNA(VLOOKUP(db_emp[[#This Row],[Code_site]],[1]!db_site[[ID_Site]:[Url_maps]],3,0),"-")</f>
        <v>Head Office - ASGO</v>
      </c>
      <c r="R9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210677,'Tony Bati','INN','','Innovation General Manager','LV02','','O99','Resign','1900-01-00','2025-10-24'</v>
      </c>
      <c r="S987" s="74">
        <f>db_emp[[#This Row],[NIP (UPDATE)]]</f>
        <v>210677</v>
      </c>
    </row>
    <row r="988" spans="2:19" hidden="1" x14ac:dyDescent="0.25">
      <c r="B988" s="80">
        <v>958</v>
      </c>
      <c r="C988" s="75">
        <v>210745</v>
      </c>
      <c r="D988" s="74" t="s">
        <v>2272</v>
      </c>
      <c r="E988" s="75" t="s">
        <v>1018</v>
      </c>
      <c r="F988" s="75"/>
      <c r="G988" s="74" t="s">
        <v>1820</v>
      </c>
      <c r="H988" s="80" t="s">
        <v>853</v>
      </c>
      <c r="I988" s="74"/>
      <c r="J988" s="75" t="s">
        <v>314</v>
      </c>
      <c r="K988" s="80" t="s">
        <v>903</v>
      </c>
      <c r="L988" s="76"/>
      <c r="M988" s="77">
        <f t="shared" ca="1" si="30"/>
        <v>45954</v>
      </c>
      <c r="N988" s="74" t="str">
        <f>_xlfn.IFNA(VLOOKUP(db_emp[[#This Row],[ID_DIV]],[1]!db_dpt[[Code_dpt]:[Departement]],2,0),"-")</f>
        <v>Operational</v>
      </c>
      <c r="O988" s="74" t="str">
        <f>_xlfn.IFNA(VLOOKUP(db_emp[[#This Row],[ID_SDP]],[1]!db_div[[Code_div]:[Division]],2,0),"-")</f>
        <v>-</v>
      </c>
      <c r="P988" s="74" t="str">
        <f>_xlfn.IFNA(VLOOKUP(db_emp[[#This Row],[Code_lvl]],[1]!db_lvl[[#All],[ID_level]:[Leveling Name]],2,0),"-")</f>
        <v>Staff</v>
      </c>
      <c r="Q988" s="74" t="str">
        <f>_xlfn.IFNA(VLOOKUP(db_emp[[#This Row],[Code_site]],[1]!db_site[[ID_Site]:[Url_maps]],3,0),"-")</f>
        <v>Unit - MOI</v>
      </c>
      <c r="R9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210745,'Adi Yudha Pratama Syam','OPR','','Security &amp; CCTV Staff','LV12','','M02','Resign','1900-01-00','2025-10-24'</v>
      </c>
      <c r="S988" s="74">
        <f>db_emp[[#This Row],[NIP (UPDATE)]]</f>
        <v>210745</v>
      </c>
    </row>
    <row r="989" spans="2:19" hidden="1" x14ac:dyDescent="0.25">
      <c r="B989" s="75">
        <v>959</v>
      </c>
      <c r="C989" s="75">
        <v>210753</v>
      </c>
      <c r="D989" s="74" t="s">
        <v>2273</v>
      </c>
      <c r="E989" s="75" t="s">
        <v>911</v>
      </c>
      <c r="F989" s="75"/>
      <c r="G989" s="74" t="s">
        <v>1180</v>
      </c>
      <c r="H989" s="80" t="s">
        <v>853</v>
      </c>
      <c r="I989" s="74"/>
      <c r="J989" s="75" t="s">
        <v>433</v>
      </c>
      <c r="K989" s="80" t="s">
        <v>903</v>
      </c>
      <c r="L989" s="76"/>
      <c r="M989" s="77">
        <f t="shared" ca="1" si="30"/>
        <v>45954</v>
      </c>
      <c r="N989" s="74" t="str">
        <f>_xlfn.IFNA(VLOOKUP(db_emp[[#This Row],[ID_DIV]],[1]!db_dpt[[Code_dpt]:[Departement]],2,0),"-")</f>
        <v>Engineering</v>
      </c>
      <c r="O989" s="74" t="str">
        <f>_xlfn.IFNA(VLOOKUP(db_emp[[#This Row],[ID_SDP]],[1]!db_div[[Code_div]:[Division]],2,0),"-")</f>
        <v>-</v>
      </c>
      <c r="P989" s="74" t="str">
        <f>_xlfn.IFNA(VLOOKUP(db_emp[[#This Row],[Code_lvl]],[1]!db_lvl[[#All],[ID_level]:[Leveling Name]],2,0),"-")</f>
        <v>Staff</v>
      </c>
      <c r="Q989" s="74" t="str">
        <f>_xlfn.IFNA(VLOOKUP(db_emp[[#This Row],[Code_site]],[1]!db_site[[ID_Site]:[Url_maps]],3,0),"-")</f>
        <v>Unit - Taman Anggrek Residences</v>
      </c>
      <c r="R9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210753,'Andika Prima Angga','ENG','','Drafter Staff','LV12','','A01','Resign','1900-01-00','2025-10-24'</v>
      </c>
      <c r="S989" s="74">
        <f>db_emp[[#This Row],[NIP (UPDATE)]]</f>
        <v>210753</v>
      </c>
    </row>
    <row r="990" spans="2:19" hidden="1" x14ac:dyDescent="0.25">
      <c r="B990" s="75">
        <v>960</v>
      </c>
      <c r="C990" s="75">
        <v>210758</v>
      </c>
      <c r="D990" s="74" t="s">
        <v>2274</v>
      </c>
      <c r="E990" s="75" t="s">
        <v>845</v>
      </c>
      <c r="F990" s="75"/>
      <c r="G990" s="74" t="s">
        <v>2275</v>
      </c>
      <c r="H990" s="75" t="s">
        <v>953</v>
      </c>
      <c r="I990" s="74"/>
      <c r="J990" s="75" t="s">
        <v>315</v>
      </c>
      <c r="K990" s="80" t="s">
        <v>903</v>
      </c>
      <c r="L990" s="76"/>
      <c r="M990" s="77">
        <f t="shared" ca="1" si="30"/>
        <v>45954</v>
      </c>
      <c r="N990" s="74" t="str">
        <f>_xlfn.IFNA(VLOOKUP(db_emp[[#This Row],[ID_DIV]],[1]!db_dpt[[Code_dpt]:[Departement]],2,0),"-")</f>
        <v>Finance &amp; Accounting</v>
      </c>
      <c r="O990" s="74" t="str">
        <f>_xlfn.IFNA(VLOOKUP(db_emp[[#This Row],[ID_SDP]],[1]!db_div[[Code_div]:[Division]],2,0),"-")</f>
        <v>-</v>
      </c>
      <c r="P990" s="74" t="str">
        <f>_xlfn.IFNA(VLOOKUP(db_emp[[#This Row],[Code_lvl]],[1]!db_lvl[[#All],[ID_level]:[Leveling Name]],2,0),"-")</f>
        <v>Manager</v>
      </c>
      <c r="Q990" s="74" t="str">
        <f>_xlfn.IFNA(VLOOKUP(db_emp[[#This Row],[Code_site]],[1]!db_site[[ID_Site]:[Url_maps]],3,0),"-")</f>
        <v>Head Office - ASGO</v>
      </c>
      <c r="R9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210758,'Melita Pricillia Wahab','FIN','','Corporate Finance Manager','LV05','','O99','Resign','1900-01-00','2025-10-24'</v>
      </c>
      <c r="S990" s="74">
        <f>db_emp[[#This Row],[NIP (UPDATE)]]</f>
        <v>210758</v>
      </c>
    </row>
    <row r="991" spans="2:19" hidden="1" x14ac:dyDescent="0.25">
      <c r="B991" s="75">
        <v>961</v>
      </c>
      <c r="C991" s="75">
        <v>210781</v>
      </c>
      <c r="D991" s="74" t="s">
        <v>2276</v>
      </c>
      <c r="E991" s="75" t="s">
        <v>1036</v>
      </c>
      <c r="F991" s="75"/>
      <c r="G991" s="74" t="s">
        <v>1933</v>
      </c>
      <c r="H991" s="80" t="s">
        <v>853</v>
      </c>
      <c r="I991" s="74"/>
      <c r="J991" s="75" t="s">
        <v>433</v>
      </c>
      <c r="K991" s="80" t="s">
        <v>903</v>
      </c>
      <c r="L991" s="76"/>
      <c r="M991" s="77">
        <f t="shared" ca="1" si="30"/>
        <v>45954</v>
      </c>
      <c r="N991" s="74" t="str">
        <f>_xlfn.IFNA(VLOOKUP(db_emp[[#This Row],[ID_DIV]],[1]!db_dpt[[Code_dpt]:[Departement]],2,0),"-")</f>
        <v>Tenant Relation</v>
      </c>
      <c r="O991" s="74" t="str">
        <f>_xlfn.IFNA(VLOOKUP(db_emp[[#This Row],[ID_SDP]],[1]!db_div[[Code_div]:[Division]],2,0),"-")</f>
        <v>-</v>
      </c>
      <c r="P991" s="74" t="str">
        <f>_xlfn.IFNA(VLOOKUP(db_emp[[#This Row],[Code_lvl]],[1]!db_lvl[[#All],[ID_level]:[Leveling Name]],2,0),"-")</f>
        <v>Staff</v>
      </c>
      <c r="Q991" s="74" t="str">
        <f>_xlfn.IFNA(VLOOKUP(db_emp[[#This Row],[Code_site]],[1]!db_site[[ID_Site]:[Url_maps]],3,0),"-")</f>
        <v>Unit - Taman Anggrek Residences</v>
      </c>
      <c r="R9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210781,'Niken Larasati','TRL','','Tenant Relation Staff','LV12','','A01','Resign','1900-01-00','2025-10-24'</v>
      </c>
      <c r="S991" s="74">
        <f>db_emp[[#This Row],[NIP (UPDATE)]]</f>
        <v>210781</v>
      </c>
    </row>
    <row r="992" spans="2:19" hidden="1" x14ac:dyDescent="0.25">
      <c r="B992" s="80">
        <v>962</v>
      </c>
      <c r="C992" s="75">
        <v>210812</v>
      </c>
      <c r="D992" s="74" t="s">
        <v>2277</v>
      </c>
      <c r="E992" s="75" t="s">
        <v>2077</v>
      </c>
      <c r="F992" s="75"/>
      <c r="G992" s="74" t="s">
        <v>2174</v>
      </c>
      <c r="H992" s="75" t="s">
        <v>853</v>
      </c>
      <c r="I992" s="74"/>
      <c r="J992" s="75" t="s">
        <v>316</v>
      </c>
      <c r="K992" s="80" t="s">
        <v>903</v>
      </c>
      <c r="L992" s="76"/>
      <c r="M992" s="77">
        <f t="shared" ca="1" si="30"/>
        <v>45954</v>
      </c>
      <c r="N992" s="74" t="str">
        <f>_xlfn.IFNA(VLOOKUP(db_emp[[#This Row],[ID_DIV]],[1]!db_dpt[[Code_dpt]:[Departement]],2,0),"-")</f>
        <v>-</v>
      </c>
      <c r="O992" s="74" t="str">
        <f>_xlfn.IFNA(VLOOKUP(db_emp[[#This Row],[ID_SDP]],[1]!db_div[[Code_div]:[Division]],2,0),"-")</f>
        <v>-</v>
      </c>
      <c r="P992" s="74" t="str">
        <f>_xlfn.IFNA(VLOOKUP(db_emp[[#This Row],[Code_lvl]],[1]!db_lvl[[#All],[ID_level]:[Leveling Name]],2,0),"-")</f>
        <v>Staff</v>
      </c>
      <c r="Q992" s="74" t="str">
        <f>_xlfn.IFNA(VLOOKUP(db_emp[[#This Row],[Code_site]],[1]!db_site[[ID_Site]:[Url_maps]],3,0),"-")</f>
        <v>Unit - GGP</v>
      </c>
      <c r="R9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210812,'Shindy Fabriana','GNT','','GEA Leader','LV12','','M03','Resign','1900-01-00','2025-10-24'</v>
      </c>
      <c r="S992" s="74">
        <f>db_emp[[#This Row],[NIP (UPDATE)]]</f>
        <v>210812</v>
      </c>
    </row>
    <row r="993" spans="2:19" hidden="1" x14ac:dyDescent="0.25">
      <c r="B993" s="75">
        <v>963</v>
      </c>
      <c r="C993" s="75">
        <v>210866</v>
      </c>
      <c r="D993" s="74" t="s">
        <v>2278</v>
      </c>
      <c r="E993" s="75" t="s">
        <v>2108</v>
      </c>
      <c r="F993" s="75"/>
      <c r="G993" s="74" t="s">
        <v>1760</v>
      </c>
      <c r="H993" s="75" t="s">
        <v>870</v>
      </c>
      <c r="I993" s="74"/>
      <c r="J993" s="75" t="s">
        <v>315</v>
      </c>
      <c r="K993" s="80" t="s">
        <v>903</v>
      </c>
      <c r="L993" s="76"/>
      <c r="M993" s="77">
        <f t="shared" ca="1" si="30"/>
        <v>45954</v>
      </c>
      <c r="N993" s="74" t="str">
        <f>_xlfn.IFNA(VLOOKUP(db_emp[[#This Row],[ID_DIV]],[1]!db_dpt[[Code_dpt]:[Departement]],2,0),"-")</f>
        <v>-</v>
      </c>
      <c r="O993" s="74" t="str">
        <f>_xlfn.IFNA(VLOOKUP(db_emp[[#This Row],[ID_SDP]],[1]!db_div[[Code_div]:[Division]],2,0),"-")</f>
        <v>-</v>
      </c>
      <c r="P993" s="74" t="str">
        <f>_xlfn.IFNA(VLOOKUP(db_emp[[#This Row],[Code_lvl]],[1]!db_lvl[[#All],[ID_level]:[Leveling Name]],2,0),"-")</f>
        <v>Supervisor</v>
      </c>
      <c r="Q993" s="74" t="str">
        <f>_xlfn.IFNA(VLOOKUP(db_emp[[#This Row],[Code_site]],[1]!db_site[[ID_Site]:[Url_maps]],3,0),"-")</f>
        <v>Head Office - ASGO</v>
      </c>
      <c r="R9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210866,'Fitri Amelia','PRO','','Procurement Supervisor','LV09','','O99','Resign','1900-01-00','2025-10-24'</v>
      </c>
      <c r="S993" s="74">
        <f>db_emp[[#This Row],[NIP (UPDATE)]]</f>
        <v>210866</v>
      </c>
    </row>
    <row r="994" spans="2:19" hidden="1" x14ac:dyDescent="0.25">
      <c r="B994" s="75">
        <v>964</v>
      </c>
      <c r="C994" s="75">
        <v>210872</v>
      </c>
      <c r="D994" s="74" t="s">
        <v>2279</v>
      </c>
      <c r="E994" s="75" t="s">
        <v>2077</v>
      </c>
      <c r="F994" s="75"/>
      <c r="G994" s="74" t="s">
        <v>2280</v>
      </c>
      <c r="H994" s="75" t="s">
        <v>870</v>
      </c>
      <c r="I994" s="74"/>
      <c r="J994" s="75" t="s">
        <v>484</v>
      </c>
      <c r="K994" s="80" t="s">
        <v>903</v>
      </c>
      <c r="L994" s="76"/>
      <c r="M994" s="77">
        <f t="shared" ca="1" si="30"/>
        <v>45954</v>
      </c>
      <c r="N994" s="74" t="str">
        <f>_xlfn.IFNA(VLOOKUP(db_emp[[#This Row],[ID_DIV]],[1]!db_dpt[[Code_dpt]:[Departement]],2,0),"-")</f>
        <v>-</v>
      </c>
      <c r="O994" s="74" t="str">
        <f>_xlfn.IFNA(VLOOKUP(db_emp[[#This Row],[ID_SDP]],[1]!db_div[[Code_div]:[Division]],2,0),"-")</f>
        <v>-</v>
      </c>
      <c r="P994" s="74" t="str">
        <f>_xlfn.IFNA(VLOOKUP(db_emp[[#This Row],[Code_lvl]],[1]!db_lvl[[#All],[ID_level]:[Leveling Name]],2,0),"-")</f>
        <v>Supervisor</v>
      </c>
      <c r="Q994" s="74" t="str">
        <f>_xlfn.IFNA(VLOOKUP(db_emp[[#This Row],[Code_site]],[1]!db_site[[ID_Site]:[Url_maps]],3,0),"-")</f>
        <v>Unit - PIK Avenue</v>
      </c>
      <c r="R9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210872,'Erda Noor Setiawan','GNT','','Gea &amp; Tr Supervisor','LV09','','M01','Resign','1900-01-00','2025-10-24'</v>
      </c>
      <c r="S994" s="74">
        <f>db_emp[[#This Row],[NIP (UPDATE)]]</f>
        <v>210872</v>
      </c>
    </row>
    <row r="995" spans="2:19" hidden="1" x14ac:dyDescent="0.25">
      <c r="B995" s="75">
        <v>965</v>
      </c>
      <c r="C995" s="75">
        <v>210874</v>
      </c>
      <c r="D995" s="74" t="s">
        <v>2281</v>
      </c>
      <c r="E995" s="75" t="s">
        <v>2138</v>
      </c>
      <c r="F995" s="75"/>
      <c r="G995" s="74" t="s">
        <v>2243</v>
      </c>
      <c r="H995" s="75" t="s">
        <v>870</v>
      </c>
      <c r="I995" s="74"/>
      <c r="J995" s="75" t="s">
        <v>484</v>
      </c>
      <c r="K995" s="80" t="s">
        <v>903</v>
      </c>
      <c r="L995" s="76"/>
      <c r="M995" s="77">
        <f t="shared" ca="1" si="30"/>
        <v>45954</v>
      </c>
      <c r="N995" s="74" t="str">
        <f>_xlfn.IFNA(VLOOKUP(db_emp[[#This Row],[ID_DIV]],[1]!db_dpt[[Code_dpt]:[Departement]],2,0),"-")</f>
        <v>-</v>
      </c>
      <c r="O995" s="74" t="str">
        <f>_xlfn.IFNA(VLOOKUP(db_emp[[#This Row],[ID_SDP]],[1]!db_div[[Code_div]:[Division]],2,0),"-")</f>
        <v>-</v>
      </c>
      <c r="P995" s="74" t="str">
        <f>_xlfn.IFNA(VLOOKUP(db_emp[[#This Row],[Code_lvl]],[1]!db_lvl[[#All],[ID_level]:[Leveling Name]],2,0),"-")</f>
        <v>Supervisor</v>
      </c>
      <c r="Q995" s="74" t="str">
        <f>_xlfn.IFNA(VLOOKUP(db_emp[[#This Row],[Code_site]],[1]!db_site[[ID_Site]:[Url_maps]],3,0),"-")</f>
        <v>Unit - PIK Avenue</v>
      </c>
      <c r="R9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210874,'Yansen Prasetijo','CCM','','Visual Merchandise Supervisor','LV09','','M01','Resign','1900-01-00','2025-10-24'</v>
      </c>
      <c r="S995" s="74">
        <f>db_emp[[#This Row],[NIP (UPDATE)]]</f>
        <v>210874</v>
      </c>
    </row>
    <row r="996" spans="2:19" hidden="1" x14ac:dyDescent="0.25">
      <c r="B996" s="80">
        <v>966</v>
      </c>
      <c r="C996" s="75">
        <v>210886</v>
      </c>
      <c r="D996" s="74" t="s">
        <v>2282</v>
      </c>
      <c r="E996" s="75" t="s">
        <v>845</v>
      </c>
      <c r="F996" s="75"/>
      <c r="G996" s="74" t="s">
        <v>898</v>
      </c>
      <c r="H996" s="80" t="s">
        <v>853</v>
      </c>
      <c r="I996" s="74"/>
      <c r="J996" s="75" t="s">
        <v>315</v>
      </c>
      <c r="K996" s="80" t="s">
        <v>903</v>
      </c>
      <c r="L996" s="76"/>
      <c r="M996" s="77">
        <f t="shared" ca="1" si="30"/>
        <v>45954</v>
      </c>
      <c r="N996" s="74" t="str">
        <f>_xlfn.IFNA(VLOOKUP(db_emp[[#This Row],[ID_DIV]],[1]!db_dpt[[Code_dpt]:[Departement]],2,0),"-")</f>
        <v>Finance &amp; Accounting</v>
      </c>
      <c r="O996" s="74" t="str">
        <f>_xlfn.IFNA(VLOOKUP(db_emp[[#This Row],[ID_SDP]],[1]!db_div[[Code_div]:[Division]],2,0),"-")</f>
        <v>-</v>
      </c>
      <c r="P996" s="74" t="str">
        <f>_xlfn.IFNA(VLOOKUP(db_emp[[#This Row],[Code_lvl]],[1]!db_lvl[[#All],[ID_level]:[Leveling Name]],2,0),"-")</f>
        <v>Staff</v>
      </c>
      <c r="Q996" s="74" t="str">
        <f>_xlfn.IFNA(VLOOKUP(db_emp[[#This Row],[Code_site]],[1]!db_site[[ID_Site]:[Url_maps]],3,0),"-")</f>
        <v>Head Office - ASGO</v>
      </c>
      <c r="R9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210886,'July Indayani','FIN','','Accounting Staff','LV12','','O99','Resign','1900-01-00','2025-10-24'</v>
      </c>
      <c r="S996" s="74">
        <f>db_emp[[#This Row],[NIP (UPDATE)]]</f>
        <v>210886</v>
      </c>
    </row>
    <row r="997" spans="2:19" hidden="1" x14ac:dyDescent="0.25">
      <c r="B997" s="75">
        <v>967</v>
      </c>
      <c r="C997" s="75">
        <v>210919</v>
      </c>
      <c r="D997" s="74" t="s">
        <v>2283</v>
      </c>
      <c r="E997" s="75" t="s">
        <v>1018</v>
      </c>
      <c r="F997" s="75"/>
      <c r="G997" s="74" t="s">
        <v>1680</v>
      </c>
      <c r="H997" s="75" t="s">
        <v>953</v>
      </c>
      <c r="I997" s="74"/>
      <c r="J997" s="75" t="s">
        <v>492</v>
      </c>
      <c r="K997" s="80" t="s">
        <v>903</v>
      </c>
      <c r="L997" s="76"/>
      <c r="M997" s="77">
        <f t="shared" ca="1" si="30"/>
        <v>45954</v>
      </c>
      <c r="N997" s="74" t="str">
        <f>_xlfn.IFNA(VLOOKUP(db_emp[[#This Row],[ID_DIV]],[1]!db_dpt[[Code_dpt]:[Departement]],2,0),"-")</f>
        <v>Operational</v>
      </c>
      <c r="O997" s="74" t="str">
        <f>_xlfn.IFNA(VLOOKUP(db_emp[[#This Row],[ID_SDP]],[1]!db_div[[Code_div]:[Division]],2,0),"-")</f>
        <v>-</v>
      </c>
      <c r="P997" s="74" t="str">
        <f>_xlfn.IFNA(VLOOKUP(db_emp[[#This Row],[Code_lvl]],[1]!db_lvl[[#All],[ID_level]:[Leveling Name]],2,0),"-")</f>
        <v>Manager</v>
      </c>
      <c r="Q997" s="74" t="str">
        <f>_xlfn.IFNA(VLOOKUP(db_emp[[#This Row],[Code_site]],[1]!db_site[[ID_Site]:[Url_maps]],3,0),"-")</f>
        <v>Unit - Hublife</v>
      </c>
      <c r="R9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210919,'Erwin Christian','OPR','','Operation Mall Manager','LV05','','M05','Resign','1900-01-00','2025-10-24'</v>
      </c>
      <c r="S997" s="74">
        <f>db_emp[[#This Row],[NIP (UPDATE)]]</f>
        <v>210919</v>
      </c>
    </row>
    <row r="998" spans="2:19" hidden="1" x14ac:dyDescent="0.25">
      <c r="B998" s="75" t="s">
        <v>2413</v>
      </c>
      <c r="C998" s="75">
        <v>210949</v>
      </c>
      <c r="D998" s="74" t="s">
        <v>261</v>
      </c>
      <c r="E998" s="75" t="s">
        <v>1566</v>
      </c>
      <c r="F998" s="75"/>
      <c r="G998" s="74" t="s">
        <v>2284</v>
      </c>
      <c r="H998" s="75" t="s">
        <v>973</v>
      </c>
      <c r="I998" s="74"/>
      <c r="J998" s="75" t="s">
        <v>315</v>
      </c>
      <c r="K998" s="80" t="s">
        <v>903</v>
      </c>
      <c r="L998" s="76"/>
      <c r="M998" s="77">
        <f t="shared" ca="1" si="30"/>
        <v>45954</v>
      </c>
      <c r="N998" s="74" t="str">
        <f>_xlfn.IFNA(VLOOKUP(db_emp[[#This Row],[ID_DIV]],[1]!db_dpt[[Code_dpt]:[Departement]],2,0),"-")</f>
        <v>IT</v>
      </c>
      <c r="O998" s="74" t="str">
        <f>_xlfn.IFNA(VLOOKUP(db_emp[[#This Row],[ID_SDP]],[1]!db_div[[Code_div]:[Division]],2,0),"-")</f>
        <v>-</v>
      </c>
      <c r="P998" s="74" t="str">
        <f>_xlfn.IFNA(VLOOKUP(db_emp[[#This Row],[Code_lvl]],[1]!db_lvl[[#All],[ID_level]:[Leveling Name]],2,0),"-")</f>
        <v>General Manager</v>
      </c>
      <c r="Q998" s="74" t="str">
        <f>_xlfn.IFNA(VLOOKUP(db_emp[[#This Row],[Code_site]],[1]!db_site[[ID_Site]:[Url_maps]],3,0),"-")</f>
        <v>Head Office - ASGO</v>
      </c>
      <c r="R9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210949,'Teddy Wijaya','ITD','','IT GM','LV02','','O99','Resign','1900-01-00','2025-10-24'</v>
      </c>
      <c r="S998" s="74">
        <f>db_emp[[#This Row],[NIP (UPDATE)]]</f>
        <v>210949</v>
      </c>
    </row>
    <row r="999" spans="2:19" hidden="1" x14ac:dyDescent="0.25">
      <c r="B999" s="75">
        <v>969</v>
      </c>
      <c r="C999" s="75">
        <v>210982</v>
      </c>
      <c r="D999" s="74" t="s">
        <v>2285</v>
      </c>
      <c r="E999" s="75" t="s">
        <v>1461</v>
      </c>
      <c r="F999" s="75"/>
      <c r="G999" s="74" t="s">
        <v>1625</v>
      </c>
      <c r="H999" s="80" t="s">
        <v>853</v>
      </c>
      <c r="I999" s="74"/>
      <c r="J999" s="75" t="s">
        <v>315</v>
      </c>
      <c r="K999" s="80" t="s">
        <v>903</v>
      </c>
      <c r="L999" s="76"/>
      <c r="M999" s="77">
        <f t="shared" ca="1" si="30"/>
        <v>45954</v>
      </c>
      <c r="N999" s="74" t="str">
        <f>_xlfn.IFNA(VLOOKUP(db_emp[[#This Row],[ID_DIV]],[1]!db_dpt[[Code_dpt]:[Departement]],2,0),"-")</f>
        <v>Legal &amp; Govrel</v>
      </c>
      <c r="O999" s="74" t="str">
        <f>_xlfn.IFNA(VLOOKUP(db_emp[[#This Row],[ID_SDP]],[1]!db_div[[Code_div]:[Division]],2,0),"-")</f>
        <v>-</v>
      </c>
      <c r="P999" s="74" t="str">
        <f>_xlfn.IFNA(VLOOKUP(db_emp[[#This Row],[Code_lvl]],[1]!db_lvl[[#All],[ID_level]:[Leveling Name]],2,0),"-")</f>
        <v>Staff</v>
      </c>
      <c r="Q999" s="74" t="str">
        <f>_xlfn.IFNA(VLOOKUP(db_emp[[#This Row],[Code_site]],[1]!db_site[[ID_Site]:[Url_maps]],3,0),"-")</f>
        <v>Head Office - ASGO</v>
      </c>
      <c r="R9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210982,'Ni Putu Bunga Padmapurani','LEG','','Legal Staff','LV12','','O99','Resign','1900-01-00','2025-10-24'</v>
      </c>
      <c r="S999" s="74">
        <f>db_emp[[#This Row],[NIP (UPDATE)]]</f>
        <v>210982</v>
      </c>
    </row>
    <row r="1000" spans="2:19" hidden="1" x14ac:dyDescent="0.25">
      <c r="B1000" s="80">
        <v>970</v>
      </c>
      <c r="C1000" s="75">
        <v>211023</v>
      </c>
      <c r="D1000" s="74" t="s">
        <v>2286</v>
      </c>
      <c r="E1000" s="75" t="s">
        <v>845</v>
      </c>
      <c r="F1000" s="75"/>
      <c r="G1000" s="74" t="s">
        <v>898</v>
      </c>
      <c r="H1000" s="80" t="s">
        <v>853</v>
      </c>
      <c r="I1000" s="74"/>
      <c r="J1000" s="75" t="s">
        <v>315</v>
      </c>
      <c r="K1000" s="80" t="s">
        <v>903</v>
      </c>
      <c r="L1000" s="76"/>
      <c r="M1000" s="77">
        <f t="shared" ca="1" si="30"/>
        <v>45954</v>
      </c>
      <c r="N1000" s="74" t="str">
        <f>_xlfn.IFNA(VLOOKUP(db_emp[[#This Row],[ID_DIV]],[1]!db_dpt[[Code_dpt]:[Departement]],2,0),"-")</f>
        <v>Finance &amp; Accounting</v>
      </c>
      <c r="O1000" s="74" t="str">
        <f>_xlfn.IFNA(VLOOKUP(db_emp[[#This Row],[ID_SDP]],[1]!db_div[[Code_div]:[Division]],2,0),"-")</f>
        <v>-</v>
      </c>
      <c r="P1000" s="74" t="str">
        <f>_xlfn.IFNA(VLOOKUP(db_emp[[#This Row],[Code_lvl]],[1]!db_lvl[[#All],[ID_level]:[Leveling Name]],2,0),"-")</f>
        <v>Staff</v>
      </c>
      <c r="Q1000" s="74" t="str">
        <f>_xlfn.IFNA(VLOOKUP(db_emp[[#This Row],[Code_site]],[1]!db_site[[ID_Site]:[Url_maps]],3,0),"-")</f>
        <v>Head Office - ASGO</v>
      </c>
      <c r="R10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211023,'Muhammad Aditya Pratama','FIN','','Accounting Staff','LV12','','O99','Resign','1900-01-00','2025-10-24'</v>
      </c>
      <c r="S1000" s="74">
        <f>db_emp[[#This Row],[NIP (UPDATE)]]</f>
        <v>211023</v>
      </c>
    </row>
    <row r="1001" spans="2:19" hidden="1" x14ac:dyDescent="0.25">
      <c r="B1001" s="75">
        <v>971</v>
      </c>
      <c r="C1001" s="75">
        <v>211031</v>
      </c>
      <c r="D1001" s="74" t="s">
        <v>2287</v>
      </c>
      <c r="E1001" s="75" t="s">
        <v>964</v>
      </c>
      <c r="F1001" s="75"/>
      <c r="G1001" s="74" t="s">
        <v>1633</v>
      </c>
      <c r="H1001" s="75" t="s">
        <v>870</v>
      </c>
      <c r="I1001" s="74"/>
      <c r="J1001" s="75" t="s">
        <v>492</v>
      </c>
      <c r="K1001" s="80" t="s">
        <v>903</v>
      </c>
      <c r="L1001" s="76"/>
      <c r="M1001" s="77">
        <f t="shared" ca="1" si="30"/>
        <v>45954</v>
      </c>
      <c r="N1001" s="74" t="str">
        <f>_xlfn.IFNA(VLOOKUP(db_emp[[#This Row],[ID_DIV]],[1]!db_dpt[[Code_dpt]:[Departement]],2,0),"-")</f>
        <v>Marketing Communication</v>
      </c>
      <c r="O1001" s="74" t="str">
        <f>_xlfn.IFNA(VLOOKUP(db_emp[[#This Row],[ID_SDP]],[1]!db_div[[Code_div]:[Division]],2,0),"-")</f>
        <v>-</v>
      </c>
      <c r="P1001" s="74" t="str">
        <f>_xlfn.IFNA(VLOOKUP(db_emp[[#This Row],[Code_lvl]],[1]!db_lvl[[#All],[ID_level]:[Leveling Name]],2,0),"-")</f>
        <v>Supervisor</v>
      </c>
      <c r="Q1001" s="74" t="str">
        <f>_xlfn.IFNA(VLOOKUP(db_emp[[#This Row],[Code_site]],[1]!db_site[[ID_Site]:[Url_maps]],3,0),"-")</f>
        <v>Unit - Hublife</v>
      </c>
      <c r="R10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211031,'Andreas Lumampauw','MAR','','Marketing Communication Supervisor','LV09','','M05','Resign','1900-01-00','2025-10-24'</v>
      </c>
      <c r="S1001" s="74">
        <f>db_emp[[#This Row],[NIP (UPDATE)]]</f>
        <v>211031</v>
      </c>
    </row>
    <row r="1002" spans="2:19" hidden="1" x14ac:dyDescent="0.25">
      <c r="B1002" s="75">
        <v>972</v>
      </c>
      <c r="C1002" s="75">
        <v>211056</v>
      </c>
      <c r="D1002" s="74" t="s">
        <v>2288</v>
      </c>
      <c r="E1002" s="75" t="s">
        <v>845</v>
      </c>
      <c r="F1002" s="75"/>
      <c r="G1002" s="74" t="s">
        <v>898</v>
      </c>
      <c r="H1002" s="80" t="s">
        <v>853</v>
      </c>
      <c r="I1002" s="74"/>
      <c r="J1002" s="75" t="s">
        <v>315</v>
      </c>
      <c r="K1002" s="80" t="s">
        <v>903</v>
      </c>
      <c r="L1002" s="76"/>
      <c r="M1002" s="77">
        <f t="shared" ca="1" si="30"/>
        <v>45954</v>
      </c>
      <c r="N1002" s="74" t="str">
        <f>_xlfn.IFNA(VLOOKUP(db_emp[[#This Row],[ID_DIV]],[1]!db_dpt[[Code_dpt]:[Departement]],2,0),"-")</f>
        <v>Finance &amp; Accounting</v>
      </c>
      <c r="O1002" s="74" t="str">
        <f>_xlfn.IFNA(VLOOKUP(db_emp[[#This Row],[ID_SDP]],[1]!db_div[[Code_div]:[Division]],2,0),"-")</f>
        <v>-</v>
      </c>
      <c r="P1002" s="74" t="str">
        <f>_xlfn.IFNA(VLOOKUP(db_emp[[#This Row],[Code_lvl]],[1]!db_lvl[[#All],[ID_level]:[Leveling Name]],2,0),"-")</f>
        <v>Staff</v>
      </c>
      <c r="Q1002" s="74" t="str">
        <f>_xlfn.IFNA(VLOOKUP(db_emp[[#This Row],[Code_site]],[1]!db_site[[ID_Site]:[Url_maps]],3,0),"-")</f>
        <v>Head Office - ASGO</v>
      </c>
      <c r="R10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211056,'Miss Logita','FIN','','Accounting Staff','LV12','','O99','Resign','1900-01-00','2025-10-24'</v>
      </c>
      <c r="S1002" s="74">
        <f>db_emp[[#This Row],[NIP (UPDATE)]]</f>
        <v>211056</v>
      </c>
    </row>
    <row r="1003" spans="2:19" hidden="1" x14ac:dyDescent="0.25">
      <c r="B1003" s="75">
        <v>973</v>
      </c>
      <c r="C1003" s="75">
        <v>211057</v>
      </c>
      <c r="D1003" s="74" t="s">
        <v>2289</v>
      </c>
      <c r="E1003" s="75" t="s">
        <v>1018</v>
      </c>
      <c r="F1003" s="75"/>
      <c r="G1003" s="74" t="s">
        <v>2158</v>
      </c>
      <c r="H1003" s="75" t="s">
        <v>853</v>
      </c>
      <c r="I1003" s="74"/>
      <c r="J1003" s="75" t="s">
        <v>484</v>
      </c>
      <c r="K1003" s="80" t="s">
        <v>903</v>
      </c>
      <c r="L1003" s="76"/>
      <c r="M1003" s="77">
        <f t="shared" ca="1" si="30"/>
        <v>45954</v>
      </c>
      <c r="N1003" s="74" t="str">
        <f>_xlfn.IFNA(VLOOKUP(db_emp[[#This Row],[ID_DIV]],[1]!db_dpt[[Code_dpt]:[Departement]],2,0),"-")</f>
        <v>Operational</v>
      </c>
      <c r="O1003" s="74" t="str">
        <f>_xlfn.IFNA(VLOOKUP(db_emp[[#This Row],[ID_SDP]],[1]!db_div[[Code_div]:[Division]],2,0),"-")</f>
        <v>-</v>
      </c>
      <c r="P1003" s="74" t="str">
        <f>_xlfn.IFNA(VLOOKUP(db_emp[[#This Row],[Code_lvl]],[1]!db_lvl[[#All],[ID_level]:[Leveling Name]],2,0),"-")</f>
        <v>Staff</v>
      </c>
      <c r="Q1003" s="74" t="str">
        <f>_xlfn.IFNA(VLOOKUP(db_emp[[#This Row],[Code_site]],[1]!db_site[[ID_Site]:[Url_maps]],3,0),"-")</f>
        <v>Unit - PIK Avenue</v>
      </c>
      <c r="R10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211057,'Taufik Jumeidi','OPR','','Security Leader','LV12','','M01','Resign','1900-01-00','2025-10-24'</v>
      </c>
      <c r="S1003" s="74">
        <f>db_emp[[#This Row],[NIP (UPDATE)]]</f>
        <v>211057</v>
      </c>
    </row>
    <row r="1004" spans="2:19" hidden="1" x14ac:dyDescent="0.25">
      <c r="B1004" s="80">
        <v>974</v>
      </c>
      <c r="C1004" s="75">
        <v>211095</v>
      </c>
      <c r="D1004" s="74" t="s">
        <v>2290</v>
      </c>
      <c r="E1004" s="75" t="s">
        <v>911</v>
      </c>
      <c r="F1004" s="75"/>
      <c r="G1004" s="74" t="s">
        <v>1184</v>
      </c>
      <c r="H1004" s="80" t="s">
        <v>853</v>
      </c>
      <c r="I1004" s="74"/>
      <c r="J1004" s="75" t="s">
        <v>484</v>
      </c>
      <c r="K1004" s="80" t="s">
        <v>903</v>
      </c>
      <c r="L1004" s="76"/>
      <c r="M1004" s="77">
        <f t="shared" ca="1" si="30"/>
        <v>45954</v>
      </c>
      <c r="N1004" s="74" t="str">
        <f>_xlfn.IFNA(VLOOKUP(db_emp[[#This Row],[ID_DIV]],[1]!db_dpt[[Code_dpt]:[Departement]],2,0),"-")</f>
        <v>Engineering</v>
      </c>
      <c r="O1004" s="74" t="str">
        <f>_xlfn.IFNA(VLOOKUP(db_emp[[#This Row],[ID_SDP]],[1]!db_div[[Code_div]:[Division]],2,0),"-")</f>
        <v>-</v>
      </c>
      <c r="P1004" s="74" t="str">
        <f>_xlfn.IFNA(VLOOKUP(db_emp[[#This Row],[Code_lvl]],[1]!db_lvl[[#All],[ID_level]:[Leveling Name]],2,0),"-")</f>
        <v>Staff</v>
      </c>
      <c r="Q1004" s="74" t="str">
        <f>_xlfn.IFNA(VLOOKUP(db_emp[[#This Row],[Code_site]],[1]!db_site[[ID_Site]:[Url_maps]],3,0),"-")</f>
        <v>Unit - PIK Avenue</v>
      </c>
      <c r="R10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211095,'Anggie Kusworo','ENG','','Electrical Staff','LV12','','M01','Resign','1900-01-00','2025-10-24'</v>
      </c>
      <c r="S1004" s="74">
        <f>db_emp[[#This Row],[NIP (UPDATE)]]</f>
        <v>211095</v>
      </c>
    </row>
    <row r="1005" spans="2:19" hidden="1" x14ac:dyDescent="0.25">
      <c r="B1005" s="75">
        <v>975</v>
      </c>
      <c r="C1005" s="75">
        <v>211117</v>
      </c>
      <c r="D1005" s="74" t="s">
        <v>2291</v>
      </c>
      <c r="E1005" s="75" t="s">
        <v>130</v>
      </c>
      <c r="F1005" s="75"/>
      <c r="G1005" s="74" t="s">
        <v>2191</v>
      </c>
      <c r="H1005" s="80" t="s">
        <v>853</v>
      </c>
      <c r="I1005" s="74"/>
      <c r="J1005" s="75" t="s">
        <v>433</v>
      </c>
      <c r="K1005" s="80" t="s">
        <v>903</v>
      </c>
      <c r="L1005" s="76"/>
      <c r="M1005" s="77">
        <f t="shared" ca="1" si="30"/>
        <v>45954</v>
      </c>
      <c r="N1005" s="74" t="str">
        <f>_xlfn.IFNA(VLOOKUP(db_emp[[#This Row],[ID_DIV]],[1]!db_dpt[[Code_dpt]:[Departement]],2,0),"-")</f>
        <v>-</v>
      </c>
      <c r="O1005" s="74" t="str">
        <f>_xlfn.IFNA(VLOOKUP(db_emp[[#This Row],[ID_SDP]],[1]!db_div[[Code_div]:[Division]],2,0),"-")</f>
        <v>-</v>
      </c>
      <c r="P1005" s="74" t="str">
        <f>_xlfn.IFNA(VLOOKUP(db_emp[[#This Row],[Code_lvl]],[1]!db_lvl[[#All],[ID_level]:[Leveling Name]],2,0),"-")</f>
        <v>Staff</v>
      </c>
      <c r="Q1005" s="74" t="str">
        <f>_xlfn.IFNA(VLOOKUP(db_emp[[#This Row],[Code_site]],[1]!db_site[[ID_Site]:[Url_maps]],3,0),"-")</f>
        <v>Unit - Taman Anggrek Residences</v>
      </c>
      <c r="R10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211117,'Andhiyah Tsabitah','HRD','','HR &amp; GA Staff','LV12','','A01','Resign','1900-01-00','2025-10-24'</v>
      </c>
      <c r="S1005" s="74">
        <f>db_emp[[#This Row],[NIP (UPDATE)]]</f>
        <v>211117</v>
      </c>
    </row>
    <row r="1006" spans="2:19" hidden="1" x14ac:dyDescent="0.25">
      <c r="B1006" s="75">
        <v>976</v>
      </c>
      <c r="C1006" s="75">
        <v>211119</v>
      </c>
      <c r="D1006" s="74" t="s">
        <v>2292</v>
      </c>
      <c r="E1006" s="75" t="s">
        <v>1018</v>
      </c>
      <c r="F1006" s="75"/>
      <c r="G1006" s="74" t="s">
        <v>1717</v>
      </c>
      <c r="H1006" s="80" t="s">
        <v>853</v>
      </c>
      <c r="I1006" s="74"/>
      <c r="J1006" s="75" t="s">
        <v>484</v>
      </c>
      <c r="K1006" s="80" t="s">
        <v>903</v>
      </c>
      <c r="L1006" s="76"/>
      <c r="M1006" s="77">
        <f t="shared" ca="1" si="30"/>
        <v>45954</v>
      </c>
      <c r="N1006" s="74" t="str">
        <f>_xlfn.IFNA(VLOOKUP(db_emp[[#This Row],[ID_DIV]],[1]!db_dpt[[Code_dpt]:[Departement]],2,0),"-")</f>
        <v>Operational</v>
      </c>
      <c r="O1006" s="74" t="str">
        <f>_xlfn.IFNA(VLOOKUP(db_emp[[#This Row],[ID_SDP]],[1]!db_div[[Code_div]:[Division]],2,0),"-")</f>
        <v>-</v>
      </c>
      <c r="P1006" s="74" t="str">
        <f>_xlfn.IFNA(VLOOKUP(db_emp[[#This Row],[Code_lvl]],[1]!db_lvl[[#All],[ID_level]:[Leveling Name]],2,0),"-")</f>
        <v>Staff</v>
      </c>
      <c r="Q1006" s="74" t="str">
        <f>_xlfn.IFNA(VLOOKUP(db_emp[[#This Row],[Code_site]],[1]!db_site[[ID_Site]:[Url_maps]],3,0),"-")</f>
        <v>Unit - PIK Avenue</v>
      </c>
      <c r="R10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211119,'Adam Hermi Riandanu','OPR','','Parking Staff','LV12','','M01','Resign','1900-01-00','2025-10-24'</v>
      </c>
      <c r="S1006" s="74">
        <f>db_emp[[#This Row],[NIP (UPDATE)]]</f>
        <v>211119</v>
      </c>
    </row>
    <row r="1007" spans="2:19" hidden="1" x14ac:dyDescent="0.25">
      <c r="B1007" s="75">
        <v>977</v>
      </c>
      <c r="C1007" s="75">
        <v>211122</v>
      </c>
      <c r="D1007" s="74" t="s">
        <v>2293</v>
      </c>
      <c r="E1007" s="75" t="s">
        <v>964</v>
      </c>
      <c r="F1007" s="75"/>
      <c r="G1007" s="74" t="s">
        <v>1633</v>
      </c>
      <c r="H1007" s="75" t="s">
        <v>870</v>
      </c>
      <c r="I1007" s="74"/>
      <c r="J1007" s="75" t="s">
        <v>490</v>
      </c>
      <c r="K1007" s="80" t="s">
        <v>903</v>
      </c>
      <c r="L1007" s="76"/>
      <c r="M1007" s="77">
        <f t="shared" ca="1" si="30"/>
        <v>45954</v>
      </c>
      <c r="N1007" s="74" t="str">
        <f>_xlfn.IFNA(VLOOKUP(db_emp[[#This Row],[ID_DIV]],[1]!db_dpt[[Code_dpt]:[Departement]],2,0),"-")</f>
        <v>Marketing Communication</v>
      </c>
      <c r="O1007" s="74" t="str">
        <f>_xlfn.IFNA(VLOOKUP(db_emp[[#This Row],[ID_SDP]],[1]!db_div[[Code_div]:[Division]],2,0),"-")</f>
        <v>-</v>
      </c>
      <c r="P1007" s="74" t="str">
        <f>_xlfn.IFNA(VLOOKUP(db_emp[[#This Row],[Code_lvl]],[1]!db_lvl[[#All],[ID_level]:[Leveling Name]],2,0),"-")</f>
        <v>Supervisor</v>
      </c>
      <c r="Q1007" s="74" t="str">
        <f>_xlfn.IFNA(VLOOKUP(db_emp[[#This Row],[Code_site]],[1]!db_site[[ID_Site]:[Url_maps]],3,0),"-")</f>
        <v>Unit - ASHTA</v>
      </c>
      <c r="R100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211122,'Jervis','MAR','','Marketing Communication Supervisor','LV09','','M04','Resign','1900-01-00','2025-10-24'</v>
      </c>
      <c r="S1007" s="74">
        <f>db_emp[[#This Row],[NIP (UPDATE)]]</f>
        <v>211122</v>
      </c>
    </row>
    <row r="1008" spans="2:19" hidden="1" x14ac:dyDescent="0.25">
      <c r="B1008" s="80">
        <v>978</v>
      </c>
      <c r="C1008" s="75">
        <v>211200</v>
      </c>
      <c r="D1008" s="74" t="s">
        <v>2294</v>
      </c>
      <c r="E1008" s="75" t="s">
        <v>845</v>
      </c>
      <c r="F1008" s="75"/>
      <c r="G1008" s="74" t="s">
        <v>852</v>
      </c>
      <c r="H1008" s="80" t="s">
        <v>853</v>
      </c>
      <c r="I1008" s="74"/>
      <c r="J1008" s="75" t="s">
        <v>315</v>
      </c>
      <c r="K1008" s="80" t="s">
        <v>903</v>
      </c>
      <c r="L1008" s="76"/>
      <c r="M1008" s="77">
        <f t="shared" ca="1" si="30"/>
        <v>45954</v>
      </c>
      <c r="N1008" s="74" t="str">
        <f>_xlfn.IFNA(VLOOKUP(db_emp[[#This Row],[ID_DIV]],[1]!db_dpt[[Code_dpt]:[Departement]],2,0),"-")</f>
        <v>Finance &amp; Accounting</v>
      </c>
      <c r="O1008" s="74" t="str">
        <f>_xlfn.IFNA(VLOOKUP(db_emp[[#This Row],[ID_SDP]],[1]!db_div[[Code_div]:[Division]],2,0),"-")</f>
        <v>-</v>
      </c>
      <c r="P1008" s="74" t="str">
        <f>_xlfn.IFNA(VLOOKUP(db_emp[[#This Row],[Code_lvl]],[1]!db_lvl[[#All],[ID_level]:[Leveling Name]],2,0),"-")</f>
        <v>Staff</v>
      </c>
      <c r="Q1008" s="74" t="str">
        <f>_xlfn.IFNA(VLOOKUP(db_emp[[#This Row],[Code_site]],[1]!db_site[[ID_Site]:[Url_maps]],3,0),"-")</f>
        <v>Head Office - ASGO</v>
      </c>
      <c r="R10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211200,'I Gusti Ngurah Angga Wikranta','FIN','','Account Payable Staff','LV12','','O99','Resign','1900-01-00','2025-10-24'</v>
      </c>
      <c r="S1008" s="74">
        <f>db_emp[[#This Row],[NIP (UPDATE)]]</f>
        <v>211200</v>
      </c>
    </row>
    <row r="1009" spans="2:19" hidden="1" x14ac:dyDescent="0.25">
      <c r="B1009" s="75">
        <v>979</v>
      </c>
      <c r="C1009" s="75">
        <v>211211</v>
      </c>
      <c r="D1009" s="74" t="s">
        <v>2295</v>
      </c>
      <c r="E1009" s="75" t="s">
        <v>1018</v>
      </c>
      <c r="F1009" s="75"/>
      <c r="G1009" s="74" t="s">
        <v>2021</v>
      </c>
      <c r="H1009" s="75" t="s">
        <v>953</v>
      </c>
      <c r="I1009" s="74"/>
      <c r="J1009" s="75" t="s">
        <v>316</v>
      </c>
      <c r="K1009" s="80" t="s">
        <v>903</v>
      </c>
      <c r="L1009" s="76"/>
      <c r="M1009" s="77">
        <f t="shared" ca="1" si="30"/>
        <v>45954</v>
      </c>
      <c r="N1009" s="74" t="str">
        <f>_xlfn.IFNA(VLOOKUP(db_emp[[#This Row],[ID_DIV]],[1]!db_dpt[[Code_dpt]:[Departement]],2,0),"-")</f>
        <v>Operational</v>
      </c>
      <c r="O1009" s="74" t="str">
        <f>_xlfn.IFNA(VLOOKUP(db_emp[[#This Row],[ID_SDP]],[1]!db_div[[Code_div]:[Division]],2,0),"-")</f>
        <v>-</v>
      </c>
      <c r="P1009" s="74" t="str">
        <f>_xlfn.IFNA(VLOOKUP(db_emp[[#This Row],[Code_lvl]],[1]!db_lvl[[#All],[ID_level]:[Leveling Name]],2,0),"-")</f>
        <v>Manager</v>
      </c>
      <c r="Q1009" s="74" t="str">
        <f>_xlfn.IFNA(VLOOKUP(db_emp[[#This Row],[Code_site]],[1]!db_site[[ID_Site]:[Url_maps]],3,0),"-")</f>
        <v>Unit - GGP</v>
      </c>
      <c r="R100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211211,'Antonius Seno Ardi','OPR','','Operational Manager','LV05','','M03','Resign','1900-01-00','2025-10-24'</v>
      </c>
      <c r="S1009" s="74">
        <f>db_emp[[#This Row],[NIP (UPDATE)]]</f>
        <v>211211</v>
      </c>
    </row>
    <row r="1010" spans="2:19" hidden="1" x14ac:dyDescent="0.25">
      <c r="B1010" s="75">
        <v>980</v>
      </c>
      <c r="C1010" s="75">
        <v>211232</v>
      </c>
      <c r="D1010" s="74" t="s">
        <v>2296</v>
      </c>
      <c r="E1010" s="75" t="s">
        <v>845</v>
      </c>
      <c r="F1010" s="75"/>
      <c r="G1010" s="74" t="s">
        <v>898</v>
      </c>
      <c r="H1010" s="80" t="s">
        <v>853</v>
      </c>
      <c r="I1010" s="74"/>
      <c r="J1010" s="75" t="s">
        <v>315</v>
      </c>
      <c r="K1010" s="80" t="s">
        <v>903</v>
      </c>
      <c r="L1010" s="76"/>
      <c r="M1010" s="77">
        <f t="shared" ca="1" si="30"/>
        <v>45954</v>
      </c>
      <c r="N1010" s="74" t="str">
        <f>_xlfn.IFNA(VLOOKUP(db_emp[[#This Row],[ID_DIV]],[1]!db_dpt[[Code_dpt]:[Departement]],2,0),"-")</f>
        <v>Finance &amp; Accounting</v>
      </c>
      <c r="O1010" s="74" t="str">
        <f>_xlfn.IFNA(VLOOKUP(db_emp[[#This Row],[ID_SDP]],[1]!db_div[[Code_div]:[Division]],2,0),"-")</f>
        <v>-</v>
      </c>
      <c r="P1010" s="74" t="str">
        <f>_xlfn.IFNA(VLOOKUP(db_emp[[#This Row],[Code_lvl]],[1]!db_lvl[[#All],[ID_level]:[Leveling Name]],2,0),"-")</f>
        <v>Staff</v>
      </c>
      <c r="Q1010" s="74" t="str">
        <f>_xlfn.IFNA(VLOOKUP(db_emp[[#This Row],[Code_site]],[1]!db_site[[ID_Site]:[Url_maps]],3,0),"-")</f>
        <v>Head Office - ASGO</v>
      </c>
      <c r="R101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211232,'Veronica Angelina Kwa','FIN','','Accounting Staff','LV12','','O99','Resign','1900-01-00','2025-10-24'</v>
      </c>
      <c r="S1010" s="74">
        <f>db_emp[[#This Row],[NIP (UPDATE)]]</f>
        <v>211232</v>
      </c>
    </row>
    <row r="1011" spans="2:19" hidden="1" x14ac:dyDescent="0.25">
      <c r="B1011" s="75">
        <v>981</v>
      </c>
      <c r="C1011" s="75">
        <v>211261</v>
      </c>
      <c r="D1011" s="74" t="s">
        <v>2297</v>
      </c>
      <c r="E1011" s="75" t="s">
        <v>1042</v>
      </c>
      <c r="F1011" s="75"/>
      <c r="G1011" s="74" t="s">
        <v>2298</v>
      </c>
      <c r="H1011" s="80" t="s">
        <v>848</v>
      </c>
      <c r="I1011" s="74"/>
      <c r="J1011" s="75" t="s">
        <v>315</v>
      </c>
      <c r="K1011" s="80" t="s">
        <v>903</v>
      </c>
      <c r="L1011" s="76"/>
      <c r="M1011" s="77">
        <f t="shared" ca="1" si="30"/>
        <v>45954</v>
      </c>
      <c r="N1011" s="74" t="str">
        <f>_xlfn.IFNA(VLOOKUP(db_emp[[#This Row],[ID_DIV]],[1]!db_dpt[[Code_dpt]:[Departement]],2,0),"-")</f>
        <v>Cinema</v>
      </c>
      <c r="O1011" s="74" t="str">
        <f>_xlfn.IFNA(VLOOKUP(db_emp[[#This Row],[ID_SDP]],[1]!db_div[[Code_div]:[Division]],2,0),"-")</f>
        <v>-</v>
      </c>
      <c r="P1011" s="74" t="str">
        <f>_xlfn.IFNA(VLOOKUP(db_emp[[#This Row],[Code_lvl]],[1]!db_lvl[[#All],[ID_level]:[Leveling Name]],2,0),"-")</f>
        <v>Assistant Manager</v>
      </c>
      <c r="Q1011" s="74" t="str">
        <f>_xlfn.IFNA(VLOOKUP(db_emp[[#This Row],[Code_site]],[1]!db_site[[ID_Site]:[Url_maps]],3,0),"-")</f>
        <v>Head Office - ASGO</v>
      </c>
      <c r="R101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211261,'Iman Hendrayana','CIN','','F &amp; B Cinema Assistant Manager','LV07','','O99','Resign','1900-01-00','2025-10-24'</v>
      </c>
      <c r="S1011" s="74">
        <f>db_emp[[#This Row],[NIP (UPDATE)]]</f>
        <v>211261</v>
      </c>
    </row>
    <row r="1012" spans="2:19" hidden="1" x14ac:dyDescent="0.25">
      <c r="B1012" s="80">
        <v>982</v>
      </c>
      <c r="C1012" s="75">
        <v>211274</v>
      </c>
      <c r="D1012" s="74" t="s">
        <v>2299</v>
      </c>
      <c r="E1012" s="75" t="s">
        <v>911</v>
      </c>
      <c r="F1012" s="75"/>
      <c r="G1012" s="74" t="s">
        <v>1254</v>
      </c>
      <c r="H1012" s="80" t="s">
        <v>853</v>
      </c>
      <c r="I1012" s="74"/>
      <c r="J1012" s="75" t="s">
        <v>433</v>
      </c>
      <c r="K1012" s="80" t="s">
        <v>903</v>
      </c>
      <c r="L1012" s="76"/>
      <c r="M1012" s="77">
        <f t="shared" ca="1" si="30"/>
        <v>45954</v>
      </c>
      <c r="N1012" s="74" t="str">
        <f>_xlfn.IFNA(VLOOKUP(db_emp[[#This Row],[ID_DIV]],[1]!db_dpt[[Code_dpt]:[Departement]],2,0),"-")</f>
        <v>Engineering</v>
      </c>
      <c r="O1012" s="74" t="str">
        <f>_xlfn.IFNA(VLOOKUP(db_emp[[#This Row],[ID_SDP]],[1]!db_div[[Code_div]:[Division]],2,0),"-")</f>
        <v>-</v>
      </c>
      <c r="P1012" s="74" t="str">
        <f>_xlfn.IFNA(VLOOKUP(db_emp[[#This Row],[Code_lvl]],[1]!db_lvl[[#All],[ID_level]:[Leveling Name]],2,0),"-")</f>
        <v>Staff</v>
      </c>
      <c r="Q1012" s="74" t="str">
        <f>_xlfn.IFNA(VLOOKUP(db_emp[[#This Row],[Code_site]],[1]!db_site[[ID_Site]:[Url_maps]],3,0),"-")</f>
        <v>Unit - Taman Anggrek Residences</v>
      </c>
      <c r="R101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211274,'Adi Purnomo','ENG','','Engineering Staff','LV12','','A01','Resign','1900-01-00','2025-10-24'</v>
      </c>
      <c r="S1012" s="74">
        <f>db_emp[[#This Row],[NIP (UPDATE)]]</f>
        <v>211274</v>
      </c>
    </row>
    <row r="1013" spans="2:19" hidden="1" x14ac:dyDescent="0.25">
      <c r="B1013" s="75">
        <v>983</v>
      </c>
      <c r="C1013" s="75">
        <v>211312</v>
      </c>
      <c r="D1013" s="74" t="s">
        <v>2300</v>
      </c>
      <c r="E1013" s="75" t="s">
        <v>964</v>
      </c>
      <c r="F1013" s="75"/>
      <c r="G1013" s="74" t="s">
        <v>2301</v>
      </c>
      <c r="H1013" s="75" t="s">
        <v>853</v>
      </c>
      <c r="I1013" s="74"/>
      <c r="J1013" s="75" t="s">
        <v>316</v>
      </c>
      <c r="K1013" s="80" t="s">
        <v>903</v>
      </c>
      <c r="L1013" s="76"/>
      <c r="M1013" s="77">
        <f t="shared" ca="1" si="30"/>
        <v>45954</v>
      </c>
      <c r="N1013" s="74" t="str">
        <f>_xlfn.IFNA(VLOOKUP(db_emp[[#This Row],[ID_DIV]],[1]!db_dpt[[Code_dpt]:[Departement]],2,0),"-")</f>
        <v>Marketing Communication</v>
      </c>
      <c r="O1013" s="74" t="str">
        <f>_xlfn.IFNA(VLOOKUP(db_emp[[#This Row],[ID_SDP]],[1]!db_div[[Code_div]:[Division]],2,0),"-")</f>
        <v>-</v>
      </c>
      <c r="P1013" s="74" t="str">
        <f>_xlfn.IFNA(VLOOKUP(db_emp[[#This Row],[Code_lvl]],[1]!db_lvl[[#All],[ID_level]:[Leveling Name]],2,0),"-")</f>
        <v>Staff</v>
      </c>
      <c r="Q1013" s="74" t="str">
        <f>_xlfn.IFNA(VLOOKUP(db_emp[[#This Row],[Code_site]],[1]!db_site[[ID_Site]:[Url_maps]],3,0),"-")</f>
        <v>Unit - GGP</v>
      </c>
      <c r="R101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211312,'Vivian Pratiwi','MAR','','Marketing Communication Admin','LV12','','M03','Resign','1900-01-00','2025-10-24'</v>
      </c>
      <c r="S1013" s="74">
        <f>db_emp[[#This Row],[NIP (UPDATE)]]</f>
        <v>211312</v>
      </c>
    </row>
    <row r="1014" spans="2:19" hidden="1" x14ac:dyDescent="0.25">
      <c r="B1014" s="75">
        <v>984</v>
      </c>
      <c r="C1014" s="75">
        <v>220001</v>
      </c>
      <c r="D1014" s="74" t="s">
        <v>2302</v>
      </c>
      <c r="E1014" s="75" t="s">
        <v>2077</v>
      </c>
      <c r="F1014" s="75"/>
      <c r="G1014" s="74" t="s">
        <v>1933</v>
      </c>
      <c r="H1014" s="80" t="s">
        <v>853</v>
      </c>
      <c r="I1014" s="74"/>
      <c r="J1014" s="75" t="s">
        <v>484</v>
      </c>
      <c r="K1014" s="80" t="s">
        <v>903</v>
      </c>
      <c r="L1014" s="76"/>
      <c r="M1014" s="77">
        <f t="shared" ca="1" si="30"/>
        <v>45954</v>
      </c>
      <c r="N1014" s="74" t="str">
        <f>_xlfn.IFNA(VLOOKUP(db_emp[[#This Row],[ID_DIV]],[1]!db_dpt[[Code_dpt]:[Departement]],2,0),"-")</f>
        <v>-</v>
      </c>
      <c r="O1014" s="74" t="str">
        <f>_xlfn.IFNA(VLOOKUP(db_emp[[#This Row],[ID_SDP]],[1]!db_div[[Code_div]:[Division]],2,0),"-")</f>
        <v>-</v>
      </c>
      <c r="P1014" s="74" t="str">
        <f>_xlfn.IFNA(VLOOKUP(db_emp[[#This Row],[Code_lvl]],[1]!db_lvl[[#All],[ID_level]:[Leveling Name]],2,0),"-")</f>
        <v>Staff</v>
      </c>
      <c r="Q1014" s="74" t="str">
        <f>_xlfn.IFNA(VLOOKUP(db_emp[[#This Row],[Code_site]],[1]!db_site[[ID_Site]:[Url_maps]],3,0),"-")</f>
        <v>Unit - PIK Avenue</v>
      </c>
      <c r="R101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220001,'Faisal Ramadan','GNT','','Tenant Relation Staff','LV12','','M01','Resign','1900-01-00','2025-10-24'</v>
      </c>
      <c r="S1014" s="74">
        <f>db_emp[[#This Row],[NIP (UPDATE)]]</f>
        <v>220001</v>
      </c>
    </row>
    <row r="1015" spans="2:19" hidden="1" x14ac:dyDescent="0.25">
      <c r="B1015" s="75">
        <v>985</v>
      </c>
      <c r="C1015" s="75">
        <v>220107</v>
      </c>
      <c r="D1015" s="74" t="s">
        <v>2303</v>
      </c>
      <c r="E1015" s="75" t="s">
        <v>2167</v>
      </c>
      <c r="F1015" s="75"/>
      <c r="G1015" s="74" t="s">
        <v>1090</v>
      </c>
      <c r="H1015" s="75" t="s">
        <v>870</v>
      </c>
      <c r="I1015" s="74"/>
      <c r="J1015" s="75" t="s">
        <v>433</v>
      </c>
      <c r="K1015" s="80" t="s">
        <v>903</v>
      </c>
      <c r="L1015" s="76"/>
      <c r="M1015" s="77">
        <f t="shared" ca="1" si="30"/>
        <v>45954</v>
      </c>
      <c r="N1015" s="74" t="str">
        <f>_xlfn.IFNA(VLOOKUP(db_emp[[#This Row],[ID_DIV]],[1]!db_dpt[[Code_dpt]:[Departement]],2,0),"-")</f>
        <v>-</v>
      </c>
      <c r="O1015" s="74" t="str">
        <f>_xlfn.IFNA(VLOOKUP(db_emp[[#This Row],[ID_SDP]],[1]!db_div[[Code_div]:[Division]],2,0),"-")</f>
        <v>-</v>
      </c>
      <c r="P1015" s="74" t="str">
        <f>_xlfn.IFNA(VLOOKUP(db_emp[[#This Row],[Code_lvl]],[1]!db_lvl[[#All],[ID_level]:[Leveling Name]],2,0),"-")</f>
        <v>Supervisor</v>
      </c>
      <c r="Q1015" s="74" t="str">
        <f>_xlfn.IFNA(VLOOKUP(db_emp[[#This Row],[Code_site]],[1]!db_site[[ID_Site]:[Url_maps]],3,0),"-")</f>
        <v>Unit - Taman Anggrek Residences</v>
      </c>
      <c r="R101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220107,'Ismail','GNS','','Cleaning &amp; Landscape Supervisor','LV09','','A01','Resign','1900-01-00','2025-10-24'</v>
      </c>
      <c r="S1015" s="74">
        <f>db_emp[[#This Row],[NIP (UPDATE)]]</f>
        <v>220107</v>
      </c>
    </row>
    <row r="1016" spans="2:19" hidden="1" x14ac:dyDescent="0.25">
      <c r="B1016" s="80">
        <v>986</v>
      </c>
      <c r="C1016" s="75">
        <v>220136</v>
      </c>
      <c r="D1016" s="74" t="s">
        <v>2304</v>
      </c>
      <c r="E1016" s="75" t="s">
        <v>2108</v>
      </c>
      <c r="F1016" s="75"/>
      <c r="G1016" s="74" t="s">
        <v>1760</v>
      </c>
      <c r="H1016" s="75" t="s">
        <v>870</v>
      </c>
      <c r="I1016" s="74"/>
      <c r="J1016" s="75" t="s">
        <v>315</v>
      </c>
      <c r="K1016" s="80" t="s">
        <v>903</v>
      </c>
      <c r="L1016" s="76"/>
      <c r="M1016" s="77">
        <f t="shared" ca="1" si="30"/>
        <v>45954</v>
      </c>
      <c r="N1016" s="74" t="str">
        <f>_xlfn.IFNA(VLOOKUP(db_emp[[#This Row],[ID_DIV]],[1]!db_dpt[[Code_dpt]:[Departement]],2,0),"-")</f>
        <v>-</v>
      </c>
      <c r="O1016" s="74" t="str">
        <f>_xlfn.IFNA(VLOOKUP(db_emp[[#This Row],[ID_SDP]],[1]!db_div[[Code_div]:[Division]],2,0),"-")</f>
        <v>-</v>
      </c>
      <c r="P1016" s="74" t="str">
        <f>_xlfn.IFNA(VLOOKUP(db_emp[[#This Row],[Code_lvl]],[1]!db_lvl[[#All],[ID_level]:[Leveling Name]],2,0),"-")</f>
        <v>Supervisor</v>
      </c>
      <c r="Q1016" s="74" t="str">
        <f>_xlfn.IFNA(VLOOKUP(db_emp[[#This Row],[Code_site]],[1]!db_site[[ID_Site]:[Url_maps]],3,0),"-")</f>
        <v>Head Office - ASGO</v>
      </c>
      <c r="R101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220136,'Agus Noble Amd','PRO','','Procurement Supervisor','LV09','','O99','Resign','1900-01-00','2025-10-24'</v>
      </c>
      <c r="S1016" s="74">
        <f>db_emp[[#This Row],[NIP (UPDATE)]]</f>
        <v>220136</v>
      </c>
    </row>
    <row r="1017" spans="2:19" hidden="1" x14ac:dyDescent="0.25">
      <c r="B1017" s="75">
        <v>987</v>
      </c>
      <c r="C1017" s="75">
        <v>220138</v>
      </c>
      <c r="D1017" s="74" t="s">
        <v>2305</v>
      </c>
      <c r="E1017" s="75" t="s">
        <v>845</v>
      </c>
      <c r="F1017" s="75"/>
      <c r="G1017" s="74" t="s">
        <v>1900</v>
      </c>
      <c r="H1017" s="75" t="s">
        <v>870</v>
      </c>
      <c r="I1017" s="74"/>
      <c r="J1017" s="75" t="s">
        <v>433</v>
      </c>
      <c r="K1017" s="80" t="s">
        <v>903</v>
      </c>
      <c r="L1017" s="76"/>
      <c r="M1017" s="77">
        <f t="shared" ca="1" si="30"/>
        <v>45954</v>
      </c>
      <c r="N1017" s="74" t="str">
        <f>_xlfn.IFNA(VLOOKUP(db_emp[[#This Row],[ID_DIV]],[1]!db_dpt[[Code_dpt]:[Departement]],2,0),"-")</f>
        <v>Finance &amp; Accounting</v>
      </c>
      <c r="O1017" s="74" t="str">
        <f>_xlfn.IFNA(VLOOKUP(db_emp[[#This Row],[ID_SDP]],[1]!db_div[[Code_div]:[Division]],2,0),"-")</f>
        <v>-</v>
      </c>
      <c r="P1017" s="74" t="str">
        <f>_xlfn.IFNA(VLOOKUP(db_emp[[#This Row],[Code_lvl]],[1]!db_lvl[[#All],[ID_level]:[Leveling Name]],2,0),"-")</f>
        <v>Supervisor</v>
      </c>
      <c r="Q1017" s="74" t="str">
        <f>_xlfn.IFNA(VLOOKUP(db_emp[[#This Row],[Code_site]],[1]!db_site[[ID_Site]:[Url_maps]],3,0),"-")</f>
        <v>Unit - Taman Anggrek Residences</v>
      </c>
      <c r="R101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220138,'Hairul Fuadi B. Rastim','FIN','','Tax Supervisor','LV09','','A01','Resign','1900-01-00','2025-10-24'</v>
      </c>
      <c r="S1017" s="74">
        <f>db_emp[[#This Row],[NIP (UPDATE)]]</f>
        <v>220138</v>
      </c>
    </row>
    <row r="1018" spans="2:19" hidden="1" x14ac:dyDescent="0.25">
      <c r="B1018" s="75">
        <v>988</v>
      </c>
      <c r="C1018" s="75">
        <v>220139</v>
      </c>
      <c r="D1018" s="74" t="s">
        <v>2306</v>
      </c>
      <c r="E1018" s="75" t="s">
        <v>1018</v>
      </c>
      <c r="F1018" s="75"/>
      <c r="G1018" s="74" t="s">
        <v>2307</v>
      </c>
      <c r="H1018" s="75" t="s">
        <v>973</v>
      </c>
      <c r="I1018" s="74"/>
      <c r="J1018" s="75" t="s">
        <v>314</v>
      </c>
      <c r="K1018" s="80" t="s">
        <v>903</v>
      </c>
      <c r="L1018" s="76"/>
      <c r="M1018" s="77">
        <f t="shared" ca="1" si="30"/>
        <v>45954</v>
      </c>
      <c r="N1018" s="74" t="str">
        <f>_xlfn.IFNA(VLOOKUP(db_emp[[#This Row],[ID_DIV]],[1]!db_dpt[[Code_dpt]:[Departement]],2,0),"-")</f>
        <v>Operational</v>
      </c>
      <c r="O1018" s="74" t="str">
        <f>_xlfn.IFNA(VLOOKUP(db_emp[[#This Row],[ID_SDP]],[1]!db_div[[Code_div]:[Division]],2,0),"-")</f>
        <v>-</v>
      </c>
      <c r="P1018" s="74" t="str">
        <f>_xlfn.IFNA(VLOOKUP(db_emp[[#This Row],[Code_lvl]],[1]!db_lvl[[#All],[ID_level]:[Leveling Name]],2,0),"-")</f>
        <v>General Manager</v>
      </c>
      <c r="Q1018" s="74" t="str">
        <f>_xlfn.IFNA(VLOOKUP(db_emp[[#This Row],[Code_site]],[1]!db_site[[ID_Site]:[Url_maps]],3,0),"-")</f>
        <v>Unit - MOI</v>
      </c>
      <c r="R101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220139,'Iwan Wijaya','OPR','','GM Mall','LV02','','M02','Resign','1900-01-00','2025-10-24'</v>
      </c>
      <c r="S1018" s="74">
        <f>db_emp[[#This Row],[NIP (UPDATE)]]</f>
        <v>220139</v>
      </c>
    </row>
    <row r="1019" spans="2:19" hidden="1" x14ac:dyDescent="0.25">
      <c r="B1019" s="75">
        <v>989</v>
      </c>
      <c r="C1019" s="75">
        <v>220144</v>
      </c>
      <c r="D1019" s="74" t="s">
        <v>2308</v>
      </c>
      <c r="E1019" s="75" t="s">
        <v>2108</v>
      </c>
      <c r="F1019" s="75"/>
      <c r="G1019" s="74" t="s">
        <v>1760</v>
      </c>
      <c r="H1019" s="75" t="s">
        <v>870</v>
      </c>
      <c r="I1019" s="74"/>
      <c r="J1019" s="75" t="s">
        <v>315</v>
      </c>
      <c r="K1019" s="80" t="s">
        <v>903</v>
      </c>
      <c r="L1019" s="76"/>
      <c r="M1019" s="77">
        <f t="shared" ca="1" si="30"/>
        <v>45954</v>
      </c>
      <c r="N1019" s="74" t="str">
        <f>_xlfn.IFNA(VLOOKUP(db_emp[[#This Row],[ID_DIV]],[1]!db_dpt[[Code_dpt]:[Departement]],2,0),"-")</f>
        <v>-</v>
      </c>
      <c r="O1019" s="74" t="str">
        <f>_xlfn.IFNA(VLOOKUP(db_emp[[#This Row],[ID_SDP]],[1]!db_div[[Code_div]:[Division]],2,0),"-")</f>
        <v>-</v>
      </c>
      <c r="P1019" s="74" t="str">
        <f>_xlfn.IFNA(VLOOKUP(db_emp[[#This Row],[Code_lvl]],[1]!db_lvl[[#All],[ID_level]:[Leveling Name]],2,0),"-")</f>
        <v>Supervisor</v>
      </c>
      <c r="Q1019" s="74" t="str">
        <f>_xlfn.IFNA(VLOOKUP(db_emp[[#This Row],[Code_site]],[1]!db_site[[ID_Site]:[Url_maps]],3,0),"-")</f>
        <v>Head Office - ASGO</v>
      </c>
      <c r="R101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220144,'Dedi Rahmad','PRO','','Procurement Supervisor','LV09','','O99','Resign','1900-01-00','2025-10-24'</v>
      </c>
      <c r="S1019" s="74">
        <f>db_emp[[#This Row],[NIP (UPDATE)]]</f>
        <v>220144</v>
      </c>
    </row>
    <row r="1020" spans="2:19" hidden="1" x14ac:dyDescent="0.25">
      <c r="B1020" s="75" t="s">
        <v>2413</v>
      </c>
      <c r="C1020" s="75">
        <v>220163</v>
      </c>
      <c r="D1020" s="74" t="s">
        <v>267</v>
      </c>
      <c r="E1020" s="75" t="s">
        <v>1566</v>
      </c>
      <c r="F1020" s="75"/>
      <c r="G1020" s="74" t="s">
        <v>2309</v>
      </c>
      <c r="H1020" s="75" t="s">
        <v>870</v>
      </c>
      <c r="I1020" s="74"/>
      <c r="J1020" s="75" t="s">
        <v>315</v>
      </c>
      <c r="K1020" s="80" t="s">
        <v>903</v>
      </c>
      <c r="L1020" s="76"/>
      <c r="M1020" s="77">
        <f t="shared" ca="1" si="30"/>
        <v>45954</v>
      </c>
      <c r="N1020" s="74" t="str">
        <f>_xlfn.IFNA(VLOOKUP(db_emp[[#This Row],[ID_DIV]],[1]!db_dpt[[Code_dpt]:[Departement]],2,0),"-")</f>
        <v>IT</v>
      </c>
      <c r="O1020" s="74" t="str">
        <f>_xlfn.IFNA(VLOOKUP(db_emp[[#This Row],[ID_SDP]],[1]!db_div[[Code_div]:[Division]],2,0),"-")</f>
        <v>-</v>
      </c>
      <c r="P1020" s="74" t="str">
        <f>_xlfn.IFNA(VLOOKUP(db_emp[[#This Row],[Code_lvl]],[1]!db_lvl[[#All],[ID_level]:[Leveling Name]],2,0),"-")</f>
        <v>Supervisor</v>
      </c>
      <c r="Q1020" s="74" t="str">
        <f>_xlfn.IFNA(VLOOKUP(db_emp[[#This Row],[Code_site]],[1]!db_site[[ID_Site]:[Url_maps]],3,0),"-")</f>
        <v>Head Office - ASGO</v>
      </c>
      <c r="R102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220163,'Teguh Putra Sofyanto','ITD','','IT Infrastructure Supervisor','LV09','','O99','Resign','1900-01-00','2025-10-24'</v>
      </c>
      <c r="S1020" s="74">
        <f>db_emp[[#This Row],[NIP (UPDATE)]]</f>
        <v>220163</v>
      </c>
    </row>
    <row r="1021" spans="2:19" hidden="1" x14ac:dyDescent="0.25">
      <c r="B1021" s="75">
        <v>991</v>
      </c>
      <c r="C1021" s="75">
        <v>220185</v>
      </c>
      <c r="D1021" s="74" t="s">
        <v>2310</v>
      </c>
      <c r="E1021" s="75" t="s">
        <v>2077</v>
      </c>
      <c r="F1021" s="75"/>
      <c r="G1021" s="74" t="s">
        <v>1933</v>
      </c>
      <c r="H1021" s="80" t="s">
        <v>853</v>
      </c>
      <c r="I1021" s="74"/>
      <c r="J1021" s="75" t="s">
        <v>492</v>
      </c>
      <c r="K1021" s="80" t="s">
        <v>903</v>
      </c>
      <c r="L1021" s="76"/>
      <c r="M1021" s="77">
        <f t="shared" ca="1" si="30"/>
        <v>45954</v>
      </c>
      <c r="N1021" s="74" t="str">
        <f>_xlfn.IFNA(VLOOKUP(db_emp[[#This Row],[ID_DIV]],[1]!db_dpt[[Code_dpt]:[Departement]],2,0),"-")</f>
        <v>-</v>
      </c>
      <c r="O1021" s="74" t="str">
        <f>_xlfn.IFNA(VLOOKUP(db_emp[[#This Row],[ID_SDP]],[1]!db_div[[Code_div]:[Division]],2,0),"-")</f>
        <v>-</v>
      </c>
      <c r="P1021" s="74" t="str">
        <f>_xlfn.IFNA(VLOOKUP(db_emp[[#This Row],[Code_lvl]],[1]!db_lvl[[#All],[ID_level]:[Leveling Name]],2,0),"-")</f>
        <v>Staff</v>
      </c>
      <c r="Q1021" s="74" t="str">
        <f>_xlfn.IFNA(VLOOKUP(db_emp[[#This Row],[Code_site]],[1]!db_site[[ID_Site]:[Url_maps]],3,0),"-")</f>
        <v>Unit - Hublife</v>
      </c>
      <c r="R102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220185,'Yogo Susanto','GNT','','Tenant Relation Staff','LV12','','M05','Resign','1900-01-00','2025-10-24'</v>
      </c>
      <c r="S1021" s="74">
        <f>db_emp[[#This Row],[NIP (UPDATE)]]</f>
        <v>220185</v>
      </c>
    </row>
    <row r="1022" spans="2:19" hidden="1" x14ac:dyDescent="0.25">
      <c r="B1022" s="75">
        <v>992</v>
      </c>
      <c r="C1022" s="75">
        <v>220200</v>
      </c>
      <c r="D1022" s="74" t="s">
        <v>2311</v>
      </c>
      <c r="E1022" s="75" t="s">
        <v>911</v>
      </c>
      <c r="F1022" s="75"/>
      <c r="G1022" s="74" t="s">
        <v>1184</v>
      </c>
      <c r="H1022" s="80" t="s">
        <v>853</v>
      </c>
      <c r="I1022" s="74"/>
      <c r="J1022" s="75" t="s">
        <v>484</v>
      </c>
      <c r="K1022" s="80" t="s">
        <v>903</v>
      </c>
      <c r="L1022" s="76"/>
      <c r="M1022" s="77">
        <f t="shared" ca="1" si="30"/>
        <v>45954</v>
      </c>
      <c r="N1022" s="74" t="str">
        <f>_xlfn.IFNA(VLOOKUP(db_emp[[#This Row],[ID_DIV]],[1]!db_dpt[[Code_dpt]:[Departement]],2,0),"-")</f>
        <v>Engineering</v>
      </c>
      <c r="O1022" s="74" t="str">
        <f>_xlfn.IFNA(VLOOKUP(db_emp[[#This Row],[ID_SDP]],[1]!db_div[[Code_div]:[Division]],2,0),"-")</f>
        <v>-</v>
      </c>
      <c r="P1022" s="74" t="str">
        <f>_xlfn.IFNA(VLOOKUP(db_emp[[#This Row],[Code_lvl]],[1]!db_lvl[[#All],[ID_level]:[Leveling Name]],2,0),"-")</f>
        <v>Staff</v>
      </c>
      <c r="Q1022" s="74" t="str">
        <f>_xlfn.IFNA(VLOOKUP(db_emp[[#This Row],[Code_site]],[1]!db_site[[ID_Site]:[Url_maps]],3,0),"-")</f>
        <v>Unit - PIK Avenue</v>
      </c>
      <c r="R102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220200,'Abdul Khalim','ENG','','Electrical Staff','LV12','','M01','Resign','1900-01-00','2025-10-24'</v>
      </c>
      <c r="S1022" s="74">
        <f>db_emp[[#This Row],[NIP (UPDATE)]]</f>
        <v>220200</v>
      </c>
    </row>
    <row r="1023" spans="2:19" hidden="1" x14ac:dyDescent="0.25">
      <c r="B1023" s="75">
        <v>993</v>
      </c>
      <c r="C1023" s="75">
        <v>220284</v>
      </c>
      <c r="D1023" s="74" t="s">
        <v>2312</v>
      </c>
      <c r="E1023" s="75" t="s">
        <v>130</v>
      </c>
      <c r="F1023" s="75"/>
      <c r="G1023" s="74" t="s">
        <v>1723</v>
      </c>
      <c r="H1023" s="75" t="s">
        <v>870</v>
      </c>
      <c r="I1023" s="74"/>
      <c r="J1023" s="75" t="s">
        <v>315</v>
      </c>
      <c r="K1023" s="80" t="s">
        <v>903</v>
      </c>
      <c r="L1023" s="76"/>
      <c r="M1023" s="77">
        <f t="shared" ca="1" si="30"/>
        <v>45954</v>
      </c>
      <c r="N1023" s="74" t="str">
        <f>_xlfn.IFNA(VLOOKUP(db_emp[[#This Row],[ID_DIV]],[1]!db_dpt[[Code_dpt]:[Departement]],2,0),"-")</f>
        <v>-</v>
      </c>
      <c r="O1023" s="74" t="str">
        <f>_xlfn.IFNA(VLOOKUP(db_emp[[#This Row],[ID_SDP]],[1]!db_div[[Code_div]:[Division]],2,0),"-")</f>
        <v>-</v>
      </c>
      <c r="P1023" s="74" t="str">
        <f>_xlfn.IFNA(VLOOKUP(db_emp[[#This Row],[Code_lvl]],[1]!db_lvl[[#All],[ID_level]:[Leveling Name]],2,0),"-")</f>
        <v>Supervisor</v>
      </c>
      <c r="Q1023" s="74" t="str">
        <f>_xlfn.IFNA(VLOOKUP(db_emp[[#This Row],[Code_site]],[1]!db_site[[ID_Site]:[Url_maps]],3,0),"-")</f>
        <v>Head Office - ASGO</v>
      </c>
      <c r="R102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220284,'Raras Annisa Ningtyas','HRD','','People Development Supervisor','LV09','','O99','Resign','1900-01-00','2025-10-24'</v>
      </c>
      <c r="S1023" s="74">
        <f>db_emp[[#This Row],[NIP (UPDATE)]]</f>
        <v>220284</v>
      </c>
    </row>
    <row r="1024" spans="2:19" hidden="1" x14ac:dyDescent="0.25">
      <c r="B1024" s="80">
        <v>994</v>
      </c>
      <c r="C1024" s="75">
        <v>220297</v>
      </c>
      <c r="D1024" s="74" t="s">
        <v>2313</v>
      </c>
      <c r="E1024" s="75" t="s">
        <v>2270</v>
      </c>
      <c r="F1024" s="75"/>
      <c r="G1024" s="74" t="s">
        <v>2314</v>
      </c>
      <c r="H1024" s="75" t="s">
        <v>953</v>
      </c>
      <c r="I1024" s="74"/>
      <c r="J1024" s="75" t="s">
        <v>315</v>
      </c>
      <c r="K1024" s="80" t="s">
        <v>903</v>
      </c>
      <c r="L1024" s="76"/>
      <c r="M1024" s="77">
        <f t="shared" ca="1" si="30"/>
        <v>45954</v>
      </c>
      <c r="N1024" s="74" t="str">
        <f>_xlfn.IFNA(VLOOKUP(db_emp[[#This Row],[ID_DIV]],[1]!db_dpt[[Code_dpt]:[Departement]],2,0),"-")</f>
        <v>-</v>
      </c>
      <c r="O1024" s="74" t="str">
        <f>_xlfn.IFNA(VLOOKUP(db_emp[[#This Row],[ID_SDP]],[1]!db_div[[Code_div]:[Division]],2,0),"-")</f>
        <v>-</v>
      </c>
      <c r="P1024" s="74" t="str">
        <f>_xlfn.IFNA(VLOOKUP(db_emp[[#This Row],[Code_lvl]],[1]!db_lvl[[#All],[ID_level]:[Leveling Name]],2,0),"-")</f>
        <v>Manager</v>
      </c>
      <c r="Q1024" s="74" t="str">
        <f>_xlfn.IFNA(VLOOKUP(db_emp[[#This Row],[Code_site]],[1]!db_site[[ID_Site]:[Url_maps]],3,0),"-")</f>
        <v>Head Office - ASGO</v>
      </c>
      <c r="R102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220297,'Arthur Tirtarahardja','INN','','Innovation Parthership Manager','LV05','','O99','Resign','1900-01-00','2025-10-24'</v>
      </c>
      <c r="S1024" s="74">
        <f>db_emp[[#This Row],[NIP (UPDATE)]]</f>
        <v>220297</v>
      </c>
    </row>
    <row r="1025" spans="2:19" hidden="1" x14ac:dyDescent="0.25">
      <c r="B1025" s="75">
        <v>995</v>
      </c>
      <c r="C1025" s="75">
        <v>220298</v>
      </c>
      <c r="D1025" s="74" t="s">
        <v>2315</v>
      </c>
      <c r="E1025" s="75" t="s">
        <v>911</v>
      </c>
      <c r="F1025" s="75"/>
      <c r="G1025" s="74" t="s">
        <v>1184</v>
      </c>
      <c r="H1025" s="80" t="s">
        <v>853</v>
      </c>
      <c r="I1025" s="74"/>
      <c r="J1025" s="75" t="s">
        <v>484</v>
      </c>
      <c r="K1025" s="80" t="s">
        <v>903</v>
      </c>
      <c r="L1025" s="76"/>
      <c r="M1025" s="77">
        <f t="shared" ca="1" si="30"/>
        <v>45954</v>
      </c>
      <c r="N1025" s="74" t="str">
        <f>_xlfn.IFNA(VLOOKUP(db_emp[[#This Row],[ID_DIV]],[1]!db_dpt[[Code_dpt]:[Departement]],2,0),"-")</f>
        <v>Engineering</v>
      </c>
      <c r="O1025" s="74" t="str">
        <f>_xlfn.IFNA(VLOOKUP(db_emp[[#This Row],[ID_SDP]],[1]!db_div[[Code_div]:[Division]],2,0),"-")</f>
        <v>-</v>
      </c>
      <c r="P1025" s="74" t="str">
        <f>_xlfn.IFNA(VLOOKUP(db_emp[[#This Row],[Code_lvl]],[1]!db_lvl[[#All],[ID_level]:[Leveling Name]],2,0),"-")</f>
        <v>Staff</v>
      </c>
      <c r="Q1025" s="74" t="str">
        <f>_xlfn.IFNA(VLOOKUP(db_emp[[#This Row],[Code_site]],[1]!db_site[[ID_Site]:[Url_maps]],3,0),"-")</f>
        <v>Unit - PIK Avenue</v>
      </c>
      <c r="R102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220298,'Darul Ulum','ENG','','Electrical Staff','LV12','','M01','Resign','1900-01-00','2025-10-24'</v>
      </c>
      <c r="S1025" s="74">
        <f>db_emp[[#This Row],[NIP (UPDATE)]]</f>
        <v>220298</v>
      </c>
    </row>
    <row r="1026" spans="2:19" hidden="1" x14ac:dyDescent="0.25">
      <c r="B1026" s="75">
        <v>996</v>
      </c>
      <c r="C1026" s="75">
        <v>220302</v>
      </c>
      <c r="D1026" s="74" t="s">
        <v>2316</v>
      </c>
      <c r="E1026" s="75" t="s">
        <v>1042</v>
      </c>
      <c r="F1026" s="75"/>
      <c r="G1026" s="74" t="s">
        <v>1474</v>
      </c>
      <c r="H1026" s="80" t="s">
        <v>853</v>
      </c>
      <c r="I1026" s="74"/>
      <c r="J1026" s="75" t="s">
        <v>464</v>
      </c>
      <c r="K1026" s="80" t="s">
        <v>903</v>
      </c>
      <c r="L1026" s="76"/>
      <c r="M1026" s="77">
        <f t="shared" ca="1" si="30"/>
        <v>45954</v>
      </c>
      <c r="N1026" s="74" t="str">
        <f>_xlfn.IFNA(VLOOKUP(db_emp[[#This Row],[ID_DIV]],[1]!db_dpt[[Code_dpt]:[Departement]],2,0),"-")</f>
        <v>Cinema</v>
      </c>
      <c r="O1026" s="74" t="str">
        <f>_xlfn.IFNA(VLOOKUP(db_emp[[#This Row],[ID_SDP]],[1]!db_div[[Code_div]:[Division]],2,0),"-")</f>
        <v>-</v>
      </c>
      <c r="P1026" s="74" t="str">
        <f>_xlfn.IFNA(VLOOKUP(db_emp[[#This Row],[Code_lvl]],[1]!db_lvl[[#All],[ID_level]:[Leveling Name]],2,0),"-")</f>
        <v>Staff</v>
      </c>
      <c r="Q1026" s="74" t="str">
        <f>_xlfn.IFNA(VLOOKUP(db_emp[[#This Row],[Code_site]],[1]!db_site[[ID_Site]:[Url_maps]],3,0),"-")</f>
        <v>Unit - FLIX GGP</v>
      </c>
      <c r="R102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220302,'M. Shidqi Wihendra','CIN','','Graphic Design Staff','LV12','','F03','Resign','1900-01-00','2025-10-24'</v>
      </c>
      <c r="S1026" s="74">
        <f>db_emp[[#This Row],[NIP (UPDATE)]]</f>
        <v>220302</v>
      </c>
    </row>
    <row r="1027" spans="2:19" hidden="1" x14ac:dyDescent="0.25">
      <c r="B1027" s="75">
        <v>997</v>
      </c>
      <c r="C1027" s="75">
        <v>220351</v>
      </c>
      <c r="D1027" s="74" t="s">
        <v>2317</v>
      </c>
      <c r="E1027" s="75" t="s">
        <v>845</v>
      </c>
      <c r="F1027" s="75"/>
      <c r="G1027" s="74" t="s">
        <v>898</v>
      </c>
      <c r="H1027" s="80" t="s">
        <v>853</v>
      </c>
      <c r="I1027" s="74"/>
      <c r="J1027" s="75" t="s">
        <v>315</v>
      </c>
      <c r="K1027" s="80" t="s">
        <v>903</v>
      </c>
      <c r="L1027" s="76"/>
      <c r="M1027" s="77">
        <f t="shared" ca="1" si="30"/>
        <v>45954</v>
      </c>
      <c r="N1027" s="74" t="str">
        <f>_xlfn.IFNA(VLOOKUP(db_emp[[#This Row],[ID_DIV]],[1]!db_dpt[[Code_dpt]:[Departement]],2,0),"-")</f>
        <v>Finance &amp; Accounting</v>
      </c>
      <c r="O1027" s="74" t="str">
        <f>_xlfn.IFNA(VLOOKUP(db_emp[[#This Row],[ID_SDP]],[1]!db_div[[Code_div]:[Division]],2,0),"-")</f>
        <v>-</v>
      </c>
      <c r="P1027" s="74" t="str">
        <f>_xlfn.IFNA(VLOOKUP(db_emp[[#This Row],[Code_lvl]],[1]!db_lvl[[#All],[ID_level]:[Leveling Name]],2,0),"-")</f>
        <v>Staff</v>
      </c>
      <c r="Q1027" s="74" t="str">
        <f>_xlfn.IFNA(VLOOKUP(db_emp[[#This Row],[Code_site]],[1]!db_site[[ID_Site]:[Url_maps]],3,0),"-")</f>
        <v>Head Office - ASGO</v>
      </c>
      <c r="R102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220351,'Andri Prastya','FIN','','Accounting Staff','LV12','','O99','Resign','1900-01-00','2025-10-24'</v>
      </c>
      <c r="S1027" s="74">
        <f>db_emp[[#This Row],[NIP (UPDATE)]]</f>
        <v>220351</v>
      </c>
    </row>
    <row r="1028" spans="2:19" hidden="1" x14ac:dyDescent="0.25">
      <c r="B1028" s="80">
        <v>998</v>
      </c>
      <c r="C1028" s="75">
        <v>220352</v>
      </c>
      <c r="D1028" s="74" t="s">
        <v>2318</v>
      </c>
      <c r="E1028" s="75" t="s">
        <v>2238</v>
      </c>
      <c r="F1028" s="75"/>
      <c r="G1028" s="74" t="s">
        <v>1806</v>
      </c>
      <c r="H1028" s="75" t="s">
        <v>870</v>
      </c>
      <c r="I1028" s="74"/>
      <c r="J1028" s="75" t="s">
        <v>315</v>
      </c>
      <c r="K1028" s="80" t="s">
        <v>903</v>
      </c>
      <c r="L1028" s="76"/>
      <c r="M1028" s="77">
        <f t="shared" ca="1" si="30"/>
        <v>45954</v>
      </c>
      <c r="N1028" s="74" t="str">
        <f>_xlfn.IFNA(VLOOKUP(db_emp[[#This Row],[ID_DIV]],[1]!db_dpt[[Code_dpt]:[Departement]],2,0),"-")</f>
        <v>-</v>
      </c>
      <c r="O1028" s="74" t="str">
        <f>_xlfn.IFNA(VLOOKUP(db_emp[[#This Row],[ID_SDP]],[1]!db_div[[Code_div]:[Division]],2,0),"-")</f>
        <v>-</v>
      </c>
      <c r="P1028" s="74" t="str">
        <f>_xlfn.IFNA(VLOOKUP(db_emp[[#This Row],[Code_lvl]],[1]!db_lvl[[#All],[ID_level]:[Leveling Name]],2,0),"-")</f>
        <v>Supervisor</v>
      </c>
      <c r="Q1028" s="74" t="str">
        <f>_xlfn.IFNA(VLOOKUP(db_emp[[#This Row],[Code_site]],[1]!db_site[[ID_Site]:[Url_maps]],3,0),"-")</f>
        <v>Head Office - ASGO</v>
      </c>
      <c r="R102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220352,'Mas Aji Adi Pramono','RDV','','Research &amp; Development Supervisor','LV09','','O99','Resign','1900-01-00','2025-10-24'</v>
      </c>
      <c r="S1028" s="74">
        <f>db_emp[[#This Row],[NIP (UPDATE)]]</f>
        <v>220352</v>
      </c>
    </row>
    <row r="1029" spans="2:19" hidden="1" x14ac:dyDescent="0.25">
      <c r="B1029" s="75">
        <v>999</v>
      </c>
      <c r="C1029" s="75">
        <v>220354</v>
      </c>
      <c r="D1029" s="74" t="s">
        <v>2319</v>
      </c>
      <c r="E1029" s="75" t="s">
        <v>2077</v>
      </c>
      <c r="F1029" s="75"/>
      <c r="G1029" s="74" t="s">
        <v>2174</v>
      </c>
      <c r="H1029" s="75" t="s">
        <v>853</v>
      </c>
      <c r="I1029" s="74"/>
      <c r="J1029" s="75" t="s">
        <v>314</v>
      </c>
      <c r="K1029" s="80" t="s">
        <v>903</v>
      </c>
      <c r="L1029" s="76"/>
      <c r="M1029" s="77">
        <f t="shared" ca="1" si="30"/>
        <v>45954</v>
      </c>
      <c r="N1029" s="74" t="str">
        <f>_xlfn.IFNA(VLOOKUP(db_emp[[#This Row],[ID_DIV]],[1]!db_dpt[[Code_dpt]:[Departement]],2,0),"-")</f>
        <v>-</v>
      </c>
      <c r="O1029" s="74" t="str">
        <f>_xlfn.IFNA(VLOOKUP(db_emp[[#This Row],[ID_SDP]],[1]!db_div[[Code_div]:[Division]],2,0),"-")</f>
        <v>-</v>
      </c>
      <c r="P1029" s="74" t="str">
        <f>_xlfn.IFNA(VLOOKUP(db_emp[[#This Row],[Code_lvl]],[1]!db_lvl[[#All],[ID_level]:[Leveling Name]],2,0),"-")</f>
        <v>Staff</v>
      </c>
      <c r="Q1029" s="74" t="str">
        <f>_xlfn.IFNA(VLOOKUP(db_emp[[#This Row],[Code_site]],[1]!db_site[[ID_Site]:[Url_maps]],3,0),"-")</f>
        <v>Unit - MOI</v>
      </c>
      <c r="R102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220354,'Aris Gunawan','GNT','','GEA Leader','LV12','','M02','Resign','1900-01-00','2025-10-24'</v>
      </c>
      <c r="S1029" s="74">
        <f>db_emp[[#This Row],[NIP (UPDATE)]]</f>
        <v>220354</v>
      </c>
    </row>
    <row r="1030" spans="2:19" hidden="1" x14ac:dyDescent="0.25">
      <c r="B1030" s="75">
        <v>1000</v>
      </c>
      <c r="C1030" s="75">
        <v>220355</v>
      </c>
      <c r="D1030" s="74" t="s">
        <v>2320</v>
      </c>
      <c r="E1030" s="75" t="s">
        <v>1018</v>
      </c>
      <c r="F1030" s="75"/>
      <c r="G1030" s="74" t="s">
        <v>1808</v>
      </c>
      <c r="H1030" s="75" t="s">
        <v>870</v>
      </c>
      <c r="I1030" s="74"/>
      <c r="J1030" s="75" t="s">
        <v>314</v>
      </c>
      <c r="K1030" s="80" t="s">
        <v>903</v>
      </c>
      <c r="L1030" s="76"/>
      <c r="M1030" s="77">
        <f t="shared" ca="1" si="30"/>
        <v>45954</v>
      </c>
      <c r="N1030" s="74" t="str">
        <f>_xlfn.IFNA(VLOOKUP(db_emp[[#This Row],[ID_DIV]],[1]!db_dpt[[Code_dpt]:[Departement]],2,0),"-")</f>
        <v>Operational</v>
      </c>
      <c r="O1030" s="74" t="str">
        <f>_xlfn.IFNA(VLOOKUP(db_emp[[#This Row],[ID_SDP]],[1]!db_div[[Code_div]:[Division]],2,0),"-")</f>
        <v>-</v>
      </c>
      <c r="P1030" s="74" t="str">
        <f>_xlfn.IFNA(VLOOKUP(db_emp[[#This Row],[Code_lvl]],[1]!db_lvl[[#All],[ID_level]:[Leveling Name]],2,0),"-")</f>
        <v>Supervisor</v>
      </c>
      <c r="Q1030" s="74" t="str">
        <f>_xlfn.IFNA(VLOOKUP(db_emp[[#This Row],[Code_site]],[1]!db_site[[ID_Site]:[Url_maps]],3,0),"-")</f>
        <v>Unit - MOI</v>
      </c>
      <c r="R103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220355,'Tunjung Tri Wibowo','OPR','','Safety Supervisor','LV09','','M02','Resign','1900-01-00','2025-10-24'</v>
      </c>
      <c r="S1030" s="74">
        <f>db_emp[[#This Row],[NIP (UPDATE)]]</f>
        <v>220355</v>
      </c>
    </row>
    <row r="1031" spans="2:19" hidden="1" x14ac:dyDescent="0.25">
      <c r="B1031" s="75">
        <v>1001</v>
      </c>
      <c r="C1031" s="75">
        <v>220379</v>
      </c>
      <c r="D1031" s="74" t="s">
        <v>2321</v>
      </c>
      <c r="E1031" s="75" t="s">
        <v>2167</v>
      </c>
      <c r="F1031" s="75"/>
      <c r="G1031" s="74" t="s">
        <v>1540</v>
      </c>
      <c r="H1031" s="80" t="s">
        <v>853</v>
      </c>
      <c r="I1031" s="74"/>
      <c r="J1031" s="75" t="s">
        <v>433</v>
      </c>
      <c r="K1031" s="80" t="s">
        <v>903</v>
      </c>
      <c r="L1031" s="76"/>
      <c r="M1031" s="77">
        <f t="shared" ref="M1031:M1094" ca="1" si="31">TODAY()+1</f>
        <v>45954</v>
      </c>
      <c r="N1031" s="74" t="str">
        <f>_xlfn.IFNA(VLOOKUP(db_emp[[#This Row],[ID_DIV]],[1]!db_dpt[[Code_dpt]:[Departement]],2,0),"-")</f>
        <v>-</v>
      </c>
      <c r="O1031" s="74" t="str">
        <f>_xlfn.IFNA(VLOOKUP(db_emp[[#This Row],[ID_SDP]],[1]!db_div[[Code_div]:[Division]],2,0),"-")</f>
        <v>-</v>
      </c>
      <c r="P1031" s="74" t="str">
        <f>_xlfn.IFNA(VLOOKUP(db_emp[[#This Row],[Code_lvl]],[1]!db_lvl[[#All],[ID_level]:[Leveling Name]],2,0),"-")</f>
        <v>Staff</v>
      </c>
      <c r="Q1031" s="74" t="str">
        <f>_xlfn.IFNA(VLOOKUP(db_emp[[#This Row],[Code_site]],[1]!db_site[[ID_Site]:[Url_maps]],3,0),"-")</f>
        <v>Unit - Taman Anggrek Residences</v>
      </c>
      <c r="R103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220379,'Wildy Sukma Sutrisna','GNS','','HSE Staff','LV12','','A01','Resign','1900-01-00','2025-10-24'</v>
      </c>
      <c r="S1031" s="74">
        <f>db_emp[[#This Row],[NIP (UPDATE)]]</f>
        <v>220379</v>
      </c>
    </row>
    <row r="1032" spans="2:19" hidden="1" x14ac:dyDescent="0.25">
      <c r="B1032" s="80">
        <v>1002</v>
      </c>
      <c r="C1032" s="75">
        <v>220407</v>
      </c>
      <c r="D1032" s="74" t="s">
        <v>2322</v>
      </c>
      <c r="E1032" s="75" t="s">
        <v>2077</v>
      </c>
      <c r="F1032" s="75"/>
      <c r="G1032" s="74" t="s">
        <v>1933</v>
      </c>
      <c r="H1032" s="80" t="s">
        <v>853</v>
      </c>
      <c r="I1032" s="74"/>
      <c r="J1032" s="75" t="s">
        <v>484</v>
      </c>
      <c r="K1032" s="80" t="s">
        <v>903</v>
      </c>
      <c r="L1032" s="76"/>
      <c r="M1032" s="77">
        <f t="shared" ca="1" si="31"/>
        <v>45954</v>
      </c>
      <c r="N1032" s="74" t="str">
        <f>_xlfn.IFNA(VLOOKUP(db_emp[[#This Row],[ID_DIV]],[1]!db_dpt[[Code_dpt]:[Departement]],2,0),"-")</f>
        <v>-</v>
      </c>
      <c r="O1032" s="74" t="str">
        <f>_xlfn.IFNA(VLOOKUP(db_emp[[#This Row],[ID_SDP]],[1]!db_div[[Code_div]:[Division]],2,0),"-")</f>
        <v>-</v>
      </c>
      <c r="P1032" s="74" t="str">
        <f>_xlfn.IFNA(VLOOKUP(db_emp[[#This Row],[Code_lvl]],[1]!db_lvl[[#All],[ID_level]:[Leveling Name]],2,0),"-")</f>
        <v>Staff</v>
      </c>
      <c r="Q1032" s="74" t="str">
        <f>_xlfn.IFNA(VLOOKUP(db_emp[[#This Row],[Code_site]],[1]!db_site[[ID_Site]:[Url_maps]],3,0),"-")</f>
        <v>Unit - PIK Avenue</v>
      </c>
      <c r="R103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220407,'Anggi Sutrisno','GNT','','Tenant Relation Staff','LV12','','M01','Resign','1900-01-00','2025-10-24'</v>
      </c>
      <c r="S1032" s="74">
        <f>db_emp[[#This Row],[NIP (UPDATE)]]</f>
        <v>220407</v>
      </c>
    </row>
    <row r="1033" spans="2:19" hidden="1" x14ac:dyDescent="0.25">
      <c r="B1033" s="75">
        <v>1003</v>
      </c>
      <c r="C1033" s="75">
        <v>220471</v>
      </c>
      <c r="D1033" s="74" t="s">
        <v>2323</v>
      </c>
      <c r="E1033" s="75" t="s">
        <v>1042</v>
      </c>
      <c r="F1033" s="75"/>
      <c r="G1033" s="74" t="s">
        <v>1054</v>
      </c>
      <c r="H1033" s="75" t="s">
        <v>870</v>
      </c>
      <c r="I1033" s="74"/>
      <c r="J1033" s="75" t="s">
        <v>455</v>
      </c>
      <c r="K1033" s="80" t="s">
        <v>903</v>
      </c>
      <c r="L1033" s="76"/>
      <c r="M1033" s="77">
        <f t="shared" ca="1" si="31"/>
        <v>45954</v>
      </c>
      <c r="N1033" s="74" t="str">
        <f>_xlfn.IFNA(VLOOKUP(db_emp[[#This Row],[ID_DIV]],[1]!db_dpt[[Code_dpt]:[Departement]],2,0),"-")</f>
        <v>Cinema</v>
      </c>
      <c r="O1033" s="74" t="str">
        <f>_xlfn.IFNA(VLOOKUP(db_emp[[#This Row],[ID_SDP]],[1]!db_div[[Code_div]:[Division]],2,0),"-")</f>
        <v>-</v>
      </c>
      <c r="P1033" s="74" t="str">
        <f>_xlfn.IFNA(VLOOKUP(db_emp[[#This Row],[Code_lvl]],[1]!db_lvl[[#All],[ID_level]:[Leveling Name]],2,0),"-")</f>
        <v>Supervisor</v>
      </c>
      <c r="Q1033" s="74" t="str">
        <f>_xlfn.IFNA(VLOOKUP(db_emp[[#This Row],[Code_site]],[1]!db_site[[ID_Site]:[Url_maps]],3,0),"-")</f>
        <v>Unit - FLIX PIK Avenue</v>
      </c>
      <c r="R103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220471,'Abbel Abdulah','CIN','','Cinema Operation Supervisor','LV09','','F01','Resign','1900-01-00','2025-10-24'</v>
      </c>
      <c r="S1033" s="74">
        <f>db_emp[[#This Row],[NIP (UPDATE)]]</f>
        <v>220471</v>
      </c>
    </row>
    <row r="1034" spans="2:19" hidden="1" x14ac:dyDescent="0.25">
      <c r="B1034" s="75">
        <v>1004</v>
      </c>
      <c r="C1034" s="75">
        <v>220473</v>
      </c>
      <c r="D1034" s="74" t="s">
        <v>2324</v>
      </c>
      <c r="E1034" s="75" t="s">
        <v>130</v>
      </c>
      <c r="F1034" s="75"/>
      <c r="G1034" s="74" t="s">
        <v>2325</v>
      </c>
      <c r="H1034" s="75" t="s">
        <v>870</v>
      </c>
      <c r="I1034" s="74"/>
      <c r="J1034" s="75" t="s">
        <v>315</v>
      </c>
      <c r="K1034" s="80" t="s">
        <v>903</v>
      </c>
      <c r="L1034" s="76"/>
      <c r="M1034" s="77">
        <f t="shared" ca="1" si="31"/>
        <v>45954</v>
      </c>
      <c r="N1034" s="74" t="str">
        <f>_xlfn.IFNA(VLOOKUP(db_emp[[#This Row],[ID_DIV]],[1]!db_dpt[[Code_dpt]:[Departement]],2,0),"-")</f>
        <v>-</v>
      </c>
      <c r="O1034" s="74" t="str">
        <f>_xlfn.IFNA(VLOOKUP(db_emp[[#This Row],[ID_SDP]],[1]!db_div[[Code_div]:[Division]],2,0),"-")</f>
        <v>-</v>
      </c>
      <c r="P1034" s="74" t="str">
        <f>_xlfn.IFNA(VLOOKUP(db_emp[[#This Row],[Code_lvl]],[1]!db_lvl[[#All],[ID_level]:[Leveling Name]],2,0),"-")</f>
        <v>Supervisor</v>
      </c>
      <c r="Q1034" s="74" t="str">
        <f>_xlfn.IFNA(VLOOKUP(db_emp[[#This Row],[Code_site]],[1]!db_site[[ID_Site]:[Url_maps]],3,0),"-")</f>
        <v>Head Office - ASGO</v>
      </c>
      <c r="R103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220473,'Merry Glaedis Ingrid Waladow','HRD','','Compensation &amp; Benefit  Supervisor','LV09','','O99','Resign','1900-01-00','2025-10-24'</v>
      </c>
      <c r="S1034" s="74">
        <f>db_emp[[#This Row],[NIP (UPDATE)]]</f>
        <v>220473</v>
      </c>
    </row>
    <row r="1035" spans="2:19" hidden="1" x14ac:dyDescent="0.25">
      <c r="B1035" s="75">
        <v>1005</v>
      </c>
      <c r="C1035" s="75">
        <v>220495</v>
      </c>
      <c r="D1035" s="74" t="s">
        <v>2326</v>
      </c>
      <c r="E1035" s="75" t="s">
        <v>2077</v>
      </c>
      <c r="F1035" s="75"/>
      <c r="G1035" s="74" t="s">
        <v>2327</v>
      </c>
      <c r="H1035" s="80" t="s">
        <v>853</v>
      </c>
      <c r="I1035" s="74"/>
      <c r="J1035" s="75" t="s">
        <v>490</v>
      </c>
      <c r="K1035" s="80" t="s">
        <v>903</v>
      </c>
      <c r="L1035" s="76"/>
      <c r="M1035" s="77">
        <f t="shared" ca="1" si="31"/>
        <v>45954</v>
      </c>
      <c r="N1035" s="74" t="str">
        <f>_xlfn.IFNA(VLOOKUP(db_emp[[#This Row],[ID_DIV]],[1]!db_dpt[[Code_dpt]:[Departement]],2,0),"-")</f>
        <v>-</v>
      </c>
      <c r="O1035" s="74" t="str">
        <f>_xlfn.IFNA(VLOOKUP(db_emp[[#This Row],[ID_SDP]],[1]!db_div[[Code_div]:[Division]],2,0),"-")</f>
        <v>-</v>
      </c>
      <c r="P1035" s="74" t="str">
        <f>_xlfn.IFNA(VLOOKUP(db_emp[[#This Row],[Code_lvl]],[1]!db_lvl[[#All],[ID_level]:[Leveling Name]],2,0),"-")</f>
        <v>Staff</v>
      </c>
      <c r="Q1035" s="74" t="str">
        <f>_xlfn.IFNA(VLOOKUP(db_emp[[#This Row],[Code_site]],[1]!db_site[[ID_Site]:[Url_maps]],3,0),"-")</f>
        <v>Unit - ASHTA</v>
      </c>
      <c r="R103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220495,'Fita Utami Oktafia Harjanti','GNT','','Gea &amp; Tenant Relation Staff','LV12','','M04','Resign','1900-01-00','2025-10-24'</v>
      </c>
      <c r="S1035" s="74">
        <f>db_emp[[#This Row],[NIP (UPDATE)]]</f>
        <v>220495</v>
      </c>
    </row>
    <row r="1036" spans="2:19" hidden="1" x14ac:dyDescent="0.25">
      <c r="B1036" s="80">
        <v>1006</v>
      </c>
      <c r="C1036" s="75">
        <v>220500</v>
      </c>
      <c r="D1036" s="74" t="s">
        <v>2328</v>
      </c>
      <c r="E1036" s="75" t="s">
        <v>2167</v>
      </c>
      <c r="F1036" s="75"/>
      <c r="G1036" s="74" t="s">
        <v>1090</v>
      </c>
      <c r="H1036" s="75" t="s">
        <v>870</v>
      </c>
      <c r="I1036" s="74"/>
      <c r="J1036" s="75" t="s">
        <v>433</v>
      </c>
      <c r="K1036" s="80" t="s">
        <v>903</v>
      </c>
      <c r="L1036" s="76"/>
      <c r="M1036" s="77">
        <f t="shared" ca="1" si="31"/>
        <v>45954</v>
      </c>
      <c r="N1036" s="74" t="str">
        <f>_xlfn.IFNA(VLOOKUP(db_emp[[#This Row],[ID_DIV]],[1]!db_dpt[[Code_dpt]:[Departement]],2,0),"-")</f>
        <v>-</v>
      </c>
      <c r="O1036" s="74" t="str">
        <f>_xlfn.IFNA(VLOOKUP(db_emp[[#This Row],[ID_SDP]],[1]!db_div[[Code_div]:[Division]],2,0),"-")</f>
        <v>-</v>
      </c>
      <c r="P1036" s="74" t="str">
        <f>_xlfn.IFNA(VLOOKUP(db_emp[[#This Row],[Code_lvl]],[1]!db_lvl[[#All],[ID_level]:[Leveling Name]],2,0),"-")</f>
        <v>Supervisor</v>
      </c>
      <c r="Q1036" s="74" t="str">
        <f>_xlfn.IFNA(VLOOKUP(db_emp[[#This Row],[Code_site]],[1]!db_site[[ID_Site]:[Url_maps]],3,0),"-")</f>
        <v>Unit - Taman Anggrek Residences</v>
      </c>
      <c r="R103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220500,'Rangga Juni Firmansyah','GNS','','Cleaning &amp; Landscape Supervisor','LV09','','A01','Resign','1900-01-00','2025-10-24'</v>
      </c>
      <c r="S1036" s="74">
        <f>db_emp[[#This Row],[NIP (UPDATE)]]</f>
        <v>220500</v>
      </c>
    </row>
    <row r="1037" spans="2:19" hidden="1" x14ac:dyDescent="0.25">
      <c r="B1037" s="75">
        <v>1007</v>
      </c>
      <c r="C1037" s="75">
        <v>220501</v>
      </c>
      <c r="D1037" s="74" t="s">
        <v>2329</v>
      </c>
      <c r="E1037" s="75" t="s">
        <v>911</v>
      </c>
      <c r="F1037" s="75"/>
      <c r="G1037" s="74" t="s">
        <v>1254</v>
      </c>
      <c r="H1037" s="80" t="s">
        <v>853</v>
      </c>
      <c r="I1037" s="74"/>
      <c r="J1037" s="75" t="s">
        <v>433</v>
      </c>
      <c r="K1037" s="80" t="s">
        <v>903</v>
      </c>
      <c r="L1037" s="76"/>
      <c r="M1037" s="77">
        <f t="shared" ca="1" si="31"/>
        <v>45954</v>
      </c>
      <c r="N1037" s="74" t="str">
        <f>_xlfn.IFNA(VLOOKUP(db_emp[[#This Row],[ID_DIV]],[1]!db_dpt[[Code_dpt]:[Departement]],2,0),"-")</f>
        <v>Engineering</v>
      </c>
      <c r="O1037" s="74" t="str">
        <f>_xlfn.IFNA(VLOOKUP(db_emp[[#This Row],[ID_SDP]],[1]!db_div[[Code_div]:[Division]],2,0),"-")</f>
        <v>-</v>
      </c>
      <c r="P1037" s="74" t="str">
        <f>_xlfn.IFNA(VLOOKUP(db_emp[[#This Row],[Code_lvl]],[1]!db_lvl[[#All],[ID_level]:[Leveling Name]],2,0),"-")</f>
        <v>Staff</v>
      </c>
      <c r="Q1037" s="74" t="str">
        <f>_xlfn.IFNA(VLOOKUP(db_emp[[#This Row],[Code_site]],[1]!db_site[[ID_Site]:[Url_maps]],3,0),"-")</f>
        <v>Unit - Taman Anggrek Residences</v>
      </c>
      <c r="R103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220501,'Muhamad Chaerul Anwar','ENG','','Engineering Staff','LV12','','A01','Resign','1900-01-00','2025-10-24'</v>
      </c>
      <c r="S1037" s="74">
        <f>db_emp[[#This Row],[NIP (UPDATE)]]</f>
        <v>220501</v>
      </c>
    </row>
    <row r="1038" spans="2:19" hidden="1" x14ac:dyDescent="0.25">
      <c r="B1038" s="75">
        <v>1008</v>
      </c>
      <c r="C1038" s="75">
        <v>220504</v>
      </c>
      <c r="D1038" s="74" t="s">
        <v>2330</v>
      </c>
      <c r="E1038" s="75" t="s">
        <v>1042</v>
      </c>
      <c r="F1038" s="75"/>
      <c r="G1038" s="74" t="s">
        <v>1054</v>
      </c>
      <c r="H1038" s="75" t="s">
        <v>870</v>
      </c>
      <c r="I1038" s="74"/>
      <c r="J1038" s="75" t="s">
        <v>460</v>
      </c>
      <c r="K1038" s="80" t="s">
        <v>903</v>
      </c>
      <c r="L1038" s="76"/>
      <c r="M1038" s="77">
        <f t="shared" ca="1" si="31"/>
        <v>45954</v>
      </c>
      <c r="N1038" s="74" t="str">
        <f>_xlfn.IFNA(VLOOKUP(db_emp[[#This Row],[ID_DIV]],[1]!db_dpt[[Code_dpt]:[Departement]],2,0),"-")</f>
        <v>Cinema</v>
      </c>
      <c r="O1038" s="74" t="str">
        <f>_xlfn.IFNA(VLOOKUP(db_emp[[#This Row],[ID_SDP]],[1]!db_div[[Code_div]:[Division]],2,0),"-")</f>
        <v>-</v>
      </c>
      <c r="P1038" s="74" t="str">
        <f>_xlfn.IFNA(VLOOKUP(db_emp[[#This Row],[Code_lvl]],[1]!db_lvl[[#All],[ID_level]:[Leveling Name]],2,0),"-")</f>
        <v>Supervisor</v>
      </c>
      <c r="Q1038" s="74" t="str">
        <f>_xlfn.IFNA(VLOOKUP(db_emp[[#This Row],[Code_site]],[1]!db_site[[ID_Site]:[Url_maps]],3,0),"-")</f>
        <v>Unit - FLIX MOI</v>
      </c>
      <c r="R103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220504,'Awang Prasetyo','CIN','','Cinema Operation Supervisor','LV09','','F02','Resign','1900-01-00','2025-10-24'</v>
      </c>
      <c r="S1038" s="74">
        <f>db_emp[[#This Row],[NIP (UPDATE)]]</f>
        <v>220504</v>
      </c>
    </row>
    <row r="1039" spans="2:19" hidden="1" x14ac:dyDescent="0.25">
      <c r="B1039" s="75">
        <v>1009</v>
      </c>
      <c r="C1039" s="75">
        <v>220514</v>
      </c>
      <c r="D1039" s="74" t="s">
        <v>2331</v>
      </c>
      <c r="E1039" s="75" t="s">
        <v>1036</v>
      </c>
      <c r="F1039" s="75"/>
      <c r="G1039" s="74" t="s">
        <v>2332</v>
      </c>
      <c r="H1039" s="75" t="s">
        <v>953</v>
      </c>
      <c r="I1039" s="74"/>
      <c r="J1039" s="75" t="s">
        <v>433</v>
      </c>
      <c r="K1039" s="80" t="s">
        <v>903</v>
      </c>
      <c r="L1039" s="76"/>
      <c r="M1039" s="77">
        <f t="shared" ca="1" si="31"/>
        <v>45954</v>
      </c>
      <c r="N1039" s="74" t="str">
        <f>_xlfn.IFNA(VLOOKUP(db_emp[[#This Row],[ID_DIV]],[1]!db_dpt[[Code_dpt]:[Departement]],2,0),"-")</f>
        <v>Tenant Relation</v>
      </c>
      <c r="O1039" s="74" t="str">
        <f>_xlfn.IFNA(VLOOKUP(db_emp[[#This Row],[ID_SDP]],[1]!db_div[[Code_div]:[Division]],2,0),"-")</f>
        <v>-</v>
      </c>
      <c r="P1039" s="74" t="str">
        <f>_xlfn.IFNA(VLOOKUP(db_emp[[#This Row],[Code_lvl]],[1]!db_lvl[[#All],[ID_level]:[Leveling Name]],2,0),"-")</f>
        <v>Manager</v>
      </c>
      <c r="Q1039" s="74" t="str">
        <f>_xlfn.IFNA(VLOOKUP(db_emp[[#This Row],[Code_site]],[1]!db_site[[ID_Site]:[Url_maps]],3,0),"-")</f>
        <v>Unit - Taman Anggrek Residences</v>
      </c>
      <c r="R103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220514,'Sumpena Yuliandi','TRL','','Tenant Relation Chief','LV05','','A01','Resign','1900-01-00','2025-10-24'</v>
      </c>
      <c r="S1039" s="74">
        <f>db_emp[[#This Row],[NIP (UPDATE)]]</f>
        <v>220514</v>
      </c>
    </row>
    <row r="1040" spans="2:19" hidden="1" x14ac:dyDescent="0.25">
      <c r="B1040" s="80">
        <v>1010</v>
      </c>
      <c r="C1040" s="75">
        <v>220531</v>
      </c>
      <c r="D1040" s="74" t="s">
        <v>2333</v>
      </c>
      <c r="E1040" s="75" t="s">
        <v>845</v>
      </c>
      <c r="F1040" s="75"/>
      <c r="G1040" s="74" t="s">
        <v>852</v>
      </c>
      <c r="H1040" s="80" t="s">
        <v>853</v>
      </c>
      <c r="I1040" s="74"/>
      <c r="J1040" s="75" t="s">
        <v>315</v>
      </c>
      <c r="K1040" s="80" t="s">
        <v>903</v>
      </c>
      <c r="L1040" s="76"/>
      <c r="M1040" s="77">
        <f t="shared" ca="1" si="31"/>
        <v>45954</v>
      </c>
      <c r="N1040" s="74" t="str">
        <f>_xlfn.IFNA(VLOOKUP(db_emp[[#This Row],[ID_DIV]],[1]!db_dpt[[Code_dpt]:[Departement]],2,0),"-")</f>
        <v>Finance &amp; Accounting</v>
      </c>
      <c r="O1040" s="74" t="str">
        <f>_xlfn.IFNA(VLOOKUP(db_emp[[#This Row],[ID_SDP]],[1]!db_div[[Code_div]:[Division]],2,0),"-")</f>
        <v>-</v>
      </c>
      <c r="P1040" s="74" t="str">
        <f>_xlfn.IFNA(VLOOKUP(db_emp[[#This Row],[Code_lvl]],[1]!db_lvl[[#All],[ID_level]:[Leveling Name]],2,0),"-")</f>
        <v>Staff</v>
      </c>
      <c r="Q1040" s="74" t="str">
        <f>_xlfn.IFNA(VLOOKUP(db_emp[[#This Row],[Code_site]],[1]!db_site[[ID_Site]:[Url_maps]],3,0),"-")</f>
        <v>Head Office - ASGO</v>
      </c>
      <c r="R104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220531,'Lasma Asrina Manik','FIN','','Account Payable Staff','LV12','','O99','Resign','1900-01-00','2025-10-24'</v>
      </c>
      <c r="S1040" s="74">
        <f>db_emp[[#This Row],[NIP (UPDATE)]]</f>
        <v>220531</v>
      </c>
    </row>
    <row r="1041" spans="2:19" hidden="1" x14ac:dyDescent="0.25">
      <c r="B1041" s="75">
        <v>1011</v>
      </c>
      <c r="C1041" s="75">
        <v>220535</v>
      </c>
      <c r="D1041" s="74" t="s">
        <v>2334</v>
      </c>
      <c r="E1041" s="75" t="s">
        <v>1018</v>
      </c>
      <c r="F1041" s="75"/>
      <c r="G1041" s="74" t="s">
        <v>1351</v>
      </c>
      <c r="H1041" s="80" t="s">
        <v>853</v>
      </c>
      <c r="I1041" s="74"/>
      <c r="J1041" s="75" t="s">
        <v>314</v>
      </c>
      <c r="K1041" s="80" t="s">
        <v>903</v>
      </c>
      <c r="L1041" s="76"/>
      <c r="M1041" s="77">
        <f t="shared" ca="1" si="31"/>
        <v>45954</v>
      </c>
      <c r="N1041" s="74" t="str">
        <f>_xlfn.IFNA(VLOOKUP(db_emp[[#This Row],[ID_DIV]],[1]!db_dpt[[Code_dpt]:[Departement]],2,0),"-")</f>
        <v>Operational</v>
      </c>
      <c r="O1041" s="74" t="str">
        <f>_xlfn.IFNA(VLOOKUP(db_emp[[#This Row],[ID_SDP]],[1]!db_div[[Code_div]:[Division]],2,0),"-")</f>
        <v>-</v>
      </c>
      <c r="P1041" s="74" t="str">
        <f>_xlfn.IFNA(VLOOKUP(db_emp[[#This Row],[Code_lvl]],[1]!db_lvl[[#All],[ID_level]:[Leveling Name]],2,0),"-")</f>
        <v>Staff</v>
      </c>
      <c r="Q1041" s="74" t="str">
        <f>_xlfn.IFNA(VLOOKUP(db_emp[[#This Row],[Code_site]],[1]!db_site[[ID_Site]:[Url_maps]],3,0),"-")</f>
        <v>Unit - MOI</v>
      </c>
      <c r="R104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220535,'Antonius Mario Carlos Kodoatie','OPR','','F &amp; B Staff','LV12','','M02','Resign','1900-01-00','2025-10-24'</v>
      </c>
      <c r="S1041" s="74">
        <f>db_emp[[#This Row],[NIP (UPDATE)]]</f>
        <v>220535</v>
      </c>
    </row>
    <row r="1042" spans="2:19" hidden="1" x14ac:dyDescent="0.25">
      <c r="B1042" s="75">
        <v>1012</v>
      </c>
      <c r="C1042" s="75">
        <v>220593</v>
      </c>
      <c r="D1042" s="74" t="s">
        <v>2335</v>
      </c>
      <c r="E1042" s="75" t="s">
        <v>2108</v>
      </c>
      <c r="F1042" s="75"/>
      <c r="G1042" s="74" t="s">
        <v>1760</v>
      </c>
      <c r="H1042" s="75" t="s">
        <v>870</v>
      </c>
      <c r="I1042" s="74"/>
      <c r="J1042" s="75" t="s">
        <v>315</v>
      </c>
      <c r="K1042" s="80" t="s">
        <v>903</v>
      </c>
      <c r="L1042" s="76"/>
      <c r="M1042" s="77">
        <f t="shared" ca="1" si="31"/>
        <v>45954</v>
      </c>
      <c r="N1042" s="74" t="str">
        <f>_xlfn.IFNA(VLOOKUP(db_emp[[#This Row],[ID_DIV]],[1]!db_dpt[[Code_dpt]:[Departement]],2,0),"-")</f>
        <v>-</v>
      </c>
      <c r="O1042" s="74" t="str">
        <f>_xlfn.IFNA(VLOOKUP(db_emp[[#This Row],[ID_SDP]],[1]!db_div[[Code_div]:[Division]],2,0),"-")</f>
        <v>-</v>
      </c>
      <c r="P1042" s="74" t="str">
        <f>_xlfn.IFNA(VLOOKUP(db_emp[[#This Row],[Code_lvl]],[1]!db_lvl[[#All],[ID_level]:[Leveling Name]],2,0),"-")</f>
        <v>Supervisor</v>
      </c>
      <c r="Q1042" s="74" t="str">
        <f>_xlfn.IFNA(VLOOKUP(db_emp[[#This Row],[Code_site]],[1]!db_site[[ID_Site]:[Url_maps]],3,0),"-")</f>
        <v>Head Office - ASGO</v>
      </c>
      <c r="R104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220593,'Davis Soni Dewantara','PRO','','Procurement Supervisor','LV09','','O99','Resign','1900-01-00','2025-10-24'</v>
      </c>
      <c r="S1042" s="74">
        <f>db_emp[[#This Row],[NIP (UPDATE)]]</f>
        <v>220593</v>
      </c>
    </row>
    <row r="1043" spans="2:19" hidden="1" x14ac:dyDescent="0.25">
      <c r="B1043" s="75">
        <v>1013</v>
      </c>
      <c r="C1043" s="75">
        <v>220597</v>
      </c>
      <c r="D1043" s="74" t="s">
        <v>2336</v>
      </c>
      <c r="E1043" s="75" t="s">
        <v>911</v>
      </c>
      <c r="F1043" s="75"/>
      <c r="G1043" s="74" t="s">
        <v>1202</v>
      </c>
      <c r="H1043" s="75" t="s">
        <v>870</v>
      </c>
      <c r="I1043" s="74"/>
      <c r="J1043" s="75" t="s">
        <v>484</v>
      </c>
      <c r="K1043" s="80" t="s">
        <v>903</v>
      </c>
      <c r="L1043" s="76"/>
      <c r="M1043" s="77">
        <f t="shared" ca="1" si="31"/>
        <v>45954</v>
      </c>
      <c r="N1043" s="74" t="str">
        <f>_xlfn.IFNA(VLOOKUP(db_emp[[#This Row],[ID_DIV]],[1]!db_dpt[[Code_dpt]:[Departement]],2,0),"-")</f>
        <v>Engineering</v>
      </c>
      <c r="O1043" s="74" t="str">
        <f>_xlfn.IFNA(VLOOKUP(db_emp[[#This Row],[ID_SDP]],[1]!db_div[[Code_div]:[Division]],2,0),"-")</f>
        <v>-</v>
      </c>
      <c r="P1043" s="74" t="str">
        <f>_xlfn.IFNA(VLOOKUP(db_emp[[#This Row],[Code_lvl]],[1]!db_lvl[[#All],[ID_level]:[Leveling Name]],2,0),"-")</f>
        <v>Supervisor</v>
      </c>
      <c r="Q1043" s="74" t="str">
        <f>_xlfn.IFNA(VLOOKUP(db_emp[[#This Row],[Code_site]],[1]!db_site[[ID_Site]:[Url_maps]],3,0),"-")</f>
        <v>Unit - PIK Avenue</v>
      </c>
      <c r="R104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220597,'Anjar Yulianto','ENG','','Electrical Supervisor','LV09','','M01','Resign','1900-01-00','2025-10-24'</v>
      </c>
      <c r="S1043" s="74">
        <f>db_emp[[#This Row],[NIP (UPDATE)]]</f>
        <v>220597</v>
      </c>
    </row>
    <row r="1044" spans="2:19" hidden="1" x14ac:dyDescent="0.25">
      <c r="B1044" s="80">
        <v>1014</v>
      </c>
      <c r="C1044" s="75">
        <v>220617</v>
      </c>
      <c r="D1044" s="74" t="s">
        <v>2337</v>
      </c>
      <c r="E1044" s="75" t="s">
        <v>1042</v>
      </c>
      <c r="F1044" s="75"/>
      <c r="G1044" s="74" t="s">
        <v>2338</v>
      </c>
      <c r="H1044" s="75" t="s">
        <v>848</v>
      </c>
      <c r="I1044" s="74"/>
      <c r="J1044" s="75" t="s">
        <v>469</v>
      </c>
      <c r="K1044" s="80" t="s">
        <v>903</v>
      </c>
      <c r="L1044" s="76"/>
      <c r="M1044" s="77">
        <f t="shared" ca="1" si="31"/>
        <v>45954</v>
      </c>
      <c r="N1044" s="74" t="str">
        <f>_xlfn.IFNA(VLOOKUP(db_emp[[#This Row],[ID_DIV]],[1]!db_dpt[[Code_dpt]:[Departement]],2,0),"-")</f>
        <v>Cinema</v>
      </c>
      <c r="O1044" s="74" t="str">
        <f>_xlfn.IFNA(VLOOKUP(db_emp[[#This Row],[ID_SDP]],[1]!db_div[[Code_div]:[Division]],2,0),"-")</f>
        <v>-</v>
      </c>
      <c r="P1044" s="74" t="str">
        <f>_xlfn.IFNA(VLOOKUP(db_emp[[#This Row],[Code_lvl]],[1]!db_lvl[[#All],[ID_level]:[Leveling Name]],2,0),"-")</f>
        <v>Assistant Manager</v>
      </c>
      <c r="Q1044" s="74" t="str">
        <f>_xlfn.IFNA(VLOOKUP(db_emp[[#This Row],[Code_site]],[1]!db_site[[ID_Site]:[Url_maps]],3,0),"-")</f>
        <v>Unit - FLIX ASHTA</v>
      </c>
      <c r="R104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220617,'Ahmad Fathony','CIN','','Cinema Operation Asst. Manager','LV07','','F04','Resign','1900-01-00','2025-10-24'</v>
      </c>
      <c r="S1044" s="74">
        <f>db_emp[[#This Row],[NIP (UPDATE)]]</f>
        <v>220617</v>
      </c>
    </row>
    <row r="1045" spans="2:19" hidden="1" x14ac:dyDescent="0.25">
      <c r="B1045" s="75">
        <v>1015</v>
      </c>
      <c r="C1045" s="75">
        <v>220618</v>
      </c>
      <c r="D1045" s="74" t="s">
        <v>2339</v>
      </c>
      <c r="E1045" s="75" t="s">
        <v>1036</v>
      </c>
      <c r="F1045" s="75"/>
      <c r="G1045" s="74" t="s">
        <v>1933</v>
      </c>
      <c r="H1045" s="80" t="s">
        <v>853</v>
      </c>
      <c r="I1045" s="74"/>
      <c r="J1045" s="75" t="s">
        <v>433</v>
      </c>
      <c r="K1045" s="80" t="s">
        <v>903</v>
      </c>
      <c r="L1045" s="76"/>
      <c r="M1045" s="77">
        <f t="shared" ca="1" si="31"/>
        <v>45954</v>
      </c>
      <c r="N1045" s="74" t="str">
        <f>_xlfn.IFNA(VLOOKUP(db_emp[[#This Row],[ID_DIV]],[1]!db_dpt[[Code_dpt]:[Departement]],2,0),"-")</f>
        <v>Tenant Relation</v>
      </c>
      <c r="O1045" s="74" t="str">
        <f>_xlfn.IFNA(VLOOKUP(db_emp[[#This Row],[ID_SDP]],[1]!db_div[[Code_div]:[Division]],2,0),"-")</f>
        <v>-</v>
      </c>
      <c r="P1045" s="74" t="str">
        <f>_xlfn.IFNA(VLOOKUP(db_emp[[#This Row],[Code_lvl]],[1]!db_lvl[[#All],[ID_level]:[Leveling Name]],2,0),"-")</f>
        <v>Staff</v>
      </c>
      <c r="Q1045" s="74" t="str">
        <f>_xlfn.IFNA(VLOOKUP(db_emp[[#This Row],[Code_site]],[1]!db_site[[ID_Site]:[Url_maps]],3,0),"-")</f>
        <v>Unit - Taman Anggrek Residences</v>
      </c>
      <c r="R104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220618,'Devi Manisha','TRL','','Tenant Relation Staff','LV12','','A01','Resign','1900-01-00','2025-10-24'</v>
      </c>
      <c r="S1045" s="74">
        <f>db_emp[[#This Row],[NIP (UPDATE)]]</f>
        <v>220618</v>
      </c>
    </row>
    <row r="1046" spans="2:19" hidden="1" x14ac:dyDescent="0.25">
      <c r="B1046" s="75">
        <v>1016</v>
      </c>
      <c r="C1046" s="75">
        <v>220619</v>
      </c>
      <c r="D1046" s="74" t="s">
        <v>2340</v>
      </c>
      <c r="E1046" s="75" t="s">
        <v>911</v>
      </c>
      <c r="F1046" s="75"/>
      <c r="G1046" s="74" t="s">
        <v>1238</v>
      </c>
      <c r="H1046" s="75" t="s">
        <v>953</v>
      </c>
      <c r="I1046" s="74"/>
      <c r="J1046" s="75" t="s">
        <v>484</v>
      </c>
      <c r="K1046" s="80" t="s">
        <v>903</v>
      </c>
      <c r="L1046" s="76"/>
      <c r="M1046" s="77">
        <f t="shared" ca="1" si="31"/>
        <v>45954</v>
      </c>
      <c r="N1046" s="74" t="str">
        <f>_xlfn.IFNA(VLOOKUP(db_emp[[#This Row],[ID_DIV]],[1]!db_dpt[[Code_dpt]:[Departement]],2,0),"-")</f>
        <v>Engineering</v>
      </c>
      <c r="O1046" s="74" t="str">
        <f>_xlfn.IFNA(VLOOKUP(db_emp[[#This Row],[ID_SDP]],[1]!db_div[[Code_div]:[Division]],2,0),"-")</f>
        <v>-</v>
      </c>
      <c r="P1046" s="74" t="str">
        <f>_xlfn.IFNA(VLOOKUP(db_emp[[#This Row],[Code_lvl]],[1]!db_lvl[[#All],[ID_level]:[Leveling Name]],2,0),"-")</f>
        <v>Manager</v>
      </c>
      <c r="Q1046" s="74" t="str">
        <f>_xlfn.IFNA(VLOOKUP(db_emp[[#This Row],[Code_site]],[1]!db_site[[ID_Site]:[Url_maps]],3,0),"-")</f>
        <v>Unit - PIK Avenue</v>
      </c>
      <c r="R104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220619,'Ir. Gibson Parasian Sinambela','ENG','','Engineering Manager','LV05','','M01','Resign','1900-01-00','2025-10-24'</v>
      </c>
      <c r="S1046" s="74">
        <f>db_emp[[#This Row],[NIP (UPDATE)]]</f>
        <v>220619</v>
      </c>
    </row>
    <row r="1047" spans="2:19" hidden="1" x14ac:dyDescent="0.25">
      <c r="B1047" s="75">
        <v>1017</v>
      </c>
      <c r="C1047" s="75">
        <v>220628</v>
      </c>
      <c r="D1047" s="74" t="s">
        <v>2341</v>
      </c>
      <c r="E1047" s="75" t="s">
        <v>911</v>
      </c>
      <c r="F1047" s="75"/>
      <c r="G1047" s="74" t="s">
        <v>1217</v>
      </c>
      <c r="H1047" s="80" t="s">
        <v>853</v>
      </c>
      <c r="I1047" s="74"/>
      <c r="J1047" s="75" t="s">
        <v>490</v>
      </c>
      <c r="K1047" s="80" t="s">
        <v>903</v>
      </c>
      <c r="L1047" s="76"/>
      <c r="M1047" s="77">
        <f t="shared" ca="1" si="31"/>
        <v>45954</v>
      </c>
      <c r="N1047" s="74" t="str">
        <f>_xlfn.IFNA(VLOOKUP(db_emp[[#This Row],[ID_DIV]],[1]!db_dpt[[Code_dpt]:[Departement]],2,0),"-")</f>
        <v>Engineering</v>
      </c>
      <c r="O1047" s="74" t="str">
        <f>_xlfn.IFNA(VLOOKUP(db_emp[[#This Row],[ID_SDP]],[1]!db_div[[Code_div]:[Division]],2,0),"-")</f>
        <v>-</v>
      </c>
      <c r="P1047" s="74" t="str">
        <f>_xlfn.IFNA(VLOOKUP(db_emp[[#This Row],[Code_lvl]],[1]!db_lvl[[#All],[ID_level]:[Leveling Name]],2,0),"-")</f>
        <v>Staff</v>
      </c>
      <c r="Q1047" s="74" t="str">
        <f>_xlfn.IFNA(VLOOKUP(db_emp[[#This Row],[Code_site]],[1]!db_site[[ID_Site]:[Url_maps]],3,0),"-")</f>
        <v>Unit - ASHTA</v>
      </c>
      <c r="R104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220628,'Dian Maysaro','ENG','','Engineering Administration Staff','LV12','','M04','Resign','1900-01-00','2025-10-24'</v>
      </c>
      <c r="S1047" s="74">
        <f>db_emp[[#This Row],[NIP (UPDATE)]]</f>
        <v>220628</v>
      </c>
    </row>
    <row r="1048" spans="2:19" hidden="1" x14ac:dyDescent="0.25">
      <c r="B1048" s="80">
        <v>1018</v>
      </c>
      <c r="C1048" s="75">
        <v>220679</v>
      </c>
      <c r="D1048" s="74" t="s">
        <v>2342</v>
      </c>
      <c r="E1048" s="75" t="s">
        <v>2111</v>
      </c>
      <c r="F1048" s="75"/>
      <c r="G1048" s="74" t="s">
        <v>1009</v>
      </c>
      <c r="H1048" s="80" t="s">
        <v>853</v>
      </c>
      <c r="I1048" s="74"/>
      <c r="J1048" s="75" t="s">
        <v>314</v>
      </c>
      <c r="K1048" s="80" t="s">
        <v>903</v>
      </c>
      <c r="L1048" s="76"/>
      <c r="M1048" s="77">
        <f t="shared" ca="1" si="31"/>
        <v>45954</v>
      </c>
      <c r="N1048" s="74" t="str">
        <f>_xlfn.IFNA(VLOOKUP(db_emp[[#This Row],[ID_DIV]],[1]!db_dpt[[Code_dpt]:[Departement]],2,0),"-")</f>
        <v>-</v>
      </c>
      <c r="O1048" s="74" t="str">
        <f>_xlfn.IFNA(VLOOKUP(db_emp[[#This Row],[ID_SDP]],[1]!db_div[[Code_div]:[Division]],2,0),"-")</f>
        <v>-</v>
      </c>
      <c r="P1048" s="74" t="str">
        <f>_xlfn.IFNA(VLOOKUP(db_emp[[#This Row],[Code_lvl]],[1]!db_lvl[[#All],[ID_level]:[Leveling Name]],2,0),"-")</f>
        <v>Staff</v>
      </c>
      <c r="Q1048" s="74" t="str">
        <f>_xlfn.IFNA(VLOOKUP(db_emp[[#This Row],[Code_site]],[1]!db_site[[ID_Site]:[Url_maps]],3,0),"-")</f>
        <v>Unit - MOI</v>
      </c>
      <c r="R104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220679,'Gloria Irene','CSL','','Casual Leasing Staff','LV12','','M02','Resign','1900-01-00','2025-10-24'</v>
      </c>
      <c r="S1048" s="74">
        <f>db_emp[[#This Row],[NIP (UPDATE)]]</f>
        <v>220679</v>
      </c>
    </row>
    <row r="1049" spans="2:19" hidden="1" x14ac:dyDescent="0.25">
      <c r="B1049" s="75">
        <v>1019</v>
      </c>
      <c r="C1049" s="75">
        <v>220685</v>
      </c>
      <c r="D1049" s="74" t="s">
        <v>2343</v>
      </c>
      <c r="E1049" s="75" t="s">
        <v>1042</v>
      </c>
      <c r="F1049" s="75"/>
      <c r="G1049" s="74" t="s">
        <v>1054</v>
      </c>
      <c r="H1049" s="75" t="s">
        <v>870</v>
      </c>
      <c r="I1049" s="74"/>
      <c r="J1049" s="75" t="s">
        <v>464</v>
      </c>
      <c r="K1049" s="80" t="s">
        <v>903</v>
      </c>
      <c r="L1049" s="76"/>
      <c r="M1049" s="77">
        <f t="shared" ca="1" si="31"/>
        <v>45954</v>
      </c>
      <c r="N1049" s="74" t="str">
        <f>_xlfn.IFNA(VLOOKUP(db_emp[[#This Row],[ID_DIV]],[1]!db_dpt[[Code_dpt]:[Departement]],2,0),"-")</f>
        <v>Cinema</v>
      </c>
      <c r="O1049" s="74" t="str">
        <f>_xlfn.IFNA(VLOOKUP(db_emp[[#This Row],[ID_SDP]],[1]!db_div[[Code_div]:[Division]],2,0),"-")</f>
        <v>-</v>
      </c>
      <c r="P1049" s="74" t="str">
        <f>_xlfn.IFNA(VLOOKUP(db_emp[[#This Row],[Code_lvl]],[1]!db_lvl[[#All],[ID_level]:[Leveling Name]],2,0),"-")</f>
        <v>Supervisor</v>
      </c>
      <c r="Q1049" s="74" t="str">
        <f>_xlfn.IFNA(VLOOKUP(db_emp[[#This Row],[Code_site]],[1]!db_site[[ID_Site]:[Url_maps]],3,0),"-")</f>
        <v>Unit - FLIX GGP</v>
      </c>
      <c r="R104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220685,'Achmad Fauzi','CIN','','Cinema Operation Supervisor','LV09','','F03','Resign','1900-01-00','2025-10-24'</v>
      </c>
      <c r="S1049" s="74">
        <f>db_emp[[#This Row],[NIP (UPDATE)]]</f>
        <v>220685</v>
      </c>
    </row>
    <row r="1050" spans="2:19" hidden="1" x14ac:dyDescent="0.25">
      <c r="B1050" s="75">
        <v>1020</v>
      </c>
      <c r="C1050" s="75">
        <v>220689</v>
      </c>
      <c r="D1050" s="74" t="s">
        <v>2344</v>
      </c>
      <c r="E1050" s="75" t="s">
        <v>845</v>
      </c>
      <c r="F1050" s="75"/>
      <c r="G1050" s="74" t="s">
        <v>1894</v>
      </c>
      <c r="H1050" s="80" t="s">
        <v>853</v>
      </c>
      <c r="I1050" s="74"/>
      <c r="J1050" s="75" t="s">
        <v>315</v>
      </c>
      <c r="K1050" s="80" t="s">
        <v>903</v>
      </c>
      <c r="L1050" s="76"/>
      <c r="M1050" s="77">
        <f t="shared" ca="1" si="31"/>
        <v>45954</v>
      </c>
      <c r="N1050" s="74" t="str">
        <f>_xlfn.IFNA(VLOOKUP(db_emp[[#This Row],[ID_DIV]],[1]!db_dpt[[Code_dpt]:[Departement]],2,0),"-")</f>
        <v>Finance &amp; Accounting</v>
      </c>
      <c r="O1050" s="74" t="str">
        <f>_xlfn.IFNA(VLOOKUP(db_emp[[#This Row],[ID_SDP]],[1]!db_div[[Code_div]:[Division]],2,0),"-")</f>
        <v>-</v>
      </c>
      <c r="P1050" s="74" t="str">
        <f>_xlfn.IFNA(VLOOKUP(db_emp[[#This Row],[Code_lvl]],[1]!db_lvl[[#All],[ID_level]:[Leveling Name]],2,0),"-")</f>
        <v>Staff</v>
      </c>
      <c r="Q1050" s="74" t="str">
        <f>_xlfn.IFNA(VLOOKUP(db_emp[[#This Row],[Code_site]],[1]!db_site[[ID_Site]:[Url_maps]],3,0),"-")</f>
        <v>Head Office - ASGO</v>
      </c>
      <c r="R105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220689,'Christian.','FIN','','Tax Staff','LV12','','O99','Resign','1900-01-00','2025-10-24'</v>
      </c>
      <c r="S1050" s="74">
        <f>db_emp[[#This Row],[NIP (UPDATE)]]</f>
        <v>220689</v>
      </c>
    </row>
    <row r="1051" spans="2:19" hidden="1" x14ac:dyDescent="0.25">
      <c r="B1051" s="75">
        <v>1021</v>
      </c>
      <c r="C1051" s="75">
        <v>220690</v>
      </c>
      <c r="D1051" s="74" t="s">
        <v>2345</v>
      </c>
      <c r="E1051" s="75" t="s">
        <v>911</v>
      </c>
      <c r="F1051" s="75"/>
      <c r="G1051" s="74" t="s">
        <v>1072</v>
      </c>
      <c r="H1051" s="80" t="s">
        <v>853</v>
      </c>
      <c r="I1051" s="74"/>
      <c r="J1051" s="75" t="s">
        <v>490</v>
      </c>
      <c r="K1051" s="80" t="s">
        <v>903</v>
      </c>
      <c r="L1051" s="76"/>
      <c r="M1051" s="77">
        <f t="shared" ca="1" si="31"/>
        <v>45954</v>
      </c>
      <c r="N1051" s="74" t="str">
        <f>_xlfn.IFNA(VLOOKUP(db_emp[[#This Row],[ID_DIV]],[1]!db_dpt[[Code_dpt]:[Departement]],2,0),"-")</f>
        <v>Engineering</v>
      </c>
      <c r="O1051" s="74" t="str">
        <f>_xlfn.IFNA(VLOOKUP(db_emp[[#This Row],[ID_SDP]],[1]!db_div[[Code_div]:[Division]],2,0),"-")</f>
        <v>-</v>
      </c>
      <c r="P1051" s="74" t="str">
        <f>_xlfn.IFNA(VLOOKUP(db_emp[[#This Row],[Code_lvl]],[1]!db_lvl[[#All],[ID_level]:[Leveling Name]],2,0),"-")</f>
        <v>Staff</v>
      </c>
      <c r="Q1051" s="74" t="str">
        <f>_xlfn.IFNA(VLOOKUP(db_emp[[#This Row],[Code_site]],[1]!db_site[[ID_Site]:[Url_maps]],3,0),"-")</f>
        <v>Unit - ASHTA</v>
      </c>
      <c r="R105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220690,'Anwar Sodik','ENG','','Civil Staff','LV12','','M04','Resign','1900-01-00','2025-10-24'</v>
      </c>
      <c r="S1051" s="74">
        <f>db_emp[[#This Row],[NIP (UPDATE)]]</f>
        <v>220690</v>
      </c>
    </row>
    <row r="1052" spans="2:19" hidden="1" x14ac:dyDescent="0.25">
      <c r="B1052" s="80">
        <v>1022</v>
      </c>
      <c r="C1052" s="75">
        <v>220692</v>
      </c>
      <c r="D1052" s="74" t="s">
        <v>2346</v>
      </c>
      <c r="E1052" s="75" t="s">
        <v>911</v>
      </c>
      <c r="F1052" s="75"/>
      <c r="G1052" s="74" t="s">
        <v>2347</v>
      </c>
      <c r="H1052" s="80" t="s">
        <v>853</v>
      </c>
      <c r="I1052" s="74"/>
      <c r="J1052" s="75" t="s">
        <v>490</v>
      </c>
      <c r="K1052" s="80" t="s">
        <v>903</v>
      </c>
      <c r="L1052" s="76"/>
      <c r="M1052" s="77">
        <f t="shared" ca="1" si="31"/>
        <v>45954</v>
      </c>
      <c r="N1052" s="74" t="str">
        <f>_xlfn.IFNA(VLOOKUP(db_emp[[#This Row],[ID_DIV]],[1]!db_dpt[[Code_dpt]:[Departement]],2,0),"-")</f>
        <v>Engineering</v>
      </c>
      <c r="O1052" s="74" t="str">
        <f>_xlfn.IFNA(VLOOKUP(db_emp[[#This Row],[ID_SDP]],[1]!db_div[[Code_div]:[Division]],2,0),"-")</f>
        <v>-</v>
      </c>
      <c r="P1052" s="74" t="str">
        <f>_xlfn.IFNA(VLOOKUP(db_emp[[#This Row],[Code_lvl]],[1]!db_lvl[[#All],[ID_level]:[Leveling Name]],2,0),"-")</f>
        <v>Staff</v>
      </c>
      <c r="Q1052" s="74" t="str">
        <f>_xlfn.IFNA(VLOOKUP(db_emp[[#This Row],[Code_site]],[1]!db_site[[ID_Site]:[Url_maps]],3,0),"-")</f>
        <v>Unit - ASHTA</v>
      </c>
      <c r="R105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220692,'Agus Purnomo','ENG','','HVAC Staff','LV12','','M04','Resign','1900-01-00','2025-10-24'</v>
      </c>
      <c r="S1052" s="74">
        <f>db_emp[[#This Row],[NIP (UPDATE)]]</f>
        <v>220692</v>
      </c>
    </row>
    <row r="1053" spans="2:19" hidden="1" x14ac:dyDescent="0.25">
      <c r="B1053" s="75">
        <v>1023</v>
      </c>
      <c r="C1053" s="75">
        <v>220695</v>
      </c>
      <c r="D1053" s="74" t="s">
        <v>2348</v>
      </c>
      <c r="E1053" s="75" t="s">
        <v>1018</v>
      </c>
      <c r="F1053" s="75"/>
      <c r="G1053" s="74" t="s">
        <v>1357</v>
      </c>
      <c r="H1053" s="75" t="s">
        <v>870</v>
      </c>
      <c r="I1053" s="74"/>
      <c r="J1053" s="75" t="s">
        <v>492</v>
      </c>
      <c r="K1053" s="80" t="s">
        <v>903</v>
      </c>
      <c r="L1053" s="76"/>
      <c r="M1053" s="77">
        <f t="shared" ca="1" si="31"/>
        <v>45954</v>
      </c>
      <c r="N1053" s="74" t="str">
        <f>_xlfn.IFNA(VLOOKUP(db_emp[[#This Row],[ID_DIV]],[1]!db_dpt[[Code_dpt]:[Departement]],2,0),"-")</f>
        <v>Operational</v>
      </c>
      <c r="O1053" s="74" t="str">
        <f>_xlfn.IFNA(VLOOKUP(db_emp[[#This Row],[ID_SDP]],[1]!db_div[[Code_div]:[Division]],2,0),"-")</f>
        <v>-</v>
      </c>
      <c r="P1053" s="74" t="str">
        <f>_xlfn.IFNA(VLOOKUP(db_emp[[#This Row],[Code_lvl]],[1]!db_lvl[[#All],[ID_level]:[Leveling Name]],2,0),"-")</f>
        <v>Supervisor</v>
      </c>
      <c r="Q1053" s="74" t="str">
        <f>_xlfn.IFNA(VLOOKUP(db_emp[[#This Row],[Code_site]],[1]!db_site[[ID_Site]:[Url_maps]],3,0),"-")</f>
        <v>Unit - Hublife</v>
      </c>
      <c r="R105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220695,'Ardhonal Drajad Susanto','OPR','','F &amp; B Supervisor','LV09','','M05','Resign','1900-01-00','2025-10-24'</v>
      </c>
      <c r="S1053" s="74">
        <f>db_emp[[#This Row],[NIP (UPDATE)]]</f>
        <v>220695</v>
      </c>
    </row>
    <row r="1054" spans="2:19" hidden="1" x14ac:dyDescent="0.25">
      <c r="B1054" s="75">
        <v>1024</v>
      </c>
      <c r="C1054" s="75">
        <v>220743</v>
      </c>
      <c r="D1054" s="74" t="s">
        <v>2349</v>
      </c>
      <c r="E1054" s="75" t="s">
        <v>911</v>
      </c>
      <c r="F1054" s="75"/>
      <c r="G1054" s="74" t="s">
        <v>1727</v>
      </c>
      <c r="H1054" s="80" t="s">
        <v>853</v>
      </c>
      <c r="I1054" s="74"/>
      <c r="J1054" s="75" t="s">
        <v>316</v>
      </c>
      <c r="K1054" s="80" t="s">
        <v>903</v>
      </c>
      <c r="L1054" s="76"/>
      <c r="M1054" s="77">
        <f t="shared" ca="1" si="31"/>
        <v>45954</v>
      </c>
      <c r="N1054" s="74" t="str">
        <f>_xlfn.IFNA(VLOOKUP(db_emp[[#This Row],[ID_DIV]],[1]!db_dpt[[Code_dpt]:[Departement]],2,0),"-")</f>
        <v>Engineering</v>
      </c>
      <c r="O1054" s="74" t="str">
        <f>_xlfn.IFNA(VLOOKUP(db_emp[[#This Row],[ID_SDP]],[1]!db_div[[Code_div]:[Division]],2,0),"-")</f>
        <v>-</v>
      </c>
      <c r="P1054" s="74" t="str">
        <f>_xlfn.IFNA(VLOOKUP(db_emp[[#This Row],[Code_lvl]],[1]!db_lvl[[#All],[ID_level]:[Leveling Name]],2,0),"-")</f>
        <v>Staff</v>
      </c>
      <c r="Q1054" s="74" t="str">
        <f>_xlfn.IFNA(VLOOKUP(db_emp[[#This Row],[Code_site]],[1]!db_site[[ID_Site]:[Url_maps]],3,0),"-")</f>
        <v>Unit - GGP</v>
      </c>
      <c r="R105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220743,'Andi Yusup','ENG','','Plumbing Staff','LV12','','M03','Resign','1900-01-00','2025-10-24'</v>
      </c>
      <c r="S1054" s="74">
        <f>db_emp[[#This Row],[NIP (UPDATE)]]</f>
        <v>220743</v>
      </c>
    </row>
    <row r="1055" spans="2:19" hidden="1" x14ac:dyDescent="0.25">
      <c r="B1055" s="75">
        <v>1025</v>
      </c>
      <c r="C1055" s="75">
        <v>220756</v>
      </c>
      <c r="D1055" s="74" t="s">
        <v>2350</v>
      </c>
      <c r="E1055" s="75" t="s">
        <v>2270</v>
      </c>
      <c r="F1055" s="75"/>
      <c r="G1055" s="74" t="s">
        <v>2351</v>
      </c>
      <c r="H1055" s="80" t="s">
        <v>853</v>
      </c>
      <c r="I1055" s="74"/>
      <c r="J1055" s="75" t="s">
        <v>315</v>
      </c>
      <c r="K1055" s="80" t="s">
        <v>903</v>
      </c>
      <c r="L1055" s="76"/>
      <c r="M1055" s="77">
        <f t="shared" ca="1" si="31"/>
        <v>45954</v>
      </c>
      <c r="N1055" s="74" t="str">
        <f>_xlfn.IFNA(VLOOKUP(db_emp[[#This Row],[ID_DIV]],[1]!db_dpt[[Code_dpt]:[Departement]],2,0),"-")</f>
        <v>-</v>
      </c>
      <c r="O1055" s="74" t="str">
        <f>_xlfn.IFNA(VLOOKUP(db_emp[[#This Row],[ID_SDP]],[1]!db_div[[Code_div]:[Division]],2,0),"-")</f>
        <v>-</v>
      </c>
      <c r="P1055" s="74" t="str">
        <f>_xlfn.IFNA(VLOOKUP(db_emp[[#This Row],[Code_lvl]],[1]!db_lvl[[#All],[ID_level]:[Leveling Name]],2,0),"-")</f>
        <v>Staff</v>
      </c>
      <c r="Q1055" s="74" t="str">
        <f>_xlfn.IFNA(VLOOKUP(db_emp[[#This Row],[Code_site]],[1]!db_site[[ID_Site]:[Url_maps]],3,0),"-")</f>
        <v>Head Office - ASGO</v>
      </c>
      <c r="R105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220756,'Presia Listan Nova','INN','','Innovation Staff','LV12','','O99','Resign','1900-01-00','2025-10-24'</v>
      </c>
      <c r="S1055" s="74">
        <f>db_emp[[#This Row],[NIP (UPDATE)]]</f>
        <v>220756</v>
      </c>
    </row>
    <row r="1056" spans="2:19" hidden="1" x14ac:dyDescent="0.25">
      <c r="B1056" s="80">
        <v>1026</v>
      </c>
      <c r="C1056" s="75">
        <v>220767</v>
      </c>
      <c r="D1056" s="74" t="s">
        <v>2352</v>
      </c>
      <c r="E1056" s="75" t="s">
        <v>1018</v>
      </c>
      <c r="F1056" s="75"/>
      <c r="G1056" s="74" t="s">
        <v>2353</v>
      </c>
      <c r="H1056" s="75" t="s">
        <v>953</v>
      </c>
      <c r="I1056" s="74"/>
      <c r="J1056" s="75" t="s">
        <v>484</v>
      </c>
      <c r="K1056" s="80" t="s">
        <v>903</v>
      </c>
      <c r="L1056" s="76"/>
      <c r="M1056" s="77">
        <f t="shared" ca="1" si="31"/>
        <v>45954</v>
      </c>
      <c r="N1056" s="74" t="str">
        <f>_xlfn.IFNA(VLOOKUP(db_emp[[#This Row],[ID_DIV]],[1]!db_dpt[[Code_dpt]:[Departement]],2,0),"-")</f>
        <v>Operational</v>
      </c>
      <c r="O1056" s="74" t="str">
        <f>_xlfn.IFNA(VLOOKUP(db_emp[[#This Row],[ID_SDP]],[1]!db_div[[Code_div]:[Division]],2,0),"-")</f>
        <v>-</v>
      </c>
      <c r="P1056" s="74" t="str">
        <f>_xlfn.IFNA(VLOOKUP(db_emp[[#This Row],[Code_lvl]],[1]!db_lvl[[#All],[ID_level]:[Leveling Name]],2,0),"-")</f>
        <v>Manager</v>
      </c>
      <c r="Q1056" s="74" t="str">
        <f>_xlfn.IFNA(VLOOKUP(db_emp[[#This Row],[Code_site]],[1]!db_site[[ID_Site]:[Url_maps]],3,0),"-")</f>
        <v>Unit - PIK Avenue</v>
      </c>
      <c r="R105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220767,'Wilfrits Simanjuntak','OPR','','Deputy Operation Mall Asst. Manager','LV05','','M01','Resign','1900-01-00','2025-10-24'</v>
      </c>
      <c r="S1056" s="74">
        <f>db_emp[[#This Row],[NIP (UPDATE)]]</f>
        <v>220767</v>
      </c>
    </row>
    <row r="1057" spans="2:19" hidden="1" x14ac:dyDescent="0.25">
      <c r="B1057" s="75">
        <v>1027</v>
      </c>
      <c r="C1057" s="75">
        <v>220768</v>
      </c>
      <c r="D1057" s="74" t="s">
        <v>2007</v>
      </c>
      <c r="E1057" s="75" t="s">
        <v>1362</v>
      </c>
      <c r="F1057" s="75"/>
      <c r="G1057" s="74" t="s">
        <v>1365</v>
      </c>
      <c r="H1057" s="80" t="s">
        <v>853</v>
      </c>
      <c r="I1057" s="74"/>
      <c r="J1057" s="75" t="s">
        <v>433</v>
      </c>
      <c r="K1057" s="80" t="s">
        <v>903</v>
      </c>
      <c r="L1057" s="76"/>
      <c r="M1057" s="77">
        <f t="shared" ca="1" si="31"/>
        <v>45954</v>
      </c>
      <c r="N1057" s="74" t="str">
        <f>_xlfn.IFNA(VLOOKUP(db_emp[[#This Row],[ID_DIV]],[1]!db_dpt[[Code_dpt]:[Departement]],2,0),"-")</f>
        <v>-</v>
      </c>
      <c r="O1057" s="74" t="str">
        <f>_xlfn.IFNA(VLOOKUP(db_emp[[#This Row],[ID_SDP]],[1]!db_div[[Code_div]:[Division]],2,0),"-")</f>
        <v>-</v>
      </c>
      <c r="P1057" s="74" t="str">
        <f>_xlfn.IFNA(VLOOKUP(db_emp[[#This Row],[Code_lvl]],[1]!db_lvl[[#All],[ID_level]:[Leveling Name]],2,0),"-")</f>
        <v>Staff</v>
      </c>
      <c r="Q1057" s="74" t="str">
        <f>_xlfn.IFNA(VLOOKUP(db_emp[[#This Row],[Code_site]],[1]!db_site[[ID_Site]:[Url_maps]],3,0),"-")</f>
        <v>Unit - Taman Anggrek Residences</v>
      </c>
      <c r="R105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220768,'Christina','FAC','','Facility Staff','LV12','','A01','Resign','1900-01-00','2025-10-24'</v>
      </c>
      <c r="S1057" s="74">
        <f>db_emp[[#This Row],[NIP (UPDATE)]]</f>
        <v>220768</v>
      </c>
    </row>
    <row r="1058" spans="2:19" hidden="1" x14ac:dyDescent="0.25">
      <c r="B1058" s="75">
        <v>1028</v>
      </c>
      <c r="C1058" s="75">
        <v>220770</v>
      </c>
      <c r="D1058" s="74" t="s">
        <v>2354</v>
      </c>
      <c r="E1058" s="75" t="s">
        <v>911</v>
      </c>
      <c r="F1058" s="75"/>
      <c r="G1058" s="74" t="s">
        <v>1727</v>
      </c>
      <c r="H1058" s="80" t="s">
        <v>853</v>
      </c>
      <c r="I1058" s="74"/>
      <c r="J1058" s="75" t="s">
        <v>484</v>
      </c>
      <c r="K1058" s="80" t="s">
        <v>903</v>
      </c>
      <c r="L1058" s="76"/>
      <c r="M1058" s="77">
        <f t="shared" ca="1" si="31"/>
        <v>45954</v>
      </c>
      <c r="N1058" s="74" t="str">
        <f>_xlfn.IFNA(VLOOKUP(db_emp[[#This Row],[ID_DIV]],[1]!db_dpt[[Code_dpt]:[Departement]],2,0),"-")</f>
        <v>Engineering</v>
      </c>
      <c r="O1058" s="74" t="str">
        <f>_xlfn.IFNA(VLOOKUP(db_emp[[#This Row],[ID_SDP]],[1]!db_div[[Code_div]:[Division]],2,0),"-")</f>
        <v>-</v>
      </c>
      <c r="P1058" s="74" t="str">
        <f>_xlfn.IFNA(VLOOKUP(db_emp[[#This Row],[Code_lvl]],[1]!db_lvl[[#All],[ID_level]:[Leveling Name]],2,0),"-")</f>
        <v>Staff</v>
      </c>
      <c r="Q1058" s="74" t="str">
        <f>_xlfn.IFNA(VLOOKUP(db_emp[[#This Row],[Code_site]],[1]!db_site[[ID_Site]:[Url_maps]],3,0),"-")</f>
        <v>Unit - PIK Avenue</v>
      </c>
      <c r="R105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220770,'Ari Hermawan','ENG','','Plumbing Staff','LV12','','M01','Resign','1900-01-00','2025-10-24'</v>
      </c>
      <c r="S1058" s="74">
        <f>db_emp[[#This Row],[NIP (UPDATE)]]</f>
        <v>220770</v>
      </c>
    </row>
    <row r="1059" spans="2:19" hidden="1" x14ac:dyDescent="0.25">
      <c r="B1059" s="75">
        <v>1029</v>
      </c>
      <c r="C1059" s="75">
        <v>220771</v>
      </c>
      <c r="D1059" s="74" t="s">
        <v>2355</v>
      </c>
      <c r="E1059" s="75" t="s">
        <v>911</v>
      </c>
      <c r="F1059" s="75"/>
      <c r="G1059" s="74" t="s">
        <v>1184</v>
      </c>
      <c r="H1059" s="80" t="s">
        <v>853</v>
      </c>
      <c r="I1059" s="74"/>
      <c r="J1059" s="75" t="s">
        <v>484</v>
      </c>
      <c r="K1059" s="80" t="s">
        <v>903</v>
      </c>
      <c r="L1059" s="76"/>
      <c r="M1059" s="77">
        <f t="shared" ca="1" si="31"/>
        <v>45954</v>
      </c>
      <c r="N1059" s="74" t="str">
        <f>_xlfn.IFNA(VLOOKUP(db_emp[[#This Row],[ID_DIV]],[1]!db_dpt[[Code_dpt]:[Departement]],2,0),"-")</f>
        <v>Engineering</v>
      </c>
      <c r="O1059" s="74" t="str">
        <f>_xlfn.IFNA(VLOOKUP(db_emp[[#This Row],[ID_SDP]],[1]!db_div[[Code_div]:[Division]],2,0),"-")</f>
        <v>-</v>
      </c>
      <c r="P1059" s="74" t="str">
        <f>_xlfn.IFNA(VLOOKUP(db_emp[[#This Row],[Code_lvl]],[1]!db_lvl[[#All],[ID_level]:[Leveling Name]],2,0),"-")</f>
        <v>Staff</v>
      </c>
      <c r="Q1059" s="74" t="str">
        <f>_xlfn.IFNA(VLOOKUP(db_emp[[#This Row],[Code_site]],[1]!db_site[[ID_Site]:[Url_maps]],3,0),"-")</f>
        <v>Unit - PIK Avenue</v>
      </c>
      <c r="R105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220771,'Muhammad Salim','ENG','','Electrical Staff','LV12','','M01','Resign','1900-01-00','2025-10-24'</v>
      </c>
      <c r="S1059" s="74">
        <f>db_emp[[#This Row],[NIP (UPDATE)]]</f>
        <v>220771</v>
      </c>
    </row>
    <row r="1060" spans="2:19" hidden="1" x14ac:dyDescent="0.25">
      <c r="B1060" s="80">
        <v>1030</v>
      </c>
      <c r="C1060" s="75">
        <v>220773</v>
      </c>
      <c r="D1060" s="74" t="s">
        <v>2356</v>
      </c>
      <c r="E1060" s="75" t="s">
        <v>911</v>
      </c>
      <c r="F1060" s="75"/>
      <c r="G1060" s="74" t="s">
        <v>1650</v>
      </c>
      <c r="H1060" s="80" t="s">
        <v>853</v>
      </c>
      <c r="I1060" s="74"/>
      <c r="J1060" s="75" t="s">
        <v>484</v>
      </c>
      <c r="K1060" s="80" t="s">
        <v>903</v>
      </c>
      <c r="L1060" s="76"/>
      <c r="M1060" s="77">
        <f t="shared" ca="1" si="31"/>
        <v>45954</v>
      </c>
      <c r="N1060" s="74" t="str">
        <f>_xlfn.IFNA(VLOOKUP(db_emp[[#This Row],[ID_DIV]],[1]!db_dpt[[Code_dpt]:[Departement]],2,0),"-")</f>
        <v>Engineering</v>
      </c>
      <c r="O1060" s="74" t="str">
        <f>_xlfn.IFNA(VLOOKUP(db_emp[[#This Row],[ID_SDP]],[1]!db_div[[Code_div]:[Division]],2,0),"-")</f>
        <v>-</v>
      </c>
      <c r="P1060" s="74" t="str">
        <f>_xlfn.IFNA(VLOOKUP(db_emp[[#This Row],[Code_lvl]],[1]!db_lvl[[#All],[ID_level]:[Leveling Name]],2,0),"-")</f>
        <v>Staff</v>
      </c>
      <c r="Q1060" s="74" t="str">
        <f>_xlfn.IFNA(VLOOKUP(db_emp[[#This Row],[Code_site]],[1]!db_site[[ID_Site]:[Url_maps]],3,0),"-")</f>
        <v>Unit - PIK Avenue</v>
      </c>
      <c r="R106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220773,'Ahmad Irvani','ENG','','MVAC Staff','LV12','','M01','Resign','1900-01-00','2025-10-24'</v>
      </c>
      <c r="S1060" s="74">
        <f>db_emp[[#This Row],[NIP (UPDATE)]]</f>
        <v>220773</v>
      </c>
    </row>
    <row r="1061" spans="2:19" hidden="1" x14ac:dyDescent="0.25">
      <c r="B1061" s="75">
        <v>1031</v>
      </c>
      <c r="C1061" s="75">
        <v>220774</v>
      </c>
      <c r="D1061" s="74" t="s">
        <v>2357</v>
      </c>
      <c r="E1061" s="75" t="s">
        <v>911</v>
      </c>
      <c r="F1061" s="75"/>
      <c r="G1061" s="74" t="s">
        <v>1144</v>
      </c>
      <c r="H1061" s="80" t="s">
        <v>853</v>
      </c>
      <c r="I1061" s="74"/>
      <c r="J1061" s="75" t="s">
        <v>314</v>
      </c>
      <c r="K1061" s="80" t="s">
        <v>903</v>
      </c>
      <c r="L1061" s="76"/>
      <c r="M1061" s="77">
        <f t="shared" ca="1" si="31"/>
        <v>45954</v>
      </c>
      <c r="N1061" s="74" t="str">
        <f>_xlfn.IFNA(VLOOKUP(db_emp[[#This Row],[ID_DIV]],[1]!db_dpt[[Code_dpt]:[Departement]],2,0),"-")</f>
        <v>Engineering</v>
      </c>
      <c r="O1061" s="74" t="str">
        <f>_xlfn.IFNA(VLOOKUP(db_emp[[#This Row],[ID_SDP]],[1]!db_div[[Code_div]:[Division]],2,0),"-")</f>
        <v>-</v>
      </c>
      <c r="P1061" s="74" t="str">
        <f>_xlfn.IFNA(VLOOKUP(db_emp[[#This Row],[Code_lvl]],[1]!db_lvl[[#All],[ID_level]:[Leveling Name]],2,0),"-")</f>
        <v>Staff</v>
      </c>
      <c r="Q1061" s="74" t="str">
        <f>_xlfn.IFNA(VLOOKUP(db_emp[[#This Row],[Code_site]],[1]!db_site[[ID_Site]:[Url_maps]],3,0),"-")</f>
        <v>Unit - MOI</v>
      </c>
      <c r="R106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220774,'Nur Rachmad Ramadhan','ENG','','Control Panel Staff','LV12','','M02','Resign','1900-01-00','2025-10-24'</v>
      </c>
      <c r="S1061" s="74">
        <f>db_emp[[#This Row],[NIP (UPDATE)]]</f>
        <v>220774</v>
      </c>
    </row>
    <row r="1062" spans="2:19" hidden="1" x14ac:dyDescent="0.25">
      <c r="B1062" s="75">
        <v>1032</v>
      </c>
      <c r="C1062" s="75">
        <v>220783</v>
      </c>
      <c r="D1062" s="74" t="s">
        <v>2358</v>
      </c>
      <c r="E1062" s="75" t="s">
        <v>1042</v>
      </c>
      <c r="F1062" s="75"/>
      <c r="G1062" s="74" t="s">
        <v>1054</v>
      </c>
      <c r="H1062" s="75" t="s">
        <v>870</v>
      </c>
      <c r="I1062" s="74"/>
      <c r="J1062" s="75" t="s">
        <v>469</v>
      </c>
      <c r="K1062" s="80" t="s">
        <v>903</v>
      </c>
      <c r="L1062" s="76"/>
      <c r="M1062" s="77">
        <f t="shared" ca="1" si="31"/>
        <v>45954</v>
      </c>
      <c r="N1062" s="74" t="str">
        <f>_xlfn.IFNA(VLOOKUP(db_emp[[#This Row],[ID_DIV]],[1]!db_dpt[[Code_dpt]:[Departement]],2,0),"-")</f>
        <v>Cinema</v>
      </c>
      <c r="O1062" s="74" t="str">
        <f>_xlfn.IFNA(VLOOKUP(db_emp[[#This Row],[ID_SDP]],[1]!db_div[[Code_div]:[Division]],2,0),"-")</f>
        <v>-</v>
      </c>
      <c r="P1062" s="74" t="str">
        <f>_xlfn.IFNA(VLOOKUP(db_emp[[#This Row],[Code_lvl]],[1]!db_lvl[[#All],[ID_level]:[Leveling Name]],2,0),"-")</f>
        <v>Supervisor</v>
      </c>
      <c r="Q1062" s="74" t="str">
        <f>_xlfn.IFNA(VLOOKUP(db_emp[[#This Row],[Code_site]],[1]!db_site[[ID_Site]:[Url_maps]],3,0),"-")</f>
        <v>Unit - FLIX ASHTA</v>
      </c>
      <c r="R106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220783,'Putu Roy','CIN','','Cinema Operation Supervisor','LV09','','F04','Resign','1900-01-00','2025-10-24'</v>
      </c>
      <c r="S1062" s="74">
        <f>db_emp[[#This Row],[NIP (UPDATE)]]</f>
        <v>220783</v>
      </c>
    </row>
    <row r="1063" spans="2:19" hidden="1" x14ac:dyDescent="0.25">
      <c r="B1063" s="75">
        <v>1033</v>
      </c>
      <c r="C1063" s="75">
        <v>220785</v>
      </c>
      <c r="D1063" s="74" t="s">
        <v>2359</v>
      </c>
      <c r="E1063" s="75" t="s">
        <v>911</v>
      </c>
      <c r="F1063" s="75"/>
      <c r="G1063" s="74" t="s">
        <v>1072</v>
      </c>
      <c r="H1063" s="80" t="s">
        <v>853</v>
      </c>
      <c r="I1063" s="74"/>
      <c r="J1063" s="75" t="s">
        <v>316</v>
      </c>
      <c r="K1063" s="80" t="s">
        <v>903</v>
      </c>
      <c r="L1063" s="76"/>
      <c r="M1063" s="77">
        <f t="shared" ca="1" si="31"/>
        <v>45954</v>
      </c>
      <c r="N1063" s="74" t="str">
        <f>_xlfn.IFNA(VLOOKUP(db_emp[[#This Row],[ID_DIV]],[1]!db_dpt[[Code_dpt]:[Departement]],2,0),"-")</f>
        <v>Engineering</v>
      </c>
      <c r="O1063" s="74" t="str">
        <f>_xlfn.IFNA(VLOOKUP(db_emp[[#This Row],[ID_SDP]],[1]!db_div[[Code_div]:[Division]],2,0),"-")</f>
        <v>-</v>
      </c>
      <c r="P1063" s="74" t="str">
        <f>_xlfn.IFNA(VLOOKUP(db_emp[[#This Row],[Code_lvl]],[1]!db_lvl[[#All],[ID_level]:[Leveling Name]],2,0),"-")</f>
        <v>Staff</v>
      </c>
      <c r="Q1063" s="74" t="str">
        <f>_xlfn.IFNA(VLOOKUP(db_emp[[#This Row],[Code_site]],[1]!db_site[[ID_Site]:[Url_maps]],3,0),"-")</f>
        <v>Unit - GGP</v>
      </c>
      <c r="R106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220785,'Wito','ENG','','Civil Staff','LV12','','M03','Resign','1900-01-00','2025-10-24'</v>
      </c>
      <c r="S1063" s="74">
        <f>db_emp[[#This Row],[NIP (UPDATE)]]</f>
        <v>220785</v>
      </c>
    </row>
    <row r="1064" spans="2:19" hidden="1" x14ac:dyDescent="0.25">
      <c r="B1064" s="80">
        <v>1034</v>
      </c>
      <c r="C1064" s="75">
        <v>220816</v>
      </c>
      <c r="D1064" s="74" t="s">
        <v>2360</v>
      </c>
      <c r="E1064" s="75" t="s">
        <v>911</v>
      </c>
      <c r="F1064" s="75"/>
      <c r="G1064" s="74" t="s">
        <v>1727</v>
      </c>
      <c r="H1064" s="80" t="s">
        <v>853</v>
      </c>
      <c r="I1064" s="74"/>
      <c r="J1064" s="75" t="s">
        <v>484</v>
      </c>
      <c r="K1064" s="80" t="s">
        <v>903</v>
      </c>
      <c r="L1064" s="76"/>
      <c r="M1064" s="77">
        <f t="shared" ca="1" si="31"/>
        <v>45954</v>
      </c>
      <c r="N1064" s="74" t="str">
        <f>_xlfn.IFNA(VLOOKUP(db_emp[[#This Row],[ID_DIV]],[1]!db_dpt[[Code_dpt]:[Departement]],2,0),"-")</f>
        <v>Engineering</v>
      </c>
      <c r="O1064" s="74" t="str">
        <f>_xlfn.IFNA(VLOOKUP(db_emp[[#This Row],[ID_SDP]],[1]!db_div[[Code_div]:[Division]],2,0),"-")</f>
        <v>-</v>
      </c>
      <c r="P1064" s="74" t="str">
        <f>_xlfn.IFNA(VLOOKUP(db_emp[[#This Row],[Code_lvl]],[1]!db_lvl[[#All],[ID_level]:[Leveling Name]],2,0),"-")</f>
        <v>Staff</v>
      </c>
      <c r="Q1064" s="74" t="str">
        <f>_xlfn.IFNA(VLOOKUP(db_emp[[#This Row],[Code_site]],[1]!db_site[[ID_Site]:[Url_maps]],3,0),"-")</f>
        <v>Unit - PIK Avenue</v>
      </c>
      <c r="R106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220816,'Bagas Dewantoro','ENG','','Plumbing Staff','LV12','','M01','Resign','1900-01-00','2025-10-24'</v>
      </c>
      <c r="S1064" s="74">
        <f>db_emp[[#This Row],[NIP (UPDATE)]]</f>
        <v>220816</v>
      </c>
    </row>
    <row r="1065" spans="2:19" hidden="1" x14ac:dyDescent="0.25">
      <c r="B1065" s="75">
        <v>1035</v>
      </c>
      <c r="C1065" s="75">
        <v>220818</v>
      </c>
      <c r="D1065" s="74" t="s">
        <v>1034</v>
      </c>
      <c r="E1065" s="75" t="s">
        <v>2073</v>
      </c>
      <c r="F1065" s="75"/>
      <c r="G1065" s="74" t="s">
        <v>2361</v>
      </c>
      <c r="H1065" s="75" t="s">
        <v>953</v>
      </c>
      <c r="I1065" s="74"/>
      <c r="J1065" s="75" t="s">
        <v>315</v>
      </c>
      <c r="K1065" s="80" t="s">
        <v>903</v>
      </c>
      <c r="L1065" s="76"/>
      <c r="M1065" s="77">
        <f t="shared" ca="1" si="31"/>
        <v>45954</v>
      </c>
      <c r="N1065" s="74" t="str">
        <f>_xlfn.IFNA(VLOOKUP(db_emp[[#This Row],[ID_DIV]],[1]!db_dpt[[Code_dpt]:[Departement]],2,0),"-")</f>
        <v>-</v>
      </c>
      <c r="O1065" s="74" t="str">
        <f>_xlfn.IFNA(VLOOKUP(db_emp[[#This Row],[ID_SDP]],[1]!db_div[[Code_div]:[Division]],2,0),"-")</f>
        <v>-</v>
      </c>
      <c r="P1065" s="74" t="str">
        <f>_xlfn.IFNA(VLOOKUP(db_emp[[#This Row],[Code_lvl]],[1]!db_lvl[[#All],[ID_level]:[Leveling Name]],2,0),"-")</f>
        <v>Manager</v>
      </c>
      <c r="Q1065" s="74" t="str">
        <f>_xlfn.IFNA(VLOOKUP(db_emp[[#This Row],[Code_site]],[1]!db_site[[ID_Site]:[Url_maps]],3,0),"-")</f>
        <v>Head Office - ASGO</v>
      </c>
      <c r="R106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220818,'Leonardo','CRM','','Customer Relationship Management Manager','LV05','','O99','Resign','1900-01-00','2025-10-24'</v>
      </c>
      <c r="S1065" s="74">
        <f>db_emp[[#This Row],[NIP (UPDATE)]]</f>
        <v>220818</v>
      </c>
    </row>
    <row r="1066" spans="2:19" hidden="1" x14ac:dyDescent="0.25">
      <c r="B1066" s="75">
        <v>1036</v>
      </c>
      <c r="C1066" s="75">
        <v>220851</v>
      </c>
      <c r="D1066" s="74" t="s">
        <v>2362</v>
      </c>
      <c r="E1066" s="75" t="s">
        <v>911</v>
      </c>
      <c r="F1066" s="75"/>
      <c r="G1066" s="74" t="s">
        <v>1669</v>
      </c>
      <c r="H1066" s="75" t="s">
        <v>870</v>
      </c>
      <c r="I1066" s="74"/>
      <c r="J1066" s="75" t="s">
        <v>492</v>
      </c>
      <c r="K1066" s="80" t="s">
        <v>903</v>
      </c>
      <c r="L1066" s="76"/>
      <c r="M1066" s="77">
        <f t="shared" ca="1" si="31"/>
        <v>45954</v>
      </c>
      <c r="N1066" s="74" t="str">
        <f>_xlfn.IFNA(VLOOKUP(db_emp[[#This Row],[ID_DIV]],[1]!db_dpt[[Code_dpt]:[Departement]],2,0),"-")</f>
        <v>Engineering</v>
      </c>
      <c r="O1066" s="74" t="str">
        <f>_xlfn.IFNA(VLOOKUP(db_emp[[#This Row],[ID_SDP]],[1]!db_div[[Code_div]:[Division]],2,0),"-")</f>
        <v>-</v>
      </c>
      <c r="P1066" s="74" t="str">
        <f>_xlfn.IFNA(VLOOKUP(db_emp[[#This Row],[Code_lvl]],[1]!db_lvl[[#All],[ID_level]:[Leveling Name]],2,0),"-")</f>
        <v>Supervisor</v>
      </c>
      <c r="Q1066" s="74" t="str">
        <f>_xlfn.IFNA(VLOOKUP(db_emp[[#This Row],[Code_site]],[1]!db_site[[ID_Site]:[Url_maps]],3,0),"-")</f>
        <v>Unit - Hublife</v>
      </c>
      <c r="R106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220851,'Hairul Rizal','ENG','','MVAC Supervisor','LV09','','M05','Resign','1900-01-00','2025-10-24'</v>
      </c>
      <c r="S1066" s="74">
        <f>db_emp[[#This Row],[NIP (UPDATE)]]</f>
        <v>220851</v>
      </c>
    </row>
    <row r="1067" spans="2:19" hidden="1" x14ac:dyDescent="0.25">
      <c r="B1067" s="75">
        <v>1037</v>
      </c>
      <c r="C1067" s="75">
        <v>220883</v>
      </c>
      <c r="D1067" s="74" t="s">
        <v>2363</v>
      </c>
      <c r="E1067" s="75" t="s">
        <v>2077</v>
      </c>
      <c r="F1067" s="75"/>
      <c r="G1067" s="74" t="s">
        <v>2174</v>
      </c>
      <c r="H1067" s="75" t="s">
        <v>853</v>
      </c>
      <c r="I1067" s="74"/>
      <c r="J1067" s="75" t="s">
        <v>316</v>
      </c>
      <c r="K1067" s="80" t="s">
        <v>903</v>
      </c>
      <c r="L1067" s="76"/>
      <c r="M1067" s="77">
        <f t="shared" ca="1" si="31"/>
        <v>45954</v>
      </c>
      <c r="N1067" s="74" t="str">
        <f>_xlfn.IFNA(VLOOKUP(db_emp[[#This Row],[ID_DIV]],[1]!db_dpt[[Code_dpt]:[Departement]],2,0),"-")</f>
        <v>-</v>
      </c>
      <c r="O1067" s="74" t="str">
        <f>_xlfn.IFNA(VLOOKUP(db_emp[[#This Row],[ID_SDP]],[1]!db_div[[Code_div]:[Division]],2,0),"-")</f>
        <v>-</v>
      </c>
      <c r="P1067" s="74" t="str">
        <f>_xlfn.IFNA(VLOOKUP(db_emp[[#This Row],[Code_lvl]],[1]!db_lvl[[#All],[ID_level]:[Leveling Name]],2,0),"-")</f>
        <v>Staff</v>
      </c>
      <c r="Q1067" s="74" t="str">
        <f>_xlfn.IFNA(VLOOKUP(db_emp[[#This Row],[Code_site]],[1]!db_site[[ID_Site]:[Url_maps]],3,0),"-")</f>
        <v>Unit - GGP</v>
      </c>
      <c r="R106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220883,'Rio Yahya Pratama','GNT','','GEA Leader','LV12','','M03','Resign','1900-01-00','2025-10-24'</v>
      </c>
      <c r="S1067" s="74">
        <f>db_emp[[#This Row],[NIP (UPDATE)]]</f>
        <v>220883</v>
      </c>
    </row>
    <row r="1068" spans="2:19" hidden="1" x14ac:dyDescent="0.25">
      <c r="B1068" s="80">
        <v>1038</v>
      </c>
      <c r="C1068" s="75">
        <v>220900</v>
      </c>
      <c r="D1068" s="74" t="s">
        <v>2364</v>
      </c>
      <c r="E1068" s="75" t="s">
        <v>1018</v>
      </c>
      <c r="F1068" s="75"/>
      <c r="G1068" s="74" t="s">
        <v>2365</v>
      </c>
      <c r="H1068" s="75" t="s">
        <v>870</v>
      </c>
      <c r="I1068" s="74"/>
      <c r="J1068" s="75" t="s">
        <v>316</v>
      </c>
      <c r="K1068" s="80" t="s">
        <v>903</v>
      </c>
      <c r="L1068" s="76"/>
      <c r="M1068" s="77">
        <f t="shared" ca="1" si="31"/>
        <v>45954</v>
      </c>
      <c r="N1068" s="74" t="str">
        <f>_xlfn.IFNA(VLOOKUP(db_emp[[#This Row],[ID_DIV]],[1]!db_dpt[[Code_dpt]:[Departement]],2,0),"-")</f>
        <v>Operational</v>
      </c>
      <c r="O1068" s="74" t="str">
        <f>_xlfn.IFNA(VLOOKUP(db_emp[[#This Row],[ID_SDP]],[1]!db_div[[Code_div]:[Division]],2,0),"-")</f>
        <v>-</v>
      </c>
      <c r="P1068" s="74" t="str">
        <f>_xlfn.IFNA(VLOOKUP(db_emp[[#This Row],[Code_lvl]],[1]!db_lvl[[#All],[ID_level]:[Leveling Name]],2,0),"-")</f>
        <v>Supervisor</v>
      </c>
      <c r="Q1068" s="74" t="str">
        <f>_xlfn.IFNA(VLOOKUP(db_emp[[#This Row],[Code_site]],[1]!db_site[[ID_Site]:[Url_maps]],3,0),"-")</f>
        <v>Unit - GGP</v>
      </c>
      <c r="R106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220900,'Agus Hastana','OPR','','Convention &amp; Banq Hall Supervisor','LV09','','M03','Resign','1900-01-00','2025-10-24'</v>
      </c>
      <c r="S1068" s="74">
        <f>db_emp[[#This Row],[NIP (UPDATE)]]</f>
        <v>220900</v>
      </c>
    </row>
    <row r="1069" spans="2:19" hidden="1" x14ac:dyDescent="0.25">
      <c r="B1069" s="75">
        <v>1039</v>
      </c>
      <c r="C1069" s="75">
        <v>220940</v>
      </c>
      <c r="D1069" s="74" t="s">
        <v>2366</v>
      </c>
      <c r="E1069" s="75" t="s">
        <v>2077</v>
      </c>
      <c r="F1069" s="75"/>
      <c r="G1069" s="74" t="s">
        <v>2174</v>
      </c>
      <c r="H1069" s="75" t="s">
        <v>853</v>
      </c>
      <c r="I1069" s="74"/>
      <c r="J1069" s="75" t="s">
        <v>484</v>
      </c>
      <c r="K1069" s="80" t="s">
        <v>903</v>
      </c>
      <c r="L1069" s="76"/>
      <c r="M1069" s="77">
        <f t="shared" ca="1" si="31"/>
        <v>45954</v>
      </c>
      <c r="N1069" s="74" t="str">
        <f>_xlfn.IFNA(VLOOKUP(db_emp[[#This Row],[ID_DIV]],[1]!db_dpt[[Code_dpt]:[Departement]],2,0),"-")</f>
        <v>-</v>
      </c>
      <c r="O1069" s="74" t="str">
        <f>_xlfn.IFNA(VLOOKUP(db_emp[[#This Row],[ID_SDP]],[1]!db_div[[Code_div]:[Division]],2,0),"-")</f>
        <v>-</v>
      </c>
      <c r="P1069" s="74" t="str">
        <f>_xlfn.IFNA(VLOOKUP(db_emp[[#This Row],[Code_lvl]],[1]!db_lvl[[#All],[ID_level]:[Leveling Name]],2,0),"-")</f>
        <v>Staff</v>
      </c>
      <c r="Q1069" s="74" t="str">
        <f>_xlfn.IFNA(VLOOKUP(db_emp[[#This Row],[Code_site]],[1]!db_site[[ID_Site]:[Url_maps]],3,0),"-")</f>
        <v>Unit - PIK Avenue</v>
      </c>
      <c r="R106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220940,'M Amin','GNT','','GEA Leader','LV12','','M01','Resign','1900-01-00','2025-10-24'</v>
      </c>
      <c r="S1069" s="74">
        <f>db_emp[[#This Row],[NIP (UPDATE)]]</f>
        <v>220940</v>
      </c>
    </row>
    <row r="1070" spans="2:19" hidden="1" x14ac:dyDescent="0.25">
      <c r="B1070" s="75">
        <v>1040</v>
      </c>
      <c r="C1070" s="75">
        <v>220941</v>
      </c>
      <c r="D1070" s="74" t="s">
        <v>2367</v>
      </c>
      <c r="E1070" s="75" t="s">
        <v>911</v>
      </c>
      <c r="F1070" s="75"/>
      <c r="G1070" s="74" t="s">
        <v>1184</v>
      </c>
      <c r="H1070" s="80" t="s">
        <v>853</v>
      </c>
      <c r="I1070" s="74"/>
      <c r="J1070" s="75" t="s">
        <v>484</v>
      </c>
      <c r="K1070" s="80" t="s">
        <v>903</v>
      </c>
      <c r="L1070" s="76"/>
      <c r="M1070" s="77">
        <f t="shared" ca="1" si="31"/>
        <v>45954</v>
      </c>
      <c r="N1070" s="74" t="str">
        <f>_xlfn.IFNA(VLOOKUP(db_emp[[#This Row],[ID_DIV]],[1]!db_dpt[[Code_dpt]:[Departement]],2,0),"-")</f>
        <v>Engineering</v>
      </c>
      <c r="O1070" s="74" t="str">
        <f>_xlfn.IFNA(VLOOKUP(db_emp[[#This Row],[ID_SDP]],[1]!db_div[[Code_div]:[Division]],2,0),"-")</f>
        <v>-</v>
      </c>
      <c r="P1070" s="74" t="str">
        <f>_xlfn.IFNA(VLOOKUP(db_emp[[#This Row],[Code_lvl]],[1]!db_lvl[[#All],[ID_level]:[Leveling Name]],2,0),"-")</f>
        <v>Staff</v>
      </c>
      <c r="Q1070" s="74" t="str">
        <f>_xlfn.IFNA(VLOOKUP(db_emp[[#This Row],[Code_site]],[1]!db_site[[ID_Site]:[Url_maps]],3,0),"-")</f>
        <v>Unit - PIK Avenue</v>
      </c>
      <c r="R107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220941,'I Putu Yasa Eka Prastya','ENG','','Electrical Staff','LV12','','M01','Resign','1900-01-00','2025-10-24'</v>
      </c>
      <c r="S1070" s="74">
        <f>db_emp[[#This Row],[NIP (UPDATE)]]</f>
        <v>220941</v>
      </c>
    </row>
    <row r="1071" spans="2:19" hidden="1" x14ac:dyDescent="0.25">
      <c r="B1071" s="75">
        <v>1041</v>
      </c>
      <c r="C1071" s="75">
        <v>220944</v>
      </c>
      <c r="D1071" s="74" t="s">
        <v>2368</v>
      </c>
      <c r="E1071" s="75" t="s">
        <v>916</v>
      </c>
      <c r="F1071" s="75"/>
      <c r="G1071" s="74" t="s">
        <v>2369</v>
      </c>
      <c r="H1071" s="75" t="s">
        <v>870</v>
      </c>
      <c r="I1071" s="74"/>
      <c r="J1071" s="75" t="s">
        <v>314</v>
      </c>
      <c r="K1071" s="80" t="s">
        <v>903</v>
      </c>
      <c r="L1071" s="76"/>
      <c r="M1071" s="77">
        <f t="shared" ca="1" si="31"/>
        <v>45954</v>
      </c>
      <c r="N1071" s="74" t="str">
        <f>_xlfn.IFNA(VLOOKUP(db_emp[[#This Row],[ID_DIV]],[1]!db_dpt[[Code_dpt]:[Departement]],2,0),"-")</f>
        <v>Property Management</v>
      </c>
      <c r="O1071" s="74" t="str">
        <f>_xlfn.IFNA(VLOOKUP(db_emp[[#This Row],[ID_SDP]],[1]!db_div[[Code_div]:[Division]],2,0),"-")</f>
        <v>-</v>
      </c>
      <c r="P1071" s="74" t="str">
        <f>_xlfn.IFNA(VLOOKUP(db_emp[[#This Row],[Code_lvl]],[1]!db_lvl[[#All],[ID_level]:[Leveling Name]],2,0),"-")</f>
        <v>Supervisor</v>
      </c>
      <c r="Q1071" s="74" t="str">
        <f>_xlfn.IFNA(VLOOKUP(db_emp[[#This Row],[Code_site]],[1]!db_site[[ID_Site]:[Url_maps]],3,0),"-")</f>
        <v>Unit - MOI</v>
      </c>
      <c r="R107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220944,'Sirnata','POM','','Site Project Management Senior Supervisor','LV09','','M02','Resign','1900-01-00','2025-10-24'</v>
      </c>
      <c r="S1071" s="74">
        <f>db_emp[[#This Row],[NIP (UPDATE)]]</f>
        <v>220944</v>
      </c>
    </row>
    <row r="1072" spans="2:19" hidden="1" x14ac:dyDescent="0.25">
      <c r="B1072" s="80">
        <v>1042</v>
      </c>
      <c r="C1072" s="75">
        <v>221046</v>
      </c>
      <c r="D1072" s="74" t="s">
        <v>2370</v>
      </c>
      <c r="E1072" s="75" t="s">
        <v>2108</v>
      </c>
      <c r="F1072" s="75"/>
      <c r="G1072" s="74" t="s">
        <v>2256</v>
      </c>
      <c r="H1072" s="80" t="s">
        <v>853</v>
      </c>
      <c r="I1072" s="74"/>
      <c r="J1072" s="75" t="s">
        <v>315</v>
      </c>
      <c r="K1072" s="80" t="s">
        <v>903</v>
      </c>
      <c r="L1072" s="76"/>
      <c r="M1072" s="77">
        <f t="shared" ca="1" si="31"/>
        <v>45954</v>
      </c>
      <c r="N1072" s="74" t="str">
        <f>_xlfn.IFNA(VLOOKUP(db_emp[[#This Row],[ID_DIV]],[1]!db_dpt[[Code_dpt]:[Departement]],2,0),"-")</f>
        <v>-</v>
      </c>
      <c r="O1072" s="74" t="str">
        <f>_xlfn.IFNA(VLOOKUP(db_emp[[#This Row],[ID_SDP]],[1]!db_div[[Code_div]:[Division]],2,0),"-")</f>
        <v>-</v>
      </c>
      <c r="P1072" s="74" t="str">
        <f>_xlfn.IFNA(VLOOKUP(db_emp[[#This Row],[Code_lvl]],[1]!db_lvl[[#All],[ID_level]:[Leveling Name]],2,0),"-")</f>
        <v>Staff</v>
      </c>
      <c r="Q1072" s="74" t="str">
        <f>_xlfn.IFNA(VLOOKUP(db_emp[[#This Row],[Code_site]],[1]!db_site[[ID_Site]:[Url_maps]],3,0),"-")</f>
        <v>Head Office - ASGO</v>
      </c>
      <c r="R107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221046,'Annisa','PRO','','Procurement Administrasion Staff','LV12','','O99','Resign','1900-01-00','2025-10-24'</v>
      </c>
      <c r="S1072" s="74">
        <f>db_emp[[#This Row],[NIP (UPDATE)]]</f>
        <v>221046</v>
      </c>
    </row>
    <row r="1073" spans="2:19" hidden="1" x14ac:dyDescent="0.25">
      <c r="B1073" s="75">
        <v>1043</v>
      </c>
      <c r="C1073" s="75">
        <v>221047</v>
      </c>
      <c r="D1073" s="74" t="s">
        <v>2371</v>
      </c>
      <c r="E1073" s="75" t="s">
        <v>1018</v>
      </c>
      <c r="F1073" s="75"/>
      <c r="G1073" s="74" t="s">
        <v>1839</v>
      </c>
      <c r="H1073" s="80" t="s">
        <v>853</v>
      </c>
      <c r="I1073" s="74"/>
      <c r="J1073" s="75" t="s">
        <v>490</v>
      </c>
      <c r="K1073" s="80" t="s">
        <v>903</v>
      </c>
      <c r="L1073" s="76"/>
      <c r="M1073" s="77">
        <f t="shared" ca="1" si="31"/>
        <v>45954</v>
      </c>
      <c r="N1073" s="74" t="str">
        <f>_xlfn.IFNA(VLOOKUP(db_emp[[#This Row],[ID_DIV]],[1]!db_dpt[[Code_dpt]:[Departement]],2,0),"-")</f>
        <v>Operational</v>
      </c>
      <c r="O1073" s="74" t="str">
        <f>_xlfn.IFNA(VLOOKUP(db_emp[[#This Row],[ID_SDP]],[1]!db_div[[Code_div]:[Division]],2,0),"-")</f>
        <v>-</v>
      </c>
      <c r="P1073" s="74" t="str">
        <f>_xlfn.IFNA(VLOOKUP(db_emp[[#This Row],[Code_lvl]],[1]!db_lvl[[#All],[ID_level]:[Leveling Name]],2,0),"-")</f>
        <v>Staff</v>
      </c>
      <c r="Q1073" s="74" t="str">
        <f>_xlfn.IFNA(VLOOKUP(db_emp[[#This Row],[Code_site]],[1]!db_site[[ID_Site]:[Url_maps]],3,0),"-")</f>
        <v>Unit - ASHTA</v>
      </c>
      <c r="R107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221047,'M. Rafli Rafles Tanjung','OPR','','Security Staff','LV12','','M04','Resign','1900-01-00','2025-10-24'</v>
      </c>
      <c r="S1073" s="74">
        <f>db_emp[[#This Row],[NIP (UPDATE)]]</f>
        <v>221047</v>
      </c>
    </row>
    <row r="1074" spans="2:19" hidden="1" x14ac:dyDescent="0.25">
      <c r="B1074" s="75">
        <v>1044</v>
      </c>
      <c r="C1074" s="75">
        <v>221083</v>
      </c>
      <c r="D1074" s="74" t="s">
        <v>2372</v>
      </c>
      <c r="E1074" s="75" t="s">
        <v>1036</v>
      </c>
      <c r="F1074" s="75"/>
      <c r="G1074" s="74" t="s">
        <v>1962</v>
      </c>
      <c r="H1074" s="75" t="s">
        <v>870</v>
      </c>
      <c r="I1074" s="74"/>
      <c r="J1074" s="75" t="s">
        <v>433</v>
      </c>
      <c r="K1074" s="80" t="s">
        <v>903</v>
      </c>
      <c r="L1074" s="76"/>
      <c r="M1074" s="77">
        <f t="shared" ca="1" si="31"/>
        <v>45954</v>
      </c>
      <c r="N1074" s="74" t="str">
        <f>_xlfn.IFNA(VLOOKUP(db_emp[[#This Row],[ID_DIV]],[1]!db_dpt[[Code_dpt]:[Departement]],2,0),"-")</f>
        <v>Tenant Relation</v>
      </c>
      <c r="O1074" s="74" t="str">
        <f>_xlfn.IFNA(VLOOKUP(db_emp[[#This Row],[ID_SDP]],[1]!db_div[[Code_div]:[Division]],2,0),"-")</f>
        <v>-</v>
      </c>
      <c r="P1074" s="74" t="str">
        <f>_xlfn.IFNA(VLOOKUP(db_emp[[#This Row],[Code_lvl]],[1]!db_lvl[[#All],[ID_level]:[Leveling Name]],2,0),"-")</f>
        <v>Supervisor</v>
      </c>
      <c r="Q1074" s="74" t="str">
        <f>_xlfn.IFNA(VLOOKUP(db_emp[[#This Row],[Code_site]],[1]!db_site[[ID_Site]:[Url_maps]],3,0),"-")</f>
        <v>Unit - Taman Anggrek Residences</v>
      </c>
      <c r="R107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221083,'Dita Aryani','TRL','','Tenant Relation Supervisor','LV09','','A01','Resign','1900-01-00','2025-10-24'</v>
      </c>
      <c r="S1074" s="74">
        <f>db_emp[[#This Row],[NIP (UPDATE)]]</f>
        <v>221083</v>
      </c>
    </row>
    <row r="1075" spans="2:19" hidden="1" x14ac:dyDescent="0.25">
      <c r="B1075" s="75">
        <v>1045</v>
      </c>
      <c r="C1075" s="75">
        <v>221084</v>
      </c>
      <c r="D1075" s="74" t="s">
        <v>2373</v>
      </c>
      <c r="E1075" s="75" t="s">
        <v>1036</v>
      </c>
      <c r="F1075" s="75"/>
      <c r="G1075" s="74" t="s">
        <v>1933</v>
      </c>
      <c r="H1075" s="80" t="s">
        <v>853</v>
      </c>
      <c r="I1075" s="74"/>
      <c r="J1075" s="75" t="s">
        <v>433</v>
      </c>
      <c r="K1075" s="80" t="s">
        <v>903</v>
      </c>
      <c r="L1075" s="76"/>
      <c r="M1075" s="77">
        <f t="shared" ca="1" si="31"/>
        <v>45954</v>
      </c>
      <c r="N1075" s="74" t="str">
        <f>_xlfn.IFNA(VLOOKUP(db_emp[[#This Row],[ID_DIV]],[1]!db_dpt[[Code_dpt]:[Departement]],2,0),"-")</f>
        <v>Tenant Relation</v>
      </c>
      <c r="O1075" s="74" t="str">
        <f>_xlfn.IFNA(VLOOKUP(db_emp[[#This Row],[ID_SDP]],[1]!db_div[[Code_div]:[Division]],2,0),"-")</f>
        <v>-</v>
      </c>
      <c r="P1075" s="74" t="str">
        <f>_xlfn.IFNA(VLOOKUP(db_emp[[#This Row],[Code_lvl]],[1]!db_lvl[[#All],[ID_level]:[Leveling Name]],2,0),"-")</f>
        <v>Staff</v>
      </c>
      <c r="Q1075" s="74" t="str">
        <f>_xlfn.IFNA(VLOOKUP(db_emp[[#This Row],[Code_site]],[1]!db_site[[ID_Site]:[Url_maps]],3,0),"-")</f>
        <v>Unit - Taman Anggrek Residences</v>
      </c>
      <c r="R107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221084,'Puja Natalia Gultom','TRL','','Tenant Relation Staff','LV12','','A01','Resign','1900-01-00','2025-10-24'</v>
      </c>
      <c r="S1075" s="74">
        <f>db_emp[[#This Row],[NIP (UPDATE)]]</f>
        <v>221084</v>
      </c>
    </row>
    <row r="1076" spans="2:19" hidden="1" x14ac:dyDescent="0.25">
      <c r="B1076" s="80">
        <v>1046</v>
      </c>
      <c r="C1076" s="75">
        <v>221086</v>
      </c>
      <c r="D1076" s="74" t="s">
        <v>2374</v>
      </c>
      <c r="E1076" s="75" t="s">
        <v>911</v>
      </c>
      <c r="F1076" s="75"/>
      <c r="G1076" s="74" t="s">
        <v>1083</v>
      </c>
      <c r="H1076" s="75" t="s">
        <v>870</v>
      </c>
      <c r="I1076" s="74"/>
      <c r="J1076" s="75" t="s">
        <v>492</v>
      </c>
      <c r="K1076" s="80" t="s">
        <v>903</v>
      </c>
      <c r="L1076" s="76"/>
      <c r="M1076" s="77">
        <f t="shared" ca="1" si="31"/>
        <v>45954</v>
      </c>
      <c r="N1076" s="74" t="str">
        <f>_xlfn.IFNA(VLOOKUP(db_emp[[#This Row],[ID_DIV]],[1]!db_dpt[[Code_dpt]:[Departement]],2,0),"-")</f>
        <v>Engineering</v>
      </c>
      <c r="O1076" s="74" t="str">
        <f>_xlfn.IFNA(VLOOKUP(db_emp[[#This Row],[ID_SDP]],[1]!db_div[[Code_div]:[Division]],2,0),"-")</f>
        <v>-</v>
      </c>
      <c r="P1076" s="74" t="str">
        <f>_xlfn.IFNA(VLOOKUP(db_emp[[#This Row],[Code_lvl]],[1]!db_lvl[[#All],[ID_level]:[Leveling Name]],2,0),"-")</f>
        <v>Supervisor</v>
      </c>
      <c r="Q1076" s="74" t="str">
        <f>_xlfn.IFNA(VLOOKUP(db_emp[[#This Row],[Code_site]],[1]!db_site[[ID_Site]:[Url_maps]],3,0),"-")</f>
        <v>Unit - Hublife</v>
      </c>
      <c r="R107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221086,'Arief Rosandi','ENG','','Civil Supervisor','LV09','','M05','Resign','1900-01-00','2025-10-24'</v>
      </c>
      <c r="S1076" s="74">
        <f>db_emp[[#This Row],[NIP (UPDATE)]]</f>
        <v>221086</v>
      </c>
    </row>
    <row r="1077" spans="2:19" hidden="1" x14ac:dyDescent="0.25">
      <c r="B1077" s="75">
        <v>1047</v>
      </c>
      <c r="C1077" s="75">
        <v>221095</v>
      </c>
      <c r="D1077" s="74" t="s">
        <v>2375</v>
      </c>
      <c r="E1077" s="75" t="s">
        <v>1018</v>
      </c>
      <c r="F1077" s="75"/>
      <c r="G1077" s="74" t="s">
        <v>1842</v>
      </c>
      <c r="H1077" s="75" t="s">
        <v>870</v>
      </c>
      <c r="I1077" s="74"/>
      <c r="J1077" s="75" t="s">
        <v>484</v>
      </c>
      <c r="K1077" s="80" t="s">
        <v>903</v>
      </c>
      <c r="L1077" s="76"/>
      <c r="M1077" s="77">
        <f t="shared" ca="1" si="31"/>
        <v>45954</v>
      </c>
      <c r="N1077" s="74" t="str">
        <f>_xlfn.IFNA(VLOOKUP(db_emp[[#This Row],[ID_DIV]],[1]!db_dpt[[Code_dpt]:[Departement]],2,0),"-")</f>
        <v>Operational</v>
      </c>
      <c r="O1077" s="74" t="str">
        <f>_xlfn.IFNA(VLOOKUP(db_emp[[#This Row],[ID_SDP]],[1]!db_div[[Code_div]:[Division]],2,0),"-")</f>
        <v>-</v>
      </c>
      <c r="P1077" s="74" t="str">
        <f>_xlfn.IFNA(VLOOKUP(db_emp[[#This Row],[Code_lvl]],[1]!db_lvl[[#All],[ID_level]:[Leveling Name]],2,0),"-")</f>
        <v>Supervisor</v>
      </c>
      <c r="Q1077" s="74" t="str">
        <f>_xlfn.IFNA(VLOOKUP(db_emp[[#This Row],[Code_site]],[1]!db_site[[ID_Site]:[Url_maps]],3,0),"-")</f>
        <v>Unit - PIK Avenue</v>
      </c>
      <c r="R107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221095,'Dolly Hutabarat','OPR','','Security Supervisor','LV09','','M01','Resign','1900-01-00','2025-10-24'</v>
      </c>
      <c r="S1077" s="74">
        <f>db_emp[[#This Row],[NIP (UPDATE)]]</f>
        <v>221095</v>
      </c>
    </row>
    <row r="1078" spans="2:19" hidden="1" x14ac:dyDescent="0.25">
      <c r="B1078" s="75">
        <v>1048</v>
      </c>
      <c r="C1078" s="75">
        <v>221122</v>
      </c>
      <c r="D1078" s="74" t="s">
        <v>2376</v>
      </c>
      <c r="E1078" s="75" t="s">
        <v>845</v>
      </c>
      <c r="F1078" s="75"/>
      <c r="G1078" s="74" t="s">
        <v>955</v>
      </c>
      <c r="H1078" s="80" t="s">
        <v>853</v>
      </c>
      <c r="I1078" s="74"/>
      <c r="J1078" s="75" t="s">
        <v>315</v>
      </c>
      <c r="K1078" s="80" t="s">
        <v>903</v>
      </c>
      <c r="L1078" s="76"/>
      <c r="M1078" s="77">
        <f t="shared" ca="1" si="31"/>
        <v>45954</v>
      </c>
      <c r="N1078" s="74" t="str">
        <f>_xlfn.IFNA(VLOOKUP(db_emp[[#This Row],[ID_DIV]],[1]!db_dpt[[Code_dpt]:[Departement]],2,0),"-")</f>
        <v>Finance &amp; Accounting</v>
      </c>
      <c r="O1078" s="74" t="str">
        <f>_xlfn.IFNA(VLOOKUP(db_emp[[#This Row],[ID_SDP]],[1]!db_div[[Code_div]:[Division]],2,0),"-")</f>
        <v>-</v>
      </c>
      <c r="P1078" s="74" t="str">
        <f>_xlfn.IFNA(VLOOKUP(db_emp[[#This Row],[Code_lvl]],[1]!db_lvl[[#All],[ID_level]:[Leveling Name]],2,0),"-")</f>
        <v>Staff</v>
      </c>
      <c r="Q1078" s="74" t="str">
        <f>_xlfn.IFNA(VLOOKUP(db_emp[[#This Row],[Code_site]],[1]!db_site[[ID_Site]:[Url_maps]],3,0),"-")</f>
        <v>Head Office - ASGO</v>
      </c>
      <c r="R107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221122,'Rigid Asanjaya Akbar','FIN','','Asset Management &amp; Controller Staff','LV12','','O99','Resign','1900-01-00','2025-10-24'</v>
      </c>
      <c r="S1078" s="74">
        <f>db_emp[[#This Row],[NIP (UPDATE)]]</f>
        <v>221122</v>
      </c>
    </row>
    <row r="1079" spans="2:19" hidden="1" x14ac:dyDescent="0.25">
      <c r="B1079" s="75">
        <v>1049</v>
      </c>
      <c r="C1079" s="75">
        <v>221125</v>
      </c>
      <c r="D1079" s="74" t="s">
        <v>2377</v>
      </c>
      <c r="E1079" s="75" t="s">
        <v>2270</v>
      </c>
      <c r="F1079" s="75"/>
      <c r="G1079" s="74" t="s">
        <v>2378</v>
      </c>
      <c r="H1079" s="75" t="s">
        <v>968</v>
      </c>
      <c r="I1079" s="74"/>
      <c r="J1079" s="75" t="s">
        <v>315</v>
      </c>
      <c r="K1079" s="80" t="s">
        <v>903</v>
      </c>
      <c r="L1079" s="76"/>
      <c r="M1079" s="77">
        <f t="shared" ca="1" si="31"/>
        <v>45954</v>
      </c>
      <c r="N1079" s="74" t="str">
        <f>_xlfn.IFNA(VLOOKUP(db_emp[[#This Row],[ID_DIV]],[1]!db_dpt[[Code_dpt]:[Departement]],2,0),"-")</f>
        <v>-</v>
      </c>
      <c r="O1079" s="74" t="str">
        <f>_xlfn.IFNA(VLOOKUP(db_emp[[#This Row],[ID_SDP]],[1]!db_div[[Code_div]:[Division]],2,0),"-")</f>
        <v>-</v>
      </c>
      <c r="P1079" s="74" t="str">
        <f>_xlfn.IFNA(VLOOKUP(db_emp[[#This Row],[Code_lvl]],[1]!db_lvl[[#All],[ID_level]:[Leveling Name]],2,0),"-")</f>
        <v>Senior Manager</v>
      </c>
      <c r="Q1079" s="74" t="str">
        <f>_xlfn.IFNA(VLOOKUP(db_emp[[#This Row],[Code_site]],[1]!db_site[[ID_Site]:[Url_maps]],3,0),"-")</f>
        <v>Head Office - ASGO</v>
      </c>
      <c r="R107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221125,'Roy Sudibya Wahana','INN','','Innovation Senior Manager','LV04','','O99','Resign','1900-01-00','2025-10-24'</v>
      </c>
      <c r="S1079" s="74">
        <f>db_emp[[#This Row],[NIP (UPDATE)]]</f>
        <v>221125</v>
      </c>
    </row>
    <row r="1080" spans="2:19" hidden="1" x14ac:dyDescent="0.25">
      <c r="B1080" s="80">
        <v>1050</v>
      </c>
      <c r="C1080" s="75">
        <v>221127</v>
      </c>
      <c r="D1080" s="74" t="s">
        <v>2379</v>
      </c>
      <c r="E1080" s="75" t="s">
        <v>1018</v>
      </c>
      <c r="F1080" s="75"/>
      <c r="G1080" s="74" t="s">
        <v>1395</v>
      </c>
      <c r="H1080" s="75" t="s">
        <v>870</v>
      </c>
      <c r="I1080" s="74"/>
      <c r="J1080" s="75" t="s">
        <v>492</v>
      </c>
      <c r="K1080" s="80" t="s">
        <v>903</v>
      </c>
      <c r="L1080" s="76"/>
      <c r="M1080" s="77">
        <f t="shared" ca="1" si="31"/>
        <v>45954</v>
      </c>
      <c r="N1080" s="74" t="str">
        <f>_xlfn.IFNA(VLOOKUP(db_emp[[#This Row],[ID_DIV]],[1]!db_dpt[[Code_dpt]:[Departement]],2,0),"-")</f>
        <v>Operational</v>
      </c>
      <c r="O1080" s="74" t="str">
        <f>_xlfn.IFNA(VLOOKUP(db_emp[[#This Row],[ID_SDP]],[1]!db_div[[Code_div]:[Division]],2,0),"-")</f>
        <v>-</v>
      </c>
      <c r="P1080" s="74" t="str">
        <f>_xlfn.IFNA(VLOOKUP(db_emp[[#This Row],[Code_lvl]],[1]!db_lvl[[#All],[ID_level]:[Leveling Name]],2,0),"-")</f>
        <v>Supervisor</v>
      </c>
      <c r="Q1080" s="74" t="str">
        <f>_xlfn.IFNA(VLOOKUP(db_emp[[#This Row],[Code_site]],[1]!db_site[[ID_Site]:[Url_maps]],3,0),"-")</f>
        <v>Unit - Hublife</v>
      </c>
      <c r="R108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221127,'Ursula Ayuni Soda','OPR','','Fire &amp; Safety Supervisor','LV09','','M05','Resign','1900-01-00','2025-10-24'</v>
      </c>
      <c r="S1080" s="74">
        <f>db_emp[[#This Row],[NIP (UPDATE)]]</f>
        <v>221127</v>
      </c>
    </row>
    <row r="1081" spans="2:19" hidden="1" x14ac:dyDescent="0.25">
      <c r="B1081" s="75">
        <v>1051</v>
      </c>
      <c r="C1081" s="75">
        <v>221152</v>
      </c>
      <c r="D1081" s="74" t="s">
        <v>2380</v>
      </c>
      <c r="E1081" s="75" t="s">
        <v>2111</v>
      </c>
      <c r="F1081" s="75"/>
      <c r="G1081" s="74" t="s">
        <v>1000</v>
      </c>
      <c r="H1081" s="80" t="s">
        <v>848</v>
      </c>
      <c r="I1081" s="74"/>
      <c r="J1081" s="75" t="s">
        <v>315</v>
      </c>
      <c r="K1081" s="80" t="s">
        <v>903</v>
      </c>
      <c r="L1081" s="76"/>
      <c r="M1081" s="77">
        <f t="shared" ca="1" si="31"/>
        <v>45954</v>
      </c>
      <c r="N1081" s="74" t="str">
        <f>_xlfn.IFNA(VLOOKUP(db_emp[[#This Row],[ID_DIV]],[1]!db_dpt[[Code_dpt]:[Departement]],2,0),"-")</f>
        <v>-</v>
      </c>
      <c r="O1081" s="74" t="str">
        <f>_xlfn.IFNA(VLOOKUP(db_emp[[#This Row],[ID_SDP]],[1]!db_div[[Code_div]:[Division]],2,0),"-")</f>
        <v>-</v>
      </c>
      <c r="P1081" s="74" t="str">
        <f>_xlfn.IFNA(VLOOKUP(db_emp[[#This Row],[Code_lvl]],[1]!db_lvl[[#All],[ID_level]:[Leveling Name]],2,0),"-")</f>
        <v>Assistant Manager</v>
      </c>
      <c r="Q1081" s="74" t="str">
        <f>_xlfn.IFNA(VLOOKUP(db_emp[[#This Row],[Code_site]],[1]!db_site[[ID_Site]:[Url_maps]],3,0),"-")</f>
        <v>Head Office - ASGO</v>
      </c>
      <c r="R108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221152,'Elvin Eko Putra','CSL','','Casual Leasing Assistant Manager','LV07','','O99','Resign','1900-01-00','2025-10-24'</v>
      </c>
      <c r="S1081" s="74">
        <f>db_emp[[#This Row],[NIP (UPDATE)]]</f>
        <v>221152</v>
      </c>
    </row>
    <row r="1082" spans="2:19" hidden="1" x14ac:dyDescent="0.25">
      <c r="B1082" s="75">
        <v>1052</v>
      </c>
      <c r="C1082" s="75">
        <v>221156</v>
      </c>
      <c r="D1082" s="74" t="s">
        <v>2381</v>
      </c>
      <c r="E1082" s="75" t="s">
        <v>1018</v>
      </c>
      <c r="F1082" s="75"/>
      <c r="G1082" s="74" t="s">
        <v>1680</v>
      </c>
      <c r="H1082" s="75" t="s">
        <v>953</v>
      </c>
      <c r="I1082" s="74"/>
      <c r="J1082" s="75" t="s">
        <v>314</v>
      </c>
      <c r="K1082" s="80" t="s">
        <v>903</v>
      </c>
      <c r="L1082" s="76"/>
      <c r="M1082" s="77">
        <f t="shared" ca="1" si="31"/>
        <v>45954</v>
      </c>
      <c r="N1082" s="74" t="str">
        <f>_xlfn.IFNA(VLOOKUP(db_emp[[#This Row],[ID_DIV]],[1]!db_dpt[[Code_dpt]:[Departement]],2,0),"-")</f>
        <v>Operational</v>
      </c>
      <c r="O1082" s="74" t="str">
        <f>_xlfn.IFNA(VLOOKUP(db_emp[[#This Row],[ID_SDP]],[1]!db_div[[Code_div]:[Division]],2,0),"-")</f>
        <v>-</v>
      </c>
      <c r="P1082" s="74" t="str">
        <f>_xlfn.IFNA(VLOOKUP(db_emp[[#This Row],[Code_lvl]],[1]!db_lvl[[#All],[ID_level]:[Leveling Name]],2,0),"-")</f>
        <v>Manager</v>
      </c>
      <c r="Q1082" s="74" t="str">
        <f>_xlfn.IFNA(VLOOKUP(db_emp[[#This Row],[Code_site]],[1]!db_site[[ID_Site]:[Url_maps]],3,0),"-")</f>
        <v>Unit - MOI</v>
      </c>
      <c r="R108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221156,'Beny Sastra Wijaya','OPR','','Operation Mall Manager','LV05','','M02','Resign','1900-01-00','2025-10-24'</v>
      </c>
      <c r="S1082" s="74">
        <f>db_emp[[#This Row],[NIP (UPDATE)]]</f>
        <v>221156</v>
      </c>
    </row>
    <row r="1083" spans="2:19" hidden="1" x14ac:dyDescent="0.25">
      <c r="B1083" s="75">
        <v>1053</v>
      </c>
      <c r="C1083" s="75">
        <v>221158</v>
      </c>
      <c r="D1083" s="74" t="s">
        <v>2382</v>
      </c>
      <c r="E1083" s="75" t="s">
        <v>911</v>
      </c>
      <c r="F1083" s="75"/>
      <c r="G1083" s="74" t="s">
        <v>1072</v>
      </c>
      <c r="H1083" s="80" t="s">
        <v>853</v>
      </c>
      <c r="I1083" s="74"/>
      <c r="J1083" s="75" t="s">
        <v>484</v>
      </c>
      <c r="K1083" s="80" t="s">
        <v>903</v>
      </c>
      <c r="L1083" s="76"/>
      <c r="M1083" s="77">
        <f t="shared" ca="1" si="31"/>
        <v>45954</v>
      </c>
      <c r="N1083" s="74" t="str">
        <f>_xlfn.IFNA(VLOOKUP(db_emp[[#This Row],[ID_DIV]],[1]!db_dpt[[Code_dpt]:[Departement]],2,0),"-")</f>
        <v>Engineering</v>
      </c>
      <c r="O1083" s="74" t="str">
        <f>_xlfn.IFNA(VLOOKUP(db_emp[[#This Row],[ID_SDP]],[1]!db_div[[Code_div]:[Division]],2,0),"-")</f>
        <v>-</v>
      </c>
      <c r="P1083" s="74" t="str">
        <f>_xlfn.IFNA(VLOOKUP(db_emp[[#This Row],[Code_lvl]],[1]!db_lvl[[#All],[ID_level]:[Leveling Name]],2,0),"-")</f>
        <v>Staff</v>
      </c>
      <c r="Q1083" s="74" t="str">
        <f>_xlfn.IFNA(VLOOKUP(db_emp[[#This Row],[Code_site]],[1]!db_site[[ID_Site]:[Url_maps]],3,0),"-")</f>
        <v>Unit - PIK Avenue</v>
      </c>
      <c r="R108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221158,'Bayu Firman Bahrudin','ENG','','Civil Staff','LV12','','M01','Resign','1900-01-00','2025-10-24'</v>
      </c>
      <c r="S1083" s="74">
        <f>db_emp[[#This Row],[NIP (UPDATE)]]</f>
        <v>221158</v>
      </c>
    </row>
    <row r="1084" spans="2:19" hidden="1" x14ac:dyDescent="0.25">
      <c r="B1084" s="80">
        <v>1054</v>
      </c>
      <c r="C1084" s="75">
        <v>221159</v>
      </c>
      <c r="D1084" s="74" t="s">
        <v>2383</v>
      </c>
      <c r="E1084" s="75" t="s">
        <v>911</v>
      </c>
      <c r="F1084" s="75"/>
      <c r="G1084" s="74" t="s">
        <v>1727</v>
      </c>
      <c r="H1084" s="80" t="s">
        <v>853</v>
      </c>
      <c r="I1084" s="74"/>
      <c r="J1084" s="75" t="s">
        <v>484</v>
      </c>
      <c r="K1084" s="80" t="s">
        <v>903</v>
      </c>
      <c r="L1084" s="76"/>
      <c r="M1084" s="77">
        <f t="shared" ca="1" si="31"/>
        <v>45954</v>
      </c>
      <c r="N1084" s="74" t="str">
        <f>_xlfn.IFNA(VLOOKUP(db_emp[[#This Row],[ID_DIV]],[1]!db_dpt[[Code_dpt]:[Departement]],2,0),"-")</f>
        <v>Engineering</v>
      </c>
      <c r="O1084" s="74" t="str">
        <f>_xlfn.IFNA(VLOOKUP(db_emp[[#This Row],[ID_SDP]],[1]!db_div[[Code_div]:[Division]],2,0),"-")</f>
        <v>-</v>
      </c>
      <c r="P1084" s="74" t="str">
        <f>_xlfn.IFNA(VLOOKUP(db_emp[[#This Row],[Code_lvl]],[1]!db_lvl[[#All],[ID_level]:[Leveling Name]],2,0),"-")</f>
        <v>Staff</v>
      </c>
      <c r="Q1084" s="74" t="str">
        <f>_xlfn.IFNA(VLOOKUP(db_emp[[#This Row],[Code_site]],[1]!db_site[[ID_Site]:[Url_maps]],3,0),"-")</f>
        <v>Unit - PIK Avenue</v>
      </c>
      <c r="R108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221159,'Diki Maulana Malik Ibrahim','ENG','','Plumbing Staff','LV12','','M01','Resign','1900-01-00','2025-10-24'</v>
      </c>
      <c r="S1084" s="74">
        <f>db_emp[[#This Row],[NIP (UPDATE)]]</f>
        <v>221159</v>
      </c>
    </row>
    <row r="1085" spans="2:19" hidden="1" x14ac:dyDescent="0.25">
      <c r="B1085" s="75">
        <v>1055</v>
      </c>
      <c r="C1085" s="75">
        <v>221191</v>
      </c>
      <c r="D1085" s="74" t="s">
        <v>2384</v>
      </c>
      <c r="E1085" s="75" t="s">
        <v>2037</v>
      </c>
      <c r="F1085" s="75"/>
      <c r="G1085" s="74" t="s">
        <v>2104</v>
      </c>
      <c r="H1085" s="80" t="s">
        <v>853</v>
      </c>
      <c r="I1085" s="74"/>
      <c r="J1085" s="75" t="s">
        <v>314</v>
      </c>
      <c r="K1085" s="80" t="s">
        <v>903</v>
      </c>
      <c r="L1085" s="76"/>
      <c r="M1085" s="77">
        <f t="shared" ca="1" si="31"/>
        <v>45954</v>
      </c>
      <c r="N1085" s="74" t="str">
        <f>_xlfn.IFNA(VLOOKUP(db_emp[[#This Row],[ID_DIV]],[1]!db_dpt[[Code_dpt]:[Departement]],2,0),"-")</f>
        <v>-</v>
      </c>
      <c r="O1085" s="74" t="str">
        <f>_xlfn.IFNA(VLOOKUP(db_emp[[#This Row],[ID_SDP]],[1]!db_div[[Code_div]:[Division]],2,0),"-")</f>
        <v>-</v>
      </c>
      <c r="P1085" s="74" t="str">
        <f>_xlfn.IFNA(VLOOKUP(db_emp[[#This Row],[Code_lvl]],[1]!db_lvl[[#All],[ID_level]:[Leveling Name]],2,0),"-")</f>
        <v>Staff</v>
      </c>
      <c r="Q1085" s="74" t="str">
        <f>_xlfn.IFNA(VLOOKUP(db_emp[[#This Row],[Code_site]],[1]!db_site[[ID_Site]:[Url_maps]],3,0),"-")</f>
        <v>Unit - MOI</v>
      </c>
      <c r="R108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221191,'Suhono Fajar Nugraha','IPP','','Plant Operator Staff','LV12','','M02','Resign','1900-01-00','2025-10-24'</v>
      </c>
      <c r="S1085" s="74">
        <f>db_emp[[#This Row],[NIP (UPDATE)]]</f>
        <v>221191</v>
      </c>
    </row>
    <row r="1086" spans="2:19" hidden="1" x14ac:dyDescent="0.25">
      <c r="B1086" s="75">
        <v>1056</v>
      </c>
      <c r="C1086" s="75">
        <v>221255</v>
      </c>
      <c r="D1086" s="74" t="s">
        <v>2385</v>
      </c>
      <c r="E1086" s="75" t="s">
        <v>911</v>
      </c>
      <c r="F1086" s="75"/>
      <c r="G1086" s="74" t="s">
        <v>1184</v>
      </c>
      <c r="H1086" s="80" t="s">
        <v>853</v>
      </c>
      <c r="I1086" s="74"/>
      <c r="J1086" s="75" t="s">
        <v>490</v>
      </c>
      <c r="K1086" s="80" t="s">
        <v>903</v>
      </c>
      <c r="L1086" s="76"/>
      <c r="M1086" s="77">
        <f t="shared" ca="1" si="31"/>
        <v>45954</v>
      </c>
      <c r="N1086" s="74" t="str">
        <f>_xlfn.IFNA(VLOOKUP(db_emp[[#This Row],[ID_DIV]],[1]!db_dpt[[Code_dpt]:[Departement]],2,0),"-")</f>
        <v>Engineering</v>
      </c>
      <c r="O1086" s="74" t="str">
        <f>_xlfn.IFNA(VLOOKUP(db_emp[[#This Row],[ID_SDP]],[1]!db_div[[Code_div]:[Division]],2,0),"-")</f>
        <v>-</v>
      </c>
      <c r="P1086" s="74" t="str">
        <f>_xlfn.IFNA(VLOOKUP(db_emp[[#This Row],[Code_lvl]],[1]!db_lvl[[#All],[ID_level]:[Leveling Name]],2,0),"-")</f>
        <v>Staff</v>
      </c>
      <c r="Q1086" s="74" t="str">
        <f>_xlfn.IFNA(VLOOKUP(db_emp[[#This Row],[Code_site]],[1]!db_site[[ID_Site]:[Url_maps]],3,0),"-")</f>
        <v>Unit - ASHTA</v>
      </c>
      <c r="R108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221255,'Suparjo','ENG','','Electrical Staff','LV12','','M04','Resign','1900-01-00','2025-10-24'</v>
      </c>
      <c r="S1086" s="74">
        <f>db_emp[[#This Row],[NIP (UPDATE)]]</f>
        <v>221255</v>
      </c>
    </row>
    <row r="1087" spans="2:19" hidden="1" x14ac:dyDescent="0.25">
      <c r="B1087" s="75">
        <v>1057</v>
      </c>
      <c r="C1087" s="75">
        <v>221326</v>
      </c>
      <c r="D1087" s="74" t="s">
        <v>2386</v>
      </c>
      <c r="E1087" s="75" t="s">
        <v>2185</v>
      </c>
      <c r="F1087" s="75"/>
      <c r="G1087" s="74" t="s">
        <v>1795</v>
      </c>
      <c r="H1087" s="80" t="s">
        <v>853</v>
      </c>
      <c r="I1087" s="74"/>
      <c r="J1087" s="75" t="s">
        <v>490</v>
      </c>
      <c r="K1087" s="80" t="s">
        <v>903</v>
      </c>
      <c r="L1087" s="76"/>
      <c r="M1087" s="77">
        <f t="shared" ca="1" si="31"/>
        <v>45954</v>
      </c>
      <c r="N1087" s="74" t="str">
        <f>_xlfn.IFNA(VLOOKUP(db_emp[[#This Row],[ID_DIV]],[1]!db_dpt[[Code_dpt]:[Departement]],2,0),"-")</f>
        <v>-</v>
      </c>
      <c r="O1087" s="74" t="str">
        <f>_xlfn.IFNA(VLOOKUP(db_emp[[#This Row],[ID_SDP]],[1]!db_div[[Code_div]:[Division]],2,0),"-")</f>
        <v>-</v>
      </c>
      <c r="P1087" s="74" t="str">
        <f>_xlfn.IFNA(VLOOKUP(db_emp[[#This Row],[Code_lvl]],[1]!db_lvl[[#All],[ID_level]:[Leveling Name]],2,0),"-")</f>
        <v>Staff</v>
      </c>
      <c r="Q1087" s="74" t="str">
        <f>_xlfn.IFNA(VLOOKUP(db_emp[[#This Row],[Code_site]],[1]!db_site[[ID_Site]:[Url_maps]],3,0),"-")</f>
        <v>Unit - ASHTA</v>
      </c>
      <c r="R108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221326,'Aryo Seto Eko Putra','PCH','','Purchasing Staff','LV12','','M04','Resign','1900-01-00','2025-10-24'</v>
      </c>
      <c r="S1087" s="74">
        <f>db_emp[[#This Row],[NIP (UPDATE)]]</f>
        <v>221326</v>
      </c>
    </row>
    <row r="1088" spans="2:19" hidden="1" x14ac:dyDescent="0.25">
      <c r="B1088" s="80">
        <v>1058</v>
      </c>
      <c r="C1088" s="75">
        <v>221327</v>
      </c>
      <c r="D1088" s="74" t="s">
        <v>2387</v>
      </c>
      <c r="E1088" s="75" t="s">
        <v>1018</v>
      </c>
      <c r="F1088" s="75"/>
      <c r="G1088" s="74" t="s">
        <v>1395</v>
      </c>
      <c r="H1088" s="75" t="s">
        <v>870</v>
      </c>
      <c r="I1088" s="74"/>
      <c r="J1088" s="75" t="s">
        <v>490</v>
      </c>
      <c r="K1088" s="80" t="s">
        <v>903</v>
      </c>
      <c r="L1088" s="76"/>
      <c r="M1088" s="77">
        <f t="shared" ca="1" si="31"/>
        <v>45954</v>
      </c>
      <c r="N1088" s="74" t="str">
        <f>_xlfn.IFNA(VLOOKUP(db_emp[[#This Row],[ID_DIV]],[1]!db_dpt[[Code_dpt]:[Departement]],2,0),"-")</f>
        <v>Operational</v>
      </c>
      <c r="O1088" s="74" t="str">
        <f>_xlfn.IFNA(VLOOKUP(db_emp[[#This Row],[ID_SDP]],[1]!db_div[[Code_div]:[Division]],2,0),"-")</f>
        <v>-</v>
      </c>
      <c r="P1088" s="74" t="str">
        <f>_xlfn.IFNA(VLOOKUP(db_emp[[#This Row],[Code_lvl]],[1]!db_lvl[[#All],[ID_level]:[Leveling Name]],2,0),"-")</f>
        <v>Supervisor</v>
      </c>
      <c r="Q1088" s="74" t="str">
        <f>_xlfn.IFNA(VLOOKUP(db_emp[[#This Row],[Code_site]],[1]!db_site[[ID_Site]:[Url_maps]],3,0),"-")</f>
        <v>Unit - ASHTA</v>
      </c>
      <c r="R108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221327,'Zidny Nurfadhli','OPR','','Fire &amp; Safety Supervisor','LV09','','M04','Resign','1900-01-00','2025-10-24'</v>
      </c>
      <c r="S1088" s="74">
        <f>db_emp[[#This Row],[NIP (UPDATE)]]</f>
        <v>221327</v>
      </c>
    </row>
    <row r="1089" spans="2:19" hidden="1" x14ac:dyDescent="0.25">
      <c r="B1089" s="75">
        <v>1059</v>
      </c>
      <c r="C1089" s="75">
        <v>221344</v>
      </c>
      <c r="D1089" s="74" t="s">
        <v>2388</v>
      </c>
      <c r="E1089" s="75" t="s">
        <v>1018</v>
      </c>
      <c r="F1089" s="75"/>
      <c r="G1089" s="74" t="s">
        <v>1717</v>
      </c>
      <c r="H1089" s="80" t="s">
        <v>853</v>
      </c>
      <c r="I1089" s="74"/>
      <c r="J1089" s="75" t="s">
        <v>484</v>
      </c>
      <c r="K1089" s="80" t="s">
        <v>903</v>
      </c>
      <c r="L1089" s="76"/>
      <c r="M1089" s="77">
        <f t="shared" ca="1" si="31"/>
        <v>45954</v>
      </c>
      <c r="N1089" s="74" t="str">
        <f>_xlfn.IFNA(VLOOKUP(db_emp[[#This Row],[ID_DIV]],[1]!db_dpt[[Code_dpt]:[Departement]],2,0),"-")</f>
        <v>Operational</v>
      </c>
      <c r="O1089" s="74" t="str">
        <f>_xlfn.IFNA(VLOOKUP(db_emp[[#This Row],[ID_SDP]],[1]!db_div[[Code_div]:[Division]],2,0),"-")</f>
        <v>-</v>
      </c>
      <c r="P1089" s="74" t="str">
        <f>_xlfn.IFNA(VLOOKUP(db_emp[[#This Row],[Code_lvl]],[1]!db_lvl[[#All],[ID_level]:[Leveling Name]],2,0),"-")</f>
        <v>Staff</v>
      </c>
      <c r="Q1089" s="74" t="str">
        <f>_xlfn.IFNA(VLOOKUP(db_emp[[#This Row],[Code_site]],[1]!db_site[[ID_Site]:[Url_maps]],3,0),"-")</f>
        <v>Unit - PIK Avenue</v>
      </c>
      <c r="R108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221344,'Alben','OPR','','Parking Staff','LV12','','M01','Resign','1900-01-00','2025-10-24'</v>
      </c>
      <c r="S1089" s="74">
        <f>db_emp[[#This Row],[NIP (UPDATE)]]</f>
        <v>221344</v>
      </c>
    </row>
    <row r="1090" spans="2:19" hidden="1" x14ac:dyDescent="0.25">
      <c r="B1090" s="75">
        <v>1060</v>
      </c>
      <c r="C1090" s="75">
        <v>221355</v>
      </c>
      <c r="D1090" s="74" t="s">
        <v>2389</v>
      </c>
      <c r="E1090" s="75" t="s">
        <v>130</v>
      </c>
      <c r="F1090" s="75"/>
      <c r="G1090" s="74" t="s">
        <v>185</v>
      </c>
      <c r="H1090" s="75" t="s">
        <v>1640</v>
      </c>
      <c r="I1090" s="74"/>
      <c r="J1090" s="75" t="s">
        <v>433</v>
      </c>
      <c r="K1090" s="80" t="s">
        <v>903</v>
      </c>
      <c r="L1090" s="76"/>
      <c r="M1090" s="77">
        <f t="shared" ca="1" si="31"/>
        <v>45954</v>
      </c>
      <c r="N1090" s="74" t="str">
        <f>_xlfn.IFNA(VLOOKUP(db_emp[[#This Row],[ID_DIV]],[1]!db_dpt[[Code_dpt]:[Departement]],2,0),"-")</f>
        <v>-</v>
      </c>
      <c r="O1090" s="74" t="str">
        <f>_xlfn.IFNA(VLOOKUP(db_emp[[#This Row],[ID_SDP]],[1]!db_div[[Code_div]:[Division]],2,0),"-")</f>
        <v>-</v>
      </c>
      <c r="P1090" s="74" t="str">
        <f>_xlfn.IFNA(VLOOKUP(db_emp[[#This Row],[Code_lvl]],[1]!db_lvl[[#All],[ID_level]:[Leveling Name]],2,0),"-")</f>
        <v>Non Staff</v>
      </c>
      <c r="Q1090" s="74" t="str">
        <f>_xlfn.IFNA(VLOOKUP(db_emp[[#This Row],[Code_site]],[1]!db_site[[ID_Site]:[Url_maps]],3,0),"-")</f>
        <v>Unit - Taman Anggrek Residences</v>
      </c>
      <c r="R109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221355,'Farid Ridho Abdullah','HRD','','Office Boy','LV13','','A01','Resign','1900-01-00','2025-10-24'</v>
      </c>
      <c r="S1090" s="74">
        <f>db_emp[[#This Row],[NIP (UPDATE)]]</f>
        <v>221355</v>
      </c>
    </row>
    <row r="1091" spans="2:19" hidden="1" x14ac:dyDescent="0.25">
      <c r="B1091" s="75">
        <v>1061</v>
      </c>
      <c r="C1091" s="75">
        <v>221360</v>
      </c>
      <c r="D1091" s="74" t="s">
        <v>2390</v>
      </c>
      <c r="E1091" s="75" t="s">
        <v>2108</v>
      </c>
      <c r="F1091" s="75"/>
      <c r="G1091" s="74" t="s">
        <v>1760</v>
      </c>
      <c r="H1091" s="75" t="s">
        <v>870</v>
      </c>
      <c r="I1091" s="74"/>
      <c r="J1091" s="75" t="s">
        <v>315</v>
      </c>
      <c r="K1091" s="80" t="s">
        <v>903</v>
      </c>
      <c r="L1091" s="76"/>
      <c r="M1091" s="77">
        <f t="shared" ca="1" si="31"/>
        <v>45954</v>
      </c>
      <c r="N1091" s="74" t="str">
        <f>_xlfn.IFNA(VLOOKUP(db_emp[[#This Row],[ID_DIV]],[1]!db_dpt[[Code_dpt]:[Departement]],2,0),"-")</f>
        <v>-</v>
      </c>
      <c r="O1091" s="74" t="str">
        <f>_xlfn.IFNA(VLOOKUP(db_emp[[#This Row],[ID_SDP]],[1]!db_div[[Code_div]:[Division]],2,0),"-")</f>
        <v>-</v>
      </c>
      <c r="P1091" s="74" t="str">
        <f>_xlfn.IFNA(VLOOKUP(db_emp[[#This Row],[Code_lvl]],[1]!db_lvl[[#All],[ID_level]:[Leveling Name]],2,0),"-")</f>
        <v>Supervisor</v>
      </c>
      <c r="Q1091" s="74" t="str">
        <f>_xlfn.IFNA(VLOOKUP(db_emp[[#This Row],[Code_site]],[1]!db_site[[ID_Site]:[Url_maps]],3,0),"-")</f>
        <v>Head Office - ASGO</v>
      </c>
      <c r="R109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221360,'Rahman Dwi Setyawan','PRO','','Procurement Supervisor','LV09','','O99','Resign','1900-01-00','2025-10-24'</v>
      </c>
      <c r="S1091" s="74">
        <f>db_emp[[#This Row],[NIP (UPDATE)]]</f>
        <v>221360</v>
      </c>
    </row>
    <row r="1092" spans="2:19" hidden="1" x14ac:dyDescent="0.25">
      <c r="B1092" s="80">
        <v>1062</v>
      </c>
      <c r="C1092" s="75">
        <v>221393</v>
      </c>
      <c r="D1092" s="74" t="s">
        <v>2391</v>
      </c>
      <c r="E1092" s="75" t="s">
        <v>911</v>
      </c>
      <c r="F1092" s="75"/>
      <c r="G1092" s="74" t="s">
        <v>1727</v>
      </c>
      <c r="H1092" s="80" t="s">
        <v>853</v>
      </c>
      <c r="I1092" s="74"/>
      <c r="J1092" s="75" t="s">
        <v>314</v>
      </c>
      <c r="K1092" s="80" t="s">
        <v>903</v>
      </c>
      <c r="L1092" s="76"/>
      <c r="M1092" s="77">
        <f t="shared" ca="1" si="31"/>
        <v>45954</v>
      </c>
      <c r="N1092" s="74" t="str">
        <f>_xlfn.IFNA(VLOOKUP(db_emp[[#This Row],[ID_DIV]],[1]!db_dpt[[Code_dpt]:[Departement]],2,0),"-")</f>
        <v>Engineering</v>
      </c>
      <c r="O1092" s="74" t="str">
        <f>_xlfn.IFNA(VLOOKUP(db_emp[[#This Row],[ID_SDP]],[1]!db_div[[Code_div]:[Division]],2,0),"-")</f>
        <v>-</v>
      </c>
      <c r="P1092" s="74" t="str">
        <f>_xlfn.IFNA(VLOOKUP(db_emp[[#This Row],[Code_lvl]],[1]!db_lvl[[#All],[ID_level]:[Leveling Name]],2,0),"-")</f>
        <v>Staff</v>
      </c>
      <c r="Q1092" s="74" t="str">
        <f>_xlfn.IFNA(VLOOKUP(db_emp[[#This Row],[Code_site]],[1]!db_site[[ID_Site]:[Url_maps]],3,0),"-")</f>
        <v>Unit - MOI</v>
      </c>
      <c r="R109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221393,'Suktar','ENG','','Plumbing Staff','LV12','','M02','Resign','1900-01-00','2025-10-24'</v>
      </c>
      <c r="S1092" s="74">
        <f>db_emp[[#This Row],[NIP (UPDATE)]]</f>
        <v>221393</v>
      </c>
    </row>
    <row r="1093" spans="2:19" hidden="1" x14ac:dyDescent="0.25">
      <c r="B1093" s="75">
        <v>1063</v>
      </c>
      <c r="C1093" s="75">
        <v>221442</v>
      </c>
      <c r="D1093" s="74" t="s">
        <v>2392</v>
      </c>
      <c r="E1093" s="75" t="s">
        <v>2108</v>
      </c>
      <c r="F1093" s="75"/>
      <c r="G1093" s="74" t="s">
        <v>1743</v>
      </c>
      <c r="H1093" s="80" t="s">
        <v>853</v>
      </c>
      <c r="I1093" s="74"/>
      <c r="J1093" s="75" t="s">
        <v>315</v>
      </c>
      <c r="K1093" s="80" t="s">
        <v>903</v>
      </c>
      <c r="L1093" s="76"/>
      <c r="M1093" s="77">
        <f t="shared" ca="1" si="31"/>
        <v>45954</v>
      </c>
      <c r="N1093" s="74" t="str">
        <f>_xlfn.IFNA(VLOOKUP(db_emp[[#This Row],[ID_DIV]],[1]!db_dpt[[Code_dpt]:[Departement]],2,0),"-")</f>
        <v>-</v>
      </c>
      <c r="O1093" s="74" t="str">
        <f>_xlfn.IFNA(VLOOKUP(db_emp[[#This Row],[ID_SDP]],[1]!db_div[[Code_div]:[Division]],2,0),"-")</f>
        <v>-</v>
      </c>
      <c r="P1093" s="74" t="str">
        <f>_xlfn.IFNA(VLOOKUP(db_emp[[#This Row],[Code_lvl]],[1]!db_lvl[[#All],[ID_level]:[Leveling Name]],2,0),"-")</f>
        <v>Staff</v>
      </c>
      <c r="Q1093" s="74" t="str">
        <f>_xlfn.IFNA(VLOOKUP(db_emp[[#This Row],[Code_site]],[1]!db_site[[ID_Site]:[Url_maps]],3,0),"-")</f>
        <v>Head Office - ASGO</v>
      </c>
      <c r="R109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221442,'Nandini Aisyah Isnan','PRO','','Procurement Administration Staff','LV12','','O99','Resign','1900-01-00','2025-10-24'</v>
      </c>
      <c r="S1093" s="74">
        <f>db_emp[[#This Row],[NIP (UPDATE)]]</f>
        <v>221442</v>
      </c>
    </row>
    <row r="1094" spans="2:19" hidden="1" x14ac:dyDescent="0.25">
      <c r="B1094" s="75">
        <v>1064</v>
      </c>
      <c r="C1094" s="75">
        <v>221453</v>
      </c>
      <c r="D1094" s="74" t="s">
        <v>2393</v>
      </c>
      <c r="E1094" s="75" t="s">
        <v>911</v>
      </c>
      <c r="F1094" s="75"/>
      <c r="G1094" s="74" t="s">
        <v>1072</v>
      </c>
      <c r="H1094" s="80" t="s">
        <v>853</v>
      </c>
      <c r="I1094" s="74"/>
      <c r="J1094" s="75" t="s">
        <v>484</v>
      </c>
      <c r="K1094" s="80" t="s">
        <v>903</v>
      </c>
      <c r="L1094" s="76"/>
      <c r="M1094" s="77">
        <f t="shared" ca="1" si="31"/>
        <v>45954</v>
      </c>
      <c r="N1094" s="74" t="str">
        <f>_xlfn.IFNA(VLOOKUP(db_emp[[#This Row],[ID_DIV]],[1]!db_dpt[[Code_dpt]:[Departement]],2,0),"-")</f>
        <v>Engineering</v>
      </c>
      <c r="O1094" s="74" t="str">
        <f>_xlfn.IFNA(VLOOKUP(db_emp[[#This Row],[ID_SDP]],[1]!db_div[[Code_div]:[Division]],2,0),"-")</f>
        <v>-</v>
      </c>
      <c r="P1094" s="74" t="str">
        <f>_xlfn.IFNA(VLOOKUP(db_emp[[#This Row],[Code_lvl]],[1]!db_lvl[[#All],[ID_level]:[Leveling Name]],2,0),"-")</f>
        <v>Staff</v>
      </c>
      <c r="Q1094" s="74" t="str">
        <f>_xlfn.IFNA(VLOOKUP(db_emp[[#This Row],[Code_site]],[1]!db_site[[ID_Site]:[Url_maps]],3,0),"-")</f>
        <v>Unit - PIK Avenue</v>
      </c>
      <c r="R109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221453,'Yully Supriyadi','ENG','','Civil Staff','LV12','','M01','Resign','1900-01-00','2025-10-24'</v>
      </c>
      <c r="S1094" s="74">
        <f>db_emp[[#This Row],[NIP (UPDATE)]]</f>
        <v>221453</v>
      </c>
    </row>
    <row r="1095" spans="2:19" hidden="1" x14ac:dyDescent="0.25">
      <c r="B1095" s="75">
        <v>1065</v>
      </c>
      <c r="C1095" s="75">
        <v>221463</v>
      </c>
      <c r="D1095" s="74" t="s">
        <v>2394</v>
      </c>
      <c r="E1095" s="75" t="s">
        <v>1042</v>
      </c>
      <c r="F1095" s="75"/>
      <c r="G1095" s="74" t="s">
        <v>1054</v>
      </c>
      <c r="H1095" s="75" t="s">
        <v>870</v>
      </c>
      <c r="I1095" s="74"/>
      <c r="J1095" s="75" t="s">
        <v>455</v>
      </c>
      <c r="K1095" s="80" t="s">
        <v>903</v>
      </c>
      <c r="L1095" s="76"/>
      <c r="M1095" s="77">
        <f t="shared" ref="M1095:M1107" ca="1" si="32">TODAY()+1</f>
        <v>45954</v>
      </c>
      <c r="N1095" s="74" t="str">
        <f>_xlfn.IFNA(VLOOKUP(db_emp[[#This Row],[ID_DIV]],[1]!db_dpt[[Code_dpt]:[Departement]],2,0),"-")</f>
        <v>Cinema</v>
      </c>
      <c r="O1095" s="74" t="str">
        <f>_xlfn.IFNA(VLOOKUP(db_emp[[#This Row],[ID_SDP]],[1]!db_div[[Code_div]:[Division]],2,0),"-")</f>
        <v>-</v>
      </c>
      <c r="P1095" s="74" t="str">
        <f>_xlfn.IFNA(VLOOKUP(db_emp[[#This Row],[Code_lvl]],[1]!db_lvl[[#All],[ID_level]:[Leveling Name]],2,0),"-")</f>
        <v>Supervisor</v>
      </c>
      <c r="Q1095" s="74" t="str">
        <f>_xlfn.IFNA(VLOOKUP(db_emp[[#This Row],[Code_site]],[1]!db_site[[ID_Site]:[Url_maps]],3,0),"-")</f>
        <v>Unit - FLIX PIK Avenue</v>
      </c>
      <c r="R109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221463,'Fandy Maulana Fasya','CIN','','Cinema Operation Supervisor','LV09','','F01','Resign','1900-01-00','2025-10-24'</v>
      </c>
      <c r="S1095" s="74">
        <f>db_emp[[#This Row],[NIP (UPDATE)]]</f>
        <v>221463</v>
      </c>
    </row>
    <row r="1096" spans="2:19" hidden="1" x14ac:dyDescent="0.25">
      <c r="B1096" s="80">
        <v>1066</v>
      </c>
      <c r="C1096" s="75">
        <v>221512</v>
      </c>
      <c r="D1096" s="74" t="s">
        <v>2395</v>
      </c>
      <c r="E1096" s="75" t="s">
        <v>1018</v>
      </c>
      <c r="F1096" s="75"/>
      <c r="G1096" s="74" t="s">
        <v>1169</v>
      </c>
      <c r="H1096" s="75" t="s">
        <v>953</v>
      </c>
      <c r="I1096" s="74"/>
      <c r="J1096" s="75" t="s">
        <v>314</v>
      </c>
      <c r="K1096" s="80" t="s">
        <v>903</v>
      </c>
      <c r="L1096" s="76"/>
      <c r="M1096" s="77">
        <f t="shared" ca="1" si="32"/>
        <v>45954</v>
      </c>
      <c r="N1096" s="74" t="str">
        <f>_xlfn.IFNA(VLOOKUP(db_emp[[#This Row],[ID_DIV]],[1]!db_dpt[[Code_dpt]:[Departement]],2,0),"-")</f>
        <v>Operational</v>
      </c>
      <c r="O1096" s="74" t="str">
        <f>_xlfn.IFNA(VLOOKUP(db_emp[[#This Row],[ID_SDP]],[1]!db_div[[Code_div]:[Division]],2,0),"-")</f>
        <v>-</v>
      </c>
      <c r="P1096" s="74" t="str">
        <f>_xlfn.IFNA(VLOOKUP(db_emp[[#This Row],[Code_lvl]],[1]!db_lvl[[#All],[ID_level]:[Leveling Name]],2,0),"-")</f>
        <v>Manager</v>
      </c>
      <c r="Q1096" s="74" t="str">
        <f>_xlfn.IFNA(VLOOKUP(db_emp[[#This Row],[Code_site]],[1]!db_site[[ID_Site]:[Url_maps]],3,0),"-")</f>
        <v>Unit - MOI</v>
      </c>
      <c r="R109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221512,'Eriek Hendra Setiawan','OPR','','Deputy Operation Mall Manager','LV05','','M02','Resign','1900-01-00','2025-10-24'</v>
      </c>
      <c r="S1096" s="74">
        <f>db_emp[[#This Row],[NIP (UPDATE)]]</f>
        <v>221512</v>
      </c>
    </row>
    <row r="1097" spans="2:19" hidden="1" x14ac:dyDescent="0.25">
      <c r="B1097" s="75">
        <v>1067</v>
      </c>
      <c r="C1097" s="75">
        <v>221515</v>
      </c>
      <c r="D1097" s="74" t="s">
        <v>2396</v>
      </c>
      <c r="E1097" s="75" t="s">
        <v>2108</v>
      </c>
      <c r="F1097" s="75"/>
      <c r="G1097" s="74" t="s">
        <v>1760</v>
      </c>
      <c r="H1097" s="75" t="s">
        <v>870</v>
      </c>
      <c r="I1097" s="74"/>
      <c r="J1097" s="75" t="s">
        <v>315</v>
      </c>
      <c r="K1097" s="80" t="s">
        <v>903</v>
      </c>
      <c r="L1097" s="76"/>
      <c r="M1097" s="77">
        <f t="shared" ca="1" si="32"/>
        <v>45954</v>
      </c>
      <c r="N1097" s="74" t="str">
        <f>_xlfn.IFNA(VLOOKUP(db_emp[[#This Row],[ID_DIV]],[1]!db_dpt[[Code_dpt]:[Departement]],2,0),"-")</f>
        <v>-</v>
      </c>
      <c r="O1097" s="74" t="str">
        <f>_xlfn.IFNA(VLOOKUP(db_emp[[#This Row],[ID_SDP]],[1]!db_div[[Code_div]:[Division]],2,0),"-")</f>
        <v>-</v>
      </c>
      <c r="P1097" s="74" t="str">
        <f>_xlfn.IFNA(VLOOKUP(db_emp[[#This Row],[Code_lvl]],[1]!db_lvl[[#All],[ID_level]:[Leveling Name]],2,0),"-")</f>
        <v>Supervisor</v>
      </c>
      <c r="Q1097" s="74" t="str">
        <f>_xlfn.IFNA(VLOOKUP(db_emp[[#This Row],[Code_site]],[1]!db_site[[ID_Site]:[Url_maps]],3,0),"-")</f>
        <v>Head Office - ASGO</v>
      </c>
      <c r="R1097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221515,'Bong Michelle Pola','PRO','','Procurement Supervisor','LV09','','O99','Resign','1900-01-00','2025-10-24'</v>
      </c>
      <c r="S1097" s="74">
        <f>db_emp[[#This Row],[NIP (UPDATE)]]</f>
        <v>221515</v>
      </c>
    </row>
    <row r="1098" spans="2:19" hidden="1" x14ac:dyDescent="0.25">
      <c r="B1098" s="75">
        <v>1068</v>
      </c>
      <c r="C1098" s="75">
        <v>221527</v>
      </c>
      <c r="D1098" s="74" t="s">
        <v>2397</v>
      </c>
      <c r="E1098" s="75" t="s">
        <v>2138</v>
      </c>
      <c r="F1098" s="75"/>
      <c r="G1098" s="74" t="s">
        <v>2243</v>
      </c>
      <c r="H1098" s="75" t="s">
        <v>870</v>
      </c>
      <c r="I1098" s="74"/>
      <c r="J1098" s="75" t="s">
        <v>484</v>
      </c>
      <c r="K1098" s="80" t="s">
        <v>903</v>
      </c>
      <c r="L1098" s="76"/>
      <c r="M1098" s="77">
        <f t="shared" ca="1" si="32"/>
        <v>45954</v>
      </c>
      <c r="N1098" s="74" t="str">
        <f>_xlfn.IFNA(VLOOKUP(db_emp[[#This Row],[ID_DIV]],[1]!db_dpt[[Code_dpt]:[Departement]],2,0),"-")</f>
        <v>-</v>
      </c>
      <c r="O1098" s="74" t="str">
        <f>_xlfn.IFNA(VLOOKUP(db_emp[[#This Row],[ID_SDP]],[1]!db_div[[Code_div]:[Division]],2,0),"-")</f>
        <v>-</v>
      </c>
      <c r="P1098" s="74" t="str">
        <f>_xlfn.IFNA(VLOOKUP(db_emp[[#This Row],[Code_lvl]],[1]!db_lvl[[#All],[ID_level]:[Leveling Name]],2,0),"-")</f>
        <v>Supervisor</v>
      </c>
      <c r="Q1098" s="74" t="str">
        <f>_xlfn.IFNA(VLOOKUP(db_emp[[#This Row],[Code_site]],[1]!db_site[[ID_Site]:[Url_maps]],3,0),"-")</f>
        <v>Unit - PIK Avenue</v>
      </c>
      <c r="R109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221527,'Clausius Eko Prasetyo','CCM','','Visual Merchandise Supervisor','LV09','','M01','Resign','1900-01-00','2025-10-24'</v>
      </c>
      <c r="S1098" s="74">
        <f>db_emp[[#This Row],[NIP (UPDATE)]]</f>
        <v>221527</v>
      </c>
    </row>
    <row r="1099" spans="2:19" hidden="1" x14ac:dyDescent="0.25">
      <c r="B1099" s="75">
        <v>1069</v>
      </c>
      <c r="C1099" s="75">
        <v>221550</v>
      </c>
      <c r="D1099" s="74" t="s">
        <v>2398</v>
      </c>
      <c r="E1099" s="75" t="s">
        <v>130</v>
      </c>
      <c r="F1099" s="75"/>
      <c r="G1099" s="74" t="s">
        <v>1213</v>
      </c>
      <c r="H1099" s="80" t="s">
        <v>853</v>
      </c>
      <c r="I1099" s="74"/>
      <c r="J1099" s="75" t="s">
        <v>315</v>
      </c>
      <c r="K1099" s="80" t="s">
        <v>903</v>
      </c>
      <c r="L1099" s="76"/>
      <c r="M1099" s="77">
        <f t="shared" ca="1" si="32"/>
        <v>45954</v>
      </c>
      <c r="N1099" s="74" t="str">
        <f>_xlfn.IFNA(VLOOKUP(db_emp[[#This Row],[ID_DIV]],[1]!db_dpt[[Code_dpt]:[Departement]],2,0),"-")</f>
        <v>-</v>
      </c>
      <c r="O1099" s="74" t="str">
        <f>_xlfn.IFNA(VLOOKUP(db_emp[[#This Row],[ID_SDP]],[1]!db_div[[Code_div]:[Division]],2,0),"-")</f>
        <v>-</v>
      </c>
      <c r="P1099" s="74" t="str">
        <f>_xlfn.IFNA(VLOOKUP(db_emp[[#This Row],[Code_lvl]],[1]!db_lvl[[#All],[ID_level]:[Leveling Name]],2,0),"-")</f>
        <v>Staff</v>
      </c>
      <c r="Q1099" s="74" t="str">
        <f>_xlfn.IFNA(VLOOKUP(db_emp[[#This Row],[Code_site]],[1]!db_site[[ID_Site]:[Url_maps]],3,0),"-")</f>
        <v>Head Office - ASGO</v>
      </c>
      <c r="R1099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221550,'Pascha Nehemia Winanda','HRD','','Employer Branding Staff','LV12','','O99','Resign','1900-01-00','2025-10-24'</v>
      </c>
      <c r="S1099" s="74">
        <f>db_emp[[#This Row],[NIP (UPDATE)]]</f>
        <v>221550</v>
      </c>
    </row>
    <row r="1100" spans="2:19" hidden="1" x14ac:dyDescent="0.25">
      <c r="B1100" s="80">
        <v>1070</v>
      </c>
      <c r="C1100" s="75">
        <v>221577</v>
      </c>
      <c r="D1100" s="74" t="s">
        <v>2016</v>
      </c>
      <c r="E1100" s="75" t="s">
        <v>2399</v>
      </c>
      <c r="F1100" s="75"/>
      <c r="G1100" s="74" t="s">
        <v>2400</v>
      </c>
      <c r="H1100" s="75" t="s">
        <v>953</v>
      </c>
      <c r="I1100" s="74"/>
      <c r="J1100" s="75" t="s">
        <v>433</v>
      </c>
      <c r="K1100" s="80" t="s">
        <v>903</v>
      </c>
      <c r="L1100" s="76"/>
      <c r="M1100" s="77">
        <f t="shared" ca="1" si="32"/>
        <v>45954</v>
      </c>
      <c r="N1100" s="74" t="str">
        <f>_xlfn.IFNA(VLOOKUP(db_emp[[#This Row],[ID_DIV]],[1]!db_dpt[[Code_dpt]:[Departement]],2,0),"-")</f>
        <v>-</v>
      </c>
      <c r="O1100" s="74" t="str">
        <f>_xlfn.IFNA(VLOOKUP(db_emp[[#This Row],[ID_SDP]],[1]!db_div[[Code_div]:[Division]],2,0),"-")</f>
        <v>-</v>
      </c>
      <c r="P1100" s="74" t="str">
        <f>_xlfn.IFNA(VLOOKUP(db_emp[[#This Row],[Code_lvl]],[1]!db_lvl[[#All],[ID_level]:[Leveling Name]],2,0),"-")</f>
        <v>Manager</v>
      </c>
      <c r="Q1100" s="74" t="str">
        <f>_xlfn.IFNA(VLOOKUP(db_emp[[#This Row],[Code_site]],[1]!db_site[[ID_Site]:[Url_maps]],3,0),"-")</f>
        <v>Unit - Taman Anggrek Residences</v>
      </c>
      <c r="R1100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221577,'Yonsen Tanzil','CMN','','Deputy Property Management Manager','LV05','','A01','Resign','1900-01-00','2025-10-24'</v>
      </c>
      <c r="S1100" s="74">
        <f>db_emp[[#This Row],[NIP (UPDATE)]]</f>
        <v>221577</v>
      </c>
    </row>
    <row r="1101" spans="2:19" hidden="1" x14ac:dyDescent="0.25">
      <c r="B1101" s="75">
        <v>1071</v>
      </c>
      <c r="C1101" s="75">
        <v>221579</v>
      </c>
      <c r="D1101" s="74" t="s">
        <v>2401</v>
      </c>
      <c r="E1101" s="75" t="s">
        <v>920</v>
      </c>
      <c r="F1101" s="75"/>
      <c r="G1101" s="74" t="s">
        <v>2402</v>
      </c>
      <c r="H1101" s="75" t="s">
        <v>1673</v>
      </c>
      <c r="I1101" s="74"/>
      <c r="J1101" s="75" t="s">
        <v>315</v>
      </c>
      <c r="K1101" s="80" t="s">
        <v>903</v>
      </c>
      <c r="L1101" s="76"/>
      <c r="M1101" s="77">
        <f t="shared" ca="1" si="32"/>
        <v>45954</v>
      </c>
      <c r="N1101" s="74" t="str">
        <f>_xlfn.IFNA(VLOOKUP(db_emp[[#This Row],[ID_DIV]],[1]!db_dpt[[Code_dpt]:[Departement]],2,0),"-")</f>
        <v>Leasing</v>
      </c>
      <c r="O1101" s="74" t="str">
        <f>_xlfn.IFNA(VLOOKUP(db_emp[[#This Row],[ID_SDP]],[1]!db_div[[Code_div]:[Division]],2,0),"-")</f>
        <v>-</v>
      </c>
      <c r="P1101" s="74" t="str">
        <f>_xlfn.IFNA(VLOOKUP(db_emp[[#This Row],[Code_lvl]],[1]!db_lvl[[#All],[ID_level]:[Leveling Name]],2,0),"-")</f>
        <v>Deputy General Manager</v>
      </c>
      <c r="Q1101" s="74" t="str">
        <f>_xlfn.IFNA(VLOOKUP(db_emp[[#This Row],[Code_site]],[1]!db_site[[ID_Site]:[Url_maps]],3,0),"-")</f>
        <v>Head Office - ASGO</v>
      </c>
      <c r="R1101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221579,'Evia Sardodjo','LEA','','Leasing Deputy General Manager','LV03','','O99','Resign','1900-01-00','2025-10-24'</v>
      </c>
      <c r="S1101" s="74">
        <f>db_emp[[#This Row],[NIP (UPDATE)]]</f>
        <v>221579</v>
      </c>
    </row>
    <row r="1102" spans="2:19" hidden="1" x14ac:dyDescent="0.25">
      <c r="B1102" s="75">
        <v>1072</v>
      </c>
      <c r="C1102" s="75">
        <v>221671</v>
      </c>
      <c r="D1102" s="74" t="s">
        <v>2403</v>
      </c>
      <c r="E1102" s="75" t="s">
        <v>2108</v>
      </c>
      <c r="F1102" s="75"/>
      <c r="G1102" s="74" t="s">
        <v>1760</v>
      </c>
      <c r="H1102" s="75" t="s">
        <v>870</v>
      </c>
      <c r="I1102" s="74"/>
      <c r="J1102" s="75" t="s">
        <v>315</v>
      </c>
      <c r="K1102" s="80" t="s">
        <v>903</v>
      </c>
      <c r="L1102" s="76"/>
      <c r="M1102" s="77">
        <f t="shared" ca="1" si="32"/>
        <v>45954</v>
      </c>
      <c r="N1102" s="74" t="str">
        <f>_xlfn.IFNA(VLOOKUP(db_emp[[#This Row],[ID_DIV]],[1]!db_dpt[[Code_dpt]:[Departement]],2,0),"-")</f>
        <v>-</v>
      </c>
      <c r="O1102" s="74" t="str">
        <f>_xlfn.IFNA(VLOOKUP(db_emp[[#This Row],[ID_SDP]],[1]!db_div[[Code_div]:[Division]],2,0),"-")</f>
        <v>-</v>
      </c>
      <c r="P1102" s="74" t="str">
        <f>_xlfn.IFNA(VLOOKUP(db_emp[[#This Row],[Code_lvl]],[1]!db_lvl[[#All],[ID_level]:[Leveling Name]],2,0),"-")</f>
        <v>Supervisor</v>
      </c>
      <c r="Q1102" s="74" t="str">
        <f>_xlfn.IFNA(VLOOKUP(db_emp[[#This Row],[Code_site]],[1]!db_site[[ID_Site]:[Url_maps]],3,0),"-")</f>
        <v>Head Office - ASGO</v>
      </c>
      <c r="R1102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221671,'Dena Asep Permana','PRO','','Procurement Supervisor','LV09','','O99','Resign','1900-01-00','2025-10-24'</v>
      </c>
      <c r="S1102" s="74">
        <f>db_emp[[#This Row],[NIP (UPDATE)]]</f>
        <v>221671</v>
      </c>
    </row>
    <row r="1103" spans="2:19" hidden="1" x14ac:dyDescent="0.25">
      <c r="B1103" s="75">
        <v>1073</v>
      </c>
      <c r="C1103" s="75">
        <v>221680</v>
      </c>
      <c r="D1103" s="74" t="s">
        <v>2404</v>
      </c>
      <c r="E1103" s="75" t="s">
        <v>964</v>
      </c>
      <c r="F1103" s="75"/>
      <c r="G1103" s="74" t="s">
        <v>2204</v>
      </c>
      <c r="H1103" s="80" t="s">
        <v>853</v>
      </c>
      <c r="I1103" s="74"/>
      <c r="J1103" s="75" t="s">
        <v>314</v>
      </c>
      <c r="K1103" s="80" t="s">
        <v>903</v>
      </c>
      <c r="L1103" s="76"/>
      <c r="M1103" s="77">
        <f t="shared" ca="1" si="32"/>
        <v>45954</v>
      </c>
      <c r="N1103" s="74" t="str">
        <f>_xlfn.IFNA(VLOOKUP(db_emp[[#This Row],[ID_DIV]],[1]!db_dpt[[Code_dpt]:[Departement]],2,0),"-")</f>
        <v>Marketing Communication</v>
      </c>
      <c r="O1103" s="74" t="str">
        <f>_xlfn.IFNA(VLOOKUP(db_emp[[#This Row],[ID_SDP]],[1]!db_div[[Code_div]:[Division]],2,0),"-")</f>
        <v>-</v>
      </c>
      <c r="P1103" s="74" t="str">
        <f>_xlfn.IFNA(VLOOKUP(db_emp[[#This Row],[Code_lvl]],[1]!db_lvl[[#All],[ID_level]:[Leveling Name]],2,0),"-")</f>
        <v>Staff</v>
      </c>
      <c r="Q1103" s="74" t="str">
        <f>_xlfn.IFNA(VLOOKUP(db_emp[[#This Row],[Code_site]],[1]!db_site[[ID_Site]:[Url_maps]],3,0),"-")</f>
        <v>Unit - MOI</v>
      </c>
      <c r="R1103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221680,'Regina Devita Christi','MAR','','Marketing Communication Staff','LV12','','M02','Resign','1900-01-00','2025-10-24'</v>
      </c>
      <c r="S1103" s="74">
        <f>db_emp[[#This Row],[NIP (UPDATE)]]</f>
        <v>221680</v>
      </c>
    </row>
    <row r="1104" spans="2:19" hidden="1" x14ac:dyDescent="0.25">
      <c r="B1104" s="80">
        <v>1074</v>
      </c>
      <c r="C1104" s="75">
        <v>221721</v>
      </c>
      <c r="D1104" s="74" t="s">
        <v>2405</v>
      </c>
      <c r="E1104" s="75" t="s">
        <v>130</v>
      </c>
      <c r="F1104" s="75"/>
      <c r="G1104" s="74" t="s">
        <v>2191</v>
      </c>
      <c r="H1104" s="80" t="s">
        <v>853</v>
      </c>
      <c r="I1104" s="74"/>
      <c r="J1104" s="75" t="s">
        <v>314</v>
      </c>
      <c r="K1104" s="80" t="s">
        <v>903</v>
      </c>
      <c r="L1104" s="76"/>
      <c r="M1104" s="77">
        <f t="shared" ca="1" si="32"/>
        <v>45954</v>
      </c>
      <c r="N1104" s="74" t="str">
        <f>_xlfn.IFNA(VLOOKUP(db_emp[[#This Row],[ID_DIV]],[1]!db_dpt[[Code_dpt]:[Departement]],2,0),"-")</f>
        <v>-</v>
      </c>
      <c r="O1104" s="74" t="str">
        <f>_xlfn.IFNA(VLOOKUP(db_emp[[#This Row],[ID_SDP]],[1]!db_div[[Code_div]:[Division]],2,0),"-")</f>
        <v>-</v>
      </c>
      <c r="P1104" s="74" t="str">
        <f>_xlfn.IFNA(VLOOKUP(db_emp[[#This Row],[Code_lvl]],[1]!db_lvl[[#All],[ID_level]:[Leveling Name]],2,0),"-")</f>
        <v>Staff</v>
      </c>
      <c r="Q1104" s="74" t="str">
        <f>_xlfn.IFNA(VLOOKUP(db_emp[[#This Row],[Code_site]],[1]!db_site[[ID_Site]:[Url_maps]],3,0),"-")</f>
        <v>Unit - MOI</v>
      </c>
      <c r="R1104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221721,'Eliana Mutiara Manalu','HRD','','HR &amp; GA Staff','LV12','','M02','Resign','1900-01-00','2025-10-24'</v>
      </c>
      <c r="S1104" s="74">
        <f>db_emp[[#This Row],[NIP (UPDATE)]]</f>
        <v>221721</v>
      </c>
    </row>
    <row r="1105" spans="2:19" hidden="1" x14ac:dyDescent="0.25">
      <c r="B1105" s="75">
        <v>1075</v>
      </c>
      <c r="C1105" s="75">
        <v>221782</v>
      </c>
      <c r="D1105" s="74" t="s">
        <v>2406</v>
      </c>
      <c r="E1105" s="75" t="s">
        <v>2108</v>
      </c>
      <c r="F1105" s="75"/>
      <c r="G1105" s="74" t="s">
        <v>1760</v>
      </c>
      <c r="H1105" s="75" t="s">
        <v>870</v>
      </c>
      <c r="I1105" s="74"/>
      <c r="J1105" s="75" t="s">
        <v>315</v>
      </c>
      <c r="K1105" s="80" t="s">
        <v>903</v>
      </c>
      <c r="L1105" s="76"/>
      <c r="M1105" s="77">
        <f t="shared" ca="1" si="32"/>
        <v>45954</v>
      </c>
      <c r="N1105" s="74" t="str">
        <f>_xlfn.IFNA(VLOOKUP(db_emp[[#This Row],[ID_DIV]],[1]!db_dpt[[Code_dpt]:[Departement]],2,0),"-")</f>
        <v>-</v>
      </c>
      <c r="O1105" s="74" t="str">
        <f>_xlfn.IFNA(VLOOKUP(db_emp[[#This Row],[ID_SDP]],[1]!db_div[[Code_div]:[Division]],2,0),"-")</f>
        <v>-</v>
      </c>
      <c r="P1105" s="74" t="str">
        <f>_xlfn.IFNA(VLOOKUP(db_emp[[#This Row],[Code_lvl]],[1]!db_lvl[[#All],[ID_level]:[Leveling Name]],2,0),"-")</f>
        <v>Supervisor</v>
      </c>
      <c r="Q1105" s="74" t="str">
        <f>_xlfn.IFNA(VLOOKUP(db_emp[[#This Row],[Code_site]],[1]!db_site[[ID_Site]:[Url_maps]],3,0),"-")</f>
        <v>Head Office - ASGO</v>
      </c>
      <c r="R1105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221782,'Muhamad Rohmat Kurnia','PRO','','Procurement Supervisor','LV09','','O99','Resign','1900-01-00','2025-10-24'</v>
      </c>
      <c r="S1105" s="74">
        <f>db_emp[[#This Row],[NIP (UPDATE)]]</f>
        <v>221782</v>
      </c>
    </row>
    <row r="1106" spans="2:19" hidden="1" x14ac:dyDescent="0.25">
      <c r="B1106" s="75">
        <v>1076</v>
      </c>
      <c r="C1106" s="75">
        <v>221786</v>
      </c>
      <c r="D1106" s="74" t="s">
        <v>2407</v>
      </c>
      <c r="E1106" s="75" t="s">
        <v>1036</v>
      </c>
      <c r="F1106" s="75"/>
      <c r="G1106" s="74" t="s">
        <v>1933</v>
      </c>
      <c r="H1106" s="80" t="s">
        <v>853</v>
      </c>
      <c r="I1106" s="74"/>
      <c r="J1106" s="75" t="s">
        <v>433</v>
      </c>
      <c r="K1106" s="80" t="s">
        <v>903</v>
      </c>
      <c r="L1106" s="76"/>
      <c r="M1106" s="77">
        <f t="shared" ca="1" si="32"/>
        <v>45954</v>
      </c>
      <c r="N1106" s="74" t="str">
        <f>_xlfn.IFNA(VLOOKUP(db_emp[[#This Row],[ID_DIV]],[1]!db_dpt[[Code_dpt]:[Departement]],2,0),"-")</f>
        <v>Tenant Relation</v>
      </c>
      <c r="O1106" s="74" t="str">
        <f>_xlfn.IFNA(VLOOKUP(db_emp[[#This Row],[ID_SDP]],[1]!db_div[[Code_div]:[Division]],2,0),"-")</f>
        <v>-</v>
      </c>
      <c r="P1106" s="74" t="str">
        <f>_xlfn.IFNA(VLOOKUP(db_emp[[#This Row],[Code_lvl]],[1]!db_lvl[[#All],[ID_level]:[Leveling Name]],2,0),"-")</f>
        <v>Staff</v>
      </c>
      <c r="Q1106" s="74" t="str">
        <f>_xlfn.IFNA(VLOOKUP(db_emp[[#This Row],[Code_site]],[1]!db_site[[ID_Site]:[Url_maps]],3,0),"-")</f>
        <v>Unit - Taman Anggrek Residences</v>
      </c>
      <c r="R1106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221786,'Cecilia Isabell','TRL','','Tenant Relation Staff','LV12','','A01','Resign','1900-01-00','2025-10-24'</v>
      </c>
      <c r="S1106" s="74">
        <f>db_emp[[#This Row],[NIP (UPDATE)]]</f>
        <v>221786</v>
      </c>
    </row>
    <row r="1107" spans="2:19" hidden="1" x14ac:dyDescent="0.25">
      <c r="B1107" s="75">
        <v>1077</v>
      </c>
      <c r="C1107" s="80">
        <v>240001</v>
      </c>
      <c r="D1107" s="79" t="s">
        <v>2408</v>
      </c>
      <c r="E1107" s="80" t="s">
        <v>1018</v>
      </c>
      <c r="F1107" s="80" t="s">
        <v>971</v>
      </c>
      <c r="G1107" s="79" t="s">
        <v>2021</v>
      </c>
      <c r="H1107" s="80" t="s">
        <v>953</v>
      </c>
      <c r="I1107" s="79"/>
      <c r="J1107" s="80" t="s">
        <v>484</v>
      </c>
      <c r="K1107" s="80" t="s">
        <v>903</v>
      </c>
      <c r="L1107" s="81"/>
      <c r="M1107" s="82">
        <f t="shared" ca="1" si="32"/>
        <v>45954</v>
      </c>
      <c r="N1107" s="79" t="str">
        <f>_xlfn.IFNA(VLOOKUP(db_emp[[#This Row],[ID_DIV]],[1]!db_dpt[[Code_dpt]:[Departement]],2,0),"-")</f>
        <v>Operational</v>
      </c>
      <c r="O1107" s="79" t="str">
        <f>_xlfn.IFNA(VLOOKUP(db_emp[[#This Row],[ID_SDP]],[1]!db_div[[Code_div]:[Division]],2,0),"-")</f>
        <v>General Head Departement</v>
      </c>
      <c r="P1107" s="79" t="str">
        <f>_xlfn.IFNA(VLOOKUP(db_emp[[#This Row],[Code_lvl]],[1]!db_lvl[[#All],[ID_level]:[Leveling Name]],2,0),"-")</f>
        <v>Manager</v>
      </c>
      <c r="Q1107" s="79" t="str">
        <f>_xlfn.IFNA(VLOOKUP(db_emp[[#This Row],[Code_site]],[1]!db_site[[ID_Site]:[Url_maps]],3,0),"-")</f>
        <v>Unit - PIK Avenue</v>
      </c>
      <c r="R1107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240001,'Pritha Aulia Prameswary','OPR','GNRAL','Operational Manager','LV05','','M01','Resign','1900-01-00','2025-10-24'</v>
      </c>
      <c r="S1107" s="79">
        <f>db_emp[[#This Row],[NIP (UPDATE)]]</f>
        <v>240001</v>
      </c>
    </row>
    <row r="1108" spans="2:19" hidden="1" x14ac:dyDescent="0.25">
      <c r="B1108" s="75">
        <v>1078</v>
      </c>
      <c r="C1108" s="75">
        <v>12</v>
      </c>
      <c r="D1108" s="74" t="s">
        <v>2409</v>
      </c>
      <c r="E1108" s="75" t="s">
        <v>1814</v>
      </c>
      <c r="F1108" s="75" t="s">
        <v>971</v>
      </c>
      <c r="G1108" s="74" t="s">
        <v>2410</v>
      </c>
      <c r="H1108" s="75" t="s">
        <v>848</v>
      </c>
      <c r="I1108" s="74"/>
      <c r="J1108" s="75" t="s">
        <v>315</v>
      </c>
      <c r="K1108" s="75" t="s">
        <v>850</v>
      </c>
      <c r="L1108" s="76"/>
      <c r="M1108" s="77">
        <f ca="1">TODAY()+1</f>
        <v>45954</v>
      </c>
      <c r="N1108" s="74" t="str">
        <f>_xlfn.IFNA(VLOOKUP(db_emp[[#This Row],[ID_DIV]],[1]!db_dpt[[Code_dpt]:[Departement]],2,0),"-")</f>
        <v>-</v>
      </c>
      <c r="O1108" s="74" t="str">
        <f>_xlfn.IFNA(VLOOKUP(db_emp[[#This Row],[ID_SDP]],[1]!db_div[[Code_div]:[Division]],2,0),"-")</f>
        <v>General Head Departement</v>
      </c>
      <c r="P1108" s="74" t="str">
        <f>_xlfn.IFNA(VLOOKUP(db_emp[[#This Row],[Code_lvl]],[1]!db_lvl[[#All],[ID_level]:[Leveling Name]],2,0),"-")</f>
        <v>Assistant Manager</v>
      </c>
      <c r="Q1108" s="74" t="str">
        <f>_xlfn.IFNA(VLOOKUP(db_emp[[#This Row],[Code_site]],[1]!db_site[[ID_Site]:[Url_maps]],3,0),"-")</f>
        <v>Head Office - ASGO</v>
      </c>
      <c r="R1108" s="74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12,'Lucyana Marcelina','SEC','GNRAL','Secertary','LV07','','O99','Employee','1900-01-00','2025-10-24'</v>
      </c>
      <c r="S1108" s="74">
        <f>db_emp[[#This Row],[NIP (UPDATE)]]</f>
        <v>12</v>
      </c>
    </row>
    <row r="1109" spans="2:19" hidden="1" x14ac:dyDescent="0.25">
      <c r="B1109" s="75">
        <v>1079</v>
      </c>
      <c r="C1109" s="80">
        <v>13</v>
      </c>
      <c r="D1109" s="79" t="s">
        <v>2411</v>
      </c>
      <c r="E1109" s="80" t="s">
        <v>920</v>
      </c>
      <c r="F1109" s="80" t="s">
        <v>912</v>
      </c>
      <c r="G1109" s="79" t="s">
        <v>2412</v>
      </c>
      <c r="H1109" s="80" t="s">
        <v>853</v>
      </c>
      <c r="I1109" s="79"/>
      <c r="J1109" s="80" t="s">
        <v>314</v>
      </c>
      <c r="K1109" s="80" t="s">
        <v>850</v>
      </c>
      <c r="L1109" s="81"/>
      <c r="M1109" s="82">
        <f ca="1">TODAY()+1</f>
        <v>45954</v>
      </c>
      <c r="N1109" s="79" t="str">
        <f>_xlfn.IFNA(VLOOKUP(db_emp[[#This Row],[ID_DIV]],[1]!db_dpt[[Code_dpt]:[Departement]],2,0),"-")</f>
        <v>Leasing</v>
      </c>
      <c r="O1109" s="79" t="str">
        <f>_xlfn.IFNA(VLOOKUP(db_emp[[#This Row],[ID_SDP]],[1]!db_div[[Code_div]:[Division]],2,0),"-")</f>
        <v>Admin</v>
      </c>
      <c r="P1109" s="79" t="str">
        <f>_xlfn.IFNA(VLOOKUP(db_emp[[#This Row],[Code_lvl]],[1]!db_lvl[[#All],[ID_level]:[Leveling Name]],2,0),"-")</f>
        <v>Staff</v>
      </c>
      <c r="Q1109" s="79" t="str">
        <f>_xlfn.IFNA(VLOOKUP(db_emp[[#This Row],[Code_site]],[1]!db_site[[ID_Site]:[Url_maps]],3,0),"-")</f>
        <v>Unit - MOI</v>
      </c>
      <c r="R1109" s="79" t="str">
        <f ca="1">db_emp[[#This Row],[NIP (UPDATE)]]&amp;","&amp;"'"&amp;db_emp[[#This Row],[EMPLOYEE NAME]]&amp;"'"&amp;","&amp;"'"&amp;db_emp[[#This Row],[ID_DIV]]&amp;"'"&amp;","&amp;"'"&amp;db_emp[[#This Row],[ID_SDP]]&amp;"'"&amp;","&amp;"'"&amp;db_emp[[#This Row],[JOB TITLE]]&amp;"'"&amp;","&amp;"'"&amp;db_emp[[#This Row],[Code_lvl]]&amp;"'"&amp;","&amp;"'"&amp;db_emp[[#This Row],[CORPORATE NAME]]&amp;"'"&amp;","&amp;"'"&amp;db_emp[[#This Row],[Code_site]]&amp;"'"&amp;","&amp;"'"&amp;db_emp[[#This Row],[Status]]&amp;"'"&amp;","&amp;"'"&amp;TEXT(db_emp[[#This Row],[Date_Hiring]],"YYYY-MM-DD")&amp;"'"&amp;","&amp;"'"&amp;TEXT(db_emp[[#This Row],[Date_Resign]],"YYYY-MM-DD")&amp;"'"</f>
        <v>13,'Ditya Irene Situmorang','LEA','ADMIN','Admin Leasing Staff','LV12','','M02','Employee','1900-01-00','2025-10-24'</v>
      </c>
      <c r="S1109" s="79">
        <f>db_emp[[#This Row],[NIP (UPDATE)]]</f>
        <v>13</v>
      </c>
    </row>
    <row r="1110" spans="2:19" x14ac:dyDescent="0.25">
      <c r="C1110"/>
      <c r="M1110"/>
    </row>
    <row r="1111" spans="2:19" x14ac:dyDescent="0.25">
      <c r="C1111"/>
      <c r="M1111"/>
    </row>
    <row r="1112" spans="2:19" x14ac:dyDescent="0.25">
      <c r="C1112"/>
      <c r="M1112"/>
    </row>
    <row r="1113" spans="2:19" x14ac:dyDescent="0.25">
      <c r="C1113"/>
      <c r="M1113"/>
    </row>
    <row r="1114" spans="2:19" x14ac:dyDescent="0.25">
      <c r="C1114"/>
      <c r="M1114"/>
    </row>
    <row r="1115" spans="2:19" x14ac:dyDescent="0.25">
      <c r="C1115"/>
      <c r="M1115"/>
    </row>
    <row r="1116" spans="2:19" x14ac:dyDescent="0.25">
      <c r="C1116"/>
      <c r="M1116"/>
    </row>
    <row r="1117" spans="2:19" x14ac:dyDescent="0.25">
      <c r="C1117"/>
      <c r="M1117"/>
    </row>
    <row r="1118" spans="2:19" x14ac:dyDescent="0.25">
      <c r="C1118"/>
      <c r="M1118"/>
    </row>
    <row r="1119" spans="2:19" x14ac:dyDescent="0.25">
      <c r="C1119"/>
      <c r="M1119"/>
    </row>
    <row r="1120" spans="2:19" x14ac:dyDescent="0.25">
      <c r="C1120"/>
      <c r="M1120"/>
    </row>
    <row r="1121" spans="3:13" x14ac:dyDescent="0.25">
      <c r="C1121"/>
      <c r="M1121"/>
    </row>
    <row r="1122" spans="3:13" x14ac:dyDescent="0.25">
      <c r="C1122"/>
      <c r="M1122"/>
    </row>
    <row r="1123" spans="3:13" x14ac:dyDescent="0.25">
      <c r="C1123"/>
      <c r="M1123"/>
    </row>
    <row r="1124" spans="3:13" x14ac:dyDescent="0.25">
      <c r="C1124"/>
      <c r="M1124"/>
    </row>
    <row r="1125" spans="3:13" x14ac:dyDescent="0.25">
      <c r="C1125"/>
      <c r="M1125"/>
    </row>
    <row r="1126" spans="3:13" x14ac:dyDescent="0.25">
      <c r="C1126"/>
      <c r="M1126"/>
    </row>
    <row r="1127" spans="3:13" x14ac:dyDescent="0.25">
      <c r="C1127"/>
      <c r="M1127"/>
    </row>
    <row r="1128" spans="3:13" x14ac:dyDescent="0.25">
      <c r="C1128"/>
      <c r="M1128"/>
    </row>
    <row r="1129" spans="3:13" x14ac:dyDescent="0.25">
      <c r="C1129"/>
      <c r="M1129"/>
    </row>
    <row r="1130" spans="3:13" x14ac:dyDescent="0.25">
      <c r="C1130"/>
      <c r="M1130"/>
    </row>
    <row r="1131" spans="3:13" x14ac:dyDescent="0.25">
      <c r="C1131"/>
      <c r="M1131"/>
    </row>
    <row r="1132" spans="3:13" x14ac:dyDescent="0.25">
      <c r="C1132"/>
      <c r="M1132"/>
    </row>
    <row r="1133" spans="3:13" x14ac:dyDescent="0.25">
      <c r="C1133"/>
      <c r="M1133"/>
    </row>
    <row r="1134" spans="3:13" x14ac:dyDescent="0.25">
      <c r="C1134"/>
      <c r="M1134"/>
    </row>
    <row r="1135" spans="3:13" x14ac:dyDescent="0.25">
      <c r="C1135"/>
      <c r="M1135"/>
    </row>
    <row r="1136" spans="3:13" x14ac:dyDescent="0.25">
      <c r="C1136"/>
      <c r="M1136"/>
    </row>
    <row r="1137" spans="3:13" x14ac:dyDescent="0.25">
      <c r="C1137"/>
      <c r="M1137"/>
    </row>
    <row r="1138" spans="3:13" x14ac:dyDescent="0.25">
      <c r="C1138"/>
      <c r="M1138"/>
    </row>
    <row r="1139" spans="3:13" x14ac:dyDescent="0.25">
      <c r="C1139"/>
      <c r="M1139"/>
    </row>
    <row r="1140" spans="3:13" x14ac:dyDescent="0.25">
      <c r="C1140"/>
      <c r="M1140"/>
    </row>
    <row r="1141" spans="3:13" x14ac:dyDescent="0.25">
      <c r="C1141"/>
      <c r="M1141"/>
    </row>
    <row r="1142" spans="3:13" x14ac:dyDescent="0.25">
      <c r="C1142"/>
      <c r="M1142"/>
    </row>
    <row r="1143" spans="3:13" x14ac:dyDescent="0.25">
      <c r="C1143"/>
      <c r="M1143"/>
    </row>
    <row r="1144" spans="3:13" x14ac:dyDescent="0.25">
      <c r="C1144"/>
      <c r="M1144"/>
    </row>
    <row r="1145" spans="3:13" x14ac:dyDescent="0.25">
      <c r="C1145"/>
      <c r="M1145"/>
    </row>
    <row r="1146" spans="3:13" x14ac:dyDescent="0.25">
      <c r="C1146"/>
      <c r="M1146"/>
    </row>
    <row r="1147" spans="3:13" x14ac:dyDescent="0.25">
      <c r="C1147"/>
      <c r="M1147"/>
    </row>
    <row r="1148" spans="3:13" x14ac:dyDescent="0.25">
      <c r="C1148"/>
      <c r="M1148"/>
    </row>
    <row r="1149" spans="3:13" x14ac:dyDescent="0.25">
      <c r="C1149"/>
      <c r="M1149"/>
    </row>
    <row r="1150" spans="3:13" x14ac:dyDescent="0.25">
      <c r="C1150"/>
      <c r="M1150"/>
    </row>
    <row r="1151" spans="3:13" x14ac:dyDescent="0.25">
      <c r="C1151"/>
      <c r="M1151"/>
    </row>
    <row r="1152" spans="3:13" x14ac:dyDescent="0.25">
      <c r="C1152"/>
      <c r="M1152"/>
    </row>
    <row r="1153" spans="3:13" x14ac:dyDescent="0.25">
      <c r="C1153"/>
      <c r="M1153"/>
    </row>
    <row r="1154" spans="3:13" x14ac:dyDescent="0.25">
      <c r="C1154"/>
      <c r="M1154"/>
    </row>
    <row r="1155" spans="3:13" x14ac:dyDescent="0.25">
      <c r="C1155"/>
      <c r="M1155"/>
    </row>
    <row r="1156" spans="3:13" x14ac:dyDescent="0.25">
      <c r="C1156"/>
      <c r="M1156"/>
    </row>
    <row r="1157" spans="3:13" x14ac:dyDescent="0.25">
      <c r="C1157"/>
      <c r="M1157"/>
    </row>
    <row r="1158" spans="3:13" x14ac:dyDescent="0.25">
      <c r="C1158"/>
      <c r="M1158"/>
    </row>
    <row r="1159" spans="3:13" x14ac:dyDescent="0.25">
      <c r="C1159"/>
      <c r="M1159"/>
    </row>
    <row r="1160" spans="3:13" x14ac:dyDescent="0.25">
      <c r="C1160"/>
      <c r="M1160"/>
    </row>
    <row r="1161" spans="3:13" x14ac:dyDescent="0.25">
      <c r="C1161"/>
      <c r="M1161"/>
    </row>
    <row r="1162" spans="3:13" x14ac:dyDescent="0.25">
      <c r="C1162"/>
      <c r="M1162"/>
    </row>
    <row r="1163" spans="3:13" x14ac:dyDescent="0.25">
      <c r="C1163"/>
      <c r="M1163"/>
    </row>
    <row r="1164" spans="3:13" x14ac:dyDescent="0.25">
      <c r="C1164"/>
      <c r="M1164"/>
    </row>
    <row r="1165" spans="3:13" x14ac:dyDescent="0.25">
      <c r="C1165"/>
      <c r="M1165"/>
    </row>
    <row r="1166" spans="3:13" x14ac:dyDescent="0.25">
      <c r="C1166"/>
      <c r="M1166"/>
    </row>
    <row r="1167" spans="3:13" x14ac:dyDescent="0.25">
      <c r="C1167"/>
      <c r="M1167"/>
    </row>
    <row r="1168" spans="3:13" x14ac:dyDescent="0.25">
      <c r="C1168"/>
      <c r="M1168"/>
    </row>
    <row r="1169" spans="3:13" x14ac:dyDescent="0.25">
      <c r="C1169"/>
      <c r="M1169"/>
    </row>
    <row r="1170" spans="3:13" x14ac:dyDescent="0.25">
      <c r="C1170"/>
      <c r="M1170"/>
    </row>
    <row r="1171" spans="3:13" x14ac:dyDescent="0.25">
      <c r="C1171"/>
      <c r="M1171"/>
    </row>
    <row r="1172" spans="3:13" x14ac:dyDescent="0.25">
      <c r="C1172"/>
      <c r="M1172"/>
    </row>
    <row r="1173" spans="3:13" x14ac:dyDescent="0.25">
      <c r="C1173"/>
      <c r="M1173"/>
    </row>
    <row r="1174" spans="3:13" x14ac:dyDescent="0.25">
      <c r="C1174"/>
      <c r="M1174"/>
    </row>
    <row r="1175" spans="3:13" x14ac:dyDescent="0.25">
      <c r="C1175"/>
      <c r="M1175"/>
    </row>
    <row r="1176" spans="3:13" x14ac:dyDescent="0.25">
      <c r="C1176"/>
      <c r="M1176"/>
    </row>
    <row r="1177" spans="3:13" x14ac:dyDescent="0.25">
      <c r="C1177"/>
      <c r="M1177"/>
    </row>
    <row r="1178" spans="3:13" x14ac:dyDescent="0.25">
      <c r="C1178"/>
      <c r="M1178"/>
    </row>
    <row r="1179" spans="3:13" x14ac:dyDescent="0.25">
      <c r="C1179"/>
      <c r="M1179"/>
    </row>
    <row r="1180" spans="3:13" x14ac:dyDescent="0.25">
      <c r="C1180"/>
      <c r="M1180"/>
    </row>
    <row r="1181" spans="3:13" x14ac:dyDescent="0.25">
      <c r="C1181"/>
      <c r="M1181"/>
    </row>
    <row r="1182" spans="3:13" x14ac:dyDescent="0.25">
      <c r="C1182"/>
      <c r="M1182"/>
    </row>
    <row r="1183" spans="3:13" x14ac:dyDescent="0.25">
      <c r="C1183"/>
      <c r="M1183"/>
    </row>
    <row r="1184" spans="3:13" x14ac:dyDescent="0.25">
      <c r="C1184"/>
      <c r="M1184"/>
    </row>
    <row r="1185" spans="3:13" x14ac:dyDescent="0.25">
      <c r="C1185"/>
      <c r="M1185"/>
    </row>
    <row r="1186" spans="3:13" x14ac:dyDescent="0.25">
      <c r="C1186"/>
      <c r="M1186"/>
    </row>
    <row r="1187" spans="3:13" x14ac:dyDescent="0.25">
      <c r="C1187"/>
      <c r="M1187"/>
    </row>
    <row r="1188" spans="3:13" x14ac:dyDescent="0.25">
      <c r="C1188"/>
      <c r="M1188"/>
    </row>
    <row r="1189" spans="3:13" x14ac:dyDescent="0.25">
      <c r="C1189"/>
      <c r="M1189"/>
    </row>
    <row r="1190" spans="3:13" x14ac:dyDescent="0.25">
      <c r="C1190"/>
      <c r="M1190"/>
    </row>
    <row r="1191" spans="3:13" x14ac:dyDescent="0.25">
      <c r="C1191"/>
      <c r="M1191"/>
    </row>
    <row r="1192" spans="3:13" x14ac:dyDescent="0.25">
      <c r="C1192"/>
      <c r="M1192"/>
    </row>
    <row r="1193" spans="3:13" x14ac:dyDescent="0.25">
      <c r="C1193"/>
      <c r="M1193"/>
    </row>
    <row r="1194" spans="3:13" x14ac:dyDescent="0.25">
      <c r="C1194"/>
      <c r="M1194"/>
    </row>
    <row r="1195" spans="3:13" x14ac:dyDescent="0.25">
      <c r="C1195"/>
      <c r="M1195"/>
    </row>
    <row r="1196" spans="3:13" x14ac:dyDescent="0.25">
      <c r="C1196"/>
      <c r="M1196"/>
    </row>
    <row r="1197" spans="3:13" x14ac:dyDescent="0.25">
      <c r="C1197"/>
      <c r="M1197"/>
    </row>
    <row r="1198" spans="3:13" x14ac:dyDescent="0.25">
      <c r="C1198"/>
      <c r="M1198"/>
    </row>
    <row r="1199" spans="3:13" x14ac:dyDescent="0.25">
      <c r="C1199"/>
      <c r="M1199"/>
    </row>
    <row r="1200" spans="3:13" x14ac:dyDescent="0.25">
      <c r="C1200"/>
      <c r="M1200"/>
    </row>
    <row r="1201" spans="3:13" x14ac:dyDescent="0.25">
      <c r="C1201"/>
      <c r="M1201"/>
    </row>
    <row r="1202" spans="3:13" x14ac:dyDescent="0.25">
      <c r="C1202"/>
      <c r="M1202"/>
    </row>
    <row r="1203" spans="3:13" x14ac:dyDescent="0.25">
      <c r="C1203"/>
      <c r="M1203"/>
    </row>
    <row r="1204" spans="3:13" x14ac:dyDescent="0.25">
      <c r="C1204"/>
      <c r="M1204"/>
    </row>
    <row r="1205" spans="3:13" x14ac:dyDescent="0.25">
      <c r="C1205"/>
      <c r="M1205"/>
    </row>
    <row r="1206" spans="3:13" x14ac:dyDescent="0.25">
      <c r="C1206"/>
      <c r="M1206"/>
    </row>
    <row r="1207" spans="3:13" x14ac:dyDescent="0.25">
      <c r="C1207"/>
      <c r="M1207"/>
    </row>
    <row r="1208" spans="3:13" x14ac:dyDescent="0.25">
      <c r="C1208"/>
      <c r="M1208"/>
    </row>
    <row r="1209" spans="3:13" x14ac:dyDescent="0.25">
      <c r="C1209"/>
      <c r="M1209"/>
    </row>
    <row r="1210" spans="3:13" x14ac:dyDescent="0.25">
      <c r="C1210"/>
      <c r="M1210"/>
    </row>
    <row r="1211" spans="3:13" x14ac:dyDescent="0.25">
      <c r="C1211"/>
      <c r="M1211"/>
    </row>
    <row r="1212" spans="3:13" x14ac:dyDescent="0.25">
      <c r="C1212"/>
      <c r="M1212"/>
    </row>
    <row r="1213" spans="3:13" x14ac:dyDescent="0.25">
      <c r="C1213"/>
      <c r="M1213"/>
    </row>
    <row r="1214" spans="3:13" x14ac:dyDescent="0.25">
      <c r="C1214"/>
      <c r="M1214"/>
    </row>
    <row r="1215" spans="3:13" x14ac:dyDescent="0.25">
      <c r="C1215"/>
      <c r="M1215"/>
    </row>
    <row r="1216" spans="3:13" x14ac:dyDescent="0.25">
      <c r="C1216"/>
      <c r="M1216"/>
    </row>
    <row r="1217" spans="3:13" x14ac:dyDescent="0.25">
      <c r="C1217"/>
      <c r="M1217"/>
    </row>
    <row r="1218" spans="3:13" x14ac:dyDescent="0.25">
      <c r="C1218"/>
      <c r="M1218"/>
    </row>
    <row r="1219" spans="3:13" x14ac:dyDescent="0.25">
      <c r="C1219"/>
      <c r="M1219"/>
    </row>
    <row r="1220" spans="3:13" x14ac:dyDescent="0.25">
      <c r="C1220"/>
      <c r="M1220"/>
    </row>
    <row r="1221" spans="3:13" x14ac:dyDescent="0.25">
      <c r="C1221"/>
      <c r="M1221"/>
    </row>
    <row r="1222" spans="3:13" x14ac:dyDescent="0.25">
      <c r="C1222"/>
      <c r="M1222"/>
    </row>
    <row r="1223" spans="3:13" x14ac:dyDescent="0.25">
      <c r="C1223"/>
      <c r="M1223"/>
    </row>
    <row r="1224" spans="3:13" x14ac:dyDescent="0.25">
      <c r="C1224"/>
      <c r="M1224"/>
    </row>
    <row r="1225" spans="3:13" x14ac:dyDescent="0.25">
      <c r="C1225"/>
      <c r="M1225"/>
    </row>
    <row r="1226" spans="3:13" x14ac:dyDescent="0.25">
      <c r="C1226"/>
      <c r="M1226"/>
    </row>
    <row r="1227" spans="3:13" x14ac:dyDescent="0.25">
      <c r="C1227"/>
      <c r="M1227"/>
    </row>
    <row r="1228" spans="3:13" x14ac:dyDescent="0.25">
      <c r="C1228"/>
      <c r="M1228"/>
    </row>
    <row r="1229" spans="3:13" x14ac:dyDescent="0.25">
      <c r="C1229"/>
      <c r="M1229"/>
    </row>
    <row r="1230" spans="3:13" x14ac:dyDescent="0.25">
      <c r="C1230"/>
      <c r="M1230"/>
    </row>
    <row r="1231" spans="3:13" x14ac:dyDescent="0.25">
      <c r="C1231"/>
      <c r="M1231"/>
    </row>
    <row r="1232" spans="3:13" x14ac:dyDescent="0.25">
      <c r="C1232"/>
      <c r="M1232"/>
    </row>
    <row r="1233" spans="3:13" x14ac:dyDescent="0.25">
      <c r="C1233"/>
      <c r="M1233"/>
    </row>
    <row r="1234" spans="3:13" x14ac:dyDescent="0.25">
      <c r="C1234"/>
      <c r="M1234"/>
    </row>
    <row r="1235" spans="3:13" x14ac:dyDescent="0.25">
      <c r="C1235"/>
      <c r="M1235"/>
    </row>
    <row r="1236" spans="3:13" x14ac:dyDescent="0.25">
      <c r="C1236"/>
      <c r="M1236"/>
    </row>
    <row r="1237" spans="3:13" x14ac:dyDescent="0.25">
      <c r="C1237"/>
      <c r="M1237"/>
    </row>
    <row r="1238" spans="3:13" x14ac:dyDescent="0.25">
      <c r="C1238"/>
      <c r="M1238"/>
    </row>
    <row r="1239" spans="3:13" x14ac:dyDescent="0.25">
      <c r="C1239"/>
      <c r="M1239"/>
    </row>
    <row r="1240" spans="3:13" x14ac:dyDescent="0.25">
      <c r="C1240"/>
      <c r="M1240"/>
    </row>
    <row r="1241" spans="3:13" x14ac:dyDescent="0.25">
      <c r="C1241"/>
      <c r="M1241"/>
    </row>
    <row r="1242" spans="3:13" x14ac:dyDescent="0.25">
      <c r="C1242"/>
      <c r="M1242"/>
    </row>
    <row r="1243" spans="3:13" x14ac:dyDescent="0.25">
      <c r="C1243"/>
      <c r="M1243"/>
    </row>
    <row r="1244" spans="3:13" x14ac:dyDescent="0.25">
      <c r="C1244"/>
      <c r="M1244"/>
    </row>
    <row r="1245" spans="3:13" x14ac:dyDescent="0.25">
      <c r="C1245"/>
      <c r="M1245"/>
    </row>
    <row r="1246" spans="3:13" x14ac:dyDescent="0.25">
      <c r="C1246"/>
      <c r="M1246"/>
    </row>
    <row r="1247" spans="3:13" x14ac:dyDescent="0.25">
      <c r="C1247"/>
      <c r="M1247"/>
    </row>
    <row r="1248" spans="3:13" x14ac:dyDescent="0.25">
      <c r="C1248"/>
      <c r="M1248"/>
    </row>
    <row r="1249" spans="3:13" x14ac:dyDescent="0.25">
      <c r="C1249"/>
      <c r="M1249"/>
    </row>
    <row r="1250" spans="3:13" x14ac:dyDescent="0.25">
      <c r="C1250"/>
      <c r="M1250"/>
    </row>
    <row r="1251" spans="3:13" x14ac:dyDescent="0.25">
      <c r="C1251"/>
      <c r="M1251"/>
    </row>
    <row r="1252" spans="3:13" x14ac:dyDescent="0.25">
      <c r="C1252"/>
      <c r="M1252"/>
    </row>
    <row r="1253" spans="3:13" x14ac:dyDescent="0.25">
      <c r="C1253"/>
      <c r="M1253"/>
    </row>
    <row r="1254" spans="3:13" x14ac:dyDescent="0.25">
      <c r="C1254"/>
      <c r="M1254"/>
    </row>
    <row r="1255" spans="3:13" x14ac:dyDescent="0.25">
      <c r="C1255"/>
      <c r="M1255"/>
    </row>
    <row r="1256" spans="3:13" x14ac:dyDescent="0.25">
      <c r="C1256"/>
      <c r="M1256"/>
    </row>
    <row r="1257" spans="3:13" x14ac:dyDescent="0.25">
      <c r="C1257"/>
      <c r="M1257"/>
    </row>
    <row r="1258" spans="3:13" x14ac:dyDescent="0.25">
      <c r="C1258"/>
      <c r="M1258"/>
    </row>
    <row r="1259" spans="3:13" x14ac:dyDescent="0.25">
      <c r="C1259"/>
      <c r="M1259"/>
    </row>
    <row r="1260" spans="3:13" x14ac:dyDescent="0.25">
      <c r="C1260"/>
      <c r="M1260"/>
    </row>
    <row r="1261" spans="3:13" x14ac:dyDescent="0.25">
      <c r="C1261"/>
      <c r="M1261"/>
    </row>
    <row r="1262" spans="3:13" x14ac:dyDescent="0.25">
      <c r="C1262"/>
      <c r="M1262"/>
    </row>
    <row r="1263" spans="3:13" x14ac:dyDescent="0.25">
      <c r="C1263"/>
      <c r="M1263"/>
    </row>
    <row r="1264" spans="3:13" x14ac:dyDescent="0.25">
      <c r="C1264"/>
      <c r="M1264"/>
    </row>
    <row r="1265" spans="3:13" x14ac:dyDescent="0.25">
      <c r="C1265"/>
      <c r="M1265"/>
    </row>
    <row r="1266" spans="3:13" x14ac:dyDescent="0.25">
      <c r="C1266"/>
      <c r="M1266"/>
    </row>
    <row r="1267" spans="3:13" x14ac:dyDescent="0.25">
      <c r="C1267"/>
      <c r="M1267"/>
    </row>
    <row r="1268" spans="3:13" x14ac:dyDescent="0.25">
      <c r="C1268"/>
      <c r="M1268"/>
    </row>
    <row r="1269" spans="3:13" x14ac:dyDescent="0.25">
      <c r="C1269"/>
      <c r="M1269"/>
    </row>
    <row r="1270" spans="3:13" x14ac:dyDescent="0.25">
      <c r="C1270"/>
      <c r="M1270"/>
    </row>
    <row r="1271" spans="3:13" x14ac:dyDescent="0.25">
      <c r="C1271"/>
      <c r="M1271"/>
    </row>
    <row r="1272" spans="3:13" x14ac:dyDescent="0.25">
      <c r="C1272"/>
      <c r="M1272"/>
    </row>
    <row r="1273" spans="3:13" x14ac:dyDescent="0.25">
      <c r="C1273"/>
      <c r="M1273"/>
    </row>
    <row r="1274" spans="3:13" x14ac:dyDescent="0.25">
      <c r="C1274"/>
      <c r="M1274"/>
    </row>
    <row r="1275" spans="3:13" x14ac:dyDescent="0.25">
      <c r="C1275"/>
      <c r="M1275"/>
    </row>
    <row r="1276" spans="3:13" x14ac:dyDescent="0.25">
      <c r="C1276"/>
      <c r="M1276"/>
    </row>
    <row r="1277" spans="3:13" x14ac:dyDescent="0.25">
      <c r="C1277"/>
      <c r="M1277"/>
    </row>
    <row r="1278" spans="3:13" x14ac:dyDescent="0.25">
      <c r="C1278"/>
      <c r="M1278"/>
    </row>
    <row r="1279" spans="3:13" x14ac:dyDescent="0.25">
      <c r="C1279"/>
      <c r="M1279"/>
    </row>
    <row r="1280" spans="3:13" x14ac:dyDescent="0.25">
      <c r="C1280"/>
      <c r="M1280"/>
    </row>
    <row r="1281" spans="3:13" x14ac:dyDescent="0.25">
      <c r="C1281"/>
      <c r="M1281"/>
    </row>
    <row r="1282" spans="3:13" x14ac:dyDescent="0.25">
      <c r="C1282"/>
      <c r="M1282"/>
    </row>
    <row r="1283" spans="3:13" x14ac:dyDescent="0.25">
      <c r="C1283"/>
      <c r="M1283"/>
    </row>
    <row r="1284" spans="3:13" x14ac:dyDescent="0.25">
      <c r="C1284"/>
      <c r="M1284"/>
    </row>
    <row r="1285" spans="3:13" x14ac:dyDescent="0.25">
      <c r="C1285"/>
      <c r="M1285"/>
    </row>
    <row r="1286" spans="3:13" x14ac:dyDescent="0.25">
      <c r="C1286"/>
      <c r="M1286"/>
    </row>
    <row r="1287" spans="3:13" x14ac:dyDescent="0.25">
      <c r="C1287"/>
      <c r="M1287"/>
    </row>
    <row r="1288" spans="3:13" x14ac:dyDescent="0.25">
      <c r="C1288"/>
      <c r="M1288"/>
    </row>
    <row r="1289" spans="3:13" x14ac:dyDescent="0.25">
      <c r="C1289"/>
      <c r="M1289"/>
    </row>
    <row r="1290" spans="3:13" x14ac:dyDescent="0.25">
      <c r="C1290"/>
      <c r="M1290"/>
    </row>
    <row r="1291" spans="3:13" x14ac:dyDescent="0.25">
      <c r="C1291"/>
      <c r="M1291"/>
    </row>
    <row r="1292" spans="3:13" x14ac:dyDescent="0.25">
      <c r="C1292"/>
      <c r="M1292"/>
    </row>
    <row r="1293" spans="3:13" x14ac:dyDescent="0.25">
      <c r="C1293"/>
      <c r="M1293"/>
    </row>
    <row r="1294" spans="3:13" x14ac:dyDescent="0.25">
      <c r="C1294"/>
      <c r="M1294"/>
    </row>
    <row r="1295" spans="3:13" x14ac:dyDescent="0.25">
      <c r="C1295"/>
      <c r="M1295"/>
    </row>
    <row r="1296" spans="3:13" x14ac:dyDescent="0.25">
      <c r="C1296"/>
      <c r="M1296"/>
    </row>
    <row r="1297" spans="3:13" x14ac:dyDescent="0.25">
      <c r="C1297"/>
      <c r="M1297"/>
    </row>
    <row r="1298" spans="3:13" x14ac:dyDescent="0.25">
      <c r="C1298"/>
      <c r="M1298"/>
    </row>
    <row r="1299" spans="3:13" x14ac:dyDescent="0.25">
      <c r="C1299"/>
      <c r="M1299"/>
    </row>
    <row r="1300" spans="3:13" x14ac:dyDescent="0.25">
      <c r="C1300"/>
      <c r="M1300"/>
    </row>
    <row r="1301" spans="3:13" x14ac:dyDescent="0.25">
      <c r="C1301"/>
      <c r="M1301"/>
    </row>
    <row r="1302" spans="3:13" x14ac:dyDescent="0.25">
      <c r="C1302"/>
      <c r="M1302"/>
    </row>
    <row r="1303" spans="3:13" x14ac:dyDescent="0.25">
      <c r="C1303"/>
      <c r="M1303"/>
    </row>
    <row r="1304" spans="3:13" x14ac:dyDescent="0.25">
      <c r="C1304"/>
      <c r="M1304"/>
    </row>
    <row r="1305" spans="3:13" x14ac:dyDescent="0.25">
      <c r="C1305"/>
      <c r="M1305"/>
    </row>
    <row r="1306" spans="3:13" x14ac:dyDescent="0.25">
      <c r="C1306"/>
      <c r="M1306"/>
    </row>
    <row r="1307" spans="3:13" x14ac:dyDescent="0.25">
      <c r="C1307"/>
      <c r="M1307"/>
    </row>
    <row r="1308" spans="3:13" x14ac:dyDescent="0.25">
      <c r="C1308"/>
      <c r="M1308"/>
    </row>
    <row r="1309" spans="3:13" x14ac:dyDescent="0.25">
      <c r="C1309"/>
      <c r="M1309"/>
    </row>
    <row r="1310" spans="3:13" x14ac:dyDescent="0.25">
      <c r="C1310"/>
      <c r="M1310"/>
    </row>
    <row r="1311" spans="3:13" x14ac:dyDescent="0.25">
      <c r="C1311"/>
      <c r="M1311"/>
    </row>
    <row r="1312" spans="3:13" x14ac:dyDescent="0.25">
      <c r="C1312"/>
      <c r="M1312"/>
    </row>
    <row r="1313" spans="3:13" x14ac:dyDescent="0.25">
      <c r="C1313"/>
      <c r="M1313"/>
    </row>
    <row r="1314" spans="3:13" x14ac:dyDescent="0.25">
      <c r="C1314"/>
      <c r="M1314"/>
    </row>
    <row r="1315" spans="3:13" x14ac:dyDescent="0.25">
      <c r="C1315"/>
      <c r="M1315"/>
    </row>
    <row r="1316" spans="3:13" x14ac:dyDescent="0.25">
      <c r="C1316"/>
      <c r="M1316"/>
    </row>
  </sheetData>
  <conditionalFormatting sqref="M8:M1109 B8:K1109">
    <cfRule type="expression" dxfId="61" priority="2">
      <formula>ISNUMBER(SEARCH("Not Employee",$K8))</formula>
    </cfRule>
    <cfRule type="expression" dxfId="60" priority="3">
      <formula>ISNUMBER(SEARCH("Resign",$K8))</formula>
    </cfRule>
  </conditionalFormatting>
  <conditionalFormatting sqref="C8:C1109">
    <cfRule type="duplicateValues" dxfId="59" priority="4"/>
  </conditionalFormatting>
  <conditionalFormatting sqref="B8:M1109">
    <cfRule type="expression" dxfId="58" priority="1">
      <formula>ISNUMBER(SEARCH("OK",$B8))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W38"/>
  <sheetViews>
    <sheetView showGridLines="0" tabSelected="1" zoomScale="85" zoomScaleNormal="85" workbookViewId="0">
      <pane xSplit="3" ySplit="4" topLeftCell="S17" activePane="bottomRight" state="frozen"/>
      <selection pane="topRight" activeCell="D1" sqref="D1"/>
      <selection pane="bottomLeft" activeCell="A5" sqref="A5"/>
      <selection pane="bottomRight" activeCell="W9" sqref="W9"/>
    </sheetView>
  </sheetViews>
  <sheetFormatPr defaultRowHeight="15" x14ac:dyDescent="0.25"/>
  <cols>
    <col min="1" max="1" width="2.7109375" customWidth="1"/>
    <col min="2" max="2" width="9.7109375" bestFit="1" customWidth="1"/>
    <col min="3" max="3" width="24.85546875" bestFit="1" customWidth="1"/>
    <col min="4" max="4" width="13" bestFit="1" customWidth="1"/>
    <col min="5" max="5" width="15" bestFit="1" customWidth="1"/>
    <col min="6" max="6" width="11.7109375" bestFit="1" customWidth="1"/>
    <col min="7" max="7" width="20.140625" bestFit="1" customWidth="1"/>
    <col min="8" max="8" width="16.140625" bestFit="1" customWidth="1"/>
    <col min="9" max="9" width="21.28515625" bestFit="1" customWidth="1"/>
    <col min="10" max="10" width="26.140625" bestFit="1" customWidth="1"/>
    <col min="11" max="11" width="19.7109375" bestFit="1" customWidth="1"/>
    <col min="12" max="12" width="14.5703125" bestFit="1" customWidth="1"/>
    <col min="13" max="13" width="23.140625" bestFit="1" customWidth="1"/>
    <col min="14" max="14" width="16" bestFit="1" customWidth="1"/>
    <col min="15" max="15" width="16" hidden="1" customWidth="1"/>
    <col min="16" max="16" width="16.5703125" bestFit="1" customWidth="1"/>
    <col min="17" max="17" width="16.5703125" hidden="1" customWidth="1"/>
    <col min="18" max="18" width="16.5703125" customWidth="1"/>
    <col min="19" max="20" width="25" bestFit="1" customWidth="1"/>
    <col min="21" max="21" width="15.5703125" bestFit="1" customWidth="1"/>
    <col min="22" max="22" width="15.5703125" customWidth="1"/>
    <col min="23" max="23" width="169.5703125" bestFit="1" customWidth="1"/>
  </cols>
  <sheetData>
    <row r="3" spans="1:23" x14ac:dyDescent="0.25">
      <c r="B3" s="2">
        <f>LEN(B5)</f>
        <v>6</v>
      </c>
      <c r="C3" s="2">
        <f t="shared" ref="C3:V3" si="0">LEN(C5)</f>
        <v>16</v>
      </c>
      <c r="D3" s="2">
        <f t="shared" si="0"/>
        <v>5</v>
      </c>
      <c r="E3" s="2"/>
      <c r="F3" s="2">
        <f t="shared" si="0"/>
        <v>11</v>
      </c>
      <c r="G3" s="2">
        <f t="shared" si="0"/>
        <v>7</v>
      </c>
      <c r="H3" s="2">
        <f t="shared" si="0"/>
        <v>7</v>
      </c>
      <c r="I3" s="2">
        <f t="shared" si="0"/>
        <v>7</v>
      </c>
      <c r="J3" s="2">
        <f t="shared" si="0"/>
        <v>7</v>
      </c>
      <c r="K3" s="2">
        <f t="shared" si="0"/>
        <v>4</v>
      </c>
      <c r="L3" s="2">
        <f t="shared" si="0"/>
        <v>3</v>
      </c>
      <c r="M3" s="2">
        <f t="shared" si="0"/>
        <v>3</v>
      </c>
      <c r="N3" s="2">
        <f t="shared" si="0"/>
        <v>5</v>
      </c>
      <c r="O3" s="2"/>
      <c r="P3" s="2">
        <f t="shared" si="0"/>
        <v>4</v>
      </c>
      <c r="Q3" s="2">
        <f t="shared" si="0"/>
        <v>4</v>
      </c>
      <c r="R3" s="2">
        <f t="shared" si="0"/>
        <v>1</v>
      </c>
      <c r="S3" s="2">
        <f t="shared" si="0"/>
        <v>13</v>
      </c>
      <c r="T3" s="2">
        <f t="shared" si="0"/>
        <v>27</v>
      </c>
      <c r="U3" s="2">
        <f t="shared" si="0"/>
        <v>16</v>
      </c>
      <c r="V3" s="2">
        <f t="shared" si="0"/>
        <v>0</v>
      </c>
    </row>
    <row r="4" spans="1:23" x14ac:dyDescent="0.25">
      <c r="B4" s="3" t="s">
        <v>0</v>
      </c>
      <c r="C4" s="3" t="s">
        <v>1</v>
      </c>
      <c r="D4" s="3" t="s">
        <v>328</v>
      </c>
      <c r="E4" s="3" t="s">
        <v>324</v>
      </c>
      <c r="F4" s="3" t="s">
        <v>329</v>
      </c>
      <c r="G4" s="3" t="s">
        <v>330</v>
      </c>
      <c r="H4" s="3" t="s">
        <v>331</v>
      </c>
      <c r="I4" s="3" t="s">
        <v>332</v>
      </c>
      <c r="J4" s="3" t="s">
        <v>333</v>
      </c>
      <c r="K4" s="3" t="s">
        <v>6</v>
      </c>
      <c r="L4" s="3" t="s">
        <v>313</v>
      </c>
      <c r="M4" s="3" t="s">
        <v>7</v>
      </c>
      <c r="N4" s="3" t="s">
        <v>317</v>
      </c>
      <c r="O4" s="3" t="s">
        <v>326</v>
      </c>
      <c r="P4" s="3" t="s">
        <v>318</v>
      </c>
      <c r="Q4" s="3" t="s">
        <v>327</v>
      </c>
      <c r="R4" s="3" t="s">
        <v>310</v>
      </c>
      <c r="S4" s="3" t="s">
        <v>363</v>
      </c>
      <c r="T4" s="3" t="s">
        <v>364</v>
      </c>
      <c r="U4" s="3" t="s">
        <v>365</v>
      </c>
      <c r="V4" s="3" t="s">
        <v>405</v>
      </c>
      <c r="W4" s="3" t="s">
        <v>325</v>
      </c>
    </row>
    <row r="5" spans="1:23" x14ac:dyDescent="0.25">
      <c r="A5" s="3" t="s">
        <v>724</v>
      </c>
      <c r="B5" s="14">
        <v>240287</v>
      </c>
      <c r="C5" s="15" t="s">
        <v>260</v>
      </c>
      <c r="D5" s="16" t="s">
        <v>76</v>
      </c>
      <c r="E5" s="17">
        <v>60000000</v>
      </c>
      <c r="F5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SO-04010000</v>
      </c>
      <c r="G5" s="16" t="s">
        <v>111</v>
      </c>
      <c r="H5" s="16" t="s">
        <v>139</v>
      </c>
      <c r="I5" s="16" t="s">
        <v>282</v>
      </c>
      <c r="J5" s="16" t="s">
        <v>207</v>
      </c>
      <c r="K5" s="16" t="s">
        <v>309</v>
      </c>
      <c r="L5" s="16" t="s">
        <v>315</v>
      </c>
      <c r="M5" s="16" t="s">
        <v>308</v>
      </c>
      <c r="N5" s="18">
        <v>45334</v>
      </c>
      <c r="O5" s="18" t="str">
        <f>TEXT(EMPLOYEE[[#This Row],[Date_Hiring]],"YYYY-MM-DD")</f>
        <v>2024-02-12</v>
      </c>
      <c r="P5" s="18" t="s">
        <v>320</v>
      </c>
      <c r="Q5" s="18" t="str">
        <f>TEXT(EMPLOYEE[[#This Row],[Date_Resign]],"YYYY-MM-DD")</f>
        <v>Null</v>
      </c>
      <c r="R5" s="14">
        <f>IF(EMPLOYEE[[#This Row],[Date_Resign]]="NULL",1,0)</f>
        <v>1</v>
      </c>
      <c r="S5" s="23" t="s">
        <v>406</v>
      </c>
      <c r="T5" s="19" t="s">
        <v>351</v>
      </c>
      <c r="U5" s="87" t="str">
        <f>_xlfn.IFNA(_xlfn.TEXTBEFORE(EMPLOYEE[[#This Row],[EMAIL]],"@"),"no_ad")</f>
        <v>johnson.lopulisa</v>
      </c>
      <c r="V5" s="19"/>
      <c r="W5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(240287,'Johnson Lopulisa','L3.22',60000000,'SO-04010000','DIR0.04','DIV0.01','DPT0.00','SDP0.00','HQAL','O99','MAS','2024-02-12','',1,'+628111800634','johnson.lopulisa@asri.co.id','johnson.lopulisa'),</v>
      </c>
    </row>
    <row r="6" spans="1:23" x14ac:dyDescent="0.25">
      <c r="A6" s="3" t="s">
        <v>724</v>
      </c>
      <c r="B6" s="14">
        <v>210949</v>
      </c>
      <c r="C6" s="15" t="s">
        <v>261</v>
      </c>
      <c r="D6" s="16" t="s">
        <v>76</v>
      </c>
      <c r="E6" s="17">
        <v>70000000</v>
      </c>
      <c r="F6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SO-04010000</v>
      </c>
      <c r="G6" s="16" t="s">
        <v>111</v>
      </c>
      <c r="H6" s="16" t="s">
        <v>139</v>
      </c>
      <c r="I6" s="16" t="s">
        <v>282</v>
      </c>
      <c r="J6" s="16" t="s">
        <v>207</v>
      </c>
      <c r="K6" s="16" t="s">
        <v>309</v>
      </c>
      <c r="L6" s="16" t="s">
        <v>315</v>
      </c>
      <c r="M6" s="16" t="s">
        <v>308</v>
      </c>
      <c r="N6" s="18">
        <v>44551</v>
      </c>
      <c r="O6" s="18" t="str">
        <f>TEXT(EMPLOYEE[[#This Row],[Date_Hiring]],"YYYY-MM-DD")</f>
        <v>2021-12-21</v>
      </c>
      <c r="P6" s="18">
        <v>45272</v>
      </c>
      <c r="Q6" s="18" t="str">
        <f>TEXT(EMPLOYEE[[#This Row],[Date_Resign]],"YYYY-MM-DD")</f>
        <v>2023-12-12</v>
      </c>
      <c r="R6" s="14">
        <f>IF(EMPLOYEE[[#This Row],[Date_Resign]]="NULL",1,0)</f>
        <v>0</v>
      </c>
      <c r="S6" s="23" t="s">
        <v>407</v>
      </c>
      <c r="T6" s="19" t="s">
        <v>423</v>
      </c>
      <c r="U6" s="87" t="str">
        <f>_xlfn.IFNA(_xlfn.TEXTBEFORE(EMPLOYEE[[#This Row],[EMAIL]],"@"),"no_ad")</f>
        <v>no_ad</v>
      </c>
      <c r="V6" s="19"/>
      <c r="W6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(210949,'Teddy Wijaya','L3.22',70000000,'SO-04010000','DIR0.04','DIV0.01','DPT0.00','SDP0.00','HQAL','O99','MAS','2021-12-21','2023-12-12',0,'+62','nomail','no_ad'),</v>
      </c>
    </row>
    <row r="7" spans="1:23" x14ac:dyDescent="0.25">
      <c r="A7" s="3" t="s">
        <v>724</v>
      </c>
      <c r="B7" s="14">
        <v>180362</v>
      </c>
      <c r="C7" s="15" t="s">
        <v>262</v>
      </c>
      <c r="D7" s="16" t="s">
        <v>89</v>
      </c>
      <c r="E7" s="17">
        <v>7500000</v>
      </c>
      <c r="F7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SO-04010001</v>
      </c>
      <c r="G7" s="16" t="s">
        <v>111</v>
      </c>
      <c r="H7" s="16" t="s">
        <v>139</v>
      </c>
      <c r="I7" s="16" t="s">
        <v>282</v>
      </c>
      <c r="J7" s="16" t="s">
        <v>323</v>
      </c>
      <c r="K7" s="16" t="s">
        <v>309</v>
      </c>
      <c r="L7" s="16" t="s">
        <v>315</v>
      </c>
      <c r="M7" s="16" t="s">
        <v>308</v>
      </c>
      <c r="N7" s="18">
        <v>43165</v>
      </c>
      <c r="O7" s="18" t="str">
        <f>TEXT(EMPLOYEE[[#This Row],[Date_Hiring]],"YYYY-MM-DD")</f>
        <v>2018-03-06</v>
      </c>
      <c r="P7" s="18" t="s">
        <v>320</v>
      </c>
      <c r="Q7" s="18" t="str">
        <f>TEXT(EMPLOYEE[[#This Row],[Date_Resign]],"YYYY-MM-DD")</f>
        <v>Null</v>
      </c>
      <c r="R7" s="14">
        <f>IF(EMPLOYEE[[#This Row],[Date_Resign]]="NULL",1,0)</f>
        <v>1</v>
      </c>
      <c r="S7" s="23" t="s">
        <v>408</v>
      </c>
      <c r="T7" s="19" t="s">
        <v>339</v>
      </c>
      <c r="U7" s="87" t="str">
        <f>_xlfn.IFNA(_xlfn.TEXTBEFORE(EMPLOYEE[[#This Row],[EMAIL]],"@"),"no_ad")</f>
        <v>ariya.ramsi</v>
      </c>
      <c r="V7" s="19"/>
      <c r="W7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(180362,'Ariya Jaya Urip Ramsi','L6.35',7500000,'SO-04010001','DIR0.04','DIV0.01','DPT0.00','SDP0.01','HQAL','O99','MAS','2018-03-06','',1,'+6281328682033','ariya.ramsi@asri.co.id','ariya.ramsi'),</v>
      </c>
    </row>
    <row r="8" spans="1:23" x14ac:dyDescent="0.25">
      <c r="A8" s="3" t="s">
        <v>724</v>
      </c>
      <c r="B8" s="14">
        <v>240763</v>
      </c>
      <c r="C8" s="15" t="s">
        <v>263</v>
      </c>
      <c r="D8" s="16" t="s">
        <v>79</v>
      </c>
      <c r="E8" s="17">
        <v>35000000</v>
      </c>
      <c r="F8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SO-04010100</v>
      </c>
      <c r="G8" s="16" t="s">
        <v>111</v>
      </c>
      <c r="H8" s="16" t="s">
        <v>139</v>
      </c>
      <c r="I8" s="16" t="s">
        <v>283</v>
      </c>
      <c r="J8" s="16" t="s">
        <v>207</v>
      </c>
      <c r="K8" s="16" t="s">
        <v>309</v>
      </c>
      <c r="L8" s="16" t="s">
        <v>315</v>
      </c>
      <c r="M8" s="16" t="s">
        <v>308</v>
      </c>
      <c r="N8" s="18">
        <v>45411</v>
      </c>
      <c r="O8" s="18" t="str">
        <f>TEXT(EMPLOYEE[[#This Row],[Date_Hiring]],"YYYY-MM-DD")</f>
        <v>2024-04-29</v>
      </c>
      <c r="P8" s="18" t="s">
        <v>320</v>
      </c>
      <c r="Q8" s="18" t="str">
        <f>TEXT(EMPLOYEE[[#This Row],[Date_Resign]],"YYYY-MM-DD")</f>
        <v>Null</v>
      </c>
      <c r="R8" s="14">
        <f>IF(EMPLOYEE[[#This Row],[Date_Resign]]="NULL",1,0)</f>
        <v>1</v>
      </c>
      <c r="S8" s="23" t="s">
        <v>409</v>
      </c>
      <c r="T8" s="19" t="s">
        <v>353</v>
      </c>
      <c r="U8" s="87" t="str">
        <f>_xlfn.IFNA(_xlfn.TEXTBEFORE(EMPLOYEE[[#This Row],[EMAIL]],"@"),"no_ad")</f>
        <v>wuwanjie.septian</v>
      </c>
      <c r="V8" s="19"/>
      <c r="W8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(240763,'Wuwanjie Septian','L4.25',35000000,'SO-04010100','DIR0.04','DIV0.01','DPT0.01','SDP0.00','HQAL','O99','MAS','2024-04-29','',1,'+6285759988933','wuwanjie.septian@asri.co.id','wuwanjie.septian'),</v>
      </c>
    </row>
    <row r="9" spans="1:23" x14ac:dyDescent="0.25">
      <c r="A9" s="3" t="s">
        <v>724</v>
      </c>
      <c r="B9" s="14">
        <v>211054</v>
      </c>
      <c r="C9" s="15" t="s">
        <v>264</v>
      </c>
      <c r="D9" s="16" t="s">
        <v>84</v>
      </c>
      <c r="E9" s="17">
        <v>11000000</v>
      </c>
      <c r="F9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SO-04010101</v>
      </c>
      <c r="G9" s="16" t="s">
        <v>111</v>
      </c>
      <c r="H9" s="16" t="s">
        <v>139</v>
      </c>
      <c r="I9" s="16" t="s">
        <v>283</v>
      </c>
      <c r="J9" s="16" t="s">
        <v>208</v>
      </c>
      <c r="K9" s="16" t="s">
        <v>309</v>
      </c>
      <c r="L9" s="16" t="s">
        <v>315</v>
      </c>
      <c r="M9" s="16" t="s">
        <v>308</v>
      </c>
      <c r="N9" s="18">
        <v>44508</v>
      </c>
      <c r="O9" s="18" t="str">
        <f>TEXT(EMPLOYEE[[#This Row],[Date_Hiring]],"YYYY-MM-DD")</f>
        <v>2021-11-08</v>
      </c>
      <c r="P9" s="18">
        <v>45926</v>
      </c>
      <c r="Q9" s="18" t="str">
        <f>TEXT(EMPLOYEE[[#This Row],[Date_Resign]],"YYYY-MM-DD")</f>
        <v>2025-09-26</v>
      </c>
      <c r="R9" s="14">
        <f>IF(EMPLOYEE[[#This Row],[Date_Resign]]="NULL",1,0)</f>
        <v>0</v>
      </c>
      <c r="S9" s="23" t="s">
        <v>407</v>
      </c>
      <c r="T9" s="19" t="s">
        <v>423</v>
      </c>
      <c r="U9" s="87" t="str">
        <f>_xlfn.IFNA(_xlfn.TEXTBEFORE(EMPLOYEE[[#This Row],[EMAIL]],"@"),"no_ad")</f>
        <v>no_ad</v>
      </c>
      <c r="V9" s="19"/>
      <c r="W9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(211054,'Romi Fusianto','L5.30',11000000,'SO-04010101','DIR0.04','DIV0.01','DPT0.01','SDP1.01','HQAL','O99','MAS','2021-11-08','2025-09-26',0,'+62','nomail','no_ad'),</v>
      </c>
    </row>
    <row r="10" spans="1:23" x14ac:dyDescent="0.25">
      <c r="A10" s="3" t="s">
        <v>724</v>
      </c>
      <c r="B10" s="14">
        <v>220909</v>
      </c>
      <c r="C10" s="15" t="s">
        <v>265</v>
      </c>
      <c r="D10" s="16" t="s">
        <v>84</v>
      </c>
      <c r="E10" s="17">
        <v>6500000</v>
      </c>
      <c r="F10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SO-04010101</v>
      </c>
      <c r="G10" s="16" t="s">
        <v>111</v>
      </c>
      <c r="H10" s="16" t="s">
        <v>139</v>
      </c>
      <c r="I10" s="16" t="s">
        <v>283</v>
      </c>
      <c r="J10" s="16" t="s">
        <v>208</v>
      </c>
      <c r="K10" s="16" t="s">
        <v>309</v>
      </c>
      <c r="L10" s="16" t="s">
        <v>315</v>
      </c>
      <c r="M10" s="16" t="s">
        <v>308</v>
      </c>
      <c r="N10" s="18">
        <v>44743</v>
      </c>
      <c r="O10" s="18" t="str">
        <f>TEXT(EMPLOYEE[[#This Row],[Date_Hiring]],"YYYY-MM-DD")</f>
        <v>2022-07-01</v>
      </c>
      <c r="P10" s="18" t="s">
        <v>320</v>
      </c>
      <c r="Q10" s="18" t="str">
        <f>TEXT(EMPLOYEE[[#This Row],[Date_Resign]],"YYYY-MM-DD")</f>
        <v>Null</v>
      </c>
      <c r="R10" s="14">
        <f>IF(EMPLOYEE[[#This Row],[Date_Resign]]="NULL",1,0)</f>
        <v>1</v>
      </c>
      <c r="S10" s="23" t="s">
        <v>410</v>
      </c>
      <c r="T10" s="19" t="s">
        <v>352</v>
      </c>
      <c r="U10" s="87" t="str">
        <f>_xlfn.IFNA(_xlfn.TEXTBEFORE(EMPLOYEE[[#This Row],[EMAIL]],"@"),"no_ad")</f>
        <v>wilson.wilson</v>
      </c>
      <c r="V10" s="19"/>
      <c r="W10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(220909,'Wilson','L5.30',6500000,'SO-04010101','DIR0.04','DIV0.01','DPT0.01','SDP1.01','HQAL','O99','MAS','2022-07-01','',1,'+6281212267237','wilson.wilson@asri.co.id','wilson.wilson'),</v>
      </c>
    </row>
    <row r="11" spans="1:23" x14ac:dyDescent="0.25">
      <c r="A11" s="3" t="s">
        <v>724</v>
      </c>
      <c r="B11" s="14">
        <v>150821</v>
      </c>
      <c r="C11" s="15" t="s">
        <v>266</v>
      </c>
      <c r="D11" s="16" t="s">
        <v>80</v>
      </c>
      <c r="E11" s="17">
        <v>20000000</v>
      </c>
      <c r="F11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SO-04010200</v>
      </c>
      <c r="G11" s="16" t="s">
        <v>111</v>
      </c>
      <c r="H11" s="16" t="s">
        <v>139</v>
      </c>
      <c r="I11" s="16" t="s">
        <v>284</v>
      </c>
      <c r="J11" s="16" t="s">
        <v>207</v>
      </c>
      <c r="K11" s="16" t="s">
        <v>309</v>
      </c>
      <c r="L11" s="16" t="s">
        <v>315</v>
      </c>
      <c r="M11" s="16" t="s">
        <v>308</v>
      </c>
      <c r="N11" s="18">
        <v>42275</v>
      </c>
      <c r="O11" s="18" t="str">
        <f>TEXT(EMPLOYEE[[#This Row],[Date_Hiring]],"YYYY-MM-DD")</f>
        <v>2015-09-28</v>
      </c>
      <c r="P11" s="18" t="s">
        <v>320</v>
      </c>
      <c r="Q11" s="18" t="str">
        <f>TEXT(EMPLOYEE[[#This Row],[Date_Resign]],"YYYY-MM-DD")</f>
        <v>Null</v>
      </c>
      <c r="R11" s="14">
        <f>IF(EMPLOYEE[[#This Row],[Date_Resign]]="NULL",1,0)</f>
        <v>1</v>
      </c>
      <c r="S11" s="23" t="s">
        <v>411</v>
      </c>
      <c r="T11" s="19" t="s">
        <v>347</v>
      </c>
      <c r="U11" s="87" t="str">
        <f>_xlfn.IFNA(_xlfn.TEXTBEFORE(EMPLOYEE[[#This Row],[EMAIL]],"@"),"no_ad")</f>
        <v>candra.segren</v>
      </c>
      <c r="V11" s="19"/>
      <c r="W11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(150821,'Candra Segren','L4.26',20000000,'SO-04010200','DIR0.04','DIV0.01','DPT0.02','SDP0.00','HQAL','O99','MAS','2015-09-28','',1,'+6281319051488','candra.segren@asri.co.id','candra.segren'),</v>
      </c>
    </row>
    <row r="12" spans="1:23" x14ac:dyDescent="0.25">
      <c r="A12" s="3" t="s">
        <v>724</v>
      </c>
      <c r="B12" s="14">
        <v>220163</v>
      </c>
      <c r="C12" s="15" t="s">
        <v>267</v>
      </c>
      <c r="D12" s="16" t="s">
        <v>84</v>
      </c>
      <c r="E12" s="17">
        <v>8000000</v>
      </c>
      <c r="F12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SO-04010200</v>
      </c>
      <c r="G12" s="16" t="s">
        <v>111</v>
      </c>
      <c r="H12" s="16" t="s">
        <v>139</v>
      </c>
      <c r="I12" s="16" t="s">
        <v>284</v>
      </c>
      <c r="J12" s="16" t="s">
        <v>207</v>
      </c>
      <c r="K12" s="16" t="s">
        <v>309</v>
      </c>
      <c r="L12" s="16" t="s">
        <v>315</v>
      </c>
      <c r="M12" s="16" t="s">
        <v>308</v>
      </c>
      <c r="N12" s="18">
        <v>44276</v>
      </c>
      <c r="O12" s="18" t="str">
        <f>TEXT(EMPLOYEE[[#This Row],[Date_Hiring]],"YYYY-MM-DD")</f>
        <v>2021-03-21</v>
      </c>
      <c r="P12" s="18">
        <v>44988</v>
      </c>
      <c r="Q12" s="18" t="str">
        <f>TEXT(EMPLOYEE[[#This Row],[Date_Resign]],"YYYY-MM-DD")</f>
        <v>2023-03-03</v>
      </c>
      <c r="R12" s="14">
        <f>IF(EMPLOYEE[[#This Row],[Date_Resign]]="NULL",1,0)</f>
        <v>0</v>
      </c>
      <c r="S12" s="23" t="s">
        <v>407</v>
      </c>
      <c r="T12" s="19" t="s">
        <v>423</v>
      </c>
      <c r="U12" s="87" t="str">
        <f>_xlfn.IFNA(_xlfn.TEXTBEFORE(EMPLOYEE[[#This Row],[EMAIL]],"@"),"no_ad")</f>
        <v>no_ad</v>
      </c>
      <c r="V12" s="19"/>
      <c r="W12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(220163,'Teguh Putra Sofyanto','L5.30',8000000,'SO-04010200','DIR0.04','DIV0.01','DPT0.02','SDP0.00','HQAL','O99','MAS','2021-03-21','2023-03-03',0,'+62','nomail','no_ad'),</v>
      </c>
    </row>
    <row r="13" spans="1:23" x14ac:dyDescent="0.25">
      <c r="A13" s="3" t="s">
        <v>724</v>
      </c>
      <c r="B13" s="14">
        <v>200264</v>
      </c>
      <c r="C13" s="15" t="s">
        <v>268</v>
      </c>
      <c r="D13" s="16" t="s">
        <v>89</v>
      </c>
      <c r="E13" s="17">
        <v>6000000</v>
      </c>
      <c r="F13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13" s="16" t="s">
        <v>111</v>
      </c>
      <c r="H13" s="16" t="s">
        <v>139</v>
      </c>
      <c r="I13" s="16" t="s">
        <v>285</v>
      </c>
      <c r="J13" s="16" t="s">
        <v>212</v>
      </c>
      <c r="K13" s="16" t="s">
        <v>309</v>
      </c>
      <c r="L13" s="16" t="s">
        <v>316</v>
      </c>
      <c r="M13" s="16" t="s">
        <v>308</v>
      </c>
      <c r="N13" s="18">
        <v>43893</v>
      </c>
      <c r="O13" s="18" t="str">
        <f>TEXT(EMPLOYEE[[#This Row],[Date_Hiring]],"YYYY-MM-DD")</f>
        <v>2020-03-03</v>
      </c>
      <c r="P13" s="18">
        <v>45008</v>
      </c>
      <c r="Q13" s="18" t="str">
        <f>TEXT(EMPLOYEE[[#This Row],[Date_Resign]],"YYYY-MM-DD")</f>
        <v>2023-03-23</v>
      </c>
      <c r="R13" s="14">
        <f>IF(EMPLOYEE[[#This Row],[Date_Resign]]="NULL",1,0)</f>
        <v>0</v>
      </c>
      <c r="S13" s="23" t="s">
        <v>407</v>
      </c>
      <c r="T13" s="19" t="s">
        <v>423</v>
      </c>
      <c r="U13" s="87" t="str">
        <f>_xlfn.IFNA(_xlfn.TEXTBEFORE(EMPLOYEE[[#This Row],[EMAIL]],"@"),"no_ad")</f>
        <v>no_ad</v>
      </c>
      <c r="V13" s="19"/>
      <c r="W13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(200264,'Achmad Fika Muntafa','L6.35',6000000,'SO-04010305','DIR0.04','DIV0.01','DPT0.03','SDP1.05','HQAL','M03','MAS','2020-03-03','2023-03-23',0,'+62','nomail','no_ad'),</v>
      </c>
    </row>
    <row r="14" spans="1:23" x14ac:dyDescent="0.25">
      <c r="A14" s="3" t="s">
        <v>724</v>
      </c>
      <c r="B14" s="14">
        <v>220290</v>
      </c>
      <c r="C14" s="15" t="s">
        <v>269</v>
      </c>
      <c r="D14" s="16" t="s">
        <v>84</v>
      </c>
      <c r="E14" s="17">
        <v>9000000</v>
      </c>
      <c r="F14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SO-04010202</v>
      </c>
      <c r="G14" s="16" t="s">
        <v>111</v>
      </c>
      <c r="H14" s="16" t="s">
        <v>139</v>
      </c>
      <c r="I14" s="16" t="s">
        <v>284</v>
      </c>
      <c r="J14" s="16" t="s">
        <v>209</v>
      </c>
      <c r="K14" s="16" t="s">
        <v>309</v>
      </c>
      <c r="L14" s="16" t="s">
        <v>315</v>
      </c>
      <c r="M14" s="16" t="s">
        <v>308</v>
      </c>
      <c r="N14" s="18">
        <v>44621</v>
      </c>
      <c r="O14" s="18" t="str">
        <f>TEXT(EMPLOYEE[[#This Row],[Date_Hiring]],"YYYY-MM-DD")</f>
        <v>2022-03-01</v>
      </c>
      <c r="P14" s="18" t="s">
        <v>320</v>
      </c>
      <c r="Q14" s="18" t="str">
        <f>TEXT(EMPLOYEE[[#This Row],[Date_Resign]],"YYYY-MM-DD")</f>
        <v>Null</v>
      </c>
      <c r="R14" s="14">
        <f>IF(EMPLOYEE[[#This Row],[Date_Resign]]="NULL",1,0)</f>
        <v>1</v>
      </c>
      <c r="S14" s="23" t="s">
        <v>412</v>
      </c>
      <c r="T14" s="19" t="s">
        <v>340</v>
      </c>
      <c r="U14" s="87" t="str">
        <f>_xlfn.IFNA(_xlfn.TEXTBEFORE(EMPLOYEE[[#This Row],[EMAIL]],"@"),"no_ad")</f>
        <v>albin.wangsa</v>
      </c>
      <c r="V14" s="19"/>
      <c r="W14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(220290,'Albin Patu Putra Wangsa','L5.30',9000000,'SO-04010202','DIR0.04','DIV0.01','DPT0.02','SDP1.02','HQAL','O99','MAS','2022-03-01','',1,'+6281952520528','albin.wangsa@asri.co.id','albin.wangsa'),</v>
      </c>
    </row>
    <row r="15" spans="1:23" x14ac:dyDescent="0.25">
      <c r="A15" s="3" t="s">
        <v>724</v>
      </c>
      <c r="B15" s="14">
        <v>241489</v>
      </c>
      <c r="C15" s="15" t="s">
        <v>270</v>
      </c>
      <c r="D15" s="16" t="s">
        <v>89</v>
      </c>
      <c r="E15" s="17">
        <v>7500000</v>
      </c>
      <c r="F15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SO-04010202</v>
      </c>
      <c r="G15" s="16" t="s">
        <v>111</v>
      </c>
      <c r="H15" s="16" t="s">
        <v>139</v>
      </c>
      <c r="I15" s="16" t="s">
        <v>284</v>
      </c>
      <c r="J15" s="16" t="s">
        <v>209</v>
      </c>
      <c r="K15" s="16" t="s">
        <v>309</v>
      </c>
      <c r="L15" s="16" t="s">
        <v>315</v>
      </c>
      <c r="M15" s="16" t="s">
        <v>308</v>
      </c>
      <c r="N15" s="18">
        <v>45523</v>
      </c>
      <c r="O15" s="18" t="str">
        <f>TEXT(EMPLOYEE[[#This Row],[Date_Hiring]],"YYYY-MM-DD")</f>
        <v>2024-08-19</v>
      </c>
      <c r="P15" s="18" t="s">
        <v>320</v>
      </c>
      <c r="Q15" s="18" t="str">
        <f>TEXT(EMPLOYEE[[#This Row],[Date_Resign]],"YYYY-MM-DD")</f>
        <v>Null</v>
      </c>
      <c r="R15" s="14">
        <f>IF(EMPLOYEE[[#This Row],[Date_Resign]]="NULL",1,0)</f>
        <v>1</v>
      </c>
      <c r="S15" s="23" t="s">
        <v>407</v>
      </c>
      <c r="T15" s="19" t="s">
        <v>423</v>
      </c>
      <c r="U15" s="87" t="str">
        <f>_xlfn.IFNA(_xlfn.TEXTBEFORE(EMPLOYEE[[#This Row],[EMAIL]],"@"),"no_ad")</f>
        <v>no_ad</v>
      </c>
      <c r="V15" s="19"/>
      <c r="W15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(241489,'Aditya Gustiyana','L6.35',7500000,'SO-04010202','DIR0.04','DIV0.01','DPT0.02','SDP1.02','HQAL','O99','MAS','2024-08-19','',1,'+62','nomail','no_ad'),</v>
      </c>
    </row>
    <row r="16" spans="1:23" x14ac:dyDescent="0.25">
      <c r="A16" s="3" t="s">
        <v>724</v>
      </c>
      <c r="B16" s="14">
        <v>180426</v>
      </c>
      <c r="C16" s="15" t="s">
        <v>271</v>
      </c>
      <c r="D16" s="16" t="s">
        <v>84</v>
      </c>
      <c r="E16" s="17">
        <v>13000000</v>
      </c>
      <c r="F16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SO-04010203</v>
      </c>
      <c r="G16" s="16" t="s">
        <v>111</v>
      </c>
      <c r="H16" s="16" t="s">
        <v>139</v>
      </c>
      <c r="I16" s="16" t="s">
        <v>284</v>
      </c>
      <c r="J16" s="16" t="s">
        <v>210</v>
      </c>
      <c r="K16" s="16" t="s">
        <v>309</v>
      </c>
      <c r="L16" s="16" t="s">
        <v>314</v>
      </c>
      <c r="M16" s="16" t="s">
        <v>319</v>
      </c>
      <c r="N16" s="18">
        <v>43178</v>
      </c>
      <c r="O16" s="18" t="str">
        <f>TEXT(EMPLOYEE[[#This Row],[Date_Hiring]],"YYYY-MM-DD")</f>
        <v>2018-03-19</v>
      </c>
      <c r="P16" s="18" t="s">
        <v>320</v>
      </c>
      <c r="Q16" s="18" t="str">
        <f>TEXT(EMPLOYEE[[#This Row],[Date_Resign]],"YYYY-MM-DD")</f>
        <v>Null</v>
      </c>
      <c r="R16" s="14">
        <f>IF(EMPLOYEE[[#This Row],[Date_Resign]]="NULL",1,0)</f>
        <v>1</v>
      </c>
      <c r="S16" s="23" t="s">
        <v>413</v>
      </c>
      <c r="T16" s="19" t="s">
        <v>343</v>
      </c>
      <c r="U16" s="87" t="str">
        <f>_xlfn.IFNA(_xlfn.TEXTBEFORE(EMPLOYEE[[#This Row],[EMAIL]],"@"),"no_ad")</f>
        <v>hardi.wasisto</v>
      </c>
      <c r="V16" s="19"/>
      <c r="W16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(180426,'Hardi Wasisto','L5.30',13000000,'SO-04010203','DIR0.04','DIV0.01','DPT0.02','SDP1.03','HQAL','M02','MJS','2018-03-19','',1,'+6285718769329','hardi.wasisto@asri.co.id','hardi.wasisto'),</v>
      </c>
    </row>
    <row r="17" spans="1:23" x14ac:dyDescent="0.25">
      <c r="A17" s="3" t="s">
        <v>724</v>
      </c>
      <c r="B17" s="14">
        <v>221284</v>
      </c>
      <c r="C17" s="15" t="s">
        <v>272</v>
      </c>
      <c r="D17" s="16" t="s">
        <v>89</v>
      </c>
      <c r="E17" s="17">
        <v>7500000</v>
      </c>
      <c r="F17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SO-04010203</v>
      </c>
      <c r="G17" s="16" t="s">
        <v>111</v>
      </c>
      <c r="H17" s="16" t="s">
        <v>139</v>
      </c>
      <c r="I17" s="16" t="s">
        <v>284</v>
      </c>
      <c r="J17" s="16" t="s">
        <v>210</v>
      </c>
      <c r="K17" s="16" t="s">
        <v>309</v>
      </c>
      <c r="L17" s="16" t="s">
        <v>315</v>
      </c>
      <c r="M17" s="16" t="s">
        <v>308</v>
      </c>
      <c r="N17" s="18">
        <v>44805</v>
      </c>
      <c r="O17" s="18" t="str">
        <f>TEXT(EMPLOYEE[[#This Row],[Date_Hiring]],"YYYY-MM-DD")</f>
        <v>2022-09-01</v>
      </c>
      <c r="P17" s="18" t="s">
        <v>320</v>
      </c>
      <c r="Q17" s="18" t="str">
        <f>TEXT(EMPLOYEE[[#This Row],[Date_Resign]],"YYYY-MM-DD")</f>
        <v>Null</v>
      </c>
      <c r="R17" s="14">
        <f>IF(EMPLOYEE[[#This Row],[Date_Resign]]="NULL",1,0)</f>
        <v>1</v>
      </c>
      <c r="S17" s="23" t="s">
        <v>414</v>
      </c>
      <c r="T17" s="19" t="s">
        <v>341</v>
      </c>
      <c r="U17" s="87" t="str">
        <f>_xlfn.IFNA(_xlfn.TEXTBEFORE(EMPLOYEE[[#This Row],[EMAIL]],"@"),"no_ad")</f>
        <v>aldo.wowor</v>
      </c>
      <c r="V17" s="19"/>
      <c r="W17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(221284,'Aldo Jeffry F Wowor','L6.35',7500000,'SO-04010203','DIR0.04','DIV0.01','DPT0.02','SDP1.03','HQAL','O99','MAS','2022-09-01','',1,'+6281221728811','aldo.wowor@asri.co.id','aldo.wowor'),</v>
      </c>
    </row>
    <row r="18" spans="1:23" x14ac:dyDescent="0.25">
      <c r="A18" s="3" t="s">
        <v>724</v>
      </c>
      <c r="B18" s="14">
        <v>100822</v>
      </c>
      <c r="C18" s="15" t="s">
        <v>273</v>
      </c>
      <c r="D18" s="16" t="s">
        <v>80</v>
      </c>
      <c r="E18" s="17">
        <v>26000000</v>
      </c>
      <c r="F18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SO-04010300</v>
      </c>
      <c r="G18" s="16" t="s">
        <v>111</v>
      </c>
      <c r="H18" s="16" t="s">
        <v>139</v>
      </c>
      <c r="I18" s="16" t="s">
        <v>285</v>
      </c>
      <c r="J18" s="16" t="s">
        <v>207</v>
      </c>
      <c r="K18" s="16" t="s">
        <v>309</v>
      </c>
      <c r="L18" s="16" t="s">
        <v>315</v>
      </c>
      <c r="M18" s="16" t="s">
        <v>308</v>
      </c>
      <c r="N18" s="18">
        <v>38498</v>
      </c>
      <c r="O18" s="18" t="str">
        <f>TEXT(EMPLOYEE[[#This Row],[Date_Hiring]],"YYYY-MM-DD")</f>
        <v>2005-05-26</v>
      </c>
      <c r="P18" s="18" t="s">
        <v>320</v>
      </c>
      <c r="Q18" s="18" t="str">
        <f>TEXT(EMPLOYEE[[#This Row],[Date_Resign]],"YYYY-MM-DD")</f>
        <v>Null</v>
      </c>
      <c r="R18" s="14">
        <f>IF(EMPLOYEE[[#This Row],[Date_Resign]]="NULL",1,0)</f>
        <v>1</v>
      </c>
      <c r="S18" s="23" t="s">
        <v>415</v>
      </c>
      <c r="T18" s="19" t="s">
        <v>346</v>
      </c>
      <c r="U18" s="87" t="str">
        <f>_xlfn.IFNA(_xlfn.TEXTBEFORE(EMPLOYEE[[#This Row],[EMAIL]],"@"),"no_ad")</f>
        <v>johari.johari</v>
      </c>
      <c r="V18" s="19"/>
      <c r="W18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(100822,'Johari.','L4.26',26000000,'SO-04010300','DIR0.04','DIV0.01','DPT0.03','SDP0.00','HQAL','O99','MAS','2005-05-26','',1,'+628187330021','johari.johari@asri.co.id','johari.johari'),</v>
      </c>
    </row>
    <row r="19" spans="1:23" x14ac:dyDescent="0.25">
      <c r="A19" s="3" t="s">
        <v>724</v>
      </c>
      <c r="B19" s="14">
        <v>221489</v>
      </c>
      <c r="C19" s="15" t="s">
        <v>274</v>
      </c>
      <c r="D19" s="16" t="s">
        <v>84</v>
      </c>
      <c r="E19" s="17">
        <v>6600000</v>
      </c>
      <c r="F19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19" s="16" t="s">
        <v>111</v>
      </c>
      <c r="H19" s="16" t="s">
        <v>139</v>
      </c>
      <c r="I19" s="16" t="s">
        <v>285</v>
      </c>
      <c r="J19" s="16" t="s">
        <v>212</v>
      </c>
      <c r="K19" s="16" t="s">
        <v>309</v>
      </c>
      <c r="L19" s="16" t="s">
        <v>315</v>
      </c>
      <c r="M19" s="16" t="s">
        <v>308</v>
      </c>
      <c r="N19" s="18">
        <v>44837</v>
      </c>
      <c r="O19" s="18" t="str">
        <f>TEXT(EMPLOYEE[[#This Row],[Date_Hiring]],"YYYY-MM-DD")</f>
        <v>2022-10-03</v>
      </c>
      <c r="P19" s="18" t="s">
        <v>320</v>
      </c>
      <c r="Q19" s="18" t="str">
        <f>TEXT(EMPLOYEE[[#This Row],[Date_Resign]],"YYYY-MM-DD")</f>
        <v>Null</v>
      </c>
      <c r="R19" s="14">
        <f>IF(EMPLOYEE[[#This Row],[Date_Resign]]="NULL",1,0)</f>
        <v>1</v>
      </c>
      <c r="S19" s="23" t="s">
        <v>416</v>
      </c>
      <c r="T19" s="19" t="s">
        <v>338</v>
      </c>
      <c r="U19" s="87" t="str">
        <f>_xlfn.IFNA(_xlfn.TEXTBEFORE(EMPLOYEE[[#This Row],[EMAIL]],"@"),"no_ad")</f>
        <v>degia.parlopa</v>
      </c>
      <c r="V19" s="19"/>
      <c r="W19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(221489,'Degia Parlopa','L5.30',6600000,'SO-04010305','DIR0.04','DIV0.01','DPT0.03','SDP1.05','HQAL','O99','MAS','2022-10-03','',1,'+6281282310886','degia.parlopa@asri.co.id','degia.parlopa'),</v>
      </c>
    </row>
    <row r="20" spans="1:23" x14ac:dyDescent="0.25">
      <c r="A20" s="3" t="s">
        <v>724</v>
      </c>
      <c r="B20" s="14">
        <v>231399</v>
      </c>
      <c r="C20" s="15" t="s">
        <v>275</v>
      </c>
      <c r="D20" s="16" t="s">
        <v>89</v>
      </c>
      <c r="E20" s="17">
        <v>6500000</v>
      </c>
      <c r="F20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20" s="16" t="s">
        <v>111</v>
      </c>
      <c r="H20" s="16" t="s">
        <v>139</v>
      </c>
      <c r="I20" s="16" t="s">
        <v>285</v>
      </c>
      <c r="J20" s="16" t="s">
        <v>212</v>
      </c>
      <c r="K20" s="16" t="s">
        <v>309</v>
      </c>
      <c r="L20" s="16" t="s">
        <v>315</v>
      </c>
      <c r="M20" s="16" t="s">
        <v>308</v>
      </c>
      <c r="N20" s="18">
        <v>45152</v>
      </c>
      <c r="O20" s="18" t="str">
        <f>TEXT(EMPLOYEE[[#This Row],[Date_Hiring]],"YYYY-MM-DD")</f>
        <v>2023-08-14</v>
      </c>
      <c r="P20" s="18" t="s">
        <v>320</v>
      </c>
      <c r="Q20" s="18" t="str">
        <f>TEXT(EMPLOYEE[[#This Row],[Date_Resign]],"YYYY-MM-DD")</f>
        <v>Null</v>
      </c>
      <c r="R20" s="14">
        <f>IF(EMPLOYEE[[#This Row],[Date_Resign]]="NULL",1,0)</f>
        <v>1</v>
      </c>
      <c r="S20" s="23" t="s">
        <v>417</v>
      </c>
      <c r="T20" s="19" t="s">
        <v>342</v>
      </c>
      <c r="U20" s="87" t="str">
        <f>_xlfn.IFNA(_xlfn.TEXTBEFORE(EMPLOYEE[[#This Row],[EMAIL]],"@"),"no_ad")</f>
        <v>fransiskus.simson</v>
      </c>
      <c r="V20" s="19"/>
      <c r="W20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(231399,'Fransiskus Simson','L6.35',6500000,'SO-04010305','DIR0.04','DIV0.01','DPT0.03','SDP1.05','HQAL','O99','MAS','2023-08-14','',1,'+6281391232461','fransiskus.simson@asri.co.id','fransiskus.simson'),</v>
      </c>
    </row>
    <row r="21" spans="1:23" x14ac:dyDescent="0.25">
      <c r="A21" s="3" t="s">
        <v>724</v>
      </c>
      <c r="B21" s="14">
        <v>240025</v>
      </c>
      <c r="C21" s="15" t="s">
        <v>276</v>
      </c>
      <c r="D21" s="16" t="s">
        <v>89</v>
      </c>
      <c r="E21" s="17">
        <v>6000000</v>
      </c>
      <c r="F21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21" s="16" t="s">
        <v>111</v>
      </c>
      <c r="H21" s="16" t="s">
        <v>139</v>
      </c>
      <c r="I21" s="16" t="s">
        <v>285</v>
      </c>
      <c r="J21" s="16" t="s">
        <v>212</v>
      </c>
      <c r="K21" s="16" t="s">
        <v>309</v>
      </c>
      <c r="L21" s="16" t="s">
        <v>315</v>
      </c>
      <c r="M21" s="16" t="s">
        <v>308</v>
      </c>
      <c r="N21" s="18">
        <v>45299</v>
      </c>
      <c r="O21" s="18" t="str">
        <f>TEXT(EMPLOYEE[[#This Row],[Date_Hiring]],"YYYY-MM-DD")</f>
        <v>2024-01-08</v>
      </c>
      <c r="P21" s="18">
        <v>45902</v>
      </c>
      <c r="Q21" s="18" t="str">
        <f>TEXT(EMPLOYEE[[#This Row],[Date_Resign]],"YYYY-MM-DD")</f>
        <v>2025-09-02</v>
      </c>
      <c r="R21" s="14">
        <f>IF(EMPLOYEE[[#This Row],[Date_Resign]]="NULL",1,0)</f>
        <v>0</v>
      </c>
      <c r="S21" s="23" t="s">
        <v>407</v>
      </c>
      <c r="T21" s="19" t="s">
        <v>423</v>
      </c>
      <c r="U21" s="87" t="str">
        <f>_xlfn.IFNA(_xlfn.TEXTBEFORE(EMPLOYEE[[#This Row],[EMAIL]],"@"),"no_ad")</f>
        <v>no_ad</v>
      </c>
      <c r="V21" s="19"/>
      <c r="W21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(240025,'Hendry Prasetyo','L6.35',6000000,'SO-04010305','DIR0.04','DIV0.01','DPT0.03','SDP1.05','HQAL','O99','MAS','2024-01-08','2025-09-02',0,'+62','nomail','no_ad'),</v>
      </c>
    </row>
    <row r="22" spans="1:23" x14ac:dyDescent="0.25">
      <c r="A22" s="3" t="s">
        <v>724</v>
      </c>
      <c r="B22" s="14">
        <v>241681</v>
      </c>
      <c r="C22" s="15" t="s">
        <v>277</v>
      </c>
      <c r="D22" s="16" t="s">
        <v>89</v>
      </c>
      <c r="E22" s="17">
        <v>6000000</v>
      </c>
      <c r="F22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22" s="16" t="s">
        <v>111</v>
      </c>
      <c r="H22" s="16" t="s">
        <v>139</v>
      </c>
      <c r="I22" s="16" t="s">
        <v>285</v>
      </c>
      <c r="J22" s="16" t="s">
        <v>212</v>
      </c>
      <c r="K22" s="16" t="s">
        <v>309</v>
      </c>
      <c r="L22" s="16" t="s">
        <v>315</v>
      </c>
      <c r="M22" s="16" t="s">
        <v>308</v>
      </c>
      <c r="N22" s="18">
        <v>45552</v>
      </c>
      <c r="O22" s="18" t="str">
        <f>TEXT(EMPLOYEE[[#This Row],[Date_Hiring]],"YYYY-MM-DD")</f>
        <v>2024-09-17</v>
      </c>
      <c r="P22" s="18" t="s">
        <v>320</v>
      </c>
      <c r="Q22" s="18" t="str">
        <f>TEXT(EMPLOYEE[[#This Row],[Date_Resign]],"YYYY-MM-DD")</f>
        <v>Null</v>
      </c>
      <c r="R22" s="14">
        <f>IF(EMPLOYEE[[#This Row],[Date_Resign]]="NULL",1,0)</f>
        <v>1</v>
      </c>
      <c r="S22" s="23" t="s">
        <v>418</v>
      </c>
      <c r="T22" s="19" t="s">
        <v>344</v>
      </c>
      <c r="U22" s="87" t="str">
        <f>_xlfn.IFNA(_xlfn.TEXTBEFORE(EMPLOYEE[[#This Row],[EMAIL]],"@"),"no_ad")</f>
        <v>irfan.suparman</v>
      </c>
      <c r="V22" s="19"/>
      <c r="W22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(241681,'Irfan Suparman','L6.35',6000000,'SO-04010305','DIR0.04','DIV0.01','DPT0.03','SDP1.05','HQAL','O99','MAS','2024-09-17','',1,'+628956064717','irfan.suparman@asri.co.id','irfan.suparman'),</v>
      </c>
    </row>
    <row r="23" spans="1:23" x14ac:dyDescent="0.25">
      <c r="A23" s="3" t="s">
        <v>724</v>
      </c>
      <c r="B23" s="14">
        <v>241815</v>
      </c>
      <c r="C23" s="15" t="s">
        <v>278</v>
      </c>
      <c r="D23" s="16" t="s">
        <v>89</v>
      </c>
      <c r="E23" s="17">
        <v>6000000</v>
      </c>
      <c r="F23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23" s="16" t="s">
        <v>111</v>
      </c>
      <c r="H23" s="16" t="s">
        <v>139</v>
      </c>
      <c r="I23" s="16" t="s">
        <v>285</v>
      </c>
      <c r="J23" s="16" t="s">
        <v>212</v>
      </c>
      <c r="K23" s="16" t="s">
        <v>309</v>
      </c>
      <c r="L23" s="16" t="s">
        <v>315</v>
      </c>
      <c r="M23" s="16" t="s">
        <v>308</v>
      </c>
      <c r="N23" s="18">
        <v>45572</v>
      </c>
      <c r="O23" s="18" t="str">
        <f>TEXT(EMPLOYEE[[#This Row],[Date_Hiring]],"YYYY-MM-DD")</f>
        <v>2024-10-07</v>
      </c>
      <c r="P23" s="18" t="s">
        <v>320</v>
      </c>
      <c r="Q23" s="18" t="str">
        <f>TEXT(EMPLOYEE[[#This Row],[Date_Resign]],"YYYY-MM-DD")</f>
        <v>Null</v>
      </c>
      <c r="R23" s="14">
        <f>IF(EMPLOYEE[[#This Row],[Date_Resign]]="NULL",1,0)</f>
        <v>1</v>
      </c>
      <c r="S23" s="23" t="s">
        <v>419</v>
      </c>
      <c r="T23" s="19" t="s">
        <v>348</v>
      </c>
      <c r="U23" s="87" t="str">
        <f>_xlfn.IFNA(_xlfn.TEXTBEFORE(EMPLOYEE[[#This Row],[EMAIL]],"@"),"no_ad")</f>
        <v>patrick.lay</v>
      </c>
      <c r="V23" s="19"/>
      <c r="W23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(241815,'Patrick Lay','L6.35',6000000,'SO-04010305','DIR0.04','DIV0.01','DPT0.03','SDP1.05','HQAL','O99','MAS','2024-10-07','',1,'+62895414734288','patrick.lay@asri.co.id','patrick.lay'),</v>
      </c>
    </row>
    <row r="24" spans="1:23" x14ac:dyDescent="0.25">
      <c r="A24" s="3" t="s">
        <v>724</v>
      </c>
      <c r="B24" s="14">
        <v>250501</v>
      </c>
      <c r="C24" s="15" t="s">
        <v>279</v>
      </c>
      <c r="D24" s="16" t="s">
        <v>89</v>
      </c>
      <c r="E24" s="17">
        <v>6000000</v>
      </c>
      <c r="F24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24" s="16" t="s">
        <v>111</v>
      </c>
      <c r="H24" s="16" t="s">
        <v>139</v>
      </c>
      <c r="I24" s="16" t="s">
        <v>285</v>
      </c>
      <c r="J24" s="16" t="s">
        <v>212</v>
      </c>
      <c r="K24" s="16" t="s">
        <v>309</v>
      </c>
      <c r="L24" s="16" t="s">
        <v>315</v>
      </c>
      <c r="M24" s="16" t="s">
        <v>308</v>
      </c>
      <c r="N24" s="18">
        <v>45782</v>
      </c>
      <c r="O24" s="18" t="str">
        <f>TEXT(EMPLOYEE[[#This Row],[Date_Hiring]],"YYYY-MM-DD")</f>
        <v>2025-05-05</v>
      </c>
      <c r="P24" s="18" t="s">
        <v>320</v>
      </c>
      <c r="Q24" s="18" t="str">
        <f>TEXT(EMPLOYEE[[#This Row],[Date_Resign]],"YYYY-MM-DD")</f>
        <v>Null</v>
      </c>
      <c r="R24" s="14">
        <f>IF(EMPLOYEE[[#This Row],[Date_Resign]]="NULL",1,0)</f>
        <v>1</v>
      </c>
      <c r="S24" s="23" t="s">
        <v>420</v>
      </c>
      <c r="T24" s="19" t="s">
        <v>350</v>
      </c>
      <c r="U24" s="87" t="str">
        <f>_xlfn.IFNA(_xlfn.TEXTBEFORE(EMPLOYEE[[#This Row],[EMAIL]],"@"),"no_ad")</f>
        <v>thoyyib.abdillah</v>
      </c>
      <c r="V24" s="19"/>
      <c r="W24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(250501,'Toyyib Abdillah','L6.35',6000000,'SO-04010305','DIR0.04','DIV0.01','DPT0.03','SDP1.05','HQAL','O99','MAS','2025-05-05','',1,'+62895703307900','thoyyib.abdillah@asri.co.id','thoyyib.abdillah'),</v>
      </c>
    </row>
    <row r="25" spans="1:23" x14ac:dyDescent="0.25">
      <c r="A25" s="3" t="s">
        <v>724</v>
      </c>
      <c r="B25" s="14">
        <v>232054</v>
      </c>
      <c r="C25" s="15" t="s">
        <v>280</v>
      </c>
      <c r="D25" s="16" t="s">
        <v>84</v>
      </c>
      <c r="E25" s="17">
        <v>6000000</v>
      </c>
      <c r="F25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SO-04010305</v>
      </c>
      <c r="G25" s="16" t="s">
        <v>111</v>
      </c>
      <c r="H25" s="16" t="s">
        <v>139</v>
      </c>
      <c r="I25" s="16" t="s">
        <v>285</v>
      </c>
      <c r="J25" s="16" t="s">
        <v>212</v>
      </c>
      <c r="K25" s="16" t="s">
        <v>309</v>
      </c>
      <c r="L25" s="16" t="s">
        <v>315</v>
      </c>
      <c r="M25" s="16" t="s">
        <v>308</v>
      </c>
      <c r="N25" s="18">
        <v>45243</v>
      </c>
      <c r="O25" s="18" t="str">
        <f>TEXT(EMPLOYEE[[#This Row],[Date_Hiring]],"YYYY-MM-DD")</f>
        <v>2023-11-13</v>
      </c>
      <c r="P25" s="18" t="s">
        <v>320</v>
      </c>
      <c r="Q25" s="18" t="str">
        <f>TEXT(EMPLOYEE[[#This Row],[Date_Resign]],"YYYY-MM-DD")</f>
        <v>Null</v>
      </c>
      <c r="R25" s="14">
        <f>IF(EMPLOYEE[[#This Row],[Date_Resign]]="NULL",1,0)</f>
        <v>1</v>
      </c>
      <c r="S25" s="23" t="s">
        <v>421</v>
      </c>
      <c r="T25" s="19" t="s">
        <v>345</v>
      </c>
      <c r="U25" s="87" t="str">
        <f>_xlfn.IFNA(_xlfn.TEXTBEFORE(EMPLOYEE[[#This Row],[EMAIL]],"@"),"no_ad")</f>
        <v>moh.ramadhan</v>
      </c>
      <c r="V25" s="19"/>
      <c r="W25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(232054,'Moh. Gagas Sanda Ramadhan','L5.30',6000000,'SO-04010305','DIR0.04','DIV0.01','DPT0.03','SDP1.05','HQAL','O99','MAS','2023-11-13','',1,'+6285700669244','moh.ramadhan@asri.co.id','moh.ramadhan'),</v>
      </c>
    </row>
    <row r="26" spans="1:23" x14ac:dyDescent="0.25">
      <c r="A26" s="3" t="s">
        <v>724</v>
      </c>
      <c r="B26" s="14">
        <v>250528</v>
      </c>
      <c r="C26" s="15" t="s">
        <v>281</v>
      </c>
      <c r="D26" s="16" t="s">
        <v>80</v>
      </c>
      <c r="E26" s="17">
        <v>28000000</v>
      </c>
      <c r="F26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SO-04010400</v>
      </c>
      <c r="G26" s="16" t="s">
        <v>111</v>
      </c>
      <c r="H26" s="16" t="s">
        <v>139</v>
      </c>
      <c r="I26" s="16" t="s">
        <v>286</v>
      </c>
      <c r="J26" s="16" t="s">
        <v>207</v>
      </c>
      <c r="K26" s="16" t="s">
        <v>309</v>
      </c>
      <c r="L26" s="16" t="s">
        <v>315</v>
      </c>
      <c r="M26" s="16" t="s">
        <v>308</v>
      </c>
      <c r="N26" s="18">
        <v>45824</v>
      </c>
      <c r="O26" s="18" t="str">
        <f>TEXT(EMPLOYEE[[#This Row],[Date_Hiring]],"YYYY-MM-DD")</f>
        <v>2025-06-16</v>
      </c>
      <c r="P26" s="18" t="s">
        <v>320</v>
      </c>
      <c r="Q26" s="18" t="str">
        <f>TEXT(EMPLOYEE[[#This Row],[Date_Resign]],"YYYY-MM-DD")</f>
        <v>Null</v>
      </c>
      <c r="R26" s="14">
        <f>IF(EMPLOYEE[[#This Row],[Date_Resign]]="NULL",1,0)</f>
        <v>1</v>
      </c>
      <c r="S26" s="23" t="s">
        <v>422</v>
      </c>
      <c r="T26" s="19" t="s">
        <v>349</v>
      </c>
      <c r="U26" s="87" t="str">
        <f>_xlfn.IFNA(_xlfn.TEXTBEFORE(EMPLOYEE[[#This Row],[EMAIL]],"@"),"no_ad")</f>
        <v>sarah.durry</v>
      </c>
      <c r="V26" s="19"/>
      <c r="W26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(250528,'Sarah Sajaratun Durry','L4.26',28000000,'SO-04010400','DIR0.04','DIV0.01','DPT0.04','SDP0.00','HQAL','O99','MAS','2025-06-16','',1,'+6281214808053','sarah.durry@asri.co.id','sarah.durry'),</v>
      </c>
    </row>
    <row r="27" spans="1:23" x14ac:dyDescent="0.25">
      <c r="A27" s="3" t="s">
        <v>724</v>
      </c>
      <c r="B27" s="14">
        <v>999999</v>
      </c>
      <c r="C27" s="15" t="s">
        <v>424</v>
      </c>
      <c r="D27" s="16" t="s">
        <v>101</v>
      </c>
      <c r="E27" s="17">
        <v>0</v>
      </c>
      <c r="F27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SO-00000000</v>
      </c>
      <c r="G27" s="16" t="s">
        <v>107</v>
      </c>
      <c r="H27" s="16" t="s">
        <v>138</v>
      </c>
      <c r="I27" s="16" t="s">
        <v>282</v>
      </c>
      <c r="J27" s="16" t="s">
        <v>207</v>
      </c>
      <c r="K27" s="16" t="s">
        <v>425</v>
      </c>
      <c r="L27" s="16" t="s">
        <v>427</v>
      </c>
      <c r="M27" s="16" t="s">
        <v>426</v>
      </c>
      <c r="N27" s="18" t="s">
        <v>320</v>
      </c>
      <c r="O27" s="18" t="str">
        <f>TEXT(EMPLOYEE[[#This Row],[Date_Hiring]],"YYYY-MM-DD")</f>
        <v>Null</v>
      </c>
      <c r="P27" s="18" t="s">
        <v>320</v>
      </c>
      <c r="Q27" s="18" t="str">
        <f>TEXT(EMPLOYEE[[#This Row],[Date_Resign]],"YYYY-MM-DD")</f>
        <v>Null</v>
      </c>
      <c r="R27" s="14">
        <f>IF(EMPLOYEE[[#This Row],[Date_Resign]]="NULL",1,0)</f>
        <v>1</v>
      </c>
      <c r="S27" s="23" t="s">
        <v>407</v>
      </c>
      <c r="T27" s="19" t="s">
        <v>423</v>
      </c>
      <c r="U27" s="87" t="str">
        <f>_xlfn.IFNA(_xlfn.TEXTBEFORE(EMPLOYEE[[#This Row],[EMAIL]],"@"),"no_ad")</f>
        <v>no_ad</v>
      </c>
      <c r="V27" s="19"/>
      <c r="W27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(999999,'Vacant','L0.00',0,'SO-00000000','DIR0.00','DIV0.00','DPT0.00','SDP0.00','VACT','VAC','XXX','','',1,'+62','nomail','no_ad'),</v>
      </c>
    </row>
    <row r="28" spans="1:23" x14ac:dyDescent="0.25">
      <c r="B28" s="14">
        <v>170747</v>
      </c>
      <c r="C28" s="15" t="s">
        <v>723</v>
      </c>
      <c r="D28" s="16" t="s">
        <v>89</v>
      </c>
      <c r="E28" s="17">
        <v>8500000</v>
      </c>
      <c r="F28" s="1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SO-17041724</v>
      </c>
      <c r="G28" s="16" t="s">
        <v>124</v>
      </c>
      <c r="H28" s="16" t="s">
        <v>142</v>
      </c>
      <c r="I28" s="16" t="s">
        <v>730</v>
      </c>
      <c r="J28" s="16" t="s">
        <v>231</v>
      </c>
      <c r="K28" s="16" t="s">
        <v>733</v>
      </c>
      <c r="L28" s="16" t="s">
        <v>484</v>
      </c>
      <c r="M28" s="16" t="s">
        <v>734</v>
      </c>
      <c r="N28" s="18">
        <v>42968</v>
      </c>
      <c r="O28" s="18">
        <v>42968</v>
      </c>
      <c r="P28" s="18">
        <v>45869</v>
      </c>
      <c r="Q28" s="18" t="str">
        <f>TEXT(EMPLOYEE[[#This Row],[Date_Resign]],"YYYY-MM-DD")</f>
        <v>2025-07-31</v>
      </c>
      <c r="R28" s="14">
        <f>IF(EMPLOYEE[[#This Row],[Date_Resign]]="NULL",1,0)</f>
        <v>0</v>
      </c>
      <c r="S28" s="23" t="s">
        <v>407</v>
      </c>
      <c r="T28" s="19" t="s">
        <v>423</v>
      </c>
      <c r="U28" s="87" t="str">
        <f>_xlfn.IFNA(_xlfn.TEXTBEFORE(EMPLOYEE[[#This Row],[EMAIL]],"@"),"no_ad")</f>
        <v>no_ad</v>
      </c>
      <c r="V28" s="19"/>
      <c r="W28" s="15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(170747,'Kandar Meidianto','L6.35',8500000,'SO-17041724','DIR1.17','DIV0.04','DPT0.17','SDP1.24','MALL','M01','MAP','42968','2025-07-31',0,'+62','nomail','no_ad'),</v>
      </c>
    </row>
    <row r="29" spans="1:23" x14ac:dyDescent="0.25">
      <c r="A29" s="3" t="s">
        <v>724</v>
      </c>
      <c r="B29" s="14">
        <v>231792</v>
      </c>
      <c r="C29" s="15" t="s">
        <v>1552</v>
      </c>
      <c r="D29" s="16" t="s">
        <v>89</v>
      </c>
      <c r="E29" s="17">
        <v>6500000</v>
      </c>
      <c r="F29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SO-00000001</v>
      </c>
      <c r="G29" s="16" t="str">
        <f>INDEX(SUB_DEPARTEMENT[ID_DIR],MATCH(EMPLOYEE[[#This Row],[ID_SUB_DEPARTEMENT]],SUB_DEPARTEMENT[ID_SDP]))</f>
        <v>DIR0.00</v>
      </c>
      <c r="H29" s="16" t="str">
        <f>INDEX(SUB_DEPARTEMENT[ID_DIV],MATCH(EMPLOYEE[[#This Row],[ID_SUB_DEPARTEMENT]],SUB_DEPARTEMENT[ID_SDP]))</f>
        <v>DIV0.00</v>
      </c>
      <c r="I29" s="16" t="str">
        <f>INDEX(SUB_DEPARTEMENT[ID_DPT],MATCH(EMPLOYEE[[#This Row],[ID_SUB_DEPARTEMENT]],SUB_DEPARTEMENT[ID_SDP]))</f>
        <v>DPT0.00</v>
      </c>
      <c r="J29" s="16" t="s">
        <v>323</v>
      </c>
      <c r="K29" s="16" t="s">
        <v>309</v>
      </c>
      <c r="L29" s="16" t="s">
        <v>315</v>
      </c>
      <c r="M29" s="16" t="s">
        <v>308</v>
      </c>
      <c r="N29" s="18">
        <v>45215</v>
      </c>
      <c r="O29" s="18" t="str">
        <f>TEXT(EMPLOYEE[[#This Row],[Date_Hiring]],"YYYY-MM-DD")</f>
        <v>2023-10-16</v>
      </c>
      <c r="P29" s="18" t="s">
        <v>320</v>
      </c>
      <c r="Q29" s="18" t="str">
        <f>TEXT(EMPLOYEE[[#This Row],[Date_Resign]],"YYYY-MM-DD")</f>
        <v>Null</v>
      </c>
      <c r="R29" s="14">
        <f>IF(EMPLOYEE[[#This Row],[Date_Resign]]="NULL",1,0)</f>
        <v>1</v>
      </c>
      <c r="S29" s="23" t="s">
        <v>2433</v>
      </c>
      <c r="T29" s="19" t="s">
        <v>2428</v>
      </c>
      <c r="U29" s="87" t="str">
        <f>_xlfn.IFNA(_xlfn.TEXTBEFORE(EMPLOYEE[[#This Row],[EMAIL]],"@"),"no_ad")</f>
        <v>muhammad.rifa</v>
      </c>
      <c r="V29" s="87"/>
      <c r="W29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(231792,'Muhammad Rizal Rifa I','L6.35',6500000,'SO-00000001','DIR0.00','DIV0.00','DPT0.00','SDP0.01','HQAL','O99','MAS','2023-10-16','',1,'+6289670328812','muhammad.rifa@asri.co.id','muhammad.rifa'),</v>
      </c>
    </row>
    <row r="30" spans="1:23" x14ac:dyDescent="0.25">
      <c r="A30" s="3" t="s">
        <v>724</v>
      </c>
      <c r="B30" s="14">
        <v>231525</v>
      </c>
      <c r="C30" s="15" t="s">
        <v>1773</v>
      </c>
      <c r="D30" s="16" t="s">
        <v>79</v>
      </c>
      <c r="E30" s="17">
        <v>45000000</v>
      </c>
      <c r="F30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SO-01020508</v>
      </c>
      <c r="G30" s="16" t="str">
        <f>INDEX(SUB_DEPARTEMENT[ID_DIR],MATCH(EMPLOYEE[[#This Row],[ID_SUB_DEPARTEMENT]],SUB_DEPARTEMENT[ID_SDP]))</f>
        <v>DIR0.01</v>
      </c>
      <c r="H30" s="16" t="str">
        <f>INDEX(SUB_DEPARTEMENT[ID_DIV],MATCH(EMPLOYEE[[#This Row],[ID_SUB_DEPARTEMENT]],SUB_DEPARTEMENT[ID_SDP]))</f>
        <v>DIV0.02</v>
      </c>
      <c r="I30" s="16" t="str">
        <f>INDEX(SUB_DEPARTEMENT[ID_DPT],MATCH(EMPLOYEE[[#This Row],[ID_SUB_DEPARTEMENT]],SUB_DEPARTEMENT[ID_SDP]))</f>
        <v>DPT0.05</v>
      </c>
      <c r="J30" s="16" t="s">
        <v>215</v>
      </c>
      <c r="K30" s="16" t="s">
        <v>309</v>
      </c>
      <c r="L30" s="16" t="s">
        <v>315</v>
      </c>
      <c r="M30" s="16" t="s">
        <v>308</v>
      </c>
      <c r="N30" s="18">
        <v>45170</v>
      </c>
      <c r="O30" s="18" t="str">
        <f>TEXT(EMPLOYEE[[#This Row],[Date_Hiring]],"YYYY-MM-DD")</f>
        <v>2023-09-01</v>
      </c>
      <c r="P30" s="18">
        <v>45954</v>
      </c>
      <c r="Q30" s="18" t="str">
        <f>TEXT(EMPLOYEE[[#This Row],[Date_Resign]],"YYYY-MM-DD")</f>
        <v>2025-10-24</v>
      </c>
      <c r="R30" s="14">
        <f>IF(EMPLOYEE[[#This Row],[Date_Resign]]="NULL",1,0)</f>
        <v>0</v>
      </c>
      <c r="S30" s="23" t="s">
        <v>2434</v>
      </c>
      <c r="T30" s="19" t="s">
        <v>2427</v>
      </c>
      <c r="U30" s="87" t="str">
        <f>_xlfn.IFNA(_xlfn.TEXTBEFORE(EMPLOYEE[[#This Row],[EMAIL]],"@"),"no_ad")</f>
        <v>hany.pratama</v>
      </c>
      <c r="V30" s="87"/>
      <c r="W30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(231525,'Hany Pratama','L4.25',45000000,'SO-01020508','DIR0.01','DIV0.02','DPT0.05','SDP1.08','HQAL','O99','MAS','2023-09-01','2025-10-24',0,'+628119110755','hany.pratama@asri.co.id','hany.pratama'),</v>
      </c>
    </row>
    <row r="31" spans="1:23" x14ac:dyDescent="0.25">
      <c r="A31" s="3" t="s">
        <v>724</v>
      </c>
      <c r="B31" s="14">
        <v>232372</v>
      </c>
      <c r="C31" s="15" t="s">
        <v>1782</v>
      </c>
      <c r="D31" s="16" t="s">
        <v>80</v>
      </c>
      <c r="E31" s="17">
        <v>32000000</v>
      </c>
      <c r="F31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SO-01020509</v>
      </c>
      <c r="G31" s="16" t="str">
        <f>INDEX(SUB_DEPARTEMENT[ID_DIR],MATCH(EMPLOYEE[[#This Row],[ID_SUB_DEPARTEMENT]],SUB_DEPARTEMENT[ID_SDP]))</f>
        <v>DIR0.01</v>
      </c>
      <c r="H31" s="16" t="str">
        <f>INDEX(SUB_DEPARTEMENT[ID_DIV],MATCH(EMPLOYEE[[#This Row],[ID_SUB_DEPARTEMENT]],SUB_DEPARTEMENT[ID_SDP]))</f>
        <v>DIV0.02</v>
      </c>
      <c r="I31" s="16" t="str">
        <f>INDEX(SUB_DEPARTEMENT[ID_DPT],MATCH(EMPLOYEE[[#This Row],[ID_SUB_DEPARTEMENT]],SUB_DEPARTEMENT[ID_SDP]))</f>
        <v>DPT0.05</v>
      </c>
      <c r="J31" s="16" t="s">
        <v>216</v>
      </c>
      <c r="K31" s="16" t="s">
        <v>309</v>
      </c>
      <c r="L31" s="16" t="s">
        <v>315</v>
      </c>
      <c r="M31" s="16" t="s">
        <v>308</v>
      </c>
      <c r="N31" s="18">
        <v>45292</v>
      </c>
      <c r="O31" s="18" t="str">
        <f>TEXT(EMPLOYEE[[#This Row],[Date_Hiring]],"YYYY-MM-DD")</f>
        <v>2024-01-01</v>
      </c>
      <c r="P31" s="18">
        <v>45873</v>
      </c>
      <c r="Q31" s="18" t="str">
        <f>TEXT(EMPLOYEE[[#This Row],[Date_Resign]],"YYYY-MM-DD")</f>
        <v>2025-08-04</v>
      </c>
      <c r="R31" s="14">
        <f>IF(EMPLOYEE[[#This Row],[Date_Resign]]="NULL",1,0)</f>
        <v>0</v>
      </c>
      <c r="S31" s="23" t="s">
        <v>407</v>
      </c>
      <c r="T31" s="19" t="s">
        <v>423</v>
      </c>
      <c r="U31" s="87" t="str">
        <f>_xlfn.IFNA(_xlfn.TEXTBEFORE(EMPLOYEE[[#This Row],[EMAIL]],"@"),"no_ad")</f>
        <v>no_ad</v>
      </c>
      <c r="V31" s="87"/>
      <c r="W31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(232372,'Andrie Satya Setiono','L4.26',32000000,'SO-01020509','DIR0.01','DIV0.02','DPT0.05','SDP1.09','HQAL','O99','MAS','2024-01-01','2025-08-04',0,'+62','nomail','no_ad'),</v>
      </c>
    </row>
    <row r="32" spans="1:23" x14ac:dyDescent="0.25">
      <c r="A32" s="3" t="s">
        <v>724</v>
      </c>
      <c r="B32" s="14">
        <v>232370</v>
      </c>
      <c r="C32" s="15" t="s">
        <v>1864</v>
      </c>
      <c r="D32" s="16" t="s">
        <v>82</v>
      </c>
      <c r="E32" s="17">
        <v>22000000</v>
      </c>
      <c r="F32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SO-01020510</v>
      </c>
      <c r="G32" s="16" t="str">
        <f>INDEX(SUB_DEPARTEMENT[ID_DIR],MATCH(EMPLOYEE[[#This Row],[ID_SUB_DEPARTEMENT]],SUB_DEPARTEMENT[ID_SDP]))</f>
        <v>DIR0.01</v>
      </c>
      <c r="H32" s="16" t="str">
        <f>INDEX(SUB_DEPARTEMENT[ID_DIV],MATCH(EMPLOYEE[[#This Row],[ID_SUB_DEPARTEMENT]],SUB_DEPARTEMENT[ID_SDP]))</f>
        <v>DIV0.02</v>
      </c>
      <c r="I32" s="16" t="str">
        <f>INDEX(SUB_DEPARTEMENT[ID_DPT],MATCH(EMPLOYEE[[#This Row],[ID_SUB_DEPARTEMENT]],SUB_DEPARTEMENT[ID_SDP]))</f>
        <v>DPT0.05</v>
      </c>
      <c r="J32" s="16" t="s">
        <v>217</v>
      </c>
      <c r="K32" s="16" t="s">
        <v>309</v>
      </c>
      <c r="L32" s="16" t="s">
        <v>315</v>
      </c>
      <c r="M32" s="16" t="s">
        <v>308</v>
      </c>
      <c r="N32" s="18">
        <v>45292</v>
      </c>
      <c r="O32" s="18" t="str">
        <f>TEXT(EMPLOYEE[[#This Row],[Date_Hiring]],"YYYY-MM-DD")</f>
        <v>2024-01-01</v>
      </c>
      <c r="P32" s="18" t="s">
        <v>320</v>
      </c>
      <c r="Q32" s="18" t="str">
        <f>TEXT(EMPLOYEE[[#This Row],[Date_Resign]],"YYYY-MM-DD")</f>
        <v>Null</v>
      </c>
      <c r="R32" s="14">
        <f>IF(EMPLOYEE[[#This Row],[Date_Resign]]="NULL",1,0)</f>
        <v>1</v>
      </c>
      <c r="S32" s="23" t="s">
        <v>2435</v>
      </c>
      <c r="T32" s="19" t="s">
        <v>2431</v>
      </c>
      <c r="U32" s="87" t="str">
        <f>_xlfn.IFNA(_xlfn.TEXTBEFORE(EMPLOYEE[[#This Row],[EMAIL]],"@"),"no_ad")</f>
        <v>willy.anjaya</v>
      </c>
      <c r="V32" s="87"/>
      <c r="W32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(232370,'Willy Anjaya','L4.28',22000000,'SO-01020510','DIR0.01','DIV0.02','DPT0.05','SDP1.10','HQAL','O99','MAS','2024-01-01','',1,'+6289635651120','willy.anjaya@asri.co.id','willy.anjaya'),</v>
      </c>
    </row>
    <row r="33" spans="1:23" x14ac:dyDescent="0.25">
      <c r="A33" s="3" t="s">
        <v>724</v>
      </c>
      <c r="B33" s="14">
        <v>232371</v>
      </c>
      <c r="C33" s="15" t="s">
        <v>1867</v>
      </c>
      <c r="D33" s="16" t="s">
        <v>82</v>
      </c>
      <c r="E33" s="17">
        <v>21500000</v>
      </c>
      <c r="F33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SO-01020510</v>
      </c>
      <c r="G33" s="16" t="str">
        <f>INDEX(SUB_DEPARTEMENT[ID_DIR],MATCH(EMPLOYEE[[#This Row],[ID_SUB_DEPARTEMENT]],SUB_DEPARTEMENT[ID_SDP]))</f>
        <v>DIR0.01</v>
      </c>
      <c r="H33" s="16" t="str">
        <f>INDEX(SUB_DEPARTEMENT[ID_DIV],MATCH(EMPLOYEE[[#This Row],[ID_SUB_DEPARTEMENT]],SUB_DEPARTEMENT[ID_SDP]))</f>
        <v>DIV0.02</v>
      </c>
      <c r="I33" s="16" t="str">
        <f>INDEX(SUB_DEPARTEMENT[ID_DPT],MATCH(EMPLOYEE[[#This Row],[ID_SUB_DEPARTEMENT]],SUB_DEPARTEMENT[ID_SDP]))</f>
        <v>DPT0.05</v>
      </c>
      <c r="J33" s="16" t="s">
        <v>217</v>
      </c>
      <c r="K33" s="16" t="s">
        <v>309</v>
      </c>
      <c r="L33" s="16" t="s">
        <v>315</v>
      </c>
      <c r="M33" s="16" t="s">
        <v>308</v>
      </c>
      <c r="N33" s="18">
        <v>45292</v>
      </c>
      <c r="O33" s="18" t="str">
        <f>TEXT(EMPLOYEE[[#This Row],[Date_Hiring]],"YYYY-MM-DD")</f>
        <v>2024-01-01</v>
      </c>
      <c r="P33" s="18" t="s">
        <v>320</v>
      </c>
      <c r="Q33" s="18" t="str">
        <f>TEXT(EMPLOYEE[[#This Row],[Date_Resign]],"YYYY-MM-DD")</f>
        <v>Null</v>
      </c>
      <c r="R33" s="14">
        <f>IF(EMPLOYEE[[#This Row],[Date_Resign]]="NULL",1,0)</f>
        <v>1</v>
      </c>
      <c r="S33" s="23" t="s">
        <v>2436</v>
      </c>
      <c r="T33" s="19" t="s">
        <v>2424</v>
      </c>
      <c r="U33" s="87" t="str">
        <f>_xlfn.IFNA(_xlfn.TEXTBEFORE(EMPLOYEE[[#This Row],[EMAIL]],"@"),"no_ad")</f>
        <v>aiman.rimbawan</v>
      </c>
      <c r="V33" s="87"/>
      <c r="W33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(232371,'Aiman Fakhri Rimbawan','L4.28',21500000,'SO-01020510','DIR0.01','DIV0.02','DPT0.05','SDP1.10','HQAL','O99','MAS','2024-01-01','',1,'+6281245895694','aiman.rimbawan@asri.co.id','aiman.rimbawan'),</v>
      </c>
    </row>
    <row r="34" spans="1:23" x14ac:dyDescent="0.25">
      <c r="A34" s="3" t="s">
        <v>724</v>
      </c>
      <c r="B34" s="14">
        <v>232379</v>
      </c>
      <c r="C34" s="15" t="s">
        <v>1868</v>
      </c>
      <c r="D34" s="16" t="s">
        <v>82</v>
      </c>
      <c r="E34" s="17">
        <v>23000000</v>
      </c>
      <c r="F34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SO-01020510</v>
      </c>
      <c r="G34" s="16" t="str">
        <f>INDEX(SUB_DEPARTEMENT[ID_DIR],MATCH(EMPLOYEE[[#This Row],[ID_SUB_DEPARTEMENT]],SUB_DEPARTEMENT[ID_SDP]))</f>
        <v>DIR0.01</v>
      </c>
      <c r="H34" s="16" t="str">
        <f>INDEX(SUB_DEPARTEMENT[ID_DIV],MATCH(EMPLOYEE[[#This Row],[ID_SUB_DEPARTEMENT]],SUB_DEPARTEMENT[ID_SDP]))</f>
        <v>DIV0.02</v>
      </c>
      <c r="I34" s="16" t="str">
        <f>INDEX(SUB_DEPARTEMENT[ID_DPT],MATCH(EMPLOYEE[[#This Row],[ID_SUB_DEPARTEMENT]],SUB_DEPARTEMENT[ID_SDP]))</f>
        <v>DPT0.05</v>
      </c>
      <c r="J34" s="16" t="s">
        <v>217</v>
      </c>
      <c r="K34" s="16" t="s">
        <v>309</v>
      </c>
      <c r="L34" s="16" t="s">
        <v>315</v>
      </c>
      <c r="M34" s="16" t="s">
        <v>308</v>
      </c>
      <c r="N34" s="18">
        <v>45292</v>
      </c>
      <c r="O34" s="18" t="str">
        <f>TEXT(EMPLOYEE[[#This Row],[Date_Hiring]],"YYYY-MM-DD")</f>
        <v>2024-01-01</v>
      </c>
      <c r="P34" s="18" t="s">
        <v>320</v>
      </c>
      <c r="Q34" s="18" t="str">
        <f>TEXT(EMPLOYEE[[#This Row],[Date_Resign]],"YYYY-MM-DD")</f>
        <v>Null</v>
      </c>
      <c r="R34" s="14">
        <f>IF(EMPLOYEE[[#This Row],[Date_Resign]]="NULL",1,0)</f>
        <v>1</v>
      </c>
      <c r="S34" s="23" t="s">
        <v>2437</v>
      </c>
      <c r="T34" s="19" t="s">
        <v>2426</v>
      </c>
      <c r="U34" s="87" t="str">
        <f>_xlfn.IFNA(_xlfn.TEXTBEFORE(EMPLOYEE[[#This Row],[EMAIL]],"@"),"no_ad")</f>
        <v>bayu.hadi</v>
      </c>
      <c r="V34" s="87"/>
      <c r="W34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(232379,'Bayu Suwarning Hadi','L4.28',23000000,'SO-01020510','DIR0.01','DIV0.02','DPT0.05','SDP1.10','HQAL','O99','MAS','2024-01-01','',1,'+6285156719103','bayu.hadi@asri.co.id','bayu.hadi'),</v>
      </c>
    </row>
    <row r="35" spans="1:23" x14ac:dyDescent="0.25">
      <c r="A35" s="3" t="s">
        <v>724</v>
      </c>
      <c r="B35" s="14">
        <v>232375</v>
      </c>
      <c r="C35" s="15" t="s">
        <v>1869</v>
      </c>
      <c r="D35" s="16" t="s">
        <v>80</v>
      </c>
      <c r="E35" s="17">
        <v>33500000</v>
      </c>
      <c r="F35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SO-01020510</v>
      </c>
      <c r="G35" s="16" t="str">
        <f>INDEX(SUB_DEPARTEMENT[ID_DIR],MATCH(EMPLOYEE[[#This Row],[ID_SUB_DEPARTEMENT]],SUB_DEPARTEMENT[ID_SDP]))</f>
        <v>DIR0.01</v>
      </c>
      <c r="H35" s="16" t="str">
        <f>INDEX(SUB_DEPARTEMENT[ID_DIV],MATCH(EMPLOYEE[[#This Row],[ID_SUB_DEPARTEMENT]],SUB_DEPARTEMENT[ID_SDP]))</f>
        <v>DIV0.02</v>
      </c>
      <c r="I35" s="16" t="str">
        <f>INDEX(SUB_DEPARTEMENT[ID_DPT],MATCH(EMPLOYEE[[#This Row],[ID_SUB_DEPARTEMENT]],SUB_DEPARTEMENT[ID_SDP]))</f>
        <v>DPT0.05</v>
      </c>
      <c r="J35" s="16" t="s">
        <v>217</v>
      </c>
      <c r="K35" s="16" t="s">
        <v>309</v>
      </c>
      <c r="L35" s="16" t="s">
        <v>315</v>
      </c>
      <c r="M35" s="16" t="s">
        <v>308</v>
      </c>
      <c r="N35" s="18">
        <v>45292</v>
      </c>
      <c r="O35" s="18" t="str">
        <f>TEXT(EMPLOYEE[[#This Row],[Date_Hiring]],"YYYY-MM-DD")</f>
        <v>2024-01-01</v>
      </c>
      <c r="P35" s="18" t="s">
        <v>320</v>
      </c>
      <c r="Q35" s="18" t="str">
        <f>TEXT(EMPLOYEE[[#This Row],[Date_Resign]],"YYYY-MM-DD")</f>
        <v>Null</v>
      </c>
      <c r="R35" s="14">
        <f>IF(EMPLOYEE[[#This Row],[Date_Resign]]="NULL",1,0)</f>
        <v>1</v>
      </c>
      <c r="S35" s="23" t="s">
        <v>2438</v>
      </c>
      <c r="T35" s="19" t="s">
        <v>2430</v>
      </c>
      <c r="U35" s="87" t="str">
        <f>_xlfn.IFNA(_xlfn.TEXTBEFORE(EMPLOYEE[[#This Row],[EMAIL]],"@"),"no_ad")</f>
        <v>syamsul.arifin</v>
      </c>
      <c r="V35" s="87"/>
      <c r="W35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(232375,'Syamsul Arifin','L4.26',33500000,'SO-01020510','DIR0.01','DIV0.02','DPT0.05','SDP1.10','HQAL','O99','MAS','2024-01-01','',1,'+6285220020325','syamsul.arifin@asri.co.id','syamsul.arifin'),</v>
      </c>
    </row>
    <row r="36" spans="1:23" x14ac:dyDescent="0.25">
      <c r="A36" s="3" t="s">
        <v>724</v>
      </c>
      <c r="B36" s="14">
        <v>240074</v>
      </c>
      <c r="C36" s="15" t="s">
        <v>1871</v>
      </c>
      <c r="D36" s="16" t="s">
        <v>84</v>
      </c>
      <c r="E36" s="17">
        <v>16500000</v>
      </c>
      <c r="F36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SO-01020510</v>
      </c>
      <c r="G36" s="16" t="str">
        <f>INDEX(SUB_DEPARTEMENT[ID_DIR],MATCH(EMPLOYEE[[#This Row],[ID_SUB_DEPARTEMENT]],SUB_DEPARTEMENT[ID_SDP]))</f>
        <v>DIR0.01</v>
      </c>
      <c r="H36" s="16" t="str">
        <f>INDEX(SUB_DEPARTEMENT[ID_DIV],MATCH(EMPLOYEE[[#This Row],[ID_SUB_DEPARTEMENT]],SUB_DEPARTEMENT[ID_SDP]))</f>
        <v>DIV0.02</v>
      </c>
      <c r="I36" s="16" t="str">
        <f>INDEX(SUB_DEPARTEMENT[ID_DPT],MATCH(EMPLOYEE[[#This Row],[ID_SUB_DEPARTEMENT]],SUB_DEPARTEMENT[ID_SDP]))</f>
        <v>DPT0.05</v>
      </c>
      <c r="J36" s="16" t="s">
        <v>217</v>
      </c>
      <c r="K36" s="16" t="s">
        <v>309</v>
      </c>
      <c r="L36" s="16" t="s">
        <v>315</v>
      </c>
      <c r="M36" s="16" t="s">
        <v>308</v>
      </c>
      <c r="N36" s="18">
        <v>45306</v>
      </c>
      <c r="O36" s="18" t="str">
        <f>TEXT(EMPLOYEE[[#This Row],[Date_Hiring]],"YYYY-MM-DD")</f>
        <v>2024-01-15</v>
      </c>
      <c r="P36" s="18" t="s">
        <v>320</v>
      </c>
      <c r="Q36" s="18" t="str">
        <f>TEXT(EMPLOYEE[[#This Row],[Date_Resign]],"YYYY-MM-DD")</f>
        <v>Null</v>
      </c>
      <c r="R36" s="14">
        <f>IF(EMPLOYEE[[#This Row],[Date_Resign]]="NULL",1,0)</f>
        <v>1</v>
      </c>
      <c r="S36" s="23" t="s">
        <v>2439</v>
      </c>
      <c r="T36" s="19" t="s">
        <v>2429</v>
      </c>
      <c r="U36" s="87" t="str">
        <f>_xlfn.IFNA(_xlfn.TEXTBEFORE(EMPLOYEE[[#This Row],[EMAIL]],"@"),"no_ad")</f>
        <v>muqsithu.rofi</v>
      </c>
      <c r="V36" s="87"/>
      <c r="W36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(240074,'Muqsithu Nafi’U Dzikri Rofi’ R','L5.30',16500000,'SO-01020510','DIR0.01','DIV0.02','DPT0.05','SDP1.10','HQAL','O99','MAS','2024-01-15','',1,'+6282227181613','muqsithu.rofi@asri.co.id','muqsithu.rofi'),</v>
      </c>
    </row>
    <row r="37" spans="1:23" x14ac:dyDescent="0.25">
      <c r="A37" s="3" t="s">
        <v>724</v>
      </c>
      <c r="B37" s="14">
        <v>210808</v>
      </c>
      <c r="C37" s="15" t="s">
        <v>2025</v>
      </c>
      <c r="D37" s="16" t="s">
        <v>82</v>
      </c>
      <c r="E37" s="17">
        <v>20000000</v>
      </c>
      <c r="F37" s="86" t="str">
        <f>IF(AND(EMPLOYEE[[#This Row],[ID_DIRECTORATE]]&lt;&gt;"",EMPLOYEE[[#This Row],[ID_DIVISION]]&lt;&gt;"",EMPLOYEE[[#This Row],[ID_DEPARTEMENT]]&lt;&gt;"",EMPLOYEE[[#This Row],[ID_SUB_DEPARTEMENT]]&lt;&gt;""),("SO-"&amp;RIGHT(EMPLOYEE[[#This Row],[ID_DIRECTORATE]],2)&amp;RIGHT(EMPLOYEE[[#This Row],[ID_DIVISION]],2)&amp;RIGHT(EMPLOYEE[[#This Row],[ID_DEPARTEMENT]],2)&amp;RIGHT(EMPLOYEE[[#This Row],[ID_SUB_DEPARTEMENT]],2)),"Null")</f>
        <v>SO-01020511</v>
      </c>
      <c r="G37" s="16" t="str">
        <f>INDEX(SUB_DEPARTEMENT[ID_DIR],MATCH(EMPLOYEE[[#This Row],[ID_SUB_DEPARTEMENT]],SUB_DEPARTEMENT[ID_SDP]))</f>
        <v>DIR0.01</v>
      </c>
      <c r="H37" s="16" t="str">
        <f>INDEX(SUB_DEPARTEMENT[ID_DIV],MATCH(EMPLOYEE[[#This Row],[ID_SUB_DEPARTEMENT]],SUB_DEPARTEMENT[ID_SDP]))</f>
        <v>DIV0.02</v>
      </c>
      <c r="I37" s="16" t="str">
        <f>INDEX(SUB_DEPARTEMENT[ID_DPT],MATCH(EMPLOYEE[[#This Row],[ID_SUB_DEPARTEMENT]],SUB_DEPARTEMENT[ID_SDP]))</f>
        <v>DPT0.05</v>
      </c>
      <c r="J37" s="16" t="s">
        <v>218</v>
      </c>
      <c r="K37" s="16" t="s">
        <v>309</v>
      </c>
      <c r="L37" s="16" t="s">
        <v>315</v>
      </c>
      <c r="M37" s="16" t="s">
        <v>308</v>
      </c>
      <c r="N37" s="18"/>
      <c r="O37" s="18" t="str">
        <f>TEXT(EMPLOYEE[[#This Row],[Date_Hiring]],"YYYY-MM-DD")</f>
        <v>1900-01-00</v>
      </c>
      <c r="P37" s="18">
        <v>45954</v>
      </c>
      <c r="Q37" s="18" t="str">
        <f>TEXT(EMPLOYEE[[#This Row],[Date_Resign]],"YYYY-MM-DD")</f>
        <v>2025-10-24</v>
      </c>
      <c r="R37" s="14">
        <f>IF(EMPLOYEE[[#This Row],[Date_Resign]]="NULL",1,0)</f>
        <v>0</v>
      </c>
      <c r="S37" s="23" t="s">
        <v>407</v>
      </c>
      <c r="T37" s="19" t="s">
        <v>423</v>
      </c>
      <c r="U37" s="87" t="str">
        <f>_xlfn.IFNA(_xlfn.TEXTBEFORE(EMPLOYEE[[#This Row],[EMAIL]],"@"),"no_ad")</f>
        <v>no_ad</v>
      </c>
      <c r="V37" s="87"/>
      <c r="W37" s="88" t="str">
        <f>"("&amp;EMPLOYEE[[#This Row],[NIP]]&amp;",'"&amp;
EMPLOYEE[[#This Row],[NAME]]&amp;"','"&amp;
EMPLOYEE[[#This Row],[ID_LEVEL]]&amp;"',"&amp;
EMPLOYEE[[#This Row],[SALARY]]&amp;",'"&amp;
EMPLOYEE[[#This Row],[ID_SO]]&amp;"','"&amp;
EMPLOYEE[[#This Row],[ID_DIRECTORATE]]&amp;"','"&amp;
EMPLOYEE[[#This Row],[ID_DIVISION]]&amp;"','"&amp;
EMPLOYEE[[#This Row],[ID_DEPARTEMENT]]&amp;"','"&amp;
EMPLOYEE[[#This Row],[ID_SUB_DEPARTEMENT]]&amp;"','"&amp;
EMPLOYEE[[#This Row],[BUSINESS_UNIT]]&amp;"','"&amp;
EMPLOYEE[[#This Row],[SITE_UNIT]]&amp;"','"&amp;
EMPLOYEE[[#This Row],[CORPORATE_NAME]]&amp;"','"&amp;
IF(EMPLOYEE[[#This Row],[Date_Hiring]]&lt;&gt;"Null",(EMPLOYEE[[#This Row],[CONVERTDH]]),"")&amp;"','"&amp;
IF(EMPLOYEE[[#This Row],[Date_Resign]]&lt;&gt;"Null",(EMPLOYEE[[#This Row],[CONVERTDR]]),"")&amp;"',"&amp;
EMPLOYEE[[#This Row],[STATUS]]&amp;",'"&amp;
EMPLOYEE[[#This Row],[NO_TLP]]&amp;"','"&amp;
EMPLOYEE[[#This Row],[EMAIL]]&amp;"','"&amp;
EMPLOYEE[[#This Row],[AD]]&amp;"'),"</f>
        <v>(210808,'Devita Anindyah Nuary','L4.28',20000000,'SO-01020511','DIR0.01','DIV0.02','DPT0.05','SDP1.11','HQAL','O99','MAS','1900-01-00','2025-10-24',0,'+62','nomail','no_ad'),</v>
      </c>
    </row>
    <row r="38" spans="1:23" x14ac:dyDescent="0.25">
      <c r="B38" s="4"/>
      <c r="C38" s="1"/>
      <c r="D38" s="4"/>
      <c r="E38" s="11">
        <f>SUBTOTAL(109,EMPLOYEE[SALARY])</f>
        <v>586600000</v>
      </c>
      <c r="F38" s="4"/>
      <c r="G38" s="4"/>
      <c r="H38" s="4"/>
      <c r="I38" s="4"/>
      <c r="J38" s="4"/>
      <c r="K38" s="4"/>
      <c r="L38" s="4"/>
      <c r="M38" s="4"/>
      <c r="N38" s="8"/>
      <c r="O38" s="8"/>
      <c r="P38" s="8"/>
      <c r="Q38" s="8"/>
      <c r="R38" s="4"/>
      <c r="S38" s="8"/>
      <c r="T38" s="8"/>
      <c r="U38" s="8"/>
      <c r="V38" s="8"/>
      <c r="W38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4702-E090-4120-BF3E-4A55082CFA32}">
  <sheetPr codeName="Sheet2"/>
  <dimension ref="B4:E47"/>
  <sheetViews>
    <sheetView workbookViewId="0">
      <selection activeCell="B35" sqref="B35"/>
    </sheetView>
  </sheetViews>
  <sheetFormatPr defaultRowHeight="15" x14ac:dyDescent="0.25"/>
  <cols>
    <col min="2" max="2" width="10.5703125" style="2" customWidth="1"/>
    <col min="3" max="3" width="29" bestFit="1" customWidth="1"/>
    <col min="4" max="4" width="19.28515625" bestFit="1" customWidth="1"/>
    <col min="5" max="5" width="46.42578125" bestFit="1" customWidth="1"/>
  </cols>
  <sheetData>
    <row r="4" spans="2:5" x14ac:dyDescent="0.25">
      <c r="B4" s="3" t="s">
        <v>54</v>
      </c>
      <c r="C4" s="3" t="s">
        <v>2</v>
      </c>
      <c r="D4" s="3" t="s">
        <v>53</v>
      </c>
      <c r="E4" s="3" t="s">
        <v>325</v>
      </c>
    </row>
    <row r="5" spans="2:5" x14ac:dyDescent="0.25">
      <c r="B5" s="5" t="s">
        <v>101</v>
      </c>
      <c r="C5" s="6" t="s">
        <v>294</v>
      </c>
      <c r="D5" s="6" t="s">
        <v>294</v>
      </c>
      <c r="E5" s="1" t="str">
        <f>"('"&amp;LEVEL[[#This Row],[ID.LEVEL]]&amp;"','"&amp;LEVEL[[#This Row],[LEVEL]]&amp;"','"&amp;LEVEL[[#This Row],[NOTE]]&amp;"'),"</f>
        <v>('L0.00','EMPTY','EMPTY'),</v>
      </c>
    </row>
    <row r="6" spans="2:5" x14ac:dyDescent="0.25">
      <c r="B6" s="4" t="s">
        <v>55</v>
      </c>
      <c r="C6" s="1" t="s">
        <v>20</v>
      </c>
      <c r="D6" s="1" t="s">
        <v>31</v>
      </c>
      <c r="E6" s="1" t="str">
        <f>"('"&amp;LEVEL[[#This Row],[ID.LEVEL]]&amp;"','"&amp;LEVEL[[#This Row],[LEVEL]]&amp;"','"&amp;LEVEL[[#This Row],[NOTE]]&amp;"'),"</f>
        <v>('L0.01','Chief Executive Officer','Level C-Suite'),</v>
      </c>
    </row>
    <row r="7" spans="2:5" x14ac:dyDescent="0.25">
      <c r="B7" s="4" t="s">
        <v>56</v>
      </c>
      <c r="C7" s="1" t="s">
        <v>21</v>
      </c>
      <c r="D7" s="1" t="s">
        <v>31</v>
      </c>
      <c r="E7" s="1" t="str">
        <f>"('"&amp;LEVEL[[#This Row],[ID.LEVEL]]&amp;"','"&amp;LEVEL[[#This Row],[LEVEL]]&amp;"','"&amp;LEVEL[[#This Row],[NOTE]]&amp;"'),"</f>
        <v>('L0.02','Chief Financial Officer','Level C-Suite'),</v>
      </c>
    </row>
    <row r="8" spans="2:5" x14ac:dyDescent="0.25">
      <c r="B8" s="4" t="s">
        <v>57</v>
      </c>
      <c r="C8" s="1" t="s">
        <v>22</v>
      </c>
      <c r="D8" s="1" t="s">
        <v>31</v>
      </c>
      <c r="E8" s="1" t="str">
        <f>"('"&amp;LEVEL[[#This Row],[ID.LEVEL]]&amp;"','"&amp;LEVEL[[#This Row],[LEVEL]]&amp;"','"&amp;LEVEL[[#This Row],[NOTE]]&amp;"'),"</f>
        <v>('L0.03','Chief Operating Officer','Level C-Suite'),</v>
      </c>
    </row>
    <row r="9" spans="2:5" x14ac:dyDescent="0.25">
      <c r="B9" s="4" t="s">
        <v>58</v>
      </c>
      <c r="C9" s="1" t="s">
        <v>23</v>
      </c>
      <c r="D9" s="1" t="s">
        <v>31</v>
      </c>
      <c r="E9" s="1" t="str">
        <f>"('"&amp;LEVEL[[#This Row],[ID.LEVEL]]&amp;"','"&amp;LEVEL[[#This Row],[LEVEL]]&amp;"','"&amp;LEVEL[[#This Row],[NOTE]]&amp;"'),"</f>
        <v>('L0.04','Chief Technology Officer','Level C-Suite'),</v>
      </c>
    </row>
    <row r="10" spans="2:5" x14ac:dyDescent="0.25">
      <c r="B10" s="4" t="s">
        <v>59</v>
      </c>
      <c r="C10" s="1" t="s">
        <v>24</v>
      </c>
      <c r="D10" s="1" t="s">
        <v>31</v>
      </c>
      <c r="E10" s="1" t="str">
        <f>"('"&amp;LEVEL[[#This Row],[ID.LEVEL]]&amp;"','"&amp;LEVEL[[#This Row],[LEVEL]]&amp;"','"&amp;LEVEL[[#This Row],[NOTE]]&amp;"'),"</f>
        <v>('L0.05','Chief Information Officer','Level C-Suite'),</v>
      </c>
    </row>
    <row r="11" spans="2:5" x14ac:dyDescent="0.25">
      <c r="B11" s="4" t="s">
        <v>60</v>
      </c>
      <c r="C11" s="1" t="s">
        <v>25</v>
      </c>
      <c r="D11" s="1" t="s">
        <v>31</v>
      </c>
      <c r="E11" s="1" t="str">
        <f>"('"&amp;LEVEL[[#This Row],[ID.LEVEL]]&amp;"','"&amp;LEVEL[[#This Row],[LEVEL]]&amp;"','"&amp;LEVEL[[#This Row],[NOTE]]&amp;"'),"</f>
        <v>('L0.06','Chief Marketing Officer','Level C-Suite'),</v>
      </c>
    </row>
    <row r="12" spans="2:5" x14ac:dyDescent="0.25">
      <c r="B12" s="4" t="s">
        <v>61</v>
      </c>
      <c r="C12" s="1" t="s">
        <v>26</v>
      </c>
      <c r="D12" s="1" t="s">
        <v>31</v>
      </c>
      <c r="E12" s="1" t="str">
        <f>"('"&amp;LEVEL[[#This Row],[ID.LEVEL]]&amp;"','"&amp;LEVEL[[#This Row],[LEVEL]]&amp;"','"&amp;LEVEL[[#This Row],[NOTE]]&amp;"'),"</f>
        <v>('L0.07','Chief Human Resources Officer','Level C-Suite'),</v>
      </c>
    </row>
    <row r="13" spans="2:5" x14ac:dyDescent="0.25">
      <c r="B13" s="4" t="s">
        <v>62</v>
      </c>
      <c r="C13" s="1" t="s">
        <v>126</v>
      </c>
      <c r="D13" s="1" t="s">
        <v>31</v>
      </c>
      <c r="E13" s="1" t="str">
        <f>"('"&amp;LEVEL[[#This Row],[ID.LEVEL]]&amp;"','"&amp;LEVEL[[#This Row],[LEVEL]]&amp;"','"&amp;LEVEL[[#This Row],[NOTE]]&amp;"'),"</f>
        <v>('L0.08','Chief Leasing Officer','Level C-Suite'),</v>
      </c>
    </row>
    <row r="14" spans="2:5" x14ac:dyDescent="0.25">
      <c r="B14" s="4" t="s">
        <v>63</v>
      </c>
      <c r="C14" s="1" t="s">
        <v>27</v>
      </c>
      <c r="D14" s="1" t="s">
        <v>31</v>
      </c>
      <c r="E14" s="1" t="str">
        <f>"('"&amp;LEVEL[[#This Row],[ID.LEVEL]]&amp;"','"&amp;LEVEL[[#This Row],[LEVEL]]&amp;"','"&amp;LEVEL[[#This Row],[NOTE]]&amp;"'),"</f>
        <v>('L0.09','Chief Compliance Officer','Level C-Suite'),</v>
      </c>
    </row>
    <row r="15" spans="2:5" x14ac:dyDescent="0.25">
      <c r="B15" s="4" t="s">
        <v>64</v>
      </c>
      <c r="C15" s="1" t="s">
        <v>28</v>
      </c>
      <c r="D15" s="1" t="s">
        <v>31</v>
      </c>
      <c r="E15" s="1" t="str">
        <f>"('"&amp;LEVEL[[#This Row],[ID.LEVEL]]&amp;"','"&amp;LEVEL[[#This Row],[LEVEL]]&amp;"','"&amp;LEVEL[[#This Row],[NOTE]]&amp;"'),"</f>
        <v>('L0.10','Chief Data Officer','Level C-Suite'),</v>
      </c>
    </row>
    <row r="16" spans="2:5" x14ac:dyDescent="0.25">
      <c r="B16" s="4" t="s">
        <v>65</v>
      </c>
      <c r="C16" s="1" t="s">
        <v>29</v>
      </c>
      <c r="D16" s="1" t="s">
        <v>31</v>
      </c>
      <c r="E16" s="1" t="str">
        <f>"('"&amp;LEVEL[[#This Row],[ID.LEVEL]]&amp;"','"&amp;LEVEL[[#This Row],[LEVEL]]&amp;"','"&amp;LEVEL[[#This Row],[NOTE]]&amp;"'),"</f>
        <v>('L0.11','Chief Analytics Officer','Level C-Suite'),</v>
      </c>
    </row>
    <row r="17" spans="2:5" x14ac:dyDescent="0.25">
      <c r="B17" s="4" t="s">
        <v>66</v>
      </c>
      <c r="C17" s="1" t="s">
        <v>30</v>
      </c>
      <c r="D17" s="1" t="s">
        <v>31</v>
      </c>
      <c r="E17" s="1" t="str">
        <f>"('"&amp;LEVEL[[#This Row],[ID.LEVEL]]&amp;"','"&amp;LEVEL[[#This Row],[LEVEL]]&amp;"','"&amp;LEVEL[[#This Row],[NOTE]]&amp;"'),"</f>
        <v>('L0.12','Chief Product Officer','Level C-Suite'),</v>
      </c>
    </row>
    <row r="18" spans="2:5" x14ac:dyDescent="0.25">
      <c r="B18" s="4" t="s">
        <v>67</v>
      </c>
      <c r="C18" s="1" t="s">
        <v>33</v>
      </c>
      <c r="D18" s="1" t="s">
        <v>32</v>
      </c>
      <c r="E18" s="1" t="str">
        <f>"('"&amp;LEVEL[[#This Row],[ID.LEVEL]]&amp;"','"&amp;LEVEL[[#This Row],[LEVEL]]&amp;"','"&amp;LEVEL[[#This Row],[NOTE]]&amp;"'),"</f>
        <v>('L1.13','Chairman','Board of Directors'),</v>
      </c>
    </row>
    <row r="19" spans="2:5" x14ac:dyDescent="0.25">
      <c r="B19" s="4" t="s">
        <v>68</v>
      </c>
      <c r="C19" s="1" t="s">
        <v>34</v>
      </c>
      <c r="D19" s="1" t="s">
        <v>32</v>
      </c>
      <c r="E19" s="1" t="str">
        <f>"('"&amp;LEVEL[[#This Row],[ID.LEVEL]]&amp;"','"&amp;LEVEL[[#This Row],[LEVEL]]&amp;"','"&amp;LEVEL[[#This Row],[NOTE]]&amp;"'),"</f>
        <v>('L1.14','Komisaris Utama','Board of Directors'),</v>
      </c>
    </row>
    <row r="20" spans="2:5" x14ac:dyDescent="0.25">
      <c r="B20" s="4" t="s">
        <v>69</v>
      </c>
      <c r="C20" s="1" t="s">
        <v>35</v>
      </c>
      <c r="D20" s="1" t="s">
        <v>32</v>
      </c>
      <c r="E20" s="1" t="str">
        <f>"('"&amp;LEVEL[[#This Row],[ID.LEVEL]]&amp;"','"&amp;LEVEL[[#This Row],[LEVEL]]&amp;"','"&amp;LEVEL[[#This Row],[NOTE]]&amp;"'),"</f>
        <v>('L1.15','Komisaris Independen','Board of Directors'),</v>
      </c>
    </row>
    <row r="21" spans="2:5" x14ac:dyDescent="0.25">
      <c r="B21" s="4" t="s">
        <v>70</v>
      </c>
      <c r="C21" s="1" t="s">
        <v>36</v>
      </c>
      <c r="D21" s="1" t="s">
        <v>32</v>
      </c>
      <c r="E21" s="1" t="str">
        <f>"('"&amp;LEVEL[[#This Row],[ID.LEVEL]]&amp;"','"&amp;LEVEL[[#This Row],[LEVEL]]&amp;"','"&amp;LEVEL[[#This Row],[NOTE]]&amp;"'),"</f>
        <v>('L1.16','Direktur','Board of Directors'),</v>
      </c>
    </row>
    <row r="22" spans="2:5" x14ac:dyDescent="0.25">
      <c r="B22" s="4" t="s">
        <v>71</v>
      </c>
      <c r="C22" s="1" t="s">
        <v>37</v>
      </c>
      <c r="D22" s="1" t="s">
        <v>39</v>
      </c>
      <c r="E22" s="1" t="str">
        <f>"('"&amp;LEVEL[[#This Row],[ID.LEVEL]]&amp;"','"&amp;LEVEL[[#This Row],[LEVEL]]&amp;"','"&amp;LEVEL[[#This Row],[NOTE]]&amp;"'),"</f>
        <v>('L2.17','Senior Vice President','Vice President'),</v>
      </c>
    </row>
    <row r="23" spans="2:5" x14ac:dyDescent="0.25">
      <c r="B23" s="4" t="s">
        <v>72</v>
      </c>
      <c r="C23" s="1" t="s">
        <v>38</v>
      </c>
      <c r="D23" s="1" t="s">
        <v>39</v>
      </c>
      <c r="E23" s="1" t="str">
        <f>"('"&amp;LEVEL[[#This Row],[ID.LEVEL]]&amp;"','"&amp;LEVEL[[#This Row],[LEVEL]]&amp;"','"&amp;LEVEL[[#This Row],[NOTE]]&amp;"'),"</f>
        <v>('L2.18','Executive Vice President','Vice President'),</v>
      </c>
    </row>
    <row r="24" spans="2:5" x14ac:dyDescent="0.25">
      <c r="B24" s="4" t="s">
        <v>73</v>
      </c>
      <c r="C24" s="1" t="s">
        <v>39</v>
      </c>
      <c r="D24" s="1" t="s">
        <v>39</v>
      </c>
      <c r="E24" s="1" t="str">
        <f>"('"&amp;LEVEL[[#This Row],[ID.LEVEL]]&amp;"','"&amp;LEVEL[[#This Row],[LEVEL]]&amp;"','"&amp;LEVEL[[#This Row],[NOTE]]&amp;"'),"</f>
        <v>('L2.19','Vice President','Vice President'),</v>
      </c>
    </row>
    <row r="25" spans="2:5" x14ac:dyDescent="0.25">
      <c r="B25" s="4" t="s">
        <v>74</v>
      </c>
      <c r="C25" s="1" t="s">
        <v>40</v>
      </c>
      <c r="D25" s="1" t="s">
        <v>39</v>
      </c>
      <c r="E25" s="1" t="str">
        <f>"('"&amp;LEVEL[[#This Row],[ID.LEVEL]]&amp;"','"&amp;LEVEL[[#This Row],[LEVEL]]&amp;"','"&amp;LEVEL[[#This Row],[NOTE]]&amp;"'),"</f>
        <v>('L2.20','Associate Vice President','Vice President'),</v>
      </c>
    </row>
    <row r="26" spans="2:5" x14ac:dyDescent="0.25">
      <c r="B26" s="4" t="s">
        <v>75</v>
      </c>
      <c r="C26" s="1" t="s">
        <v>41</v>
      </c>
      <c r="D26" s="1" t="s">
        <v>41</v>
      </c>
      <c r="E26" s="1" t="str">
        <f>"('"&amp;LEVEL[[#This Row],[ID.LEVEL]]&amp;"','"&amp;LEVEL[[#This Row],[LEVEL]]&amp;"','"&amp;LEVEL[[#This Row],[NOTE]]&amp;"'),"</f>
        <v>('L3.21','Head of Department','Head of Department'),</v>
      </c>
    </row>
    <row r="27" spans="2:5" x14ac:dyDescent="0.25">
      <c r="B27" s="4" t="s">
        <v>76</v>
      </c>
      <c r="C27" s="1" t="s">
        <v>12</v>
      </c>
      <c r="D27" s="1" t="s">
        <v>41</v>
      </c>
      <c r="E27" s="1" t="str">
        <f>"('"&amp;LEVEL[[#This Row],[ID.LEVEL]]&amp;"','"&amp;LEVEL[[#This Row],[LEVEL]]&amp;"','"&amp;LEVEL[[#This Row],[NOTE]]&amp;"'),"</f>
        <v>('L3.22','General Manager','Head of Department'),</v>
      </c>
    </row>
    <row r="28" spans="2:5" x14ac:dyDescent="0.25">
      <c r="B28" s="4" t="s">
        <v>77</v>
      </c>
      <c r="C28" s="1" t="s">
        <v>10</v>
      </c>
      <c r="D28" s="1" t="s">
        <v>41</v>
      </c>
      <c r="E28" s="1" t="str">
        <f>"('"&amp;LEVEL[[#This Row],[ID.LEVEL]]&amp;"','"&amp;LEVEL[[#This Row],[LEVEL]]&amp;"','"&amp;LEVEL[[#This Row],[NOTE]]&amp;"'),"</f>
        <v>('L3.23','Deputy General Manager','Head of Department'),</v>
      </c>
    </row>
    <row r="29" spans="2:5" x14ac:dyDescent="0.25">
      <c r="B29" s="4" t="s">
        <v>78</v>
      </c>
      <c r="C29" s="1" t="s">
        <v>11</v>
      </c>
      <c r="D29" s="1" t="s">
        <v>41</v>
      </c>
      <c r="E29" s="1" t="str">
        <f>"('"&amp;LEVEL[[#This Row],[ID.LEVEL]]&amp;"','"&amp;LEVEL[[#This Row],[LEVEL]]&amp;"','"&amp;LEVEL[[#This Row],[NOTE]]&amp;"'),"</f>
        <v>('L3.24','Director','Head of Department'),</v>
      </c>
    </row>
    <row r="30" spans="2:5" x14ac:dyDescent="0.25">
      <c r="B30" s="4" t="s">
        <v>79</v>
      </c>
      <c r="C30" s="1" t="s">
        <v>14</v>
      </c>
      <c r="D30" s="1" t="s">
        <v>97</v>
      </c>
      <c r="E30" s="1" t="str">
        <f>"('"&amp;LEVEL[[#This Row],[ID.LEVEL]]&amp;"','"&amp;LEVEL[[#This Row],[LEVEL]]&amp;"','"&amp;LEVEL[[#This Row],[NOTE]]&amp;"'),"</f>
        <v>('L4.25','Senior Manager','Team Control'),</v>
      </c>
    </row>
    <row r="31" spans="2:5" x14ac:dyDescent="0.25">
      <c r="B31" s="4" t="s">
        <v>80</v>
      </c>
      <c r="C31" s="1" t="s">
        <v>13</v>
      </c>
      <c r="D31" s="1" t="s">
        <v>97</v>
      </c>
      <c r="E31" s="1" t="str">
        <f>"('"&amp;LEVEL[[#This Row],[ID.LEVEL]]&amp;"','"&amp;LEVEL[[#This Row],[LEVEL]]&amp;"','"&amp;LEVEL[[#This Row],[NOTE]]&amp;"'),"</f>
        <v>('L4.26','Manager','Team Control'),</v>
      </c>
    </row>
    <row r="32" spans="2:5" x14ac:dyDescent="0.25">
      <c r="B32" s="4" t="s">
        <v>81</v>
      </c>
      <c r="C32" s="1" t="s">
        <v>42</v>
      </c>
      <c r="D32" s="1" t="s">
        <v>97</v>
      </c>
      <c r="E32" s="1" t="str">
        <f>"('"&amp;LEVEL[[#This Row],[ID.LEVEL]]&amp;"','"&amp;LEVEL[[#This Row],[LEVEL]]&amp;"','"&amp;LEVEL[[#This Row],[NOTE]]&amp;"'),"</f>
        <v>('L4.27','Deputy Manager','Team Control'),</v>
      </c>
    </row>
    <row r="33" spans="2:5" x14ac:dyDescent="0.25">
      <c r="B33" s="4" t="s">
        <v>82</v>
      </c>
      <c r="C33" s="1" t="s">
        <v>9</v>
      </c>
      <c r="D33" s="1" t="s">
        <v>97</v>
      </c>
      <c r="E33" s="1" t="str">
        <f>"('"&amp;LEVEL[[#This Row],[ID.LEVEL]]&amp;"','"&amp;LEVEL[[#This Row],[LEVEL]]&amp;"','"&amp;LEVEL[[#This Row],[NOTE]]&amp;"'),"</f>
        <v>('L4.28','Assistant Manager','Team Control'),</v>
      </c>
    </row>
    <row r="34" spans="2:5" x14ac:dyDescent="0.25">
      <c r="B34" s="4" t="s">
        <v>83</v>
      </c>
      <c r="C34" s="1" t="s">
        <v>16</v>
      </c>
      <c r="D34" s="1" t="s">
        <v>98</v>
      </c>
      <c r="E34" s="1" t="str">
        <f>"('"&amp;LEVEL[[#This Row],[ID.LEVEL]]&amp;"','"&amp;LEVEL[[#This Row],[LEVEL]]&amp;"','"&amp;LEVEL[[#This Row],[NOTE]]&amp;"'),"</f>
        <v>('L5.29','Senior Supervisor','Team Lead'),</v>
      </c>
    </row>
    <row r="35" spans="2:5" x14ac:dyDescent="0.25">
      <c r="B35" s="4" t="s">
        <v>84</v>
      </c>
      <c r="C35" s="1" t="s">
        <v>18</v>
      </c>
      <c r="D35" s="1" t="s">
        <v>98</v>
      </c>
      <c r="E35" s="1" t="str">
        <f>"('"&amp;LEVEL[[#This Row],[ID.LEVEL]]&amp;"','"&amp;LEVEL[[#This Row],[LEVEL]]&amp;"','"&amp;LEVEL[[#This Row],[NOTE]]&amp;"'),"</f>
        <v>('L5.30','Supervisor','Team Lead'),</v>
      </c>
    </row>
    <row r="36" spans="2:5" x14ac:dyDescent="0.25">
      <c r="B36" s="4" t="s">
        <v>85</v>
      </c>
      <c r="C36" s="1" t="s">
        <v>43</v>
      </c>
      <c r="D36" s="1" t="s">
        <v>98</v>
      </c>
      <c r="E36" s="1" t="str">
        <f>"('"&amp;LEVEL[[#This Row],[ID.LEVEL]]&amp;"','"&amp;LEVEL[[#This Row],[LEVEL]]&amp;"','"&amp;LEVEL[[#This Row],[NOTE]]&amp;"'),"</f>
        <v>('L5.31','Team Leader','Team Lead'),</v>
      </c>
    </row>
    <row r="37" spans="2:5" x14ac:dyDescent="0.25">
      <c r="B37" s="4" t="s">
        <v>86</v>
      </c>
      <c r="C37" s="1" t="s">
        <v>44</v>
      </c>
      <c r="D37" s="1" t="s">
        <v>98</v>
      </c>
      <c r="E37" s="1" t="str">
        <f>"('"&amp;LEVEL[[#This Row],[ID.LEVEL]]&amp;"','"&amp;LEVEL[[#This Row],[LEVEL]]&amp;"','"&amp;LEVEL[[#This Row],[NOTE]]&amp;"'),"</f>
        <v>('L5.32','Coordinator','Team Lead'),</v>
      </c>
    </row>
    <row r="38" spans="2:5" x14ac:dyDescent="0.25">
      <c r="B38" s="4" t="s">
        <v>87</v>
      </c>
      <c r="C38" s="1" t="s">
        <v>45</v>
      </c>
      <c r="D38" s="1" t="s">
        <v>98</v>
      </c>
      <c r="E38" s="1" t="str">
        <f>"('"&amp;LEVEL[[#This Row],[ID.LEVEL]]&amp;"','"&amp;LEVEL[[#This Row],[LEVEL]]&amp;"','"&amp;LEVEL[[#This Row],[NOTE]]&amp;"'),"</f>
        <v>('L5.33','Foreman','Team Lead'),</v>
      </c>
    </row>
    <row r="39" spans="2:5" x14ac:dyDescent="0.25">
      <c r="B39" s="4" t="s">
        <v>88</v>
      </c>
      <c r="C39" s="1" t="s">
        <v>15</v>
      </c>
      <c r="D39" s="1" t="s">
        <v>99</v>
      </c>
      <c r="E39" s="1" t="str">
        <f>"('"&amp;LEVEL[[#This Row],[ID.LEVEL]]&amp;"','"&amp;LEVEL[[#This Row],[LEVEL]]&amp;"','"&amp;LEVEL[[#This Row],[NOTE]]&amp;"'),"</f>
        <v>('L6.34','Senior Staff','Implementer'),</v>
      </c>
    </row>
    <row r="40" spans="2:5" x14ac:dyDescent="0.25">
      <c r="B40" s="4" t="s">
        <v>89</v>
      </c>
      <c r="C40" s="1" t="s">
        <v>17</v>
      </c>
      <c r="D40" s="1" t="s">
        <v>99</v>
      </c>
      <c r="E40" s="1" t="str">
        <f>"('"&amp;LEVEL[[#This Row],[ID.LEVEL]]&amp;"','"&amp;LEVEL[[#This Row],[LEVEL]]&amp;"','"&amp;LEVEL[[#This Row],[NOTE]]&amp;"'),"</f>
        <v>('L6.35','Staff','Implementer'),</v>
      </c>
    </row>
    <row r="41" spans="2:5" x14ac:dyDescent="0.25">
      <c r="B41" s="4" t="s">
        <v>90</v>
      </c>
      <c r="C41" s="1" t="s">
        <v>46</v>
      </c>
      <c r="D41" s="1" t="s">
        <v>99</v>
      </c>
      <c r="E41" s="1" t="str">
        <f>"('"&amp;LEVEL[[#This Row],[ID.LEVEL]]&amp;"','"&amp;LEVEL[[#This Row],[LEVEL]]&amp;"','"&amp;LEVEL[[#This Row],[NOTE]]&amp;"'),"</f>
        <v>('L6.36','Officer','Implementer'),</v>
      </c>
    </row>
    <row r="42" spans="2:5" x14ac:dyDescent="0.25">
      <c r="B42" s="4" t="s">
        <v>91</v>
      </c>
      <c r="C42" s="1" t="s">
        <v>47</v>
      </c>
      <c r="D42" s="1" t="s">
        <v>99</v>
      </c>
      <c r="E42" s="1" t="str">
        <f>"('"&amp;LEVEL[[#This Row],[ID.LEVEL]]&amp;"','"&amp;LEVEL[[#This Row],[LEVEL]]&amp;"','"&amp;LEVEL[[#This Row],[NOTE]]&amp;"'),"</f>
        <v>('L6.37','Associate','Implementer'),</v>
      </c>
    </row>
    <row r="43" spans="2:5" x14ac:dyDescent="0.25">
      <c r="B43" s="4" t="s">
        <v>92</v>
      </c>
      <c r="C43" s="1" t="s">
        <v>48</v>
      </c>
      <c r="D43" s="1" t="s">
        <v>99</v>
      </c>
      <c r="E43" s="1" t="str">
        <f>"('"&amp;LEVEL[[#This Row],[ID.LEVEL]]&amp;"','"&amp;LEVEL[[#This Row],[LEVEL]]&amp;"','"&amp;LEVEL[[#This Row],[NOTE]]&amp;"'),"</f>
        <v>('L6.38','Analyst','Implementer'),</v>
      </c>
    </row>
    <row r="44" spans="2:5" x14ac:dyDescent="0.25">
      <c r="B44" s="4" t="s">
        <v>93</v>
      </c>
      <c r="C44" s="1" t="s">
        <v>49</v>
      </c>
      <c r="D44" s="1" t="s">
        <v>100</v>
      </c>
      <c r="E44" s="1" t="str">
        <f>"('"&amp;LEVEL[[#This Row],[ID.LEVEL]]&amp;"','"&amp;LEVEL[[#This Row],[LEVEL]]&amp;"','"&amp;LEVEL[[#This Row],[NOTE]]&amp;"'),"</f>
        <v>('L6.39','Junior Staff','Beginner'),</v>
      </c>
    </row>
    <row r="45" spans="2:5" x14ac:dyDescent="0.25">
      <c r="B45" s="4" t="s">
        <v>94</v>
      </c>
      <c r="C45" s="1" t="s">
        <v>50</v>
      </c>
      <c r="D45" s="1" t="s">
        <v>100</v>
      </c>
      <c r="E45" s="1" t="str">
        <f>"('"&amp;LEVEL[[#This Row],[ID.LEVEL]]&amp;"','"&amp;LEVEL[[#This Row],[LEVEL]]&amp;"','"&amp;LEVEL[[#This Row],[NOTE]]&amp;"'),"</f>
        <v>('L7.40','Intern','Beginner'),</v>
      </c>
    </row>
    <row r="46" spans="2:5" x14ac:dyDescent="0.25">
      <c r="B46" s="4" t="s">
        <v>95</v>
      </c>
      <c r="C46" s="1" t="s">
        <v>51</v>
      </c>
      <c r="D46" s="1" t="s">
        <v>100</v>
      </c>
      <c r="E46" s="1" t="str">
        <f>"('"&amp;LEVEL[[#This Row],[ID.LEVEL]]&amp;"','"&amp;LEVEL[[#This Row],[LEVEL]]&amp;"','"&amp;LEVEL[[#This Row],[NOTE]]&amp;"'),"</f>
        <v>('L7.41','Management Trainee','Beginner'),</v>
      </c>
    </row>
    <row r="47" spans="2:5" x14ac:dyDescent="0.25">
      <c r="B47" s="4" t="s">
        <v>96</v>
      </c>
      <c r="C47" s="1" t="s">
        <v>52</v>
      </c>
      <c r="D47" s="1" t="s">
        <v>100</v>
      </c>
      <c r="E47" s="1" t="str">
        <f>"('"&amp;LEVEL[[#This Row],[ID.LEVEL]]&amp;"','"&amp;LEVEL[[#This Row],[LEVEL]]&amp;"','"&amp;LEVEL[[#This Row],[NOTE]]&amp;"'),"</f>
        <v>('L7.42','Fresh Graduate','Beginner'),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7C7A-F39A-48A0-B3CD-2137D56062B1}">
  <sheetPr codeName="Sheet3"/>
  <dimension ref="B4:E23"/>
  <sheetViews>
    <sheetView zoomScale="85" zoomScaleNormal="85" workbookViewId="0">
      <selection activeCell="B6" sqref="B6"/>
    </sheetView>
  </sheetViews>
  <sheetFormatPr defaultRowHeight="15" x14ac:dyDescent="0.25"/>
  <cols>
    <col min="2" max="2" width="10.5703125" style="2" customWidth="1"/>
    <col min="3" max="3" width="29" bestFit="1" customWidth="1"/>
    <col min="4" max="4" width="19.28515625" bestFit="1" customWidth="1"/>
    <col min="5" max="5" width="45.42578125" bestFit="1" customWidth="1"/>
  </cols>
  <sheetData>
    <row r="4" spans="2:5" x14ac:dyDescent="0.25">
      <c r="B4" s="3" t="s">
        <v>335</v>
      </c>
      <c r="C4" s="3" t="s">
        <v>103</v>
      </c>
      <c r="D4" s="3" t="s">
        <v>53</v>
      </c>
      <c r="E4" s="3" t="s">
        <v>325</v>
      </c>
    </row>
    <row r="5" spans="2:5" x14ac:dyDescent="0.25">
      <c r="B5" s="5" t="s">
        <v>107</v>
      </c>
      <c r="C5" s="6" t="s">
        <v>294</v>
      </c>
      <c r="D5" s="6" t="s">
        <v>294</v>
      </c>
      <c r="E5" s="7" t="str">
        <f>"('"&amp;DIRECTORATE[[#This Row],[ID_DIR]]&amp;"','"&amp;
DIRECTORATE[[#This Row],[DIRECTORATE]]&amp;"','"&amp;
DIRECTORATE[[#This Row],[NOTE]]&amp;"'),"</f>
        <v>('DIR0.00','EMPTY','EMPTY'),</v>
      </c>
    </row>
    <row r="6" spans="2:5" x14ac:dyDescent="0.25">
      <c r="B6" s="4" t="s">
        <v>108</v>
      </c>
      <c r="C6" s="1" t="s">
        <v>20</v>
      </c>
      <c r="D6" s="1" t="s">
        <v>31</v>
      </c>
      <c r="E6" s="7" t="str">
        <f>"('"&amp;DIRECTORATE[[#This Row],[ID_DIR]]&amp;"','"&amp;
DIRECTORATE[[#This Row],[DIRECTORATE]]&amp;"','"&amp;
DIRECTORATE[[#This Row],[NOTE]]&amp;"'),"</f>
        <v>('DIR0.01','Chief Executive Officer','Level C-Suite'),</v>
      </c>
    </row>
    <row r="7" spans="2:5" x14ac:dyDescent="0.25">
      <c r="B7" s="4" t="s">
        <v>109</v>
      </c>
      <c r="C7" s="1" t="s">
        <v>21</v>
      </c>
      <c r="D7" s="1" t="s">
        <v>31</v>
      </c>
      <c r="E7" s="7" t="str">
        <f>"('"&amp;DIRECTORATE[[#This Row],[ID_DIR]]&amp;"','"&amp;
DIRECTORATE[[#This Row],[DIRECTORATE]]&amp;"','"&amp;
DIRECTORATE[[#This Row],[NOTE]]&amp;"'),"</f>
        <v>('DIR0.02','Chief Financial Officer','Level C-Suite'),</v>
      </c>
    </row>
    <row r="8" spans="2:5" x14ac:dyDescent="0.25">
      <c r="B8" s="4" t="s">
        <v>110</v>
      </c>
      <c r="C8" s="1" t="s">
        <v>22</v>
      </c>
      <c r="D8" s="1" t="s">
        <v>31</v>
      </c>
      <c r="E8" s="7" t="str">
        <f>"('"&amp;DIRECTORATE[[#This Row],[ID_DIR]]&amp;"','"&amp;
DIRECTORATE[[#This Row],[DIRECTORATE]]&amp;"','"&amp;
DIRECTORATE[[#This Row],[NOTE]]&amp;"'),"</f>
        <v>('DIR0.03','Chief Operating Officer','Level C-Suite'),</v>
      </c>
    </row>
    <row r="9" spans="2:5" x14ac:dyDescent="0.25">
      <c r="B9" s="4" t="s">
        <v>111</v>
      </c>
      <c r="C9" s="1" t="s">
        <v>23</v>
      </c>
      <c r="D9" s="1" t="s">
        <v>31</v>
      </c>
      <c r="E9" s="7" t="str">
        <f>"('"&amp;DIRECTORATE[[#This Row],[ID_DIR]]&amp;"','"&amp;
DIRECTORATE[[#This Row],[DIRECTORATE]]&amp;"','"&amp;
DIRECTORATE[[#This Row],[NOTE]]&amp;"'),"</f>
        <v>('DIR0.04','Chief Technology Officer','Level C-Suite'),</v>
      </c>
    </row>
    <row r="10" spans="2:5" x14ac:dyDescent="0.25">
      <c r="B10" s="4" t="s">
        <v>112</v>
      </c>
      <c r="C10" s="1" t="s">
        <v>24</v>
      </c>
      <c r="D10" s="1" t="s">
        <v>31</v>
      </c>
      <c r="E10" s="7" t="str">
        <f>"('"&amp;DIRECTORATE[[#This Row],[ID_DIR]]&amp;"','"&amp;
DIRECTORATE[[#This Row],[DIRECTORATE]]&amp;"','"&amp;
DIRECTORATE[[#This Row],[NOTE]]&amp;"'),"</f>
        <v>('DIR0.05','Chief Information Officer','Level C-Suite'),</v>
      </c>
    </row>
    <row r="11" spans="2:5" x14ac:dyDescent="0.25">
      <c r="B11" s="4" t="s">
        <v>113</v>
      </c>
      <c r="C11" s="1" t="s">
        <v>25</v>
      </c>
      <c r="D11" s="1" t="s">
        <v>31</v>
      </c>
      <c r="E11" s="7" t="str">
        <f>"('"&amp;DIRECTORATE[[#This Row],[ID_DIR]]&amp;"','"&amp;
DIRECTORATE[[#This Row],[DIRECTORATE]]&amp;"','"&amp;
DIRECTORATE[[#This Row],[NOTE]]&amp;"'),"</f>
        <v>('DIR0.06','Chief Marketing Officer','Level C-Suite'),</v>
      </c>
    </row>
    <row r="12" spans="2:5" x14ac:dyDescent="0.25">
      <c r="B12" s="4" t="s">
        <v>114</v>
      </c>
      <c r="C12" s="1" t="s">
        <v>26</v>
      </c>
      <c r="D12" s="1" t="s">
        <v>31</v>
      </c>
      <c r="E12" s="7" t="str">
        <f>"('"&amp;DIRECTORATE[[#This Row],[ID_DIR]]&amp;"','"&amp;
DIRECTORATE[[#This Row],[DIRECTORATE]]&amp;"','"&amp;
DIRECTORATE[[#This Row],[NOTE]]&amp;"'),"</f>
        <v>('DIR0.07','Chief Human Resources Officer','Level C-Suite'),</v>
      </c>
    </row>
    <row r="13" spans="2:5" x14ac:dyDescent="0.25">
      <c r="B13" s="4" t="s">
        <v>115</v>
      </c>
      <c r="C13" s="1" t="s">
        <v>126</v>
      </c>
      <c r="D13" s="1" t="s">
        <v>31</v>
      </c>
      <c r="E13" s="7" t="str">
        <f>"('"&amp;DIRECTORATE[[#This Row],[ID_DIR]]&amp;"','"&amp;
DIRECTORATE[[#This Row],[DIRECTORATE]]&amp;"','"&amp;
DIRECTORATE[[#This Row],[NOTE]]&amp;"'),"</f>
        <v>('DIR0.08','Chief Leasing Officer','Level C-Suite'),</v>
      </c>
    </row>
    <row r="14" spans="2:5" x14ac:dyDescent="0.25">
      <c r="B14" s="4" t="s">
        <v>116</v>
      </c>
      <c r="C14" s="1" t="s">
        <v>27</v>
      </c>
      <c r="D14" s="1" t="s">
        <v>31</v>
      </c>
      <c r="E14" s="7" t="str">
        <f>"('"&amp;DIRECTORATE[[#This Row],[ID_DIR]]&amp;"','"&amp;
DIRECTORATE[[#This Row],[DIRECTORATE]]&amp;"','"&amp;
DIRECTORATE[[#This Row],[NOTE]]&amp;"'),"</f>
        <v>('DIR0.09','Chief Compliance Officer','Level C-Suite'),</v>
      </c>
    </row>
    <row r="15" spans="2:5" x14ac:dyDescent="0.25">
      <c r="B15" s="4" t="s">
        <v>117</v>
      </c>
      <c r="C15" s="1" t="s">
        <v>28</v>
      </c>
      <c r="D15" s="1" t="s">
        <v>31</v>
      </c>
      <c r="E15" s="7" t="str">
        <f>"('"&amp;DIRECTORATE[[#This Row],[ID_DIR]]&amp;"','"&amp;
DIRECTORATE[[#This Row],[DIRECTORATE]]&amp;"','"&amp;
DIRECTORATE[[#This Row],[NOTE]]&amp;"'),"</f>
        <v>('DIR0.10','Chief Data Officer','Level C-Suite'),</v>
      </c>
    </row>
    <row r="16" spans="2:5" x14ac:dyDescent="0.25">
      <c r="B16" s="4" t="s">
        <v>118</v>
      </c>
      <c r="C16" s="1" t="s">
        <v>29</v>
      </c>
      <c r="D16" s="1" t="s">
        <v>31</v>
      </c>
      <c r="E16" s="7" t="str">
        <f>"('"&amp;DIRECTORATE[[#This Row],[ID_DIR]]&amp;"','"&amp;
DIRECTORATE[[#This Row],[DIRECTORATE]]&amp;"','"&amp;
DIRECTORATE[[#This Row],[NOTE]]&amp;"'),"</f>
        <v>('DIR0.11','Chief Analytics Officer','Level C-Suite'),</v>
      </c>
    </row>
    <row r="17" spans="2:5" x14ac:dyDescent="0.25">
      <c r="B17" s="4" t="s">
        <v>119</v>
      </c>
      <c r="C17" s="1" t="s">
        <v>30</v>
      </c>
      <c r="D17" s="1" t="s">
        <v>31</v>
      </c>
      <c r="E17" s="7" t="str">
        <f>"('"&amp;DIRECTORATE[[#This Row],[ID_DIR]]&amp;"','"&amp;
DIRECTORATE[[#This Row],[DIRECTORATE]]&amp;"','"&amp;
DIRECTORATE[[#This Row],[NOTE]]&amp;"'),"</f>
        <v>('DIR0.12','Chief Product Officer','Level C-Suite'),</v>
      </c>
    </row>
    <row r="18" spans="2:5" x14ac:dyDescent="0.25">
      <c r="B18" s="4" t="s">
        <v>120</v>
      </c>
      <c r="C18" s="1" t="s">
        <v>33</v>
      </c>
      <c r="D18" s="1" t="s">
        <v>32</v>
      </c>
      <c r="E18" s="7" t="str">
        <f>"('"&amp;DIRECTORATE[[#This Row],[ID_DIR]]&amp;"','"&amp;
DIRECTORATE[[#This Row],[DIRECTORATE]]&amp;"','"&amp;
DIRECTORATE[[#This Row],[NOTE]]&amp;"'),"</f>
        <v>('DIR1.13','Chairman','Board of Directors'),</v>
      </c>
    </row>
    <row r="19" spans="2:5" x14ac:dyDescent="0.25">
      <c r="B19" s="4" t="s">
        <v>121</v>
      </c>
      <c r="C19" s="1" t="s">
        <v>34</v>
      </c>
      <c r="D19" s="1" t="s">
        <v>32</v>
      </c>
      <c r="E19" s="7" t="str">
        <f>"('"&amp;DIRECTORATE[[#This Row],[ID_DIR]]&amp;"','"&amp;
DIRECTORATE[[#This Row],[DIRECTORATE]]&amp;"','"&amp;
DIRECTORATE[[#This Row],[NOTE]]&amp;"'),"</f>
        <v>('DIR1.14','Komisaris Utama','Board of Directors'),</v>
      </c>
    </row>
    <row r="20" spans="2:5" x14ac:dyDescent="0.25">
      <c r="B20" s="4" t="s">
        <v>122</v>
      </c>
      <c r="C20" s="1" t="s">
        <v>35</v>
      </c>
      <c r="D20" s="1" t="s">
        <v>32</v>
      </c>
      <c r="E20" s="7" t="str">
        <f>"('"&amp;DIRECTORATE[[#This Row],[ID_DIR]]&amp;"','"&amp;
DIRECTORATE[[#This Row],[DIRECTORATE]]&amp;"','"&amp;
DIRECTORATE[[#This Row],[NOTE]]&amp;"'),"</f>
        <v>('DIR1.15','Komisaris Independen','Board of Directors'),</v>
      </c>
    </row>
    <row r="21" spans="2:5" x14ac:dyDescent="0.25">
      <c r="B21" s="4" t="s">
        <v>123</v>
      </c>
      <c r="C21" s="1" t="s">
        <v>104</v>
      </c>
      <c r="D21" s="1" t="s">
        <v>32</v>
      </c>
      <c r="E21" s="7" t="str">
        <f>"('"&amp;DIRECTORATE[[#This Row],[ID_DIR]]&amp;"','"&amp;
DIRECTORATE[[#This Row],[DIRECTORATE]]&amp;"','"&amp;
DIRECTORATE[[#This Row],[NOTE]]&amp;"'),"</f>
        <v>('DIR1.16','Direktur Finance Accounting','Board of Directors'),</v>
      </c>
    </row>
    <row r="22" spans="2:5" x14ac:dyDescent="0.25">
      <c r="B22" s="4" t="s">
        <v>124</v>
      </c>
      <c r="C22" s="1" t="s">
        <v>105</v>
      </c>
      <c r="D22" s="1" t="s">
        <v>32</v>
      </c>
      <c r="E22" s="7" t="str">
        <f>"('"&amp;DIRECTORATE[[#This Row],[ID_DIR]]&amp;"','"&amp;
DIRECTORATE[[#This Row],[DIRECTORATE]]&amp;"','"&amp;
DIRECTORATE[[#This Row],[NOTE]]&amp;"'),"</f>
        <v>('DIR1.17','Direktur Human Capital','Board of Directors'),</v>
      </c>
    </row>
    <row r="23" spans="2:5" x14ac:dyDescent="0.25">
      <c r="B23" s="4" t="s">
        <v>125</v>
      </c>
      <c r="C23" s="1" t="s">
        <v>106</v>
      </c>
      <c r="D23" s="1" t="s">
        <v>32</v>
      </c>
      <c r="E23" s="7" t="str">
        <f>"('"&amp;DIRECTORATE[[#This Row],[ID_DIR]]&amp;"','"&amp;
DIRECTORATE[[#This Row],[DIRECTORATE]]&amp;"','"&amp;
DIRECTORATE[[#This Row],[NOTE]]&amp;"'),"</f>
        <v>('DIR1.18','Direktur Engineering','Board of Directors'),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716-EA5A-46D8-94E5-A7B1FABB487F}">
  <sheetPr codeName="Sheet4"/>
  <dimension ref="B4:F16"/>
  <sheetViews>
    <sheetView zoomScale="85" zoomScaleNormal="85" workbookViewId="0">
      <selection activeCell="F40" sqref="F40"/>
    </sheetView>
  </sheetViews>
  <sheetFormatPr defaultRowHeight="15" x14ac:dyDescent="0.25"/>
  <cols>
    <col min="2" max="2" width="10.5703125" style="2" customWidth="1"/>
    <col min="3" max="3" width="38.28515625" bestFit="1" customWidth="1"/>
    <col min="4" max="4" width="12.42578125" bestFit="1" customWidth="1"/>
    <col min="5" max="5" width="19.28515625" bestFit="1" customWidth="1"/>
    <col min="6" max="6" width="59.85546875" bestFit="1" customWidth="1"/>
  </cols>
  <sheetData>
    <row r="4" spans="2:6" x14ac:dyDescent="0.25">
      <c r="B4" s="3" t="s">
        <v>334</v>
      </c>
      <c r="C4" s="3" t="s">
        <v>3</v>
      </c>
      <c r="D4" s="3" t="s">
        <v>335</v>
      </c>
      <c r="E4" s="3" t="s">
        <v>53</v>
      </c>
      <c r="F4" s="3" t="s">
        <v>325</v>
      </c>
    </row>
    <row r="5" spans="2:6" x14ac:dyDescent="0.25">
      <c r="B5" s="5" t="s">
        <v>138</v>
      </c>
      <c r="C5" s="6" t="s">
        <v>294</v>
      </c>
      <c r="D5" s="5" t="s">
        <v>107</v>
      </c>
      <c r="E5" s="6" t="s">
        <v>294</v>
      </c>
      <c r="F5" s="7" t="str">
        <f>"('"&amp;DIVISION[[#This Row],[ID_DIV]]&amp;"','"&amp;DIVISION[[#This Row],[DIVISION]]&amp;"','"&amp;DIVISION[[#This Row],[ID_DIR]]&amp;"','"&amp;DIVISION[[#This Row],[NOTE]]&amp;"'),"</f>
        <v>('DIV0.00','EMPTY','DIR0.00','EMPTY'),</v>
      </c>
    </row>
    <row r="6" spans="2:6" x14ac:dyDescent="0.25">
      <c r="B6" s="4" t="s">
        <v>139</v>
      </c>
      <c r="C6" s="1" t="s">
        <v>127</v>
      </c>
      <c r="D6" s="4" t="s">
        <v>108</v>
      </c>
      <c r="E6" s="1" t="s">
        <v>2415</v>
      </c>
      <c r="F6" s="7" t="str">
        <f>"('"&amp;DIVISION[[#This Row],[ID_DIV]]&amp;"','"&amp;DIVISION[[#This Row],[DIVISION]]&amp;"','"&amp;DIVISION[[#This Row],[ID_DIR]]&amp;"','"&amp;DIVISION[[#This Row],[NOTE]]&amp;"'),"</f>
        <v>('DIV0.01','Information Technology','DIR0.01','DONE'),</v>
      </c>
    </row>
    <row r="7" spans="2:6" x14ac:dyDescent="0.25">
      <c r="B7" s="4" t="s">
        <v>140</v>
      </c>
      <c r="C7" s="1" t="s">
        <v>128</v>
      </c>
      <c r="D7" s="4" t="s">
        <v>108</v>
      </c>
      <c r="E7" s="1" t="s">
        <v>2415</v>
      </c>
      <c r="F7" s="7" t="str">
        <f>"('"&amp;DIVISION[[#This Row],[ID_DIV]]&amp;"','"&amp;DIVISION[[#This Row],[DIVISION]]&amp;"','"&amp;DIVISION[[#This Row],[ID_DIR]]&amp;"','"&amp;DIVISION[[#This Row],[NOTE]]&amp;"'),"</f>
        <v>('DIV0.02','Innovation','DIR0.01','DONE'),</v>
      </c>
    </row>
    <row r="8" spans="2:6" x14ac:dyDescent="0.25">
      <c r="B8" s="4" t="s">
        <v>141</v>
      </c>
      <c r="C8" s="1" t="s">
        <v>129</v>
      </c>
      <c r="D8" s="4"/>
      <c r="E8" s="1"/>
      <c r="F8" s="7" t="str">
        <f>"('"&amp;DIVISION[[#This Row],[ID_DIV]]&amp;"','"&amp;DIVISION[[#This Row],[DIVISION]]&amp;"','"&amp;DIVISION[[#This Row],[ID_DIR]]&amp;"','"&amp;DIVISION[[#This Row],[NOTE]]&amp;"'),"</f>
        <v>('DIV0.03','Finance &amp; Accounting','',''),</v>
      </c>
    </row>
    <row r="9" spans="2:6" x14ac:dyDescent="0.25">
      <c r="B9" s="4" t="s">
        <v>142</v>
      </c>
      <c r="C9" s="1" t="s">
        <v>161</v>
      </c>
      <c r="D9" s="4"/>
      <c r="E9" s="1"/>
      <c r="F9" s="7" t="str">
        <f>"('"&amp;DIVISION[[#This Row],[ID_DIV]]&amp;"','"&amp;DIVISION[[#This Row],[DIVISION]]&amp;"','"&amp;DIVISION[[#This Row],[ID_DIR]]&amp;"','"&amp;DIVISION[[#This Row],[NOTE]]&amp;"'),"</f>
        <v>('DIV0.04','Corporate consolidation, Reporting &amp; Analisis','',''),</v>
      </c>
    </row>
    <row r="10" spans="2:6" x14ac:dyDescent="0.25">
      <c r="B10" s="4" t="s">
        <v>143</v>
      </c>
      <c r="C10" s="1" t="s">
        <v>178</v>
      </c>
      <c r="D10" s="4"/>
      <c r="E10" s="1"/>
      <c r="F10" s="7" t="str">
        <f>"('"&amp;DIVISION[[#This Row],[ID_DIV]]&amp;"','"&amp;DIVISION[[#This Row],[DIVISION]]&amp;"','"&amp;DIVISION[[#This Row],[ID_DIR]]&amp;"','"&amp;DIVISION[[#This Row],[NOTE]]&amp;"'),"</f>
        <v>('DIV0.05','Human Resource &amp; Development','',''),</v>
      </c>
    </row>
    <row r="11" spans="2:6" x14ac:dyDescent="0.25">
      <c r="B11" s="4" t="s">
        <v>144</v>
      </c>
      <c r="C11" s="1" t="s">
        <v>132</v>
      </c>
      <c r="D11" s="4"/>
      <c r="E11" s="1"/>
      <c r="F11" s="7" t="str">
        <f>"('"&amp;DIVISION[[#This Row],[ID_DIV]]&amp;"','"&amp;DIVISION[[#This Row],[DIVISION]]&amp;"','"&amp;DIVISION[[#This Row],[ID_DIR]]&amp;"','"&amp;DIVISION[[#This Row],[NOTE]]&amp;"'),"</f>
        <v>('DIV0.06','Operation','',''),</v>
      </c>
    </row>
    <row r="12" spans="2:6" x14ac:dyDescent="0.25">
      <c r="B12" s="4" t="s">
        <v>145</v>
      </c>
      <c r="C12" s="1" t="s">
        <v>133</v>
      </c>
      <c r="D12" s="4"/>
      <c r="E12" s="1"/>
      <c r="F12" s="7" t="str">
        <f>"('"&amp;DIVISION[[#This Row],[ID_DIV]]&amp;"','"&amp;DIVISION[[#This Row],[DIVISION]]&amp;"','"&amp;DIVISION[[#This Row],[ID_DIR]]&amp;"','"&amp;DIVISION[[#This Row],[NOTE]]&amp;"'),"</f>
        <v>('DIV0.07','Engineering','',''),</v>
      </c>
    </row>
    <row r="13" spans="2:6" x14ac:dyDescent="0.25">
      <c r="B13" s="4" t="s">
        <v>146</v>
      </c>
      <c r="C13" s="1" t="s">
        <v>134</v>
      </c>
      <c r="D13" s="4"/>
      <c r="E13" s="1"/>
      <c r="F13" s="7" t="str">
        <f>"('"&amp;DIVISION[[#This Row],[ID_DIV]]&amp;"','"&amp;DIVISION[[#This Row],[DIVISION]]&amp;"','"&amp;DIVISION[[#This Row],[ID_DIR]]&amp;"','"&amp;DIVISION[[#This Row],[NOTE]]&amp;"'),"</f>
        <v>('DIV0.08','Marketing &amp; Commercial','',''),</v>
      </c>
    </row>
    <row r="14" spans="2:6" x14ac:dyDescent="0.25">
      <c r="B14" s="4" t="s">
        <v>147</v>
      </c>
      <c r="C14" s="1" t="s">
        <v>135</v>
      </c>
      <c r="D14" s="4"/>
      <c r="E14" s="1"/>
      <c r="F14" s="7" t="str">
        <f>"('"&amp;DIVISION[[#This Row],[ID_DIV]]&amp;"','"&amp;DIVISION[[#This Row],[DIVISION]]&amp;"','"&amp;DIVISION[[#This Row],[ID_DIR]]&amp;"','"&amp;DIVISION[[#This Row],[NOTE]]&amp;"'),"</f>
        <v>('DIV0.09','Legal &amp; Government Relation','',''),</v>
      </c>
    </row>
    <row r="15" spans="2:6" x14ac:dyDescent="0.25">
      <c r="B15" s="4" t="s">
        <v>148</v>
      </c>
      <c r="C15" s="1" t="s">
        <v>136</v>
      </c>
      <c r="D15" s="4"/>
      <c r="E15" s="1"/>
      <c r="F15" s="7" t="str">
        <f>"('"&amp;DIVISION[[#This Row],[ID_DIV]]&amp;"','"&amp;DIVISION[[#This Row],[DIVISION]]&amp;"','"&amp;DIVISION[[#This Row],[ID_DIR]]&amp;"','"&amp;DIVISION[[#This Row],[NOTE]]&amp;"'),"</f>
        <v>('DIV0.10','Leasing','',''),</v>
      </c>
    </row>
    <row r="16" spans="2:6" x14ac:dyDescent="0.25">
      <c r="B16" s="4" t="s">
        <v>149</v>
      </c>
      <c r="C16" s="1" t="s">
        <v>137</v>
      </c>
      <c r="D16" s="4"/>
      <c r="E16" s="1"/>
      <c r="F16" s="7" t="str">
        <f>"('"&amp;DIVISION[[#This Row],[ID_DIV]]&amp;"','"&amp;DIVISION[[#This Row],[DIVISION]]&amp;"','"&amp;DIVISION[[#This Row],[ID_DIR]]&amp;"','"&amp;DIVISION[[#This Row],[NOTE]]&amp;"'),"</f>
        <v>('DIV0.11','Property Office Management','',''),</v>
      </c>
    </row>
  </sheetData>
  <conditionalFormatting sqref="B5:E16">
    <cfRule type="expression" dxfId="57" priority="1">
      <formula>ISNUMBER(SEARCH("DONE",$E5))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42C4-ED96-4793-A885-F7E4E97C2EFC}">
  <sheetPr codeName="Sheet5"/>
  <dimension ref="B4:F25"/>
  <sheetViews>
    <sheetView zoomScale="85" zoomScaleNormal="85" workbookViewId="0">
      <selection activeCell="B10" sqref="B10"/>
    </sheetView>
  </sheetViews>
  <sheetFormatPr defaultRowHeight="15" x14ac:dyDescent="0.25"/>
  <cols>
    <col min="2" max="2" width="10.5703125" style="2" customWidth="1"/>
    <col min="3" max="3" width="35.5703125" bestFit="1" customWidth="1"/>
    <col min="4" max="4" width="12.42578125" bestFit="1" customWidth="1"/>
    <col min="5" max="5" width="10.42578125" bestFit="1" customWidth="1"/>
    <col min="6" max="6" width="47.42578125" bestFit="1" customWidth="1"/>
  </cols>
  <sheetData>
    <row r="4" spans="2:6" x14ac:dyDescent="0.25">
      <c r="B4" s="3" t="s">
        <v>336</v>
      </c>
      <c r="C4" s="3" t="s">
        <v>4</v>
      </c>
      <c r="D4" s="3" t="s">
        <v>334</v>
      </c>
      <c r="E4" s="3" t="s">
        <v>53</v>
      </c>
      <c r="F4" s="3" t="s">
        <v>325</v>
      </c>
    </row>
    <row r="5" spans="2:6" x14ac:dyDescent="0.25">
      <c r="B5" s="5" t="s">
        <v>282</v>
      </c>
      <c r="C5" s="6" t="s">
        <v>294</v>
      </c>
      <c r="D5" s="5" t="s">
        <v>138</v>
      </c>
      <c r="E5" s="6" t="s">
        <v>294</v>
      </c>
      <c r="F5" s="7" t="str">
        <f>"('"&amp;DIVISION5[[#This Row],[ID_DPT1]]&amp;"','"&amp;DIVISION5[[#This Row],[DEPARTEMENT]]&amp;"','"&amp;DIVISION5[[#This Row],[ID_DIV]]&amp;"','"&amp;DIVISION5[[#This Row],[NOTE]]&amp;"'),"</f>
        <v>('DPT0.00','EMPTY','DIV0.00','EMPTY'),</v>
      </c>
    </row>
    <row r="6" spans="2:6" x14ac:dyDescent="0.25">
      <c r="B6" s="4" t="s">
        <v>283</v>
      </c>
      <c r="C6" s="1" t="s">
        <v>154</v>
      </c>
      <c r="D6" s="4" t="s">
        <v>139</v>
      </c>
      <c r="E6" s="1" t="s">
        <v>2415</v>
      </c>
      <c r="F6" s="7" t="str">
        <f>"('"&amp;DIVISION5[[#This Row],[ID_DPT1]]&amp;"','"&amp;DIVISION5[[#This Row],[DEPARTEMENT]]&amp;"','"&amp;DIVISION5[[#This Row],[ID_DIV]]&amp;"','"&amp;DIVISION5[[#This Row],[NOTE]]&amp;"'),"</f>
        <v>('DPT0.01','IT Application','DIV0.01','DONE'),</v>
      </c>
    </row>
    <row r="7" spans="2:6" x14ac:dyDescent="0.25">
      <c r="B7" s="4" t="s">
        <v>284</v>
      </c>
      <c r="C7" s="1" t="s">
        <v>155</v>
      </c>
      <c r="D7" s="4" t="s">
        <v>139</v>
      </c>
      <c r="E7" s="1" t="s">
        <v>2415</v>
      </c>
      <c r="F7" s="7" t="str">
        <f>"('"&amp;DIVISION5[[#This Row],[ID_DPT1]]&amp;"','"&amp;DIVISION5[[#This Row],[DEPARTEMENT]]&amp;"','"&amp;DIVISION5[[#This Row],[ID_DIV]]&amp;"','"&amp;DIVISION5[[#This Row],[NOTE]]&amp;"'),"</f>
        <v>('DPT0.02','IT Infrastructure','DIV0.01','DONE'),</v>
      </c>
    </row>
    <row r="8" spans="2:6" x14ac:dyDescent="0.25">
      <c r="B8" s="4" t="s">
        <v>285</v>
      </c>
      <c r="C8" s="1" t="s">
        <v>156</v>
      </c>
      <c r="D8" s="4" t="s">
        <v>139</v>
      </c>
      <c r="E8" s="1" t="s">
        <v>2415</v>
      </c>
      <c r="F8" s="7" t="str">
        <f>"('"&amp;DIVISION5[[#This Row],[ID_DPT1]]&amp;"','"&amp;DIVISION5[[#This Row],[DEPARTEMENT]]&amp;"','"&amp;DIVISION5[[#This Row],[ID_DIV]]&amp;"','"&amp;DIVISION5[[#This Row],[NOTE]]&amp;"'),"</f>
        <v>('DPT0.03','IT Operation &amp; Project','DIV0.01','DONE'),</v>
      </c>
    </row>
    <row r="9" spans="2:6" x14ac:dyDescent="0.25">
      <c r="B9" s="4" t="s">
        <v>286</v>
      </c>
      <c r="C9" s="1" t="s">
        <v>159</v>
      </c>
      <c r="D9" s="4" t="s">
        <v>139</v>
      </c>
      <c r="E9" s="1" t="s">
        <v>2415</v>
      </c>
      <c r="F9" s="7" t="str">
        <f>"('"&amp;DIVISION5[[#This Row],[ID_DPT1]]&amp;"','"&amp;DIVISION5[[#This Row],[DEPARTEMENT]]&amp;"','"&amp;DIVISION5[[#This Row],[ID_DIV]]&amp;"','"&amp;DIVISION5[[#This Row],[NOTE]]&amp;"'),"</f>
        <v>('DPT0.04','IT Security &amp; Complience','DIV0.01','DONE'),</v>
      </c>
    </row>
    <row r="10" spans="2:6" x14ac:dyDescent="0.25">
      <c r="B10" s="4" t="s">
        <v>287</v>
      </c>
      <c r="C10" s="1" t="s">
        <v>128</v>
      </c>
      <c r="D10" s="4" t="s">
        <v>140</v>
      </c>
      <c r="E10" s="1" t="s">
        <v>2415</v>
      </c>
      <c r="F10" s="7" t="str">
        <f>"('"&amp;DIVISION5[[#This Row],[ID_DPT1]]&amp;"','"&amp;DIVISION5[[#This Row],[DEPARTEMENT]]&amp;"','"&amp;DIVISION5[[#This Row],[ID_DIV]]&amp;"','"&amp;DIVISION5[[#This Row],[NOTE]]&amp;"'),"</f>
        <v>('DPT0.05','Innovation','DIV0.02','DONE'),</v>
      </c>
    </row>
    <row r="11" spans="2:6" x14ac:dyDescent="0.25">
      <c r="B11" s="4" t="s">
        <v>288</v>
      </c>
      <c r="C11" s="1" t="s">
        <v>176</v>
      </c>
      <c r="D11" s="4"/>
      <c r="E11" s="1"/>
      <c r="F11" s="7" t="str">
        <f>"('"&amp;DIVISION5[[#This Row],[ID_DPT1]]&amp;"','"&amp;DIVISION5[[#This Row],[DEPARTEMENT]]&amp;"','"&amp;DIVISION5[[#This Row],[ID_DIV]]&amp;"','"&amp;DIVISION5[[#This Row],[NOTE]]&amp;"'),"</f>
        <v>('DPT0.06','Account Payable &amp; Cashier','',''),</v>
      </c>
    </row>
    <row r="12" spans="2:6" x14ac:dyDescent="0.25">
      <c r="B12" s="4" t="s">
        <v>289</v>
      </c>
      <c r="C12" s="1" t="s">
        <v>173</v>
      </c>
      <c r="D12" s="4"/>
      <c r="E12" s="1"/>
      <c r="F12" s="7" t="str">
        <f>"('"&amp;DIVISION5[[#This Row],[ID_DPT1]]&amp;"','"&amp;DIVISION5[[#This Row],[DEPARTEMENT]]&amp;"','"&amp;DIVISION5[[#This Row],[ID_DIV]]&amp;"','"&amp;DIVISION5[[#This Row],[NOTE]]&amp;"'),"</f>
        <v>('DPT0.07','Accounting &amp; Account Raceivable','',''),</v>
      </c>
    </row>
    <row r="13" spans="2:6" x14ac:dyDescent="0.25">
      <c r="B13" s="4" t="s">
        <v>290</v>
      </c>
      <c r="C13" s="1" t="s">
        <v>171</v>
      </c>
      <c r="D13" s="4"/>
      <c r="E13" s="1"/>
      <c r="F13" s="7" t="str">
        <f>"('"&amp;DIVISION5[[#This Row],[ID_DPT1]]&amp;"','"&amp;DIVISION5[[#This Row],[DEPARTEMENT]]&amp;"','"&amp;DIVISION5[[#This Row],[ID_DIV]]&amp;"','"&amp;DIVISION5[[#This Row],[NOTE]]&amp;"'),"</f>
        <v>('DPT0.08','Asset Management &amp; Controller','',''),</v>
      </c>
    </row>
    <row r="14" spans="2:6" x14ac:dyDescent="0.25">
      <c r="B14" s="4" t="s">
        <v>291</v>
      </c>
      <c r="C14" s="1" t="s">
        <v>168</v>
      </c>
      <c r="D14" s="4"/>
      <c r="E14" s="1"/>
      <c r="F14" s="7" t="str">
        <f>"('"&amp;DIVISION5[[#This Row],[ID_DPT1]]&amp;"','"&amp;DIVISION5[[#This Row],[DEPARTEMENT]]&amp;"','"&amp;DIVISION5[[#This Row],[ID_DIV]]&amp;"','"&amp;DIVISION5[[#This Row],[NOTE]]&amp;"'),"</f>
        <v>('DPT0.09','Collection','',''),</v>
      </c>
    </row>
    <row r="15" spans="2:6" x14ac:dyDescent="0.25">
      <c r="B15" s="4" t="s">
        <v>292</v>
      </c>
      <c r="C15" s="1" t="s">
        <v>166</v>
      </c>
      <c r="D15" s="4"/>
      <c r="E15" s="1"/>
      <c r="F15" s="7" t="str">
        <f>"('"&amp;DIVISION5[[#This Row],[ID_DPT1]]&amp;"','"&amp;DIVISION5[[#This Row],[DEPARTEMENT]]&amp;"','"&amp;DIVISION5[[#This Row],[ID_DIV]]&amp;"','"&amp;DIVISION5[[#This Row],[NOTE]]&amp;"'),"</f>
        <v>('DPT0.10','Corporate Finance','',''),</v>
      </c>
    </row>
    <row r="16" spans="2:6" x14ac:dyDescent="0.25">
      <c r="B16" s="4" t="s">
        <v>293</v>
      </c>
      <c r="C16" s="1" t="s">
        <v>169</v>
      </c>
      <c r="D16" s="4"/>
      <c r="E16" s="1"/>
      <c r="F16" s="7" t="str">
        <f>"('"&amp;DIVISION5[[#This Row],[ID_DPT1]]&amp;"','"&amp;DIVISION5[[#This Row],[DEPARTEMENT]]&amp;"','"&amp;DIVISION5[[#This Row],[ID_DIV]]&amp;"','"&amp;DIVISION5[[#This Row],[NOTE]]&amp;"'),"</f>
        <v>('DPT0.11','Tax','',''),</v>
      </c>
    </row>
    <row r="17" spans="2:6" x14ac:dyDescent="0.25">
      <c r="B17" s="4" t="s">
        <v>725</v>
      </c>
      <c r="C17" s="1" t="s">
        <v>177</v>
      </c>
      <c r="D17" s="4"/>
      <c r="E17" s="1"/>
      <c r="F17" s="7" t="str">
        <f>"('"&amp;DIVISION5[[#This Row],[ID_DPT1]]&amp;"','"&amp;DIVISION5[[#This Row],[DEPARTEMENT]]&amp;"','"&amp;DIVISION5[[#This Row],[ID_DIV]]&amp;"','"&amp;DIVISION5[[#This Row],[NOTE]]&amp;"'),"</f>
        <v>('DPT0.12','Procurement &amp; Purchasing','',''),</v>
      </c>
    </row>
    <row r="18" spans="2:6" x14ac:dyDescent="0.25">
      <c r="B18" s="4" t="s">
        <v>726</v>
      </c>
      <c r="C18" s="1" t="s">
        <v>163</v>
      </c>
      <c r="D18" s="4"/>
      <c r="E18" s="1"/>
      <c r="F18" s="7" t="str">
        <f>"('"&amp;DIVISION5[[#This Row],[ID_DPT1]]&amp;"','"&amp;DIVISION5[[#This Row],[DEPARTEMENT]]&amp;"','"&amp;DIVISION5[[#This Row],[ID_DIV]]&amp;"','"&amp;DIVISION5[[#This Row],[NOTE]]&amp;"'),"</f>
        <v>('DPT0.13','Research &amp; Development','',''),</v>
      </c>
    </row>
    <row r="19" spans="2:6" x14ac:dyDescent="0.25">
      <c r="B19" s="4" t="s">
        <v>727</v>
      </c>
      <c r="C19" s="1" t="s">
        <v>179</v>
      </c>
      <c r="D19" s="4"/>
      <c r="E19" s="1"/>
      <c r="F19" s="7" t="str">
        <f>"('"&amp;DIVISION5[[#This Row],[ID_DPT1]]&amp;"','"&amp;DIVISION5[[#This Row],[DEPARTEMENT]]&amp;"','"&amp;DIVISION5[[#This Row],[ID_DIV]]&amp;"','"&amp;DIVISION5[[#This Row],[NOTE]]&amp;"'),"</f>
        <v>('DPT0.14','Talent Acquisition','',''),</v>
      </c>
    </row>
    <row r="20" spans="2:6" x14ac:dyDescent="0.25">
      <c r="B20" s="4" t="s">
        <v>728</v>
      </c>
      <c r="C20" s="1" t="s">
        <v>180</v>
      </c>
      <c r="D20" s="4"/>
      <c r="E20" s="1"/>
      <c r="F20" s="7" t="str">
        <f>"('"&amp;DIVISION5[[#This Row],[ID_DPT1]]&amp;"','"&amp;DIVISION5[[#This Row],[DEPARTEMENT]]&amp;"','"&amp;DIVISION5[[#This Row],[ID_DIV]]&amp;"','"&amp;DIVISION5[[#This Row],[NOTE]]&amp;"'),"</f>
        <v>('DPT0.15','Compensation &amp; Benefit','',''),</v>
      </c>
    </row>
    <row r="21" spans="2:6" x14ac:dyDescent="0.25">
      <c r="B21" s="4" t="s">
        <v>729</v>
      </c>
      <c r="C21" s="1" t="s">
        <v>131</v>
      </c>
      <c r="D21" s="4"/>
      <c r="E21" s="1"/>
      <c r="F21" s="7" t="str">
        <f>"('"&amp;DIVISION5[[#This Row],[ID_DPT1]]&amp;"','"&amp;DIVISION5[[#This Row],[DEPARTEMENT]]&amp;"','"&amp;DIVISION5[[#This Row],[ID_DIV]]&amp;"','"&amp;DIVISION5[[#This Row],[NOTE]]&amp;"'),"</f>
        <v>('DPT0.16','ISO','',''),</v>
      </c>
    </row>
    <row r="22" spans="2:6" x14ac:dyDescent="0.25">
      <c r="B22" s="4" t="s">
        <v>730</v>
      </c>
      <c r="C22" s="1" t="s">
        <v>182</v>
      </c>
      <c r="D22" s="4"/>
      <c r="E22" s="1"/>
      <c r="F22" s="7" t="str">
        <f>"('"&amp;DIVISION5[[#This Row],[ID_DPT1]]&amp;"','"&amp;DIVISION5[[#This Row],[DEPARTEMENT]]&amp;"','"&amp;DIVISION5[[#This Row],[ID_DIV]]&amp;"','"&amp;DIVISION5[[#This Row],[NOTE]]&amp;"'),"</f>
        <v>('DPT0.17','People Development &amp; Career Management','',''),</v>
      </c>
    </row>
    <row r="23" spans="2:6" x14ac:dyDescent="0.25">
      <c r="B23" s="4" t="s">
        <v>731</v>
      </c>
      <c r="C23" s="1" t="s">
        <v>187</v>
      </c>
      <c r="D23" s="4"/>
      <c r="E23" s="1"/>
      <c r="F23" s="7" t="str">
        <f>"('"&amp;DIVISION5[[#This Row],[ID_DPT1]]&amp;"','"&amp;DIVISION5[[#This Row],[DEPARTEMENT]]&amp;"','"&amp;DIVISION5[[#This Row],[ID_DIV]]&amp;"','"&amp;DIVISION5[[#This Row],[NOTE]]&amp;"'),"</f>
        <v>('DPT0.18','GA Operation','',''),</v>
      </c>
    </row>
    <row r="24" spans="2:6" x14ac:dyDescent="0.25">
      <c r="B24" s="4" t="s">
        <v>732</v>
      </c>
      <c r="C24" s="1" t="s">
        <v>188</v>
      </c>
      <c r="D24" s="4"/>
      <c r="E24" s="1"/>
      <c r="F24" s="7" t="str">
        <f>"('"&amp;DIVISION5[[#This Row],[ID_DPT1]]&amp;"','"&amp;DIVISION5[[#This Row],[DEPARTEMENT]]&amp;"','"&amp;DIVISION5[[#This Row],[ID_DIV]]&amp;"','"&amp;DIVISION5[[#This Row],[NOTE]]&amp;"'),"</f>
        <v>('DPT0.19','Contract &amp; Payment Control','',''),</v>
      </c>
    </row>
    <row r="25" spans="2:6" x14ac:dyDescent="0.25">
      <c r="B25" s="4" t="s">
        <v>2416</v>
      </c>
      <c r="C25" s="1" t="s">
        <v>189</v>
      </c>
      <c r="D25" s="4"/>
      <c r="E25" s="1"/>
      <c r="F25" s="7" t="str">
        <f>"('"&amp;DIVISION5[[#This Row],[ID_DPT1]]&amp;"','"&amp;DIVISION5[[#This Row],[DEPARTEMENT]]&amp;"','"&amp;DIVISION5[[#This Row],[ID_DIV]]&amp;"','"&amp;DIVISION5[[#This Row],[NOTE]]&amp;"'),"</f>
        <v>('DPT0.20','Business Partner','',''),</v>
      </c>
    </row>
  </sheetData>
  <phoneticPr fontId="3" type="noConversion"/>
  <conditionalFormatting sqref="B5:E25">
    <cfRule type="expression" dxfId="56" priority="1">
      <formula>ISNUMBER(SEARCH("DONE",$E5))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A2A5-3E5D-442B-A152-9EF77F7F593B}">
  <sheetPr codeName="Sheet6"/>
  <dimension ref="A4:J59"/>
  <sheetViews>
    <sheetView zoomScale="85" zoomScaleNormal="85" workbookViewId="0">
      <selection activeCell="B6" sqref="B6"/>
    </sheetView>
  </sheetViews>
  <sheetFormatPr defaultRowHeight="15" x14ac:dyDescent="0.25"/>
  <cols>
    <col min="1" max="1" width="4.7109375" style="2" customWidth="1"/>
    <col min="2" max="2" width="10.5703125" style="2" customWidth="1"/>
    <col min="3" max="3" width="38.28515625" bestFit="1" customWidth="1"/>
    <col min="4" max="4" width="27.7109375" bestFit="1" customWidth="1"/>
    <col min="5" max="5" width="38.28515625" bestFit="1" customWidth="1"/>
    <col min="6" max="6" width="25.85546875" bestFit="1" customWidth="1"/>
    <col min="7" max="7" width="26.42578125" bestFit="1" customWidth="1"/>
    <col min="8" max="8" width="100.7109375" customWidth="1"/>
    <col min="9" max="9" width="13.7109375" bestFit="1" customWidth="1"/>
    <col min="10" max="10" width="100.7109375" style="84" customWidth="1"/>
  </cols>
  <sheetData>
    <row r="4" spans="1:10" x14ac:dyDescent="0.25">
      <c r="B4" s="3" t="s">
        <v>2414</v>
      </c>
      <c r="C4" s="3" t="s">
        <v>2422</v>
      </c>
      <c r="D4" s="3" t="s">
        <v>2423</v>
      </c>
      <c r="E4" s="3" t="s">
        <v>334</v>
      </c>
      <c r="F4" s="3" t="s">
        <v>335</v>
      </c>
      <c r="G4" s="3" t="s">
        <v>157</v>
      </c>
      <c r="H4" s="3" t="s">
        <v>53</v>
      </c>
      <c r="I4" s="3" t="s">
        <v>2417</v>
      </c>
      <c r="J4" s="83" t="s">
        <v>325</v>
      </c>
    </row>
    <row r="5" spans="1:10" x14ac:dyDescent="0.25">
      <c r="A5" s="2" t="s">
        <v>724</v>
      </c>
      <c r="B5" s="5" t="s">
        <v>207</v>
      </c>
      <c r="C5" s="6" t="s">
        <v>294</v>
      </c>
      <c r="D5" s="6" t="s">
        <v>282</v>
      </c>
      <c r="E5" s="6" t="s">
        <v>138</v>
      </c>
      <c r="F5" s="6" t="s">
        <v>107</v>
      </c>
      <c r="G5" s="6" t="s">
        <v>294</v>
      </c>
      <c r="H5" s="6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:/EMPTY/DIV0.00/DPT0.00/EMPTY</v>
      </c>
      <c r="I5" s="5" t="s">
        <v>2415</v>
      </c>
      <c r="J5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('SDP0.00','EMPTY','DPT0.00','DIV0.00','DIR0.00','SUB Low Level of Structure :/EMPTY/DIV0.00/DPT0.00/EMPTY'),</v>
      </c>
    </row>
    <row r="6" spans="1:10" x14ac:dyDescent="0.25">
      <c r="A6" s="2" t="s">
        <v>724</v>
      </c>
      <c r="B6" s="5" t="s">
        <v>323</v>
      </c>
      <c r="C6" s="6" t="s">
        <v>322</v>
      </c>
      <c r="D6" s="6" t="s">
        <v>282</v>
      </c>
      <c r="E6" s="6" t="s">
        <v>138</v>
      </c>
      <c r="F6" s="6" t="s">
        <v>107</v>
      </c>
      <c r="G6" s="6" t="s">
        <v>294</v>
      </c>
      <c r="H6" s="6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:/EMPTY/DIV0.00/DPT0.00/Admin</v>
      </c>
      <c r="I6" s="5" t="s">
        <v>2415</v>
      </c>
      <c r="J6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('SDP0.01','Admin','DPT0.00','DIV0.00','DIR0.00','SUB Low Level of Structure :/EMPTY/DIV0.00/DPT0.00/Admin'),</v>
      </c>
    </row>
    <row r="7" spans="1:10" x14ac:dyDescent="0.25">
      <c r="A7" s="2" t="s">
        <v>724</v>
      </c>
      <c r="B7" s="4" t="s">
        <v>208</v>
      </c>
      <c r="C7" s="1" t="s">
        <v>154</v>
      </c>
      <c r="D7" s="1" t="s">
        <v>283</v>
      </c>
      <c r="E7" s="1" t="s">
        <v>139</v>
      </c>
      <c r="F7" s="7" t="s">
        <v>108</v>
      </c>
      <c r="G7" s="7" t="s">
        <v>20</v>
      </c>
      <c r="H7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Officer/DIV0.01/DPT0.01/IT Application</v>
      </c>
      <c r="I7" s="85" t="s">
        <v>2415</v>
      </c>
      <c r="J7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('SDP1.01','IT Application','DPT0.01','DIV0.01','DIR0.01','SUB Low Level of Structure :/Chief Executive Officer/DIV0.01/DPT0.01/IT Application'),</v>
      </c>
    </row>
    <row r="8" spans="1:10" x14ac:dyDescent="0.25">
      <c r="A8" s="2" t="s">
        <v>724</v>
      </c>
      <c r="B8" s="4" t="s">
        <v>209</v>
      </c>
      <c r="C8" s="1" t="s">
        <v>150</v>
      </c>
      <c r="D8" s="1" t="s">
        <v>284</v>
      </c>
      <c r="E8" s="1" t="s">
        <v>139</v>
      </c>
      <c r="F8" s="7" t="s">
        <v>108</v>
      </c>
      <c r="G8" s="7" t="s">
        <v>20</v>
      </c>
      <c r="H8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Officer/DIV0.01/DPT0.02/IT Network</v>
      </c>
      <c r="I8" s="85" t="s">
        <v>2415</v>
      </c>
      <c r="J8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('SDP1.02','IT Network','DPT0.02','DIV0.01','DIR0.01','SUB Low Level of Structure :/Chief Executive Officer/DIV0.01/DPT0.02/IT Network'),</v>
      </c>
    </row>
    <row r="9" spans="1:10" x14ac:dyDescent="0.25">
      <c r="A9" s="2" t="s">
        <v>724</v>
      </c>
      <c r="B9" s="4" t="s">
        <v>210</v>
      </c>
      <c r="C9" s="1" t="s">
        <v>151</v>
      </c>
      <c r="D9" s="1" t="s">
        <v>284</v>
      </c>
      <c r="E9" s="1" t="s">
        <v>139</v>
      </c>
      <c r="F9" s="7" t="s">
        <v>108</v>
      </c>
      <c r="G9" s="7" t="s">
        <v>20</v>
      </c>
      <c r="H9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Officer/DIV0.01/DPT0.02/IT Server</v>
      </c>
      <c r="I9" s="85" t="s">
        <v>2415</v>
      </c>
      <c r="J9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('SDP1.03','IT Server','DPT0.02','DIV0.01','DIR0.01','SUB Low Level of Structure :/Chief Executive Officer/DIV0.01/DPT0.02/IT Server'),</v>
      </c>
    </row>
    <row r="10" spans="1:10" x14ac:dyDescent="0.25">
      <c r="A10" s="2" t="s">
        <v>724</v>
      </c>
      <c r="B10" s="4" t="s">
        <v>211</v>
      </c>
      <c r="C10" s="1" t="s">
        <v>152</v>
      </c>
      <c r="D10" s="1" t="s">
        <v>285</v>
      </c>
      <c r="E10" s="1" t="s">
        <v>139</v>
      </c>
      <c r="F10" s="7" t="s">
        <v>108</v>
      </c>
      <c r="G10" s="7" t="s">
        <v>20</v>
      </c>
      <c r="H10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Officer/DIV0.01/DPT0.03/IT Project</v>
      </c>
      <c r="I10" s="85" t="s">
        <v>2415</v>
      </c>
      <c r="J10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('SDP1.04','IT Project','DPT0.03','DIV0.01','DIR0.01','SUB Low Level of Structure :/Chief Executive Officer/DIV0.01/DPT0.03/IT Project'),</v>
      </c>
    </row>
    <row r="11" spans="1:10" x14ac:dyDescent="0.25">
      <c r="A11" s="2" t="s">
        <v>724</v>
      </c>
      <c r="B11" s="4" t="s">
        <v>212</v>
      </c>
      <c r="C11" s="1" t="s">
        <v>153</v>
      </c>
      <c r="D11" s="1" t="s">
        <v>285</v>
      </c>
      <c r="E11" s="1" t="s">
        <v>139</v>
      </c>
      <c r="F11" s="7" t="s">
        <v>108</v>
      </c>
      <c r="G11" s="7" t="s">
        <v>20</v>
      </c>
      <c r="H11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Officer/DIV0.01/DPT0.03/IT Operation</v>
      </c>
      <c r="I11" s="85" t="s">
        <v>2415</v>
      </c>
      <c r="J11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('SDP1.05','IT Operation','DPT0.03','DIV0.01','DIR0.01','SUB Low Level of Structure :/Chief Executive Officer/DIV0.01/DPT0.03/IT Operation'),</v>
      </c>
    </row>
    <row r="12" spans="1:10" x14ac:dyDescent="0.25">
      <c r="A12" s="2" t="s">
        <v>724</v>
      </c>
      <c r="B12" s="4" t="s">
        <v>213</v>
      </c>
      <c r="C12" s="1" t="s">
        <v>160</v>
      </c>
      <c r="D12" s="1" t="s">
        <v>286</v>
      </c>
      <c r="E12" s="1" t="s">
        <v>139</v>
      </c>
      <c r="F12" s="7" t="s">
        <v>108</v>
      </c>
      <c r="G12" s="7" t="s">
        <v>20</v>
      </c>
      <c r="H12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Officer/DIV0.01/DPT0.04/IT Cyber Security</v>
      </c>
      <c r="I12" s="85" t="s">
        <v>2415</v>
      </c>
      <c r="J12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('SDP1.06','IT Cyber Security','DPT0.04','DIV0.01','DIR0.01','SUB Low Level of Structure :/Chief Executive Officer/DIV0.01/DPT0.04/IT Cyber Security'),</v>
      </c>
    </row>
    <row r="13" spans="1:10" x14ac:dyDescent="0.25">
      <c r="A13" s="2" t="s">
        <v>724</v>
      </c>
      <c r="B13" s="4" t="s">
        <v>214</v>
      </c>
      <c r="C13" s="1" t="s">
        <v>158</v>
      </c>
      <c r="D13" s="1" t="s">
        <v>286</v>
      </c>
      <c r="E13" s="1" t="s">
        <v>139</v>
      </c>
      <c r="F13" s="7" t="s">
        <v>108</v>
      </c>
      <c r="G13" s="7" t="s">
        <v>20</v>
      </c>
      <c r="H13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Officer/DIV0.01/DPT0.04/IT Complience</v>
      </c>
      <c r="I13" s="85" t="s">
        <v>2415</v>
      </c>
      <c r="J13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('SDP1.07','IT Complience','DPT0.04','DIV0.01','DIR0.01','SUB Low Level of Structure :/Chief Executive Officer/DIV0.01/DPT0.04/IT Complience'),</v>
      </c>
    </row>
    <row r="14" spans="1:10" x14ac:dyDescent="0.25">
      <c r="A14" s="2" t="s">
        <v>724</v>
      </c>
      <c r="B14" s="4" t="s">
        <v>215</v>
      </c>
      <c r="C14" s="1" t="s">
        <v>2418</v>
      </c>
      <c r="D14" s="1" t="s">
        <v>287</v>
      </c>
      <c r="E14" s="7" t="s">
        <v>140</v>
      </c>
      <c r="F14" s="7" t="s">
        <v>108</v>
      </c>
      <c r="G14" s="7" t="s">
        <v>20</v>
      </c>
      <c r="H14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Officer/DIV0.02/DPT0.05/Product Development</v>
      </c>
      <c r="I14" s="85"/>
      <c r="J14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('SDP1.08','Product Development','DPT0.05','DIV0.02','DIR0.01','SUB Low Level of Structure :/Chief Executive Officer/DIV0.02/DPT0.05/Product Development'),</v>
      </c>
    </row>
    <row r="15" spans="1:10" x14ac:dyDescent="0.25">
      <c r="A15" s="2" t="s">
        <v>724</v>
      </c>
      <c r="B15" s="4" t="s">
        <v>216</v>
      </c>
      <c r="C15" s="1" t="s">
        <v>2419</v>
      </c>
      <c r="D15" s="1" t="s">
        <v>287</v>
      </c>
      <c r="E15" s="7" t="s">
        <v>140</v>
      </c>
      <c r="F15" s="7" t="s">
        <v>108</v>
      </c>
      <c r="G15" s="7" t="s">
        <v>20</v>
      </c>
      <c r="H15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Officer/DIV0.02/DPT0.05/Project</v>
      </c>
      <c r="I15" s="85"/>
      <c r="J15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('SDP1.09','Project','DPT0.05','DIV0.02','DIR0.01','SUB Low Level of Structure :/Chief Executive Officer/DIV0.02/DPT0.05/Project'),</v>
      </c>
    </row>
    <row r="16" spans="1:10" x14ac:dyDescent="0.25">
      <c r="A16" s="2" t="s">
        <v>724</v>
      </c>
      <c r="B16" s="4" t="s">
        <v>217</v>
      </c>
      <c r="C16" s="1" t="s">
        <v>2420</v>
      </c>
      <c r="D16" s="1" t="s">
        <v>287</v>
      </c>
      <c r="E16" s="7" t="s">
        <v>140</v>
      </c>
      <c r="F16" s="7" t="s">
        <v>108</v>
      </c>
      <c r="G16" s="7" t="s">
        <v>20</v>
      </c>
      <c r="H16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Officer/DIV0.02/DPT0.05/Software Engineer</v>
      </c>
      <c r="I16" s="85"/>
      <c r="J16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('SDP1.10','Software Engineer','DPT0.05','DIV0.02','DIR0.01','SUB Low Level of Structure :/Chief Executive Officer/DIV0.02/DPT0.05/Software Engineer'),</v>
      </c>
    </row>
    <row r="17" spans="1:10" x14ac:dyDescent="0.25">
      <c r="A17" s="2" t="s">
        <v>724</v>
      </c>
      <c r="B17" s="4" t="s">
        <v>218</v>
      </c>
      <c r="C17" s="1" t="s">
        <v>2421</v>
      </c>
      <c r="D17" s="1" t="s">
        <v>287</v>
      </c>
      <c r="E17" s="7" t="s">
        <v>140</v>
      </c>
      <c r="F17" s="7" t="s">
        <v>108</v>
      </c>
      <c r="G17" s="7" t="s">
        <v>20</v>
      </c>
      <c r="H17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:/Chief Executive Officer/DIV0.02/DPT0.05/Partnership</v>
      </c>
      <c r="I17" s="85"/>
      <c r="J17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('SDP1.11','Partnership','DPT0.05','DIV0.02','DIR0.01','SUB Low Level of Structure :/Chief Executive Officer/DIV0.02/DPT0.05/Partnership'),</v>
      </c>
    </row>
    <row r="18" spans="1:10" x14ac:dyDescent="0.25">
      <c r="A18" s="2" t="s">
        <v>724</v>
      </c>
      <c r="B18" s="4" t="s">
        <v>219</v>
      </c>
      <c r="C18" s="1" t="s">
        <v>175</v>
      </c>
      <c r="D18" s="1" t="s">
        <v>176</v>
      </c>
      <c r="E18" s="7" t="s">
        <v>129</v>
      </c>
      <c r="F18" s="7" t="s">
        <v>164</v>
      </c>
      <c r="G18" s="7" t="s">
        <v>104</v>
      </c>
      <c r="H18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Accounting/Account Payable &amp; Cashier/Account Payable</v>
      </c>
      <c r="I18" s="85"/>
      <c r="J18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('SDP1.12','Account Payable','Account Payable &amp; Cashier','Finance &amp; Accounting','Chief Finance Officer','SUB Low Level of Structure :/Direktur Finance Accounting/Finance &amp; Accounting/Account Payable &amp; Cashier/Account Payable'),</v>
      </c>
    </row>
    <row r="19" spans="1:10" x14ac:dyDescent="0.25">
      <c r="A19" s="2" t="s">
        <v>724</v>
      </c>
      <c r="B19" s="4" t="s">
        <v>220</v>
      </c>
      <c r="C19" s="1" t="s">
        <v>174</v>
      </c>
      <c r="D19" s="1" t="s">
        <v>173</v>
      </c>
      <c r="E19" s="7" t="s">
        <v>129</v>
      </c>
      <c r="F19" s="7" t="s">
        <v>164</v>
      </c>
      <c r="G19" s="7" t="s">
        <v>104</v>
      </c>
      <c r="H19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Accounting/Accounting &amp; Account Raceivable/Account Raceivable</v>
      </c>
      <c r="I19" s="85"/>
      <c r="J19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('SDP1.13','Account Raceivable','Accounting &amp; Account Raceivable','Finance &amp; Accounting','Chief Finance Officer','SUB Low Level of Structure :/Direktur Finance Accounting/Finance &amp; Accounting/Accounting &amp; Account Raceivable/Account Raceivable'),</v>
      </c>
    </row>
    <row r="20" spans="1:10" x14ac:dyDescent="0.25">
      <c r="A20" s="2" t="s">
        <v>724</v>
      </c>
      <c r="B20" s="4" t="s">
        <v>221</v>
      </c>
      <c r="C20" s="1" t="s">
        <v>170</v>
      </c>
      <c r="D20" s="1" t="s">
        <v>173</v>
      </c>
      <c r="E20" s="1" t="s">
        <v>129</v>
      </c>
      <c r="F20" s="7" t="s">
        <v>164</v>
      </c>
      <c r="G20" s="7" t="s">
        <v>104</v>
      </c>
      <c r="H20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Accounting/Accounting &amp; Account Raceivable/Accounting</v>
      </c>
      <c r="I20" s="85"/>
      <c r="J20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('SDP1.14','Accounting','Accounting &amp; Account Raceivable','Finance &amp; Accounting','Chief Finance Officer','SUB Low Level of Structure :/Direktur Finance Accounting/Finance &amp; Accounting/Accounting &amp; Account Raceivable/Accounting'),</v>
      </c>
    </row>
    <row r="21" spans="1:10" x14ac:dyDescent="0.25">
      <c r="A21" s="2" t="s">
        <v>724</v>
      </c>
      <c r="B21" s="4" t="s">
        <v>222</v>
      </c>
      <c r="C21" s="1" t="s">
        <v>171</v>
      </c>
      <c r="D21" s="1" t="s">
        <v>171</v>
      </c>
      <c r="E21" s="7" t="s">
        <v>129</v>
      </c>
      <c r="F21" s="7" t="s">
        <v>164</v>
      </c>
      <c r="G21" s="7" t="s">
        <v>104</v>
      </c>
      <c r="H21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Accounting/Asset Management &amp; Controller/Asset Management &amp; Controller</v>
      </c>
      <c r="I21" s="85"/>
      <c r="J21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('SDP1.15','Asset Management &amp; Controller','Asset Management &amp; Controller','Finance &amp; Accounting','Chief Finance Officer','SUB Low Level of Structure :/Direktur Finance Accounting/Finance &amp; Accounting/Asset Management &amp; Controller/Asset Management &amp; Controller'),</v>
      </c>
    </row>
    <row r="22" spans="1:10" x14ac:dyDescent="0.25">
      <c r="A22" s="2" t="s">
        <v>724</v>
      </c>
      <c r="B22" s="4" t="s">
        <v>223</v>
      </c>
      <c r="C22" s="1" t="s">
        <v>172</v>
      </c>
      <c r="D22" s="1" t="s">
        <v>176</v>
      </c>
      <c r="E22" s="7" t="s">
        <v>129</v>
      </c>
      <c r="F22" s="7" t="s">
        <v>164</v>
      </c>
      <c r="G22" s="7" t="s">
        <v>104</v>
      </c>
      <c r="H22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Accounting/Account Payable &amp; Cashier/Cashier</v>
      </c>
      <c r="I22" s="85"/>
      <c r="J22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('SDP1.16','Cashier','Account Payable &amp; Cashier','Finance &amp; Accounting','Chief Finance Officer','SUB Low Level of Structure :/Direktur Finance Accounting/Finance &amp; Accounting/Account Payable &amp; Cashier/Cashier'),</v>
      </c>
    </row>
    <row r="23" spans="1:10" x14ac:dyDescent="0.25">
      <c r="A23" s="2" t="s">
        <v>724</v>
      </c>
      <c r="B23" s="4" t="s">
        <v>224</v>
      </c>
      <c r="C23" s="1" t="s">
        <v>168</v>
      </c>
      <c r="D23" s="1" t="s">
        <v>168</v>
      </c>
      <c r="E23" s="7" t="s">
        <v>129</v>
      </c>
      <c r="F23" s="7" t="s">
        <v>164</v>
      </c>
      <c r="G23" s="7" t="s">
        <v>104</v>
      </c>
      <c r="H23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Accounting/Collection/Collection</v>
      </c>
      <c r="I23" s="85"/>
      <c r="J23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('SDP1.17','Collection','Collection','Finance &amp; Accounting','Chief Finance Officer','SUB Low Level of Structure :/Direktur Finance Accounting/Finance &amp; Accounting/Collection/Collection'),</v>
      </c>
    </row>
    <row r="24" spans="1:10" x14ac:dyDescent="0.25">
      <c r="A24" s="2" t="s">
        <v>724</v>
      </c>
      <c r="B24" s="4" t="s">
        <v>225</v>
      </c>
      <c r="C24" s="1" t="s">
        <v>167</v>
      </c>
      <c r="D24" s="1" t="s">
        <v>166</v>
      </c>
      <c r="E24" s="7" t="s">
        <v>161</v>
      </c>
      <c r="F24" s="7" t="s">
        <v>164</v>
      </c>
      <c r="G24" s="7" t="s">
        <v>104</v>
      </c>
      <c r="H24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Accounting/Corporate consolidation, Reporting &amp; Analisis/Corporate Finance/Reporting</v>
      </c>
      <c r="I24" s="85"/>
      <c r="J24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('SDP1.18','Reporting','Corporate Finance','Corporate consolidation, Reporting &amp; Analisis','Chief Finance Officer','SUB Low Level of Structure :/Direktur Finance Accounting/Corporate consolidation, Reporting &amp; Analisis/Corporate Finance/Reporting'),</v>
      </c>
    </row>
    <row r="25" spans="1:10" x14ac:dyDescent="0.25">
      <c r="A25" s="2" t="s">
        <v>724</v>
      </c>
      <c r="B25" s="4" t="s">
        <v>226</v>
      </c>
      <c r="C25" s="1" t="s">
        <v>169</v>
      </c>
      <c r="D25" s="1" t="s">
        <v>169</v>
      </c>
      <c r="E25" s="7" t="s">
        <v>129</v>
      </c>
      <c r="F25" s="7" t="s">
        <v>164</v>
      </c>
      <c r="G25" s="7" t="s">
        <v>104</v>
      </c>
      <c r="H25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Accounting/Tax/Tax</v>
      </c>
      <c r="I25" s="85"/>
      <c r="J25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('SDP1.19','Tax','Tax','Finance &amp; Accounting','Chief Finance Officer','SUB Low Level of Structure :/Direktur Finance Accounting/Finance &amp; Accounting/Tax/Tax'),</v>
      </c>
    </row>
    <row r="26" spans="1:10" x14ac:dyDescent="0.25">
      <c r="A26" s="2" t="s">
        <v>724</v>
      </c>
      <c r="B26" s="4" t="s">
        <v>227</v>
      </c>
      <c r="C26" s="1" t="s">
        <v>162</v>
      </c>
      <c r="D26" s="1" t="s">
        <v>177</v>
      </c>
      <c r="E26" s="7" t="s">
        <v>129</v>
      </c>
      <c r="F26" s="7" t="s">
        <v>164</v>
      </c>
      <c r="G26" s="7" t="s">
        <v>104</v>
      </c>
      <c r="H26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Accounting/Procurement &amp; Purchasing/Procurement</v>
      </c>
      <c r="I26" s="85"/>
      <c r="J26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('SDP1.20','Procurement','Procurement &amp; Purchasing','Finance &amp; Accounting','Chief Finance Officer','SUB Low Level of Structure :/Direktur Finance Accounting/Finance &amp; Accounting/Procurement &amp; Purchasing/Procurement'),</v>
      </c>
    </row>
    <row r="27" spans="1:10" x14ac:dyDescent="0.25">
      <c r="A27" s="2" t="s">
        <v>724</v>
      </c>
      <c r="B27" s="4" t="s">
        <v>228</v>
      </c>
      <c r="C27" s="1" t="s">
        <v>165</v>
      </c>
      <c r="D27" s="1" t="s">
        <v>177</v>
      </c>
      <c r="E27" s="7" t="s">
        <v>129</v>
      </c>
      <c r="F27" s="7" t="s">
        <v>164</v>
      </c>
      <c r="G27" s="7" t="s">
        <v>104</v>
      </c>
      <c r="H27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Accounting/Procurement &amp; Purchasing/Purchasing</v>
      </c>
      <c r="I27" s="85"/>
      <c r="J27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('SDP1.21','Purchasing','Procurement &amp; Purchasing','Finance &amp; Accounting','Chief Finance Officer','SUB Low Level of Structure :/Direktur Finance Accounting/Finance &amp; Accounting/Procurement &amp; Purchasing/Purchasing'),</v>
      </c>
    </row>
    <row r="28" spans="1:10" x14ac:dyDescent="0.25">
      <c r="A28" s="2" t="s">
        <v>724</v>
      </c>
      <c r="B28" s="4" t="s">
        <v>229</v>
      </c>
      <c r="C28" s="1" t="s">
        <v>163</v>
      </c>
      <c r="D28" s="1" t="s">
        <v>163</v>
      </c>
      <c r="E28" s="7" t="s">
        <v>129</v>
      </c>
      <c r="F28" s="7" t="s">
        <v>164</v>
      </c>
      <c r="G28" s="7" t="s">
        <v>104</v>
      </c>
      <c r="H28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Finance Accounting/Finance &amp; Accounting/Research &amp; Development/Research &amp; Development</v>
      </c>
      <c r="I28" s="85"/>
      <c r="J28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('SDP1.22','Research &amp; Development','Research &amp; Development','Finance &amp; Accounting','Chief Finance Officer','SUB Low Level of Structure :/Direktur Finance Accounting/Finance &amp; Accounting/Research &amp; Development/Research &amp; Development'),</v>
      </c>
    </row>
    <row r="29" spans="1:10" x14ac:dyDescent="0.25">
      <c r="A29" s="2" t="s">
        <v>724</v>
      </c>
      <c r="B29" s="4" t="s">
        <v>230</v>
      </c>
      <c r="C29" s="1" t="s">
        <v>179</v>
      </c>
      <c r="D29" s="1" t="s">
        <v>179</v>
      </c>
      <c r="E29" s="7" t="s">
        <v>178</v>
      </c>
      <c r="F29" s="7" t="s">
        <v>26</v>
      </c>
      <c r="G29" s="7" t="s">
        <v>105</v>
      </c>
      <c r="H29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Development/Talent Acquisition/Talent Acquisition</v>
      </c>
      <c r="I29" s="85"/>
      <c r="J29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('SDP1.23','Talent Acquisition','Talent Acquisition','Human Resource &amp; Development','Chief Human Resources Officer','SUB Low Level of Structure :/Direktur Human Capital/Human Resource &amp; Development/Talent Acquisition/Talent Acquisition'),</v>
      </c>
    </row>
    <row r="30" spans="1:10" x14ac:dyDescent="0.25">
      <c r="A30" s="2" t="s">
        <v>724</v>
      </c>
      <c r="B30" s="4" t="s">
        <v>231</v>
      </c>
      <c r="C30" s="1" t="s">
        <v>180</v>
      </c>
      <c r="D30" s="1" t="s">
        <v>180</v>
      </c>
      <c r="E30" s="7" t="s">
        <v>178</v>
      </c>
      <c r="F30" s="7" t="s">
        <v>26</v>
      </c>
      <c r="G30" s="7" t="s">
        <v>105</v>
      </c>
      <c r="H30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Development/Compensation &amp; Benefit/Compensation &amp; Benefit</v>
      </c>
      <c r="I30" s="85"/>
      <c r="J30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('SDP1.24','Compensation &amp; Benefit','Compensation &amp; Benefit','Human Resource &amp; Development','Chief Human Resources Officer','SUB Low Level of Structure :/Direktur Human Capital/Human Resource &amp; Development/Compensation &amp; Benefit/Compensation &amp; Benefit'),</v>
      </c>
    </row>
    <row r="31" spans="1:10" x14ac:dyDescent="0.25">
      <c r="A31" s="2" t="s">
        <v>724</v>
      </c>
      <c r="B31" s="4" t="s">
        <v>232</v>
      </c>
      <c r="C31" s="1" t="s">
        <v>181</v>
      </c>
      <c r="D31" s="1" t="s">
        <v>131</v>
      </c>
      <c r="E31" s="7" t="s">
        <v>178</v>
      </c>
      <c r="F31" s="7" t="s">
        <v>26</v>
      </c>
      <c r="G31" s="7" t="s">
        <v>105</v>
      </c>
      <c r="H31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Development/ISO/Internal Audit &amp; Business Process</v>
      </c>
      <c r="I31" s="85"/>
      <c r="J31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('SDP1.25','Internal Audit &amp; Business Process','ISO','Human Resource &amp; Development','Chief Human Resources Officer','SUB Low Level of Structure :/Direktur Human Capital/Human Resource &amp; Development/ISO/Internal Audit &amp; Business Process'),</v>
      </c>
    </row>
    <row r="32" spans="1:10" x14ac:dyDescent="0.25">
      <c r="A32" s="2" t="s">
        <v>724</v>
      </c>
      <c r="B32" s="4" t="s">
        <v>233</v>
      </c>
      <c r="C32" s="1" t="s">
        <v>182</v>
      </c>
      <c r="D32" s="1" t="s">
        <v>182</v>
      </c>
      <c r="E32" s="7" t="s">
        <v>178</v>
      </c>
      <c r="F32" s="7" t="s">
        <v>26</v>
      </c>
      <c r="G32" s="7" t="s">
        <v>105</v>
      </c>
      <c r="H32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Development/People Development &amp; Career Management/People Development &amp; Career Management</v>
      </c>
      <c r="I32" s="85"/>
      <c r="J32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('SDP1.26','People Development &amp; Career Management','People Development &amp; Career Management','Human Resource &amp; Development','Chief Human Resources Officer','SUB Low Level of Structure :/Direktur Human Capital/Human Resource &amp; Development/People Development &amp; Career Management/People Development &amp; Career Management'),</v>
      </c>
    </row>
    <row r="33" spans="1:10" x14ac:dyDescent="0.25">
      <c r="A33" s="2" t="s">
        <v>724</v>
      </c>
      <c r="B33" s="4" t="s">
        <v>234</v>
      </c>
      <c r="C33" s="1" t="s">
        <v>183</v>
      </c>
      <c r="D33" s="1" t="s">
        <v>187</v>
      </c>
      <c r="E33" s="7" t="s">
        <v>178</v>
      </c>
      <c r="F33" s="7" t="s">
        <v>26</v>
      </c>
      <c r="G33" s="7" t="s">
        <v>105</v>
      </c>
      <c r="H33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Development/GA Operation/Employer Branding</v>
      </c>
      <c r="I33" s="85"/>
      <c r="J33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('SDP1.27','Employer Branding','GA Operation','Human Resource &amp; Development','Chief Human Resources Officer','SUB Low Level of Structure :/Direktur Human Capital/Human Resource &amp; Development/GA Operation/Employer Branding'),</v>
      </c>
    </row>
    <row r="34" spans="1:10" x14ac:dyDescent="0.25">
      <c r="A34" s="2" t="s">
        <v>724</v>
      </c>
      <c r="B34" s="4" t="s">
        <v>235</v>
      </c>
      <c r="C34" s="1" t="s">
        <v>184</v>
      </c>
      <c r="D34" s="1" t="s">
        <v>187</v>
      </c>
      <c r="E34" s="7" t="s">
        <v>178</v>
      </c>
      <c r="F34" s="7" t="s">
        <v>26</v>
      </c>
      <c r="G34" s="7" t="s">
        <v>105</v>
      </c>
      <c r="H34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Development/GA Operation/Warehouse</v>
      </c>
      <c r="I34" s="85"/>
      <c r="J34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('SDP1.28','Warehouse','GA Operation','Human Resource &amp; Development','Chief Human Resources Officer','SUB Low Level of Structure :/Direktur Human Capital/Human Resource &amp; Development/GA Operation/Warehouse'),</v>
      </c>
    </row>
    <row r="35" spans="1:10" x14ac:dyDescent="0.25">
      <c r="A35" s="2" t="s">
        <v>724</v>
      </c>
      <c r="B35" s="4" t="s">
        <v>236</v>
      </c>
      <c r="C35" s="1" t="s">
        <v>190</v>
      </c>
      <c r="D35" s="1" t="s">
        <v>187</v>
      </c>
      <c r="E35" s="7" t="s">
        <v>178</v>
      </c>
      <c r="F35" s="7" t="s">
        <v>26</v>
      </c>
      <c r="G35" s="7" t="s">
        <v>105</v>
      </c>
      <c r="H35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Development/GA Operation/Storekeeper</v>
      </c>
      <c r="I35" s="85"/>
      <c r="J35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('SDP1.29','Storekeeper','GA Operation','Human Resource &amp; Development','Chief Human Resources Officer','SUB Low Level of Structure :/Direktur Human Capital/Human Resource &amp; Development/GA Operation/Storekeeper'),</v>
      </c>
    </row>
    <row r="36" spans="1:10" x14ac:dyDescent="0.25">
      <c r="B36" s="4" t="s">
        <v>237</v>
      </c>
      <c r="C36" s="1" t="s">
        <v>185</v>
      </c>
      <c r="D36" s="1" t="s">
        <v>187</v>
      </c>
      <c r="E36" s="7" t="s">
        <v>178</v>
      </c>
      <c r="F36" s="7" t="s">
        <v>26</v>
      </c>
      <c r="G36" s="7" t="s">
        <v>105</v>
      </c>
      <c r="H36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Development/GA Operation/Office Boy</v>
      </c>
      <c r="I36" s="85"/>
      <c r="J36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('SDP1.30','Office Boy','GA Operation','Human Resource &amp; Development','Chief Human Resources Officer','SUB Low Level of Structure :/Direktur Human Capital/Human Resource &amp; Development/GA Operation/Office Boy'),</v>
      </c>
    </row>
    <row r="37" spans="1:10" x14ac:dyDescent="0.25">
      <c r="B37" s="4" t="s">
        <v>238</v>
      </c>
      <c r="C37" s="1" t="s">
        <v>186</v>
      </c>
      <c r="D37" s="1" t="s">
        <v>187</v>
      </c>
      <c r="E37" s="7" t="s">
        <v>178</v>
      </c>
      <c r="F37" s="7" t="s">
        <v>26</v>
      </c>
      <c r="G37" s="7" t="s">
        <v>105</v>
      </c>
      <c r="H37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Development/GA Operation/Messenger</v>
      </c>
      <c r="I37" s="85"/>
      <c r="J37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('SDP1.31','Messenger','GA Operation','Human Resource &amp; Development','Chief Human Resources Officer','SUB Low Level of Structure :/Direktur Human Capital/Human Resource &amp; Development/GA Operation/Messenger'),</v>
      </c>
    </row>
    <row r="38" spans="1:10" x14ac:dyDescent="0.25">
      <c r="B38" s="4" t="s">
        <v>239</v>
      </c>
      <c r="C38" s="1" t="s">
        <v>188</v>
      </c>
      <c r="D38" s="1" t="s">
        <v>188</v>
      </c>
      <c r="E38" s="7" t="s">
        <v>178</v>
      </c>
      <c r="F38" s="7" t="s">
        <v>26</v>
      </c>
      <c r="G38" s="7" t="s">
        <v>105</v>
      </c>
      <c r="H38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Development/Contract &amp; Payment Control/Contract &amp; Payment Control</v>
      </c>
      <c r="I38" s="85"/>
      <c r="J38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('SDP1.32','Contract &amp; Payment Control','Contract &amp; Payment Control','Human Resource &amp; Development','Chief Human Resources Officer','SUB Low Level of Structure :/Direktur Human Capital/Human Resource &amp; Development/Contract &amp; Payment Control/Contract &amp; Payment Control'),</v>
      </c>
    </row>
    <row r="39" spans="1:10" x14ac:dyDescent="0.25">
      <c r="B39" s="4" t="s">
        <v>240</v>
      </c>
      <c r="C39" s="1" t="s">
        <v>189</v>
      </c>
      <c r="D39" s="1" t="s">
        <v>189</v>
      </c>
      <c r="E39" s="7" t="s">
        <v>178</v>
      </c>
      <c r="F39" s="7" t="s">
        <v>26</v>
      </c>
      <c r="G39" s="7" t="s">
        <v>105</v>
      </c>
      <c r="H39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:/Direktur Human Capital/Human Resource &amp; Development/Business Partner/Business Partner</v>
      </c>
      <c r="I39" s="85"/>
      <c r="J39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('SDP1.33','Business Partner','Business Partner','Human Resource &amp; Development','Chief Human Resources Officer','SUB Low Level of Structure :/Direktur Human Capital/Human Resource &amp; Development/Business Partner/Business Partner'),</v>
      </c>
    </row>
    <row r="40" spans="1:10" x14ac:dyDescent="0.25">
      <c r="B40" s="4" t="s">
        <v>241</v>
      </c>
      <c r="C40" s="1" t="s">
        <v>192</v>
      </c>
      <c r="D40" s="1" t="s">
        <v>191</v>
      </c>
      <c r="E40" s="7" t="s">
        <v>132</v>
      </c>
      <c r="F40" s="7"/>
      <c r="G40" s="7"/>
      <c r="H40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://Operation/Housekeeping &amp;Parking/Housekeeping</v>
      </c>
      <c r="I40" s="85"/>
      <c r="J40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('SDP1.34','Housekeeping','Housekeeping &amp;Parking','Operation','','SUB Low Level of Structure ://Operation/Housekeeping &amp;Parking/Housekeeping'),</v>
      </c>
    </row>
    <row r="41" spans="1:10" x14ac:dyDescent="0.25">
      <c r="B41" s="4" t="s">
        <v>242</v>
      </c>
      <c r="C41" s="1" t="s">
        <v>193</v>
      </c>
      <c r="D41" s="1" t="s">
        <v>191</v>
      </c>
      <c r="E41" s="7" t="s">
        <v>132</v>
      </c>
      <c r="F41" s="7"/>
      <c r="G41" s="7"/>
      <c r="H41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://Operation/Housekeeping &amp;Parking/Parking</v>
      </c>
      <c r="I41" s="85"/>
      <c r="J41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('SDP1.35','Parking','Housekeeping &amp;Parking','Operation','','SUB Low Level of Structure ://Operation/Housekeeping &amp;Parking/Parking'),</v>
      </c>
    </row>
    <row r="42" spans="1:10" x14ac:dyDescent="0.25">
      <c r="B42" s="4" t="s">
        <v>243</v>
      </c>
      <c r="C42" s="1" t="s">
        <v>194</v>
      </c>
      <c r="D42" s="1" t="s">
        <v>196</v>
      </c>
      <c r="E42" s="7" t="s">
        <v>132</v>
      </c>
      <c r="F42" s="7"/>
      <c r="G42" s="7"/>
      <c r="H42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://Operation/HSE &amp; Safety/Safety</v>
      </c>
      <c r="I42" s="85"/>
      <c r="J42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('SDP1.36','Safety','HSE &amp; Safety','Operation','','SUB Low Level of Structure ://Operation/HSE &amp; Safety/Safety'),</v>
      </c>
    </row>
    <row r="43" spans="1:10" x14ac:dyDescent="0.25">
      <c r="B43" s="4" t="s">
        <v>244</v>
      </c>
      <c r="C43" s="1" t="s">
        <v>195</v>
      </c>
      <c r="D43" s="1" t="s">
        <v>196</v>
      </c>
      <c r="E43" s="7" t="s">
        <v>132</v>
      </c>
      <c r="F43" s="7"/>
      <c r="G43" s="7"/>
      <c r="H43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://Operation/HSE &amp; Safety/HSE</v>
      </c>
      <c r="I43" s="85"/>
      <c r="J43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('SDP1.37','HSE','HSE &amp; Safety','Operation','','SUB Low Level of Structure ://Operation/HSE &amp; Safety/HSE'),</v>
      </c>
    </row>
    <row r="44" spans="1:10" x14ac:dyDescent="0.25">
      <c r="B44" s="4" t="s">
        <v>245</v>
      </c>
      <c r="C44" s="1" t="s">
        <v>198</v>
      </c>
      <c r="D44" s="1" t="s">
        <v>197</v>
      </c>
      <c r="E44" s="7" t="s">
        <v>132</v>
      </c>
      <c r="F44" s="7"/>
      <c r="G44" s="7"/>
      <c r="H44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://Operation/GEA &amp; TR/GEA</v>
      </c>
      <c r="I44" s="85"/>
      <c r="J44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('SDP1.38','GEA','GEA &amp; TR','Operation','','SUB Low Level of Structure ://Operation/GEA &amp; TR/GEA'),</v>
      </c>
    </row>
    <row r="45" spans="1:10" x14ac:dyDescent="0.25">
      <c r="B45" s="4" t="s">
        <v>246</v>
      </c>
      <c r="C45" s="1" t="s">
        <v>199</v>
      </c>
      <c r="D45" s="1" t="s">
        <v>197</v>
      </c>
      <c r="E45" s="7" t="s">
        <v>132</v>
      </c>
      <c r="F45" s="7"/>
      <c r="G45" s="7"/>
      <c r="H45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://Operation/GEA &amp; TR/TR</v>
      </c>
      <c r="I45" s="85"/>
      <c r="J45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('SDP1.39','TR','GEA &amp; TR','Operation','','SUB Low Level of Structure ://Operation/GEA &amp; TR/TR'),</v>
      </c>
    </row>
    <row r="46" spans="1:10" x14ac:dyDescent="0.25">
      <c r="B46" s="4" t="s">
        <v>247</v>
      </c>
      <c r="C46" s="1" t="s">
        <v>200</v>
      </c>
      <c r="D46" s="1" t="s">
        <v>200</v>
      </c>
      <c r="E46" s="7" t="s">
        <v>132</v>
      </c>
      <c r="F46" s="7"/>
      <c r="G46" s="7"/>
      <c r="H46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://Operation/Landscape/Landscape</v>
      </c>
      <c r="I46" s="85"/>
      <c r="J46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('SDP1.40','Landscape','Landscape','Operation','','SUB Low Level of Structure ://Operation/Landscape/Landscape'),</v>
      </c>
    </row>
    <row r="47" spans="1:10" x14ac:dyDescent="0.25">
      <c r="B47" s="4" t="s">
        <v>248</v>
      </c>
      <c r="C47" s="1" t="s">
        <v>201</v>
      </c>
      <c r="D47" s="1" t="s">
        <v>201</v>
      </c>
      <c r="E47" s="7" t="s">
        <v>132</v>
      </c>
      <c r="F47" s="7"/>
      <c r="G47" s="7"/>
      <c r="H47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://Operation/Security/Security</v>
      </c>
      <c r="I47" s="85"/>
      <c r="J47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('SDP1.41','Security','Security','Operation','','SUB Low Level of Structure ://Operation/Security/Security'),</v>
      </c>
    </row>
    <row r="48" spans="1:10" x14ac:dyDescent="0.25">
      <c r="B48" s="4" t="s">
        <v>249</v>
      </c>
      <c r="C48" s="1" t="s">
        <v>202</v>
      </c>
      <c r="D48" s="1" t="s">
        <v>202</v>
      </c>
      <c r="E48" s="7" t="s">
        <v>132</v>
      </c>
      <c r="F48" s="7"/>
      <c r="G48" s="7"/>
      <c r="H48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://Operation/F &amp; B/F &amp; B</v>
      </c>
      <c r="I48" s="85"/>
      <c r="J48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('SDP1.42','F &amp; B','F &amp; B','Operation','','SUB Low Level of Structure ://Operation/F &amp; B/F &amp; B'),</v>
      </c>
    </row>
    <row r="49" spans="2:10" x14ac:dyDescent="0.25">
      <c r="B49" s="4" t="s">
        <v>250</v>
      </c>
      <c r="C49" s="1" t="s">
        <v>203</v>
      </c>
      <c r="D49" s="1" t="s">
        <v>203</v>
      </c>
      <c r="E49" s="1" t="s">
        <v>132</v>
      </c>
      <c r="F49" s="7"/>
      <c r="G49" s="7"/>
      <c r="H49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://Operation/Sustainability/Sustainability</v>
      </c>
      <c r="I49" s="85"/>
      <c r="J49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('SDP1.43','Sustainability','Sustainability','Operation','','SUB Low Level of Structure ://Operation/Sustainability/Sustainability'),</v>
      </c>
    </row>
    <row r="50" spans="2:10" x14ac:dyDescent="0.25">
      <c r="B50" s="4" t="s">
        <v>251</v>
      </c>
      <c r="C50" s="1" t="s">
        <v>204</v>
      </c>
      <c r="D50" s="1" t="s">
        <v>204</v>
      </c>
      <c r="E50" s="1" t="s">
        <v>132</v>
      </c>
      <c r="F50" s="7"/>
      <c r="G50" s="7"/>
      <c r="H50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://Operation/Handling Compliant/Handling Compliant</v>
      </c>
      <c r="I50" s="85"/>
      <c r="J50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('SDP1.44','Handling Compliant','Handling Compliant','Operation','','SUB Low Level of Structure ://Operation/Handling Compliant/Handling Compliant'),</v>
      </c>
    </row>
    <row r="51" spans="2:10" x14ac:dyDescent="0.25">
      <c r="B51" s="4" t="s">
        <v>252</v>
      </c>
      <c r="C51" s="1" t="s">
        <v>206</v>
      </c>
      <c r="D51" s="1" t="s">
        <v>206</v>
      </c>
      <c r="E51" s="1" t="s">
        <v>132</v>
      </c>
      <c r="F51" s="7"/>
      <c r="G51" s="7"/>
      <c r="H51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://Operation/Operational CCTV/Operational CCTV</v>
      </c>
      <c r="I51" s="85"/>
      <c r="J51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('SDP1.45','Operational CCTV','Operational CCTV','Operation','','SUB Low Level of Structure ://Operation/Operational CCTV/Operational CCTV'),</v>
      </c>
    </row>
    <row r="52" spans="2:10" x14ac:dyDescent="0.25">
      <c r="B52" s="4" t="s">
        <v>253</v>
      </c>
      <c r="C52" s="1" t="s">
        <v>205</v>
      </c>
      <c r="D52" s="1" t="s">
        <v>205</v>
      </c>
      <c r="E52" s="1" t="s">
        <v>132</v>
      </c>
      <c r="F52" s="7"/>
      <c r="G52" s="7"/>
      <c r="H52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://Operation/Operational Genset &amp; Control Room/Operational Genset &amp; Control Room</v>
      </c>
      <c r="I52" s="85"/>
      <c r="J52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('SDP1.46','Operational Genset &amp; Control Room','Operational Genset &amp; Control Room','Operation','','SUB Low Level of Structure ://Operation/Operational Genset &amp; Control Room/Operational Genset &amp; Control Room'),</v>
      </c>
    </row>
    <row r="53" spans="2:10" x14ac:dyDescent="0.25">
      <c r="B53" s="4" t="s">
        <v>254</v>
      </c>
      <c r="C53" s="1"/>
      <c r="D53" s="1"/>
      <c r="E53" s="1"/>
      <c r="F53" s="7"/>
      <c r="G53" s="7"/>
      <c r="H53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:////</v>
      </c>
      <c r="I53" s="85"/>
      <c r="J53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('SDP1.47','','','','','SUB Low Level of Structure :////'),</v>
      </c>
    </row>
    <row r="54" spans="2:10" x14ac:dyDescent="0.25">
      <c r="B54" s="4" t="s">
        <v>255</v>
      </c>
      <c r="C54" s="1" t="s">
        <v>133</v>
      </c>
      <c r="D54" s="1"/>
      <c r="E54" s="1" t="s">
        <v>133</v>
      </c>
      <c r="F54" s="7"/>
      <c r="G54" s="7"/>
      <c r="H54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://Engineering//Engineering</v>
      </c>
      <c r="I54" s="85"/>
      <c r="J54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('SDP1.48','Engineering','','Engineering','','SUB Low Level of Structure ://Engineering//Engineering'),</v>
      </c>
    </row>
    <row r="55" spans="2:10" x14ac:dyDescent="0.25">
      <c r="B55" s="4" t="s">
        <v>256</v>
      </c>
      <c r="C55" s="1" t="s">
        <v>134</v>
      </c>
      <c r="D55" s="1"/>
      <c r="E55" s="1" t="s">
        <v>134</v>
      </c>
      <c r="F55" s="7"/>
      <c r="G55" s="7"/>
      <c r="H55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://Marketing &amp; Commercial//Marketing &amp; Commercial</v>
      </c>
      <c r="I55" s="85"/>
      <c r="J55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('SDP1.49','Marketing &amp; Commercial','','Marketing &amp; Commercial','','SUB Low Level of Structure ://Marketing &amp; Commercial//Marketing &amp; Commercial'),</v>
      </c>
    </row>
    <row r="56" spans="2:10" x14ac:dyDescent="0.25">
      <c r="B56" s="4" t="s">
        <v>257</v>
      </c>
      <c r="C56" s="1" t="s">
        <v>135</v>
      </c>
      <c r="D56" s="1"/>
      <c r="E56" s="1" t="s">
        <v>135</v>
      </c>
      <c r="F56" s="7"/>
      <c r="G56" s="7"/>
      <c r="H56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://Legal &amp; Government Relation//Legal &amp; Government Relation</v>
      </c>
      <c r="I56" s="85"/>
      <c r="J56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('SDP1.50','Legal &amp; Government Relation','','Legal &amp; Government Relation','','SUB Low Level of Structure ://Legal &amp; Government Relation//Legal &amp; Government Relation'),</v>
      </c>
    </row>
    <row r="57" spans="2:10" x14ac:dyDescent="0.25">
      <c r="B57" s="4" t="s">
        <v>258</v>
      </c>
      <c r="C57" s="1" t="s">
        <v>136</v>
      </c>
      <c r="D57" s="1"/>
      <c r="E57" s="1" t="s">
        <v>136</v>
      </c>
      <c r="F57" s="7"/>
      <c r="G57" s="7"/>
      <c r="H57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://Leasing//Leasing</v>
      </c>
      <c r="I57" s="85"/>
      <c r="J57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('SDP1.51','Leasing','','Leasing','','SUB Low Level of Structure ://Leasing//Leasing'),</v>
      </c>
    </row>
    <row r="58" spans="2:10" x14ac:dyDescent="0.25">
      <c r="B58" s="4" t="s">
        <v>259</v>
      </c>
      <c r="C58" s="1" t="s">
        <v>137</v>
      </c>
      <c r="D58" s="1"/>
      <c r="E58" s="1" t="s">
        <v>137</v>
      </c>
      <c r="F58" s="7"/>
      <c r="G58" s="7"/>
      <c r="H58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://Property Office Management//Property Office Management</v>
      </c>
      <c r="I58" s="85"/>
      <c r="J58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('SDP1.52','Property Office Management','','Property Office Management','','SUB Low Level of Structure ://Property Office Management//Property Office Management'),</v>
      </c>
    </row>
    <row r="59" spans="2:10" x14ac:dyDescent="0.25">
      <c r="B59" s="4" t="s">
        <v>321</v>
      </c>
      <c r="C59" s="1"/>
      <c r="D59" s="1"/>
      <c r="E59" s="7"/>
      <c r="F59" s="7"/>
      <c r="G59" s="7"/>
      <c r="H59" s="7" t="str">
        <f>"SUB Low Level of Structure :"&amp;"/"&amp;SUB_DEPARTEMENT[[#This Row],[DIRECTORATE ACTUALS]]&amp;"/"&amp;SUB_DEPARTEMENT[[#This Row],[ID_DIV]]&amp;"/"&amp;SUB_DEPARTEMENT[[#This Row],[ID_DPT]]&amp;"/"&amp;SUB_DEPARTEMENT[[#This Row],[SUB_DEPARTEMENT]]</f>
        <v>SUB Low Level of Structure :////</v>
      </c>
      <c r="I59" s="85"/>
      <c r="J59" s="7" t="str">
        <f>"('"&amp;SUB_DEPARTEMENT[[#This Row],[ID_SDP]]&amp;"','"&amp;SUB_DEPARTEMENT[[#This Row],[SUB_DEPARTEMENT]]&amp;"','"&amp;SUB_DEPARTEMENT[[#This Row],[ID_DPT]]&amp;"','"&amp;SUB_DEPARTEMENT[[#This Row],[ID_DIV]]&amp;"','"&amp;SUB_DEPARTEMENT[[#This Row],[ID_DIR]]&amp;"','"&amp;SUB_DEPARTEMENT[[#This Row],[NOTE]]&amp;"'),"</f>
        <v>('SDP1.99','','','','','SUB Low Level of Structure :////'),</v>
      </c>
    </row>
  </sheetData>
  <phoneticPr fontId="3" type="noConversion"/>
  <conditionalFormatting sqref="B5:I59">
    <cfRule type="expression" dxfId="55" priority="1">
      <formula>ISNUMBER(SEARCH("DONE",$I5))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0F39-CB6C-4308-AA4B-CEC6AAEED393}">
  <sheetPr codeName="Sheet7"/>
  <dimension ref="B4:D16"/>
  <sheetViews>
    <sheetView workbookViewId="0">
      <selection activeCell="B6" sqref="B6"/>
    </sheetView>
  </sheetViews>
  <sheetFormatPr defaultRowHeight="15" x14ac:dyDescent="0.25"/>
  <cols>
    <col min="2" max="2" width="10.5703125" style="2" customWidth="1"/>
    <col min="3" max="3" width="29" bestFit="1" customWidth="1"/>
    <col min="4" max="4" width="19.28515625" bestFit="1" customWidth="1"/>
    <col min="5" max="5" width="16" bestFit="1" customWidth="1"/>
  </cols>
  <sheetData>
    <row r="4" spans="2:4" x14ac:dyDescent="0.25">
      <c r="B4" s="3" t="s">
        <v>54</v>
      </c>
      <c r="C4" s="3" t="s">
        <v>3</v>
      </c>
      <c r="D4" s="3" t="s">
        <v>53</v>
      </c>
    </row>
    <row r="5" spans="2:4" x14ac:dyDescent="0.25">
      <c r="B5" s="5" t="s">
        <v>296</v>
      </c>
      <c r="C5" s="6" t="s">
        <v>19</v>
      </c>
      <c r="D5" s="6" t="s">
        <v>102</v>
      </c>
    </row>
    <row r="6" spans="2:4" x14ac:dyDescent="0.25">
      <c r="B6" s="4" t="s">
        <v>309</v>
      </c>
      <c r="C6" s="1" t="s">
        <v>295</v>
      </c>
      <c r="D6" s="1"/>
    </row>
    <row r="7" spans="2:4" x14ac:dyDescent="0.25">
      <c r="B7" s="4" t="s">
        <v>311</v>
      </c>
      <c r="C7" s="1" t="s">
        <v>128</v>
      </c>
      <c r="D7" s="1"/>
    </row>
    <row r="8" spans="2:4" x14ac:dyDescent="0.25">
      <c r="B8" s="4" t="s">
        <v>298</v>
      </c>
      <c r="C8" s="1" t="s">
        <v>129</v>
      </c>
      <c r="D8" s="1"/>
    </row>
    <row r="9" spans="2:4" x14ac:dyDescent="0.25">
      <c r="B9" s="4" t="s">
        <v>299</v>
      </c>
      <c r="C9" s="1" t="s">
        <v>130</v>
      </c>
      <c r="D9" s="1"/>
    </row>
    <row r="10" spans="2:4" x14ac:dyDescent="0.25">
      <c r="B10" s="4" t="s">
        <v>300</v>
      </c>
      <c r="C10" s="1" t="s">
        <v>131</v>
      </c>
      <c r="D10" s="1"/>
    </row>
    <row r="11" spans="2:4" x14ac:dyDescent="0.25">
      <c r="B11" s="4" t="s">
        <v>301</v>
      </c>
      <c r="C11" s="1" t="s">
        <v>132</v>
      </c>
      <c r="D11" s="1"/>
    </row>
    <row r="12" spans="2:4" x14ac:dyDescent="0.25">
      <c r="B12" s="4" t="s">
        <v>302</v>
      </c>
      <c r="C12" s="1" t="s">
        <v>133</v>
      </c>
      <c r="D12" s="1"/>
    </row>
    <row r="13" spans="2:4" x14ac:dyDescent="0.25">
      <c r="B13" s="4" t="s">
        <v>303</v>
      </c>
      <c r="C13" s="1" t="s">
        <v>134</v>
      </c>
      <c r="D13" s="1"/>
    </row>
    <row r="14" spans="2:4" x14ac:dyDescent="0.25">
      <c r="B14" s="4" t="s">
        <v>304</v>
      </c>
      <c r="C14" s="1" t="s">
        <v>135</v>
      </c>
      <c r="D14" s="1"/>
    </row>
    <row r="15" spans="2:4" x14ac:dyDescent="0.25">
      <c r="B15" s="4" t="s">
        <v>305</v>
      </c>
      <c r="C15" s="1" t="s">
        <v>136</v>
      </c>
      <c r="D15" s="1"/>
    </row>
    <row r="16" spans="2:4" x14ac:dyDescent="0.25">
      <c r="B16" s="4" t="s">
        <v>306</v>
      </c>
      <c r="C16" s="1" t="s">
        <v>137</v>
      </c>
      <c r="D16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1515-4E29-4D85-8C7B-B558ECC1A123}">
  <sheetPr codeName="Sheet8"/>
  <dimension ref="B4:D16"/>
  <sheetViews>
    <sheetView workbookViewId="0">
      <selection activeCell="B8" sqref="B8"/>
    </sheetView>
  </sheetViews>
  <sheetFormatPr defaultRowHeight="15" x14ac:dyDescent="0.25"/>
  <cols>
    <col min="2" max="2" width="10.5703125" style="2" customWidth="1"/>
    <col min="3" max="3" width="29" bestFit="1" customWidth="1"/>
    <col min="4" max="4" width="19.28515625" bestFit="1" customWidth="1"/>
    <col min="5" max="5" width="16" bestFit="1" customWidth="1"/>
  </cols>
  <sheetData>
    <row r="4" spans="2:4" x14ac:dyDescent="0.25">
      <c r="B4" s="3" t="s">
        <v>54</v>
      </c>
      <c r="C4" s="3" t="s">
        <v>3</v>
      </c>
      <c r="D4" s="3" t="s">
        <v>53</v>
      </c>
    </row>
    <row r="5" spans="2:4" x14ac:dyDescent="0.25">
      <c r="B5" s="5" t="s">
        <v>427</v>
      </c>
      <c r="C5" s="6" t="s">
        <v>19</v>
      </c>
      <c r="D5" s="6" t="s">
        <v>102</v>
      </c>
    </row>
    <row r="6" spans="2:4" x14ac:dyDescent="0.25">
      <c r="B6" s="4" t="s">
        <v>308</v>
      </c>
      <c r="C6" s="1" t="s">
        <v>307</v>
      </c>
      <c r="D6" s="1"/>
    </row>
    <row r="7" spans="2:4" x14ac:dyDescent="0.25">
      <c r="B7" s="4" t="s">
        <v>297</v>
      </c>
      <c r="C7" s="1" t="s">
        <v>128</v>
      </c>
      <c r="D7" s="1"/>
    </row>
    <row r="8" spans="2:4" x14ac:dyDescent="0.25">
      <c r="B8" s="4" t="s">
        <v>298</v>
      </c>
      <c r="C8" s="1" t="s">
        <v>129</v>
      </c>
      <c r="D8" s="1"/>
    </row>
    <row r="9" spans="2:4" x14ac:dyDescent="0.25">
      <c r="B9" s="4" t="s">
        <v>299</v>
      </c>
      <c r="C9" s="1" t="s">
        <v>130</v>
      </c>
      <c r="D9" s="1"/>
    </row>
    <row r="10" spans="2:4" x14ac:dyDescent="0.25">
      <c r="B10" s="4" t="s">
        <v>300</v>
      </c>
      <c r="C10" s="1" t="s">
        <v>131</v>
      </c>
      <c r="D10" s="1"/>
    </row>
    <row r="11" spans="2:4" x14ac:dyDescent="0.25">
      <c r="B11" s="4" t="s">
        <v>301</v>
      </c>
      <c r="C11" s="1" t="s">
        <v>132</v>
      </c>
      <c r="D11" s="1"/>
    </row>
    <row r="12" spans="2:4" x14ac:dyDescent="0.25">
      <c r="B12" s="4" t="s">
        <v>302</v>
      </c>
      <c r="C12" s="1" t="s">
        <v>133</v>
      </c>
      <c r="D12" s="1"/>
    </row>
    <row r="13" spans="2:4" x14ac:dyDescent="0.25">
      <c r="B13" s="4" t="s">
        <v>303</v>
      </c>
      <c r="C13" s="1" t="s">
        <v>134</v>
      </c>
      <c r="D13" s="1"/>
    </row>
    <row r="14" spans="2:4" x14ac:dyDescent="0.25">
      <c r="B14" s="4" t="s">
        <v>304</v>
      </c>
      <c r="C14" s="1" t="s">
        <v>135</v>
      </c>
      <c r="D14" s="1"/>
    </row>
    <row r="15" spans="2:4" x14ac:dyDescent="0.25">
      <c r="B15" s="4" t="s">
        <v>305</v>
      </c>
      <c r="C15" s="1" t="s">
        <v>136</v>
      </c>
      <c r="D15" s="1"/>
    </row>
    <row r="16" spans="2:4" x14ac:dyDescent="0.25">
      <c r="B16" s="4" t="s">
        <v>306</v>
      </c>
      <c r="C16" s="1" t="s">
        <v>137</v>
      </c>
      <c r="D16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B627-731B-484F-B06A-DDD6E7B14D30}">
  <sheetPr codeName="Sheet9"/>
  <dimension ref="B4:J30"/>
  <sheetViews>
    <sheetView showGridLines="0" zoomScale="85" zoomScaleNormal="85" workbookViewId="0">
      <selection activeCell="J22" sqref="J22:J30"/>
    </sheetView>
  </sheetViews>
  <sheetFormatPr defaultRowHeight="15" x14ac:dyDescent="0.25"/>
  <cols>
    <col min="1" max="1" width="2.7109375" customWidth="1"/>
    <col min="2" max="2" width="25" style="2" bestFit="1" customWidth="1"/>
    <col min="3" max="3" width="13.85546875" bestFit="1" customWidth="1"/>
    <col min="4" max="4" width="13.42578125" customWidth="1"/>
    <col min="5" max="5" width="12.7109375" bestFit="1" customWidth="1"/>
    <col min="6" max="6" width="17.5703125" bestFit="1" customWidth="1"/>
    <col min="7" max="7" width="18.28515625" bestFit="1" customWidth="1"/>
    <col min="8" max="8" width="12.5703125" customWidth="1"/>
    <col min="9" max="9" width="25" bestFit="1" customWidth="1"/>
    <col min="10" max="10" width="84.5703125" bestFit="1" customWidth="1"/>
  </cols>
  <sheetData>
    <row r="4" spans="2:10" x14ac:dyDescent="0.25">
      <c r="B4" s="3" t="s">
        <v>403</v>
      </c>
      <c r="C4" s="3" t="s">
        <v>356</v>
      </c>
      <c r="D4" s="3" t="s">
        <v>354</v>
      </c>
      <c r="E4" s="3" t="s">
        <v>404</v>
      </c>
      <c r="F4" s="3" t="s">
        <v>361</v>
      </c>
      <c r="G4" s="3" t="s">
        <v>360</v>
      </c>
      <c r="H4" s="3" t="s">
        <v>382</v>
      </c>
      <c r="I4" s="3" t="s">
        <v>385</v>
      </c>
      <c r="J4" s="3" t="s">
        <v>325</v>
      </c>
    </row>
    <row r="5" spans="2:10" x14ac:dyDescent="0.25">
      <c r="B5" s="9" t="s">
        <v>399</v>
      </c>
      <c r="C5" s="4">
        <v>101101</v>
      </c>
      <c r="D5" s="6" t="str">
        <f>_xlfn.IFNA(_xlfn.TEXTAFTER(EMAIL[[#This Row],[EMIAIL]],"@"),"NULL")</f>
        <v>asri.co.id</v>
      </c>
      <c r="E5" s="6" t="s">
        <v>359</v>
      </c>
      <c r="F5" s="12" t="s">
        <v>398</v>
      </c>
      <c r="G5" s="6" t="s">
        <v>359</v>
      </c>
      <c r="H5" s="5" t="s">
        <v>384</v>
      </c>
      <c r="I5" s="9" t="str">
        <f>EMAIL[[#This Row],[EMIAIL]]</f>
        <v>admin@asri.co.id</v>
      </c>
      <c r="J5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('admin@asri.co.id',101101,'asri.co.id','NULL','Microsoft Office 365','NULL','DEACTIVED'),</v>
      </c>
    </row>
    <row r="6" spans="2:10" x14ac:dyDescent="0.25">
      <c r="B6" s="10" t="s">
        <v>339</v>
      </c>
      <c r="C6" s="4">
        <v>180362</v>
      </c>
      <c r="D6" s="1" t="str">
        <f>_xlfn.IFNA(_xlfn.TEXTAFTER(EMAIL[[#This Row],[EMIAIL]],"@"),"NULL")</f>
        <v>asri.co.id</v>
      </c>
      <c r="E6" s="1" t="s">
        <v>358</v>
      </c>
      <c r="F6" s="13" t="s">
        <v>398</v>
      </c>
      <c r="G6" s="1" t="s">
        <v>362</v>
      </c>
      <c r="H6" s="4" t="s">
        <v>383</v>
      </c>
      <c r="I6" s="10" t="str">
        <f>EMAIL[[#This Row],[EMIAIL]]</f>
        <v>ariya.ramsi@asri.co.id</v>
      </c>
      <c r="J6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('ariya.ramsi@asri.co.id',180362,'asri.co.id','USER','Microsoft Office 365','STANDARD','ACTIVED'),</v>
      </c>
    </row>
    <row r="7" spans="2:10" x14ac:dyDescent="0.25">
      <c r="B7" s="10" t="s">
        <v>340</v>
      </c>
      <c r="C7" s="4">
        <v>220290</v>
      </c>
      <c r="D7" s="1" t="str">
        <f>_xlfn.IFNA(_xlfn.TEXTAFTER(EMAIL[[#This Row],[EMIAIL]],"@"),"NULL")</f>
        <v>asri.co.id</v>
      </c>
      <c r="E7" s="1" t="s">
        <v>358</v>
      </c>
      <c r="F7" s="13" t="s">
        <v>398</v>
      </c>
      <c r="G7" s="1" t="s">
        <v>362</v>
      </c>
      <c r="H7" s="4" t="s">
        <v>383</v>
      </c>
      <c r="I7" s="10" t="str">
        <f>EMAIL[[#This Row],[EMIAIL]]</f>
        <v>albin.wangsa@asri.co.id</v>
      </c>
      <c r="J7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('albin.wangsa@asri.co.id',220290,'asri.co.id','USER','Microsoft Office 365','STANDARD','ACTIVED'),</v>
      </c>
    </row>
    <row r="8" spans="2:10" x14ac:dyDescent="0.25">
      <c r="B8" s="10" t="s">
        <v>341</v>
      </c>
      <c r="C8" s="4">
        <v>221284</v>
      </c>
      <c r="D8" s="1" t="str">
        <f>_xlfn.IFNA(_xlfn.TEXTAFTER(EMAIL[[#This Row],[EMIAIL]],"@"),"NULL")</f>
        <v>asri.co.id</v>
      </c>
      <c r="E8" s="1" t="s">
        <v>358</v>
      </c>
      <c r="F8" s="13" t="s">
        <v>398</v>
      </c>
      <c r="G8" s="1" t="s">
        <v>362</v>
      </c>
      <c r="H8" s="4" t="s">
        <v>383</v>
      </c>
      <c r="I8" s="10" t="str">
        <f>EMAIL[[#This Row],[EMIAIL]]</f>
        <v>aldo.wowor@asri.co.id</v>
      </c>
      <c r="J8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('aldo.wowor@asri.co.id',221284,'asri.co.id','USER','Microsoft Office 365','STANDARD','ACTIVED'),</v>
      </c>
    </row>
    <row r="9" spans="2:10" x14ac:dyDescent="0.25">
      <c r="B9" s="10" t="s">
        <v>338</v>
      </c>
      <c r="C9" s="4">
        <v>221489</v>
      </c>
      <c r="D9" s="1" t="str">
        <f>_xlfn.IFNA(_xlfn.TEXTAFTER(EMAIL[[#This Row],[EMIAIL]],"@"),"NULL")</f>
        <v>asri.co.id</v>
      </c>
      <c r="E9" s="1" t="s">
        <v>358</v>
      </c>
      <c r="F9" s="13" t="s">
        <v>398</v>
      </c>
      <c r="G9" s="1" t="s">
        <v>362</v>
      </c>
      <c r="H9" s="4" t="s">
        <v>383</v>
      </c>
      <c r="I9" s="10" t="str">
        <f>EMAIL[[#This Row],[EMIAIL]]</f>
        <v>degia.parlopa@asri.co.id</v>
      </c>
      <c r="J9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('degia.parlopa@asri.co.id',221489,'asri.co.id','USER','Microsoft Office 365','STANDARD','ACTIVED'),</v>
      </c>
    </row>
    <row r="10" spans="2:10" x14ac:dyDescent="0.25">
      <c r="B10" s="10" t="s">
        <v>342</v>
      </c>
      <c r="C10" s="4">
        <v>231399</v>
      </c>
      <c r="D10" s="1" t="str">
        <f>_xlfn.IFNA(_xlfn.TEXTAFTER(EMAIL[[#This Row],[EMIAIL]],"@"),"NULL")</f>
        <v>asri.co.id</v>
      </c>
      <c r="E10" s="1" t="s">
        <v>358</v>
      </c>
      <c r="F10" s="13" t="s">
        <v>398</v>
      </c>
      <c r="G10" s="1" t="s">
        <v>362</v>
      </c>
      <c r="H10" s="4" t="s">
        <v>383</v>
      </c>
      <c r="I10" s="10" t="str">
        <f>EMAIL[[#This Row],[EMIAIL]]</f>
        <v>fransiskus.simson@asri.co.id</v>
      </c>
      <c r="J10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('fransiskus.simson@asri.co.id',231399,'asri.co.id','USER','Microsoft Office 365','STANDARD','ACTIVED'),</v>
      </c>
    </row>
    <row r="11" spans="2:10" x14ac:dyDescent="0.25">
      <c r="B11" s="10" t="s">
        <v>343</v>
      </c>
      <c r="C11" s="4">
        <v>180426</v>
      </c>
      <c r="D11" s="1" t="str">
        <f>_xlfn.IFNA(_xlfn.TEXTAFTER(EMAIL[[#This Row],[EMIAIL]],"@"),"NULL")</f>
        <v>asri.co.id</v>
      </c>
      <c r="E11" s="1" t="s">
        <v>358</v>
      </c>
      <c r="F11" s="13" t="s">
        <v>398</v>
      </c>
      <c r="G11" s="1" t="s">
        <v>362</v>
      </c>
      <c r="H11" s="4" t="s">
        <v>383</v>
      </c>
      <c r="I11" s="10" t="str">
        <f>EMAIL[[#This Row],[EMIAIL]]</f>
        <v>hardi.wasisto@asri.co.id</v>
      </c>
      <c r="J11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('hardi.wasisto@asri.co.id',180426,'asri.co.id','USER','Microsoft Office 365','STANDARD','ACTIVED'),</v>
      </c>
    </row>
    <row r="12" spans="2:10" x14ac:dyDescent="0.25">
      <c r="B12" s="10" t="s">
        <v>344</v>
      </c>
      <c r="C12" s="4">
        <v>241681</v>
      </c>
      <c r="D12" s="1" t="str">
        <f>_xlfn.IFNA(_xlfn.TEXTAFTER(EMAIL[[#This Row],[EMIAIL]],"@"),"NULL")</f>
        <v>asri.co.id</v>
      </c>
      <c r="E12" s="1" t="s">
        <v>358</v>
      </c>
      <c r="F12" s="13" t="s">
        <v>398</v>
      </c>
      <c r="G12" s="1" t="s">
        <v>362</v>
      </c>
      <c r="H12" s="4" t="s">
        <v>383</v>
      </c>
      <c r="I12" s="10" t="str">
        <f>EMAIL[[#This Row],[EMIAIL]]</f>
        <v>irfan.suparman@asri.co.id</v>
      </c>
      <c r="J12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('irfan.suparman@asri.co.id',241681,'asri.co.id','USER','Microsoft Office 365','STANDARD','ACTIVED'),</v>
      </c>
    </row>
    <row r="13" spans="2:10" x14ac:dyDescent="0.25">
      <c r="B13" s="10" t="s">
        <v>345</v>
      </c>
      <c r="C13" s="4">
        <v>232054</v>
      </c>
      <c r="D13" s="1" t="str">
        <f>_xlfn.IFNA(_xlfn.TEXTAFTER(EMAIL[[#This Row],[EMIAIL]],"@"),"NULL")</f>
        <v>asri.co.id</v>
      </c>
      <c r="E13" s="1" t="s">
        <v>358</v>
      </c>
      <c r="F13" s="13" t="s">
        <v>398</v>
      </c>
      <c r="G13" s="1" t="s">
        <v>362</v>
      </c>
      <c r="H13" s="4" t="s">
        <v>383</v>
      </c>
      <c r="I13" s="10" t="str">
        <f>EMAIL[[#This Row],[EMIAIL]]</f>
        <v>moh.ramadhan@asri.co.id</v>
      </c>
      <c r="J13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('moh.ramadhan@asri.co.id',232054,'asri.co.id','USER','Microsoft Office 365','STANDARD','ACTIVED'),</v>
      </c>
    </row>
    <row r="14" spans="2:10" x14ac:dyDescent="0.25">
      <c r="B14" s="10" t="s">
        <v>346</v>
      </c>
      <c r="C14" s="4">
        <v>100822</v>
      </c>
      <c r="D14" s="1" t="str">
        <f>_xlfn.IFNA(_xlfn.TEXTAFTER(EMAIL[[#This Row],[EMIAIL]],"@"),"NULL")</f>
        <v>asri.co.id</v>
      </c>
      <c r="E14" s="1" t="s">
        <v>358</v>
      </c>
      <c r="F14" s="13" t="s">
        <v>398</v>
      </c>
      <c r="G14" s="1" t="s">
        <v>362</v>
      </c>
      <c r="H14" s="4" t="s">
        <v>383</v>
      </c>
      <c r="I14" s="10" t="str">
        <f>EMAIL[[#This Row],[EMIAIL]]</f>
        <v>johari.johari@asri.co.id</v>
      </c>
      <c r="J14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('johari.johari@asri.co.id',100822,'asri.co.id','USER','Microsoft Office 365','STANDARD','ACTIVED'),</v>
      </c>
    </row>
    <row r="15" spans="2:10" x14ac:dyDescent="0.25">
      <c r="B15" s="10" t="s">
        <v>347</v>
      </c>
      <c r="C15" s="4">
        <v>150821</v>
      </c>
      <c r="D15" s="1" t="str">
        <f>_xlfn.IFNA(_xlfn.TEXTAFTER(EMAIL[[#This Row],[EMIAIL]],"@"),"NULL")</f>
        <v>asri.co.id</v>
      </c>
      <c r="E15" s="1" t="s">
        <v>358</v>
      </c>
      <c r="F15" s="13" t="s">
        <v>398</v>
      </c>
      <c r="G15" s="1" t="s">
        <v>362</v>
      </c>
      <c r="H15" s="4" t="s">
        <v>383</v>
      </c>
      <c r="I15" s="10" t="str">
        <f>EMAIL[[#This Row],[EMIAIL]]</f>
        <v>candra.segren@asri.co.id</v>
      </c>
      <c r="J15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('candra.segren@asri.co.id',150821,'asri.co.id','USER','Microsoft Office 365','STANDARD','ACTIVED'),</v>
      </c>
    </row>
    <row r="16" spans="2:10" x14ac:dyDescent="0.25">
      <c r="B16" s="10" t="s">
        <v>348</v>
      </c>
      <c r="C16" s="4">
        <v>241815</v>
      </c>
      <c r="D16" s="1" t="str">
        <f>_xlfn.IFNA(_xlfn.TEXTAFTER(EMAIL[[#This Row],[EMIAIL]],"@"),"NULL")</f>
        <v>asri.co.id</v>
      </c>
      <c r="E16" s="1" t="s">
        <v>358</v>
      </c>
      <c r="F16" s="13" t="s">
        <v>398</v>
      </c>
      <c r="G16" s="1" t="s">
        <v>362</v>
      </c>
      <c r="H16" s="4" t="s">
        <v>383</v>
      </c>
      <c r="I16" s="10" t="str">
        <f>EMAIL[[#This Row],[EMIAIL]]</f>
        <v>patrick.lay@asri.co.id</v>
      </c>
      <c r="J16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('patrick.lay@asri.co.id',241815,'asri.co.id','USER','Microsoft Office 365','STANDARD','ACTIVED'),</v>
      </c>
    </row>
    <row r="17" spans="2:10" x14ac:dyDescent="0.25">
      <c r="B17" s="10" t="s">
        <v>349</v>
      </c>
      <c r="C17" s="4">
        <v>250528</v>
      </c>
      <c r="D17" s="1" t="str">
        <f>_xlfn.IFNA(_xlfn.TEXTAFTER(EMAIL[[#This Row],[EMIAIL]],"@"),"NULL")</f>
        <v>asri.co.id</v>
      </c>
      <c r="E17" s="1" t="s">
        <v>358</v>
      </c>
      <c r="F17" s="13" t="s">
        <v>398</v>
      </c>
      <c r="G17" s="1" t="s">
        <v>362</v>
      </c>
      <c r="H17" s="4" t="s">
        <v>383</v>
      </c>
      <c r="I17" s="10" t="str">
        <f>EMAIL[[#This Row],[EMIAIL]]</f>
        <v>sarah.durry@asri.co.id</v>
      </c>
      <c r="J17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('sarah.durry@asri.co.id',250528,'asri.co.id','USER','Microsoft Office 365','STANDARD','ACTIVED'),</v>
      </c>
    </row>
    <row r="18" spans="2:10" x14ac:dyDescent="0.25">
      <c r="B18" s="10" t="s">
        <v>350</v>
      </c>
      <c r="C18" s="4">
        <v>250501</v>
      </c>
      <c r="D18" s="1" t="str">
        <f>_xlfn.IFNA(_xlfn.TEXTAFTER(EMAIL[[#This Row],[EMIAIL]],"@"),"NULL")</f>
        <v>asri.co.id</v>
      </c>
      <c r="E18" s="1" t="s">
        <v>358</v>
      </c>
      <c r="F18" s="13" t="s">
        <v>398</v>
      </c>
      <c r="G18" s="1" t="s">
        <v>362</v>
      </c>
      <c r="H18" s="4" t="s">
        <v>383</v>
      </c>
      <c r="I18" s="10" t="str">
        <f>EMAIL[[#This Row],[EMIAIL]]</f>
        <v>thoyyib.abdillah@asri.co.id</v>
      </c>
      <c r="J18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('thoyyib.abdillah@asri.co.id',250501,'asri.co.id','USER','Microsoft Office 365','STANDARD','ACTIVED'),</v>
      </c>
    </row>
    <row r="19" spans="2:10" x14ac:dyDescent="0.25">
      <c r="B19" s="10" t="s">
        <v>351</v>
      </c>
      <c r="C19" s="4">
        <v>240287</v>
      </c>
      <c r="D19" s="1" t="str">
        <f>_xlfn.IFNA(_xlfn.TEXTAFTER(EMAIL[[#This Row],[EMIAIL]],"@"),"NULL")</f>
        <v>asri.co.id</v>
      </c>
      <c r="E19" s="1" t="s">
        <v>358</v>
      </c>
      <c r="F19" s="13" t="s">
        <v>398</v>
      </c>
      <c r="G19" s="1" t="s">
        <v>362</v>
      </c>
      <c r="H19" s="4" t="s">
        <v>383</v>
      </c>
      <c r="I19" s="10" t="str">
        <f>EMAIL[[#This Row],[EMIAIL]]</f>
        <v>johnson.lopulisa@asri.co.id</v>
      </c>
      <c r="J19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('johnson.lopulisa@asri.co.id',240287,'asri.co.id','USER','Microsoft Office 365','STANDARD','ACTIVED'),</v>
      </c>
    </row>
    <row r="20" spans="2:10" x14ac:dyDescent="0.25">
      <c r="B20" s="10" t="s">
        <v>352</v>
      </c>
      <c r="C20" s="4">
        <v>220909</v>
      </c>
      <c r="D20" s="1" t="str">
        <f>_xlfn.IFNA(_xlfn.TEXTAFTER(EMAIL[[#This Row],[EMIAIL]],"@"),"NULL")</f>
        <v>asri.co.id</v>
      </c>
      <c r="E20" s="1" t="s">
        <v>358</v>
      </c>
      <c r="F20" s="13" t="s">
        <v>398</v>
      </c>
      <c r="G20" s="1" t="s">
        <v>362</v>
      </c>
      <c r="H20" s="4" t="s">
        <v>383</v>
      </c>
      <c r="I20" s="10" t="str">
        <f>EMAIL[[#This Row],[EMIAIL]]</f>
        <v>wilson.wilson@asri.co.id</v>
      </c>
      <c r="J20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('wilson.wilson@asri.co.id',220909,'asri.co.id','USER','Microsoft Office 365','STANDARD','ACTIVED'),</v>
      </c>
    </row>
    <row r="21" spans="2:10" x14ac:dyDescent="0.25">
      <c r="B21" s="10" t="s">
        <v>353</v>
      </c>
      <c r="C21" s="4">
        <v>240763</v>
      </c>
      <c r="D21" s="1" t="str">
        <f>_xlfn.IFNA(_xlfn.TEXTAFTER(EMAIL[[#This Row],[EMIAIL]],"@"),"NULL")</f>
        <v>asri.co.id</v>
      </c>
      <c r="E21" s="1" t="s">
        <v>358</v>
      </c>
      <c r="F21" s="13" t="s">
        <v>398</v>
      </c>
      <c r="G21" s="1" t="s">
        <v>362</v>
      </c>
      <c r="H21" s="4" t="s">
        <v>383</v>
      </c>
      <c r="I21" s="10" t="str">
        <f>EMAIL[[#This Row],[EMIAIL]]</f>
        <v>wuwanjie.septian@asri.co.id</v>
      </c>
      <c r="J21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('wuwanjie.septian@asri.co.id',240763,'asri.co.id','USER','Microsoft Office 365','STANDARD','ACTIVED'),</v>
      </c>
    </row>
    <row r="22" spans="2:10" x14ac:dyDescent="0.25">
      <c r="B22" s="10" t="s">
        <v>423</v>
      </c>
      <c r="C22" s="4">
        <v>999999</v>
      </c>
      <c r="D22" s="1" t="str">
        <f>_xlfn.IFNA(_xlfn.TEXTAFTER(EMAIL[[#This Row],[EMIAIL]],"@"),"NULL")</f>
        <v>NULL</v>
      </c>
      <c r="E22" s="1" t="s">
        <v>359</v>
      </c>
      <c r="F22" s="13" t="s">
        <v>2440</v>
      </c>
      <c r="G22" s="1" t="s">
        <v>2450</v>
      </c>
      <c r="H22" s="4" t="s">
        <v>384</v>
      </c>
      <c r="I22" s="10" t="str">
        <f>EMAIL[[#This Row],[EMIAIL]]</f>
        <v>nomail</v>
      </c>
      <c r="J22" s="1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('nomail',999999,'NULL','NULL','Microsoft Office 366','UNLICENSED','DEACTIVED'),</v>
      </c>
    </row>
    <row r="23" spans="2:10" x14ac:dyDescent="0.25">
      <c r="B23" s="10" t="s">
        <v>2424</v>
      </c>
      <c r="C23" s="4">
        <v>232371</v>
      </c>
      <c r="D23" s="89" t="str">
        <f>_xlfn.IFNA(_xlfn.TEXTAFTER(EMAIL[[#This Row],[EMIAIL]],"@"),"NULL")</f>
        <v>asri.co.id</v>
      </c>
      <c r="E23" s="1" t="s">
        <v>358</v>
      </c>
      <c r="F23" s="13" t="s">
        <v>2441</v>
      </c>
      <c r="G23" s="1" t="s">
        <v>362</v>
      </c>
      <c r="H23" s="4" t="s">
        <v>383</v>
      </c>
      <c r="I23" s="90" t="str">
        <f>EMAIL[[#This Row],[EMIAIL]]</f>
        <v>aiman.rimbawan@asri.co.id</v>
      </c>
      <c r="J23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('aiman.rimbawan@asri.co.id',232371,'asri.co.id','USER','Microsoft Office 367','STANDARD','ACTIVED'),</v>
      </c>
    </row>
    <row r="24" spans="2:10" x14ac:dyDescent="0.25">
      <c r="B24" s="10" t="s">
        <v>2425</v>
      </c>
      <c r="C24" s="4">
        <v>999999</v>
      </c>
      <c r="D24" s="89" t="str">
        <f>_xlfn.IFNA(_xlfn.TEXTAFTER(EMAIL[[#This Row],[EMIAIL]],"@"),"NULL")</f>
        <v>asri.co.id</v>
      </c>
      <c r="E24" s="1" t="s">
        <v>2432</v>
      </c>
      <c r="F24" s="13" t="s">
        <v>2442</v>
      </c>
      <c r="G24" s="1" t="s">
        <v>2449</v>
      </c>
      <c r="H24" s="4" t="s">
        <v>383</v>
      </c>
      <c r="I24" s="90" t="str">
        <f>EMAIL[[#This Row],[EMIAIL]]</f>
        <v>asriliving@asri.co.id</v>
      </c>
      <c r="J24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('asriliving@asri.co.id',999999,'asri.co.id','SOCIAL','Microsoft Office 368','BASIC','ACTIVED'),</v>
      </c>
    </row>
    <row r="25" spans="2:10" x14ac:dyDescent="0.25">
      <c r="B25" s="10" t="s">
        <v>2426</v>
      </c>
      <c r="C25" s="4">
        <v>232379</v>
      </c>
      <c r="D25" s="89" t="str">
        <f>_xlfn.IFNA(_xlfn.TEXTAFTER(EMAIL[[#This Row],[EMIAIL]],"@"),"NULL")</f>
        <v>asri.co.id</v>
      </c>
      <c r="E25" s="1" t="s">
        <v>358</v>
      </c>
      <c r="F25" s="13" t="s">
        <v>2443</v>
      </c>
      <c r="G25" s="1" t="s">
        <v>362</v>
      </c>
      <c r="H25" s="4" t="s">
        <v>383</v>
      </c>
      <c r="I25" s="90" t="str">
        <f>EMAIL[[#This Row],[EMIAIL]]</f>
        <v>bayu.hadi@asri.co.id</v>
      </c>
      <c r="J25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('bayu.hadi@asri.co.id',232379,'asri.co.id','USER','Microsoft Office 369','STANDARD','ACTIVED'),</v>
      </c>
    </row>
    <row r="26" spans="2:10" x14ac:dyDescent="0.25">
      <c r="B26" s="10" t="s">
        <v>2427</v>
      </c>
      <c r="C26" s="4">
        <v>231525</v>
      </c>
      <c r="D26" s="89" t="str">
        <f>_xlfn.IFNA(_xlfn.TEXTAFTER(EMAIL[[#This Row],[EMIAIL]],"@"),"NULL")</f>
        <v>asri.co.id</v>
      </c>
      <c r="E26" s="1" t="s">
        <v>358</v>
      </c>
      <c r="F26" s="13" t="s">
        <v>2444</v>
      </c>
      <c r="G26" s="1" t="s">
        <v>362</v>
      </c>
      <c r="H26" s="4" t="s">
        <v>383</v>
      </c>
      <c r="I26" s="90" t="str">
        <f>EMAIL[[#This Row],[EMIAIL]]</f>
        <v>hany.pratama@asri.co.id</v>
      </c>
      <c r="J26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('hany.pratama@asri.co.id',231525,'asri.co.id','USER','Microsoft Office 370','STANDARD','ACTIVED'),</v>
      </c>
    </row>
    <row r="27" spans="2:10" x14ac:dyDescent="0.25">
      <c r="B27" s="10" t="s">
        <v>2428</v>
      </c>
      <c r="C27" s="4">
        <v>231792</v>
      </c>
      <c r="D27" s="89" t="str">
        <f>_xlfn.IFNA(_xlfn.TEXTAFTER(EMAIL[[#This Row],[EMIAIL]],"@"),"NULL")</f>
        <v>asri.co.id</v>
      </c>
      <c r="E27" s="1" t="s">
        <v>358</v>
      </c>
      <c r="F27" s="13" t="s">
        <v>2445</v>
      </c>
      <c r="G27" s="1" t="s">
        <v>2449</v>
      </c>
      <c r="H27" s="4" t="s">
        <v>383</v>
      </c>
      <c r="I27" s="90" t="str">
        <f>EMAIL[[#This Row],[EMIAIL]]</f>
        <v>muhammad.rifa@asri.co.id</v>
      </c>
      <c r="J27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('muhammad.rifa@asri.co.id',231792,'asri.co.id','USER','Microsoft Office 371','BASIC','ACTIVED'),</v>
      </c>
    </row>
    <row r="28" spans="2:10" x14ac:dyDescent="0.25">
      <c r="B28" s="10" t="s">
        <v>2429</v>
      </c>
      <c r="C28" s="4">
        <v>240074</v>
      </c>
      <c r="D28" s="89" t="str">
        <f>_xlfn.IFNA(_xlfn.TEXTAFTER(EMAIL[[#This Row],[EMIAIL]],"@"),"NULL")</f>
        <v>asri.co.id</v>
      </c>
      <c r="E28" s="1" t="s">
        <v>358</v>
      </c>
      <c r="F28" s="13" t="s">
        <v>2446</v>
      </c>
      <c r="G28" s="1" t="s">
        <v>2449</v>
      </c>
      <c r="H28" s="4" t="s">
        <v>383</v>
      </c>
      <c r="I28" s="90" t="str">
        <f>EMAIL[[#This Row],[EMIAIL]]</f>
        <v>muqsithu.rofi@asri.co.id</v>
      </c>
      <c r="J28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('muqsithu.rofi@asri.co.id',240074,'asri.co.id','USER','Microsoft Office 372','BASIC','ACTIVED'),</v>
      </c>
    </row>
    <row r="29" spans="2:10" x14ac:dyDescent="0.25">
      <c r="B29" s="10" t="s">
        <v>2430</v>
      </c>
      <c r="C29" s="4">
        <v>232375</v>
      </c>
      <c r="D29" s="89" t="str">
        <f>_xlfn.IFNA(_xlfn.TEXTAFTER(EMAIL[[#This Row],[EMIAIL]],"@"),"NULL")</f>
        <v>asri.co.id</v>
      </c>
      <c r="E29" s="1" t="s">
        <v>358</v>
      </c>
      <c r="F29" s="13" t="s">
        <v>2447</v>
      </c>
      <c r="G29" s="1" t="s">
        <v>362</v>
      </c>
      <c r="H29" s="4" t="s">
        <v>383</v>
      </c>
      <c r="I29" s="90" t="str">
        <f>EMAIL[[#This Row],[EMIAIL]]</f>
        <v>syamsul.arifin@asri.co.id</v>
      </c>
      <c r="J29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('syamsul.arifin@asri.co.id',232375,'asri.co.id','USER','Microsoft Office 373','STANDARD','ACTIVED'),</v>
      </c>
    </row>
    <row r="30" spans="2:10" x14ac:dyDescent="0.25">
      <c r="B30" s="10" t="s">
        <v>2431</v>
      </c>
      <c r="C30" s="4">
        <v>232370</v>
      </c>
      <c r="D30" s="89" t="str">
        <f>_xlfn.IFNA(_xlfn.TEXTAFTER(EMAIL[[#This Row],[EMIAIL]],"@"),"NULL")</f>
        <v>asri.co.id</v>
      </c>
      <c r="E30" s="1" t="s">
        <v>358</v>
      </c>
      <c r="F30" s="13" t="s">
        <v>2448</v>
      </c>
      <c r="G30" s="1" t="s">
        <v>362</v>
      </c>
      <c r="H30" s="4" t="s">
        <v>383</v>
      </c>
      <c r="I30" s="90" t="str">
        <f>EMAIL[[#This Row],[EMIAIL]]</f>
        <v>willy.anjaya@asri.co.id</v>
      </c>
      <c r="J30" s="89" t="str">
        <f>"('"&amp;EMAIL[[#This Row],[EMIAIL]]&amp;"',"&amp;
EMAIL[[#This Row],[PIC_NIP]]&amp;",'"&amp;
EMAIL[[#This Row],[DOMAIN]]&amp;"','"&amp;
EMAIL[[#This Row],[FUNC]]&amp;"','"&amp;
EMAIL[[#This Row],[TYPE]]&amp;"','"&amp;
EMAIL[[#This Row],[LICENSE_TYPE]]&amp;"','"&amp;
EMAIL[[#This Row],[MFA]]&amp;"'),"</f>
        <v>('willy.anjaya@asri.co.id',232370,'asri.co.id','USER','Microsoft Office 374','STANDARD','ACTIVED'),</v>
      </c>
    </row>
  </sheetData>
  <phoneticPr fontId="3" type="noConversion"/>
  <conditionalFormatting sqref="B5:B30">
    <cfRule type="duplicateValues" dxfId="54" priority="2"/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9AE8-298C-4C17-B893-97BE0F80F010}">
  <sheetPr codeName="Sheet10"/>
  <dimension ref="B4:N21"/>
  <sheetViews>
    <sheetView zoomScale="85" zoomScaleNormal="85" workbookViewId="0">
      <selection activeCell="N5" sqref="N5"/>
    </sheetView>
  </sheetViews>
  <sheetFormatPr defaultRowHeight="15" x14ac:dyDescent="0.25"/>
  <cols>
    <col min="1" max="1" width="2.7109375" customWidth="1"/>
    <col min="2" max="2" width="25" style="2" bestFit="1" customWidth="1"/>
    <col min="3" max="3" width="11.7109375" style="2" bestFit="1" customWidth="1"/>
    <col min="4" max="4" width="17" bestFit="1" customWidth="1"/>
    <col min="5" max="5" width="15.5703125" bestFit="1" customWidth="1"/>
    <col min="6" max="7" width="17.140625" bestFit="1" customWidth="1"/>
    <col min="8" max="8" width="18.42578125" bestFit="1" customWidth="1"/>
    <col min="9" max="9" width="21" bestFit="1" customWidth="1"/>
    <col min="10" max="10" width="21" customWidth="1"/>
    <col min="11" max="11" width="21" bestFit="1" customWidth="1"/>
    <col min="12" max="12" width="21" customWidth="1"/>
    <col min="13" max="13" width="15.5703125" bestFit="1" customWidth="1"/>
    <col min="14" max="14" width="64.7109375" bestFit="1" customWidth="1"/>
  </cols>
  <sheetData>
    <row r="4" spans="2:14" x14ac:dyDescent="0.25">
      <c r="B4" s="3" t="s">
        <v>337</v>
      </c>
      <c r="C4" s="3" t="s">
        <v>396</v>
      </c>
      <c r="D4" s="3" t="s">
        <v>386</v>
      </c>
      <c r="E4" s="3" t="s">
        <v>356</v>
      </c>
      <c r="F4" s="3" t="s">
        <v>391</v>
      </c>
      <c r="G4" s="3" t="s">
        <v>389</v>
      </c>
      <c r="H4" s="3" t="s">
        <v>390</v>
      </c>
      <c r="I4" s="3" t="s">
        <v>387</v>
      </c>
      <c r="J4" s="3" t="s">
        <v>401</v>
      </c>
      <c r="K4" s="3" t="s">
        <v>388</v>
      </c>
      <c r="L4" s="3" t="s">
        <v>402</v>
      </c>
      <c r="M4" s="3" t="s">
        <v>385</v>
      </c>
      <c r="N4" s="3" t="s">
        <v>325</v>
      </c>
    </row>
    <row r="5" spans="2:14" x14ac:dyDescent="0.25">
      <c r="B5" s="9" t="s">
        <v>394</v>
      </c>
      <c r="C5" s="21" t="s">
        <v>395</v>
      </c>
      <c r="D5" s="21" t="s">
        <v>397</v>
      </c>
      <c r="E5" s="5">
        <v>101101</v>
      </c>
      <c r="F5" s="5" t="s">
        <v>392</v>
      </c>
      <c r="G5" s="5" t="s">
        <v>8</v>
      </c>
      <c r="H5" s="6" t="s">
        <v>400</v>
      </c>
      <c r="I5" s="20">
        <v>45941</v>
      </c>
      <c r="J5" s="20"/>
      <c r="K5" s="20">
        <v>45941</v>
      </c>
      <c r="L5" s="20"/>
      <c r="M5" s="9"/>
      <c r="N5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('administrator','6d6a7369746d6f69','101101','YESNOSU-ADMIN4594145941'),</v>
      </c>
    </row>
    <row r="6" spans="2:14" x14ac:dyDescent="0.25">
      <c r="B6" s="10" t="s">
        <v>367</v>
      </c>
      <c r="C6" s="22"/>
      <c r="D6" s="22"/>
      <c r="E6" s="4">
        <v>180362</v>
      </c>
      <c r="F6" s="4" t="s">
        <v>392</v>
      </c>
      <c r="G6" s="4" t="s">
        <v>392</v>
      </c>
      <c r="H6" s="1" t="s">
        <v>358</v>
      </c>
      <c r="I6" s="8">
        <v>45941</v>
      </c>
      <c r="J6" s="8"/>
      <c r="K6" s="8">
        <v>45941</v>
      </c>
      <c r="L6" s="8"/>
      <c r="M6" s="10"/>
      <c r="N6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('ariya.ramsi','','180362','YESYESUSER4594145941'),</v>
      </c>
    </row>
    <row r="7" spans="2:14" x14ac:dyDescent="0.25">
      <c r="B7" s="10" t="s">
        <v>371</v>
      </c>
      <c r="C7" s="22"/>
      <c r="D7" s="22"/>
      <c r="E7" s="4">
        <v>220290</v>
      </c>
      <c r="F7" s="4" t="s">
        <v>8</v>
      </c>
      <c r="G7" s="4" t="s">
        <v>392</v>
      </c>
      <c r="H7" s="1" t="s">
        <v>358</v>
      </c>
      <c r="I7" s="8">
        <v>45941</v>
      </c>
      <c r="J7" s="8"/>
      <c r="K7" s="8">
        <v>45941</v>
      </c>
      <c r="L7" s="8"/>
      <c r="M7" s="10"/>
      <c r="N7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('albin.wangsa','','220290','NOYESUSER4594145941'),</v>
      </c>
    </row>
    <row r="8" spans="2:14" x14ac:dyDescent="0.25">
      <c r="B8" s="10" t="s">
        <v>373</v>
      </c>
      <c r="C8" s="22"/>
      <c r="D8" s="22"/>
      <c r="E8" s="4">
        <v>221284</v>
      </c>
      <c r="F8" s="4" t="s">
        <v>8</v>
      </c>
      <c r="G8" s="4" t="s">
        <v>392</v>
      </c>
      <c r="H8" s="1" t="s">
        <v>393</v>
      </c>
      <c r="I8" s="8">
        <v>45941</v>
      </c>
      <c r="J8" s="8"/>
      <c r="K8" s="8">
        <v>45941</v>
      </c>
      <c r="L8" s="8"/>
      <c r="M8" s="10"/>
      <c r="N8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('aldo.wowor','','221284','NOYESADMINISTRATOR4594145941'),</v>
      </c>
    </row>
    <row r="9" spans="2:14" x14ac:dyDescent="0.25">
      <c r="B9" s="10" t="s">
        <v>375</v>
      </c>
      <c r="C9" s="22"/>
      <c r="D9" s="22"/>
      <c r="E9" s="4">
        <v>221489</v>
      </c>
      <c r="F9" s="4" t="s">
        <v>8</v>
      </c>
      <c r="G9" s="4" t="s">
        <v>392</v>
      </c>
      <c r="H9" s="1" t="s">
        <v>358</v>
      </c>
      <c r="I9" s="8">
        <v>45941</v>
      </c>
      <c r="J9" s="8"/>
      <c r="K9" s="8">
        <v>45941</v>
      </c>
      <c r="L9" s="8"/>
      <c r="M9" s="10"/>
      <c r="N9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('degia.parlopa','','221489','NOYESUSER4594145941'),</v>
      </c>
    </row>
    <row r="10" spans="2:14" x14ac:dyDescent="0.25">
      <c r="B10" s="10" t="s">
        <v>376</v>
      </c>
      <c r="C10" s="22"/>
      <c r="D10" s="22"/>
      <c r="E10" s="4">
        <v>231399</v>
      </c>
      <c r="F10" s="4" t="s">
        <v>8</v>
      </c>
      <c r="G10" s="4" t="s">
        <v>392</v>
      </c>
      <c r="H10" s="1" t="s">
        <v>358</v>
      </c>
      <c r="I10" s="8">
        <v>45941</v>
      </c>
      <c r="J10" s="8"/>
      <c r="K10" s="8">
        <v>45941</v>
      </c>
      <c r="L10" s="8"/>
      <c r="M10" s="10"/>
      <c r="N10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('fransiskus.simson','','231399','NOYESUSER4594145941'),</v>
      </c>
    </row>
    <row r="11" spans="2:14" x14ac:dyDescent="0.25">
      <c r="B11" s="10" t="s">
        <v>372</v>
      </c>
      <c r="C11" s="22"/>
      <c r="D11" s="22"/>
      <c r="E11" s="4">
        <v>180426</v>
      </c>
      <c r="F11" s="4" t="s">
        <v>8</v>
      </c>
      <c r="G11" s="4" t="s">
        <v>392</v>
      </c>
      <c r="H11" s="1" t="s">
        <v>393</v>
      </c>
      <c r="I11" s="8">
        <v>45941</v>
      </c>
      <c r="J11" s="8"/>
      <c r="K11" s="8">
        <v>45941</v>
      </c>
      <c r="L11" s="8"/>
      <c r="M11" s="10"/>
      <c r="N11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('hardi.wasisto','','180426','NOYESADMINISTRATOR4594145941'),</v>
      </c>
    </row>
    <row r="12" spans="2:14" x14ac:dyDescent="0.25">
      <c r="B12" s="10" t="s">
        <v>377</v>
      </c>
      <c r="C12" s="22"/>
      <c r="D12" s="22"/>
      <c r="E12" s="4">
        <v>241681</v>
      </c>
      <c r="F12" s="4" t="s">
        <v>8</v>
      </c>
      <c r="G12" s="4" t="s">
        <v>392</v>
      </c>
      <c r="H12" s="1" t="s">
        <v>358</v>
      </c>
      <c r="I12" s="8">
        <v>45941</v>
      </c>
      <c r="J12" s="8"/>
      <c r="K12" s="8">
        <v>45941</v>
      </c>
      <c r="L12" s="8"/>
      <c r="M12" s="10"/>
      <c r="N12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('irfan.suparman','','241681','NOYESUSER4594145941'),</v>
      </c>
    </row>
    <row r="13" spans="2:14" x14ac:dyDescent="0.25">
      <c r="B13" s="10" t="s">
        <v>380</v>
      </c>
      <c r="C13" s="22"/>
      <c r="D13" s="22"/>
      <c r="E13" s="4">
        <v>232054</v>
      </c>
      <c r="F13" s="4" t="s">
        <v>8</v>
      </c>
      <c r="G13" s="4" t="s">
        <v>392</v>
      </c>
      <c r="H13" s="1" t="s">
        <v>358</v>
      </c>
      <c r="I13" s="8">
        <v>45941</v>
      </c>
      <c r="J13" s="8"/>
      <c r="K13" s="8">
        <v>45941</v>
      </c>
      <c r="L13" s="8"/>
      <c r="M13" s="10"/>
      <c r="N13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('moh.ramadhan','','232054','NOYESUSER4594145941'),</v>
      </c>
    </row>
    <row r="14" spans="2:14" x14ac:dyDescent="0.25">
      <c r="B14" s="10" t="s">
        <v>374</v>
      </c>
      <c r="C14" s="22"/>
      <c r="D14" s="22"/>
      <c r="E14" s="4">
        <v>100822</v>
      </c>
      <c r="F14" s="4" t="s">
        <v>8</v>
      </c>
      <c r="G14" s="4" t="s">
        <v>392</v>
      </c>
      <c r="H14" s="1" t="s">
        <v>358</v>
      </c>
      <c r="I14" s="8">
        <v>45941</v>
      </c>
      <c r="J14" s="8"/>
      <c r="K14" s="8">
        <v>45941</v>
      </c>
      <c r="L14" s="8"/>
      <c r="M14" s="10"/>
      <c r="N14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('johari.johari','','100822','NOYESUSER4594145941'),</v>
      </c>
    </row>
    <row r="15" spans="2:14" x14ac:dyDescent="0.25">
      <c r="B15" s="10" t="s">
        <v>370</v>
      </c>
      <c r="C15" s="22"/>
      <c r="D15" s="22"/>
      <c r="E15" s="4">
        <v>150821</v>
      </c>
      <c r="F15" s="4" t="s">
        <v>8</v>
      </c>
      <c r="G15" s="4" t="s">
        <v>392</v>
      </c>
      <c r="H15" s="1" t="s">
        <v>393</v>
      </c>
      <c r="I15" s="8">
        <v>45941</v>
      </c>
      <c r="J15" s="8"/>
      <c r="K15" s="8">
        <v>45941</v>
      </c>
      <c r="L15" s="8"/>
      <c r="M15" s="10"/>
      <c r="N15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('candra.segren','','150821','NOYESADMINISTRATOR4594145941'),</v>
      </c>
    </row>
    <row r="16" spans="2:14" x14ac:dyDescent="0.25">
      <c r="B16" s="10" t="s">
        <v>378</v>
      </c>
      <c r="C16" s="22"/>
      <c r="D16" s="22"/>
      <c r="E16" s="4">
        <v>241815</v>
      </c>
      <c r="F16" s="4" t="s">
        <v>8</v>
      </c>
      <c r="G16" s="4" t="s">
        <v>392</v>
      </c>
      <c r="H16" s="1" t="s">
        <v>358</v>
      </c>
      <c r="I16" s="8">
        <v>45941</v>
      </c>
      <c r="J16" s="8"/>
      <c r="K16" s="8">
        <v>45941</v>
      </c>
      <c r="L16" s="8"/>
      <c r="M16" s="10"/>
      <c r="N16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('patrick.lay','','241815','NOYESUSER4594145941'),</v>
      </c>
    </row>
    <row r="17" spans="2:14" x14ac:dyDescent="0.25">
      <c r="B17" s="10" t="s">
        <v>381</v>
      </c>
      <c r="C17" s="22"/>
      <c r="D17" s="22"/>
      <c r="E17" s="4">
        <v>250528</v>
      </c>
      <c r="F17" s="4" t="s">
        <v>8</v>
      </c>
      <c r="G17" s="4" t="s">
        <v>392</v>
      </c>
      <c r="H17" s="1" t="s">
        <v>393</v>
      </c>
      <c r="I17" s="8">
        <v>45941</v>
      </c>
      <c r="J17" s="8"/>
      <c r="K17" s="8">
        <v>45941</v>
      </c>
      <c r="L17" s="8"/>
      <c r="M17" s="10"/>
      <c r="N17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('sarah.durry','','250528','NOYESADMINISTRATOR4594145941'),</v>
      </c>
    </row>
    <row r="18" spans="2:14" x14ac:dyDescent="0.25">
      <c r="B18" s="10" t="s">
        <v>379</v>
      </c>
      <c r="C18" s="22"/>
      <c r="D18" s="22"/>
      <c r="E18" s="4">
        <v>250501</v>
      </c>
      <c r="F18" s="4" t="s">
        <v>8</v>
      </c>
      <c r="G18" s="4" t="s">
        <v>392</v>
      </c>
      <c r="H18" s="1" t="s">
        <v>358</v>
      </c>
      <c r="I18" s="8">
        <v>45941</v>
      </c>
      <c r="J18" s="8"/>
      <c r="K18" s="8">
        <v>45941</v>
      </c>
      <c r="L18" s="8"/>
      <c r="M18" s="10"/>
      <c r="N18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('thoyyib.abdillah','','250501','NOYESUSER4594145941'),</v>
      </c>
    </row>
    <row r="19" spans="2:14" x14ac:dyDescent="0.25">
      <c r="B19" s="10" t="s">
        <v>366</v>
      </c>
      <c r="C19" s="22"/>
      <c r="D19" s="22"/>
      <c r="E19" s="4">
        <v>240287</v>
      </c>
      <c r="F19" s="4" t="s">
        <v>8</v>
      </c>
      <c r="G19" s="4" t="s">
        <v>392</v>
      </c>
      <c r="H19" s="1" t="s">
        <v>393</v>
      </c>
      <c r="I19" s="8">
        <v>45941</v>
      </c>
      <c r="J19" s="8"/>
      <c r="K19" s="8">
        <v>45941</v>
      </c>
      <c r="L19" s="8"/>
      <c r="M19" s="10"/>
      <c r="N19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('johnson.lopulisa','','240287','NOYESADMINISTRATOR4594145941'),</v>
      </c>
    </row>
    <row r="20" spans="2:14" x14ac:dyDescent="0.25">
      <c r="B20" s="10" t="s">
        <v>369</v>
      </c>
      <c r="C20" s="22"/>
      <c r="D20" s="22"/>
      <c r="E20" s="4">
        <v>220909</v>
      </c>
      <c r="F20" s="4" t="s">
        <v>8</v>
      </c>
      <c r="G20" s="4" t="s">
        <v>392</v>
      </c>
      <c r="H20" s="1" t="s">
        <v>393</v>
      </c>
      <c r="I20" s="8">
        <v>45941</v>
      </c>
      <c r="J20" s="8"/>
      <c r="K20" s="8">
        <v>45941</v>
      </c>
      <c r="L20" s="8"/>
      <c r="M20" s="10"/>
      <c r="N20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('wilson.wilson','','220909','NOYESADMINISTRATOR4594145941'),</v>
      </c>
    </row>
    <row r="21" spans="2:14" x14ac:dyDescent="0.25">
      <c r="B21" s="10" t="s">
        <v>368</v>
      </c>
      <c r="C21" s="22"/>
      <c r="D21" s="22"/>
      <c r="E21" s="4">
        <v>240763</v>
      </c>
      <c r="F21" s="4" t="s">
        <v>8</v>
      </c>
      <c r="G21" s="4" t="s">
        <v>392</v>
      </c>
      <c r="H21" s="1" t="s">
        <v>393</v>
      </c>
      <c r="I21" s="8">
        <v>45941</v>
      </c>
      <c r="J21" s="8"/>
      <c r="K21" s="8">
        <v>45941</v>
      </c>
      <c r="L21" s="8"/>
      <c r="M21" s="10"/>
      <c r="N21" s="1" t="str">
        <f>"('"&amp;LEVEL1011[[#This Row],[MAIL]]&amp;"','"&amp;
LEVEL1011[[#This Row],[PASSWORD]]&amp;"','"&amp;
LEVEL1011[[#This Row],[PIC_NIP]]&amp;"','"&amp;LEVEL1011[[#This Row],[WST_ACCESS]]&amp;LEVEL1011[[#This Row],[NET_ACCESS]]&amp;LEVEL1011[[#This Row],[SVR_ACCESS]]&amp;LEVEL1011[[#This Row],[CREATE_DATE]]&amp;LEVEL1011[[#This Row],[MODIFIED_DATE]]&amp;
"'),"</f>
        <v>('wuwanjie.septian','','240763','NOYESADMINISTRATOR4594145941'),</v>
      </c>
    </row>
  </sheetData>
  <phoneticPr fontId="3" type="noConversion"/>
  <conditionalFormatting sqref="B5:C21">
    <cfRule type="duplicateValues" dxfId="53" priority="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CF7-85FC-4A70-932F-5DEDD00AB6DC}">
  <dimension ref="A2:BC19"/>
  <sheetViews>
    <sheetView showGridLines="0"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L13" sqref="L13"/>
    </sheetView>
  </sheetViews>
  <sheetFormatPr defaultRowHeight="15" x14ac:dyDescent="0.25"/>
  <cols>
    <col min="1" max="1" width="2.7109375" customWidth="1"/>
    <col min="2" max="2" width="11.28515625" customWidth="1"/>
    <col min="3" max="3" width="14.42578125" bestFit="1" customWidth="1"/>
    <col min="4" max="4" width="16.42578125" bestFit="1" customWidth="1"/>
    <col min="5" max="5" width="17.28515625" bestFit="1" customWidth="1"/>
    <col min="6" max="6" width="15.5703125" bestFit="1" customWidth="1"/>
    <col min="7" max="7" width="9.42578125" customWidth="1"/>
    <col min="8" max="8" width="12.7109375" bestFit="1" customWidth="1"/>
    <col min="9" max="9" width="14.5703125" customWidth="1"/>
    <col min="10" max="10" width="10.28515625" bestFit="1" customWidth="1"/>
    <col min="11" max="11" width="14.7109375" bestFit="1" customWidth="1"/>
    <col min="12" max="12" width="12.7109375" customWidth="1"/>
    <col min="13" max="13" width="28.42578125" bestFit="1" customWidth="1"/>
    <col min="14" max="14" width="15.7109375" bestFit="1" customWidth="1"/>
    <col min="15" max="15" width="29" bestFit="1" customWidth="1"/>
    <col min="16" max="16" width="15.7109375" bestFit="1" customWidth="1"/>
    <col min="17" max="17" width="34.42578125" bestFit="1" customWidth="1"/>
    <col min="18" max="18" width="13.42578125" customWidth="1"/>
    <col min="19" max="19" width="14.140625" bestFit="1" customWidth="1"/>
    <col min="20" max="20" width="14.140625" customWidth="1"/>
    <col min="21" max="21" width="24.85546875" bestFit="1" customWidth="1"/>
    <col min="22" max="22" width="31.28515625" bestFit="1" customWidth="1"/>
    <col min="23" max="24" width="8" bestFit="1" customWidth="1"/>
    <col min="25" max="25" width="8.85546875" bestFit="1" customWidth="1"/>
    <col min="26" max="26" width="12.42578125" bestFit="1" customWidth="1"/>
    <col min="27" max="27" width="12.85546875" bestFit="1" customWidth="1"/>
    <col min="28" max="28" width="18.7109375" bestFit="1" customWidth="1"/>
    <col min="29" max="29" width="15.140625" bestFit="1" customWidth="1"/>
    <col min="30" max="30" width="15.5703125" bestFit="1" customWidth="1"/>
    <col min="31" max="31" width="14.85546875" bestFit="1" customWidth="1"/>
    <col min="32" max="32" width="15.28515625" bestFit="1" customWidth="1"/>
    <col min="33" max="33" width="14.85546875" bestFit="1" customWidth="1"/>
    <col min="34" max="34" width="9.28515625" bestFit="1" customWidth="1"/>
    <col min="35" max="35" width="14" bestFit="1" customWidth="1"/>
    <col min="36" max="36" width="15.5703125" bestFit="1" customWidth="1"/>
    <col min="37" max="37" width="13.28515625" bestFit="1" customWidth="1"/>
    <col min="38" max="38" width="17.7109375" bestFit="1" customWidth="1"/>
    <col min="39" max="39" width="15.85546875" bestFit="1" customWidth="1"/>
    <col min="40" max="40" width="14.140625" bestFit="1" customWidth="1"/>
    <col min="41" max="41" width="50.7109375" customWidth="1"/>
    <col min="42" max="42" width="14.7109375" bestFit="1" customWidth="1"/>
    <col min="43" max="43" width="50.7109375" customWidth="1"/>
    <col min="44" max="44" width="18.42578125" bestFit="1" customWidth="1"/>
    <col min="45" max="45" width="15" bestFit="1" customWidth="1"/>
    <col min="46" max="46" width="22.42578125" bestFit="1" customWidth="1"/>
    <col min="47" max="47" width="50.7109375" customWidth="1"/>
    <col min="48" max="48" width="14.7109375" bestFit="1" customWidth="1"/>
    <col min="49" max="49" width="15.7109375" bestFit="1" customWidth="1"/>
    <col min="50" max="50" width="15.7109375" style="3" customWidth="1"/>
    <col min="52" max="52" width="22.140625" bestFit="1" customWidth="1"/>
    <col min="53" max="53" width="20.140625" customWidth="1"/>
    <col min="54" max="54" width="255.7109375" hidden="1" customWidth="1"/>
    <col min="55" max="55" width="13.5703125" customWidth="1"/>
  </cols>
  <sheetData>
    <row r="2" spans="1:55" x14ac:dyDescent="0.25">
      <c r="B2" s="4" cm="1">
        <f t="array" ref="B2">MAX(LEN(Table12[ID_ASSET]))</f>
        <v>7</v>
      </c>
      <c r="C2" s="4" cm="1">
        <f t="array" ref="C2">MAX(LEN(Table12[HOSTNAME]))</f>
        <v>13</v>
      </c>
      <c r="D2" s="4" cm="1">
        <f t="array" ref="D2">MAX(LEN(Table12[SN]))</f>
        <v>15</v>
      </c>
      <c r="E2" s="4" cm="1">
        <f t="array" ref="E2">MAX(LEN(Table12[BARCODE]))</f>
        <v>16</v>
      </c>
      <c r="F2" s="4" cm="1">
        <f t="array" ref="F2">MAX(LEN(Table12[CATEGORY]))</f>
        <v>10</v>
      </c>
      <c r="G2" s="4" cm="1">
        <f t="array" ref="G2">MAX(LEN(Table12[BRAND]))</f>
        <v>4</v>
      </c>
      <c r="H2" s="4" cm="1">
        <f t="array" ref="H2">MAX(LEN(Table12[TYPE]))</f>
        <v>14</v>
      </c>
      <c r="I2" s="4" cm="1">
        <f t="array" ref="I2">MAX(LEN(Table12[PROCESSORS]))</f>
        <v>9</v>
      </c>
      <c r="J2" s="4" cm="1">
        <f t="array" ref="J2">MAX(LEN(Table12[GEN]))</f>
        <v>2</v>
      </c>
      <c r="K2" s="4" cm="1">
        <f t="array" ref="K2">MAX(LEN(Table12[RAM_CAP]))</f>
        <v>2</v>
      </c>
      <c r="L2" s="4" cm="1">
        <f t="array" ref="L2">MAX(LEN(Table12[RAM_SLOT]))</f>
        <v>6</v>
      </c>
      <c r="M2" s="4" cm="1">
        <f t="array" ref="M2">MAX(LEN(Table12[RAM_TYPE]))</f>
        <v>30</v>
      </c>
      <c r="N2" s="4" cm="1">
        <f t="array" ref="N2">MAX(LEN(Table12[DISK1_CAP]))</f>
        <v>3</v>
      </c>
      <c r="O2" s="4" cm="1">
        <f t="array" ref="O2">MAX(LEN(Table12[DISK1_TYPE]))</f>
        <v>28</v>
      </c>
      <c r="P2" s="4" cm="1">
        <f t="array" ref="P2">MAX(LEN(Table12[DISK2_CAP]))</f>
        <v>4</v>
      </c>
      <c r="Q2" s="4" cm="1">
        <f t="array" ref="Q2">MAX(LEN(Table12[DISK2_TYPE]))</f>
        <v>32</v>
      </c>
      <c r="R2" s="4" cm="1">
        <f t="array" ref="R2">MAX(LEN(Table12[OS]))</f>
        <v>7</v>
      </c>
      <c r="S2" s="4" cm="1">
        <f t="array" ref="S2">MAX(LEN(Table12[OS_TYPE]))</f>
        <v>14</v>
      </c>
      <c r="T2" s="4" cm="1">
        <f t="array" ref="T2">MAX(LEN(Table12[OS_VER]))</f>
        <v>4</v>
      </c>
      <c r="U2" s="4" cm="1">
        <f t="array" ref="U2">MAX(LEN(Table12[PRODUCT_ID]))</f>
        <v>23</v>
      </c>
      <c r="V2" s="4" cm="1">
        <f t="array" ref="V2">MAX(LEN(Table12[PRODUCT_KEY]))</f>
        <v>29</v>
      </c>
      <c r="W2" s="4" cm="1">
        <f t="array" ref="W2">MAX(LEN(Table12[BH]))</f>
        <v>17</v>
      </c>
      <c r="X2" s="4" cm="1">
        <f t="array" ref="X2">MAX(LEN(Table12[DC]))</f>
        <v>5</v>
      </c>
      <c r="Y2" s="4" cm="1">
        <f t="array" ref="Y2">MAX(LEN(Table12[FCC]))</f>
        <v>5</v>
      </c>
      <c r="Z2" s="4" cm="1">
        <f t="array" ref="Z2">MAX(LEN(Table12[CASING]))</f>
        <v>4</v>
      </c>
      <c r="AA2" s="4" cm="1">
        <f t="array" ref="AA2">MAX(LEN(Table12[DISPLAY]))</f>
        <v>4</v>
      </c>
      <c r="AB2" s="4" cm="1">
        <f t="array" ref="AB2">MAX(LEN(Table12[PORT_DISPLAY]))</f>
        <v>11</v>
      </c>
      <c r="AC2" s="4" cm="1">
        <f t="array" ref="AC2">MAX(LEN(Table12[KEYBOARD]))</f>
        <v>4</v>
      </c>
      <c r="AD2" s="4" cm="1">
        <f t="array" ref="AD2">MAX(LEN(Table12[TOUCHPAD]))</f>
        <v>4</v>
      </c>
      <c r="AE2" s="4" cm="1">
        <f t="array" ref="AE2">MAX(LEN(Table12[PORT_USB]))</f>
        <v>13</v>
      </c>
      <c r="AF2" s="4" cm="1">
        <f t="array" ref="AF2">MAX(LEN(Table12[PORT_JECK]))</f>
        <v>4</v>
      </c>
      <c r="AG2" s="4" cm="1">
        <f t="array" ref="AG2">MAX(LEN(Table12[PORT_PSU]))</f>
        <v>4</v>
      </c>
      <c r="AH2" s="4" cm="1">
        <f t="array" ref="AH2">MAX(LEN(Table12[FAN]))</f>
        <v>4</v>
      </c>
      <c r="AI2" s="4" cm="1">
        <f t="array" ref="AI2">MAX(LEN(Table12[WEBCAM]))</f>
        <v>4</v>
      </c>
      <c r="AJ2" s="4" cm="1">
        <f t="array" ref="AJ2">MAX(LEN(Table12[MICROFON]))</f>
        <v>4</v>
      </c>
      <c r="AK2" s="4" cm="1">
        <f t="array" ref="AK2">MAX(LEN(Table12[SPEAKER]))</f>
        <v>4</v>
      </c>
      <c r="AL2" s="4" cm="1">
        <f t="array" ref="AL2">MAX(LEN(Table12[CONNECTION]))</f>
        <v>14</v>
      </c>
      <c r="AM2" s="4" cm="1">
        <f t="array" ref="AM2">MAX(LEN(Table12[CONDITIONS]))</f>
        <v>4</v>
      </c>
      <c r="AN2" s="4" cm="1">
        <f t="array" ref="AN2">MAX(LEN(Table12[SUB_CON]))</f>
        <v>7</v>
      </c>
      <c r="AO2" s="4" cm="1">
        <f t="array" ref="AO2">MAX(LEN(Table12[NOTE_CON]))</f>
        <v>41</v>
      </c>
      <c r="AP2" s="4" cm="1">
        <f t="array" ref="AP2">MAX(LEN(Table12[SOLUTION]))</f>
        <v>7</v>
      </c>
      <c r="AQ2" s="4" cm="1">
        <f t="array" ref="AQ2">MAX(LEN(Table12[NOTE_SOL]))</f>
        <v>60</v>
      </c>
      <c r="AR2" s="4" cm="1">
        <f t="array" ref="AR2">MAX(LEN(Table12[STATUS_FUNC]))</f>
        <v>3</v>
      </c>
      <c r="AS2" s="4" cm="1">
        <f t="array" ref="AS2">MAX(LEN(Table12[FUNCTIONS]))</f>
        <v>8</v>
      </c>
      <c r="AT2" s="4" cm="1">
        <f t="array" ref="AT2">MAX(LEN(Table12[NOTE_FUNC]))</f>
        <v>25</v>
      </c>
      <c r="AU2" s="4" cm="1">
        <f t="array" ref="AU2">MAX(LEN(Table12[HISTORY_PIC]))</f>
        <v>19</v>
      </c>
      <c r="AV2" s="4" cm="1">
        <f t="array" ref="AV2">MAX(LEN(Table12[LOCATION]))</f>
        <v>6</v>
      </c>
      <c r="AW2" s="4" cm="1">
        <f t="array" ref="AW2">MAX(LEN(Table12[NOTE_LOC]))</f>
        <v>18</v>
      </c>
      <c r="AX2" s="4"/>
      <c r="AY2" s="4" cm="1">
        <f t="array" ref="AY2">MAX(LEN(Table12[PIC_NIP]))</f>
        <v>6</v>
      </c>
      <c r="AZ2" s="4" cm="1">
        <f t="array" ref="AZ2">MAX(LEN(Table12[ID_MAINTENANCE]))</f>
        <v>11</v>
      </c>
    </row>
    <row r="3" spans="1:55" s="4" customFormat="1" ht="12.75" x14ac:dyDescent="0.25">
      <c r="K3" s="32" t="s">
        <v>550</v>
      </c>
      <c r="N3" s="32" t="s">
        <v>550</v>
      </c>
      <c r="O3" s="32" t="s">
        <v>685</v>
      </c>
      <c r="P3" s="32" t="s">
        <v>550</v>
      </c>
      <c r="Q3" s="32" t="s">
        <v>685</v>
      </c>
      <c r="X3" s="69" t="s">
        <v>559</v>
      </c>
      <c r="Y3" s="69"/>
    </row>
    <row r="4" spans="1:55" s="3" customFormat="1" x14ac:dyDescent="0.25">
      <c r="B4" s="24" t="s">
        <v>521</v>
      </c>
      <c r="C4" s="25" t="s">
        <v>522</v>
      </c>
      <c r="D4" s="25" t="s">
        <v>523</v>
      </c>
      <c r="E4" s="25" t="s">
        <v>524</v>
      </c>
      <c r="F4" s="48" t="s">
        <v>536</v>
      </c>
      <c r="G4" s="25" t="s">
        <v>525</v>
      </c>
      <c r="H4" s="25" t="s">
        <v>361</v>
      </c>
      <c r="I4" s="25" t="s">
        <v>526</v>
      </c>
      <c r="J4" s="25" t="s">
        <v>527</v>
      </c>
      <c r="K4" s="25" t="s">
        <v>535</v>
      </c>
      <c r="L4" s="25" t="s">
        <v>534</v>
      </c>
      <c r="M4" s="25" t="s">
        <v>533</v>
      </c>
      <c r="N4" s="25" t="s">
        <v>532</v>
      </c>
      <c r="O4" s="25" t="s">
        <v>531</v>
      </c>
      <c r="P4" s="25" t="s">
        <v>530</v>
      </c>
      <c r="Q4" s="25" t="s">
        <v>529</v>
      </c>
      <c r="R4" s="25" t="s">
        <v>549</v>
      </c>
      <c r="S4" s="25" t="s">
        <v>528</v>
      </c>
      <c r="T4" s="25" t="s">
        <v>555</v>
      </c>
      <c r="U4" s="25" t="s">
        <v>547</v>
      </c>
      <c r="V4" s="25" t="s">
        <v>548</v>
      </c>
      <c r="W4" s="48" t="s">
        <v>560</v>
      </c>
      <c r="X4" s="25" t="s">
        <v>557</v>
      </c>
      <c r="Y4" s="25" t="s">
        <v>558</v>
      </c>
      <c r="Z4" s="25" t="s">
        <v>561</v>
      </c>
      <c r="AA4" s="25" t="s">
        <v>562</v>
      </c>
      <c r="AB4" s="25" t="s">
        <v>575</v>
      </c>
      <c r="AC4" s="25" t="s">
        <v>563</v>
      </c>
      <c r="AD4" s="25" t="s">
        <v>564</v>
      </c>
      <c r="AE4" s="25" t="s">
        <v>565</v>
      </c>
      <c r="AF4" s="25" t="s">
        <v>566</v>
      </c>
      <c r="AG4" s="25" t="s">
        <v>567</v>
      </c>
      <c r="AH4" s="25" t="s">
        <v>568</v>
      </c>
      <c r="AI4" s="25" t="s">
        <v>569</v>
      </c>
      <c r="AJ4" s="25" t="s">
        <v>570</v>
      </c>
      <c r="AK4" s="25" t="s">
        <v>571</v>
      </c>
      <c r="AL4" s="25" t="s">
        <v>572</v>
      </c>
      <c r="AM4" s="48" t="s">
        <v>772</v>
      </c>
      <c r="AN4" s="25" t="s">
        <v>578</v>
      </c>
      <c r="AO4" s="25" t="s">
        <v>579</v>
      </c>
      <c r="AP4" s="48" t="s">
        <v>580</v>
      </c>
      <c r="AQ4" s="25" t="s">
        <v>581</v>
      </c>
      <c r="AR4" s="25" t="s">
        <v>586</v>
      </c>
      <c r="AS4" s="25" t="s">
        <v>771</v>
      </c>
      <c r="AT4" s="25" t="s">
        <v>582</v>
      </c>
      <c r="AU4" s="25" t="s">
        <v>583</v>
      </c>
      <c r="AV4" s="25" t="s">
        <v>584</v>
      </c>
      <c r="AW4" s="25" t="s">
        <v>585</v>
      </c>
      <c r="AX4" s="48" t="s">
        <v>310</v>
      </c>
      <c r="AY4" s="25" t="s">
        <v>356</v>
      </c>
      <c r="AZ4" s="26" t="s">
        <v>587</v>
      </c>
      <c r="BA4" s="48" t="s">
        <v>680</v>
      </c>
      <c r="BB4" s="25" t="s">
        <v>325</v>
      </c>
      <c r="BC4" s="25" t="s">
        <v>312</v>
      </c>
    </row>
    <row r="5" spans="1:55" ht="16.5" x14ac:dyDescent="0.25">
      <c r="A5" s="3" t="str">
        <f>IF(Table12[[#This Row],[VAL-1]]="VALIDATE [DONE]","✓","✗")</f>
        <v>✗</v>
      </c>
      <c r="B5" s="33" t="s">
        <v>632</v>
      </c>
      <c r="C5" s="15" t="s">
        <v>643</v>
      </c>
      <c r="D5" s="15" t="s">
        <v>608</v>
      </c>
      <c r="E5" s="49" t="s">
        <v>795</v>
      </c>
      <c r="F5" s="15" t="str">
        <f>_xlfn.IFS(LEFT(Table12[[#This Row],[ID_ASSET]],2)="DT","PC DESKTOP",LEFT(Table12[[#This Row],[ID_ASSET]],2)="NB","LAPTOP")</f>
        <v>LAPTOP</v>
      </c>
      <c r="G5" s="15" t="s">
        <v>542</v>
      </c>
      <c r="H5" s="15" t="s">
        <v>653</v>
      </c>
      <c r="I5" s="15" t="s">
        <v>658</v>
      </c>
      <c r="J5" s="55">
        <v>8</v>
      </c>
      <c r="K5" s="55">
        <v>16</v>
      </c>
      <c r="L5" s="55" t="s">
        <v>682</v>
      </c>
      <c r="M5" s="59" t="s">
        <v>775</v>
      </c>
      <c r="N5" s="55">
        <v>256</v>
      </c>
      <c r="O5" s="57" t="s">
        <v>776</v>
      </c>
      <c r="P5" s="55">
        <v>1000</v>
      </c>
      <c r="Q5" s="57" t="s">
        <v>777</v>
      </c>
      <c r="R5" s="15" t="s">
        <v>552</v>
      </c>
      <c r="S5" s="15" t="s">
        <v>553</v>
      </c>
      <c r="T5" s="15" t="s">
        <v>556</v>
      </c>
      <c r="U5" s="60" t="s">
        <v>778</v>
      </c>
      <c r="V5" s="60" t="s">
        <v>687</v>
      </c>
      <c r="W5" s="62" t="str">
        <f>IFERROR(IF(Table12[[#This Row],[CATEGORY]]="PC DESKTOP","NA",(Table12[[#This Row],[FCC]]/Table12[[#This Row],[DC]])),"")</f>
        <v/>
      </c>
      <c r="X5" s="63"/>
      <c r="Y5" s="63"/>
      <c r="Z5" s="16" t="s">
        <v>574</v>
      </c>
      <c r="AA5" s="16" t="s">
        <v>574</v>
      </c>
      <c r="AB5" s="15" t="s">
        <v>576</v>
      </c>
      <c r="AC5" s="16" t="s">
        <v>574</v>
      </c>
      <c r="AD5" s="16" t="s">
        <v>574</v>
      </c>
      <c r="AE5" s="55"/>
      <c r="AF5" s="16" t="s">
        <v>574</v>
      </c>
      <c r="AG5" s="16" t="s">
        <v>574</v>
      </c>
      <c r="AH5" s="16" t="s">
        <v>574</v>
      </c>
      <c r="AI5" s="16" t="s">
        <v>574</v>
      </c>
      <c r="AJ5" s="16" t="s">
        <v>574</v>
      </c>
      <c r="AK5" s="16" t="s">
        <v>574</v>
      </c>
      <c r="AL5" s="15" t="s">
        <v>573</v>
      </c>
      <c r="AM5" s="15" t="str">
        <f>IF(OR(Table12[[#This Row],[SUB_CON]]="CAUTION",Table12[[#This Row],[SUB_CON]]="POOR"),"BAD","GOOD")</f>
        <v>GOOD</v>
      </c>
      <c r="AN5" s="15" t="s">
        <v>663</v>
      </c>
      <c r="AO5" s="15" t="s">
        <v>666</v>
      </c>
      <c r="AP5" s="15" t="str" cm="1">
        <f t="array" ref="AP5">_xlfn.IFS(
Table12[[#This Row],[SUB_CON]]="GREAT","KEEP",
Table12[[#This Row],[SUB_CON]]="NORMAL","UPGRADE",
Table12[[#This Row],[SUB_CON]]="CAUTION","SERVICE",
Table12[[#This Row],[SUB_CON]]="POOR","DISPOSE")</f>
        <v>UPGRADE</v>
      </c>
      <c r="AQ5" s="46" t="s">
        <v>669</v>
      </c>
      <c r="AR5" s="15" t="s">
        <v>355</v>
      </c>
      <c r="AS5" s="15" t="s">
        <v>688</v>
      </c>
      <c r="AT5" s="15" t="s">
        <v>357</v>
      </c>
      <c r="AU5" s="15" t="s">
        <v>357</v>
      </c>
      <c r="AV5" s="15" t="s">
        <v>689</v>
      </c>
      <c r="AW5" s="15" t="s">
        <v>690</v>
      </c>
      <c r="AX5" s="16" t="str">
        <f>IF(Table12[[#This Row],[PIC_NIP]]&lt;&gt;999999,"IN USE",IF(AND(Table12[[#This Row],[NOTE_LOC]]="WAREHOUSE",Table12[[#This Row],[PIC_NIP]]=999999),"IN STORE","IN-ACTIVE"))</f>
        <v>IN USE</v>
      </c>
      <c r="AY5" s="55">
        <v>221284</v>
      </c>
      <c r="AZ5" s="28" t="s">
        <v>760</v>
      </c>
      <c r="BA5" s="37" t="str">
        <f>IF(COUNTBLANK(Table12[[#This Row],[ID_ASSET]:[ID_MAINTENANCE]])&gt;0,"VALIDATE [IN PROGRESS]","VALIDATE [DONE]")</f>
        <v>VALIDATE [IN PROGRESS]</v>
      </c>
      <c r="BB5" s="37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NB.0326O99-ITD-NB012JSBKWS2MASHQEQP2000002LAPTOPDELLLatitude 3490i5-8250U8162 of 2DDR4, SO-DIMM, 2400 / 2667 Mhz256SSD M.2/KYO Kaizen1000HDD SATA 2.5"/Toshiba MQ01ABD100WindowsWindows 11 Pro24H200330-71290-00002-AAOEMTBDGoodGoodHDMI [Good]GoodGoodGoodGoodGoodGoodGoodGoodWiFI, EthernetGOODNORMALHardware : Need to be Upgrade PerformanceUPGRADEUpgrade RAMPICPERSONAL--MOBILEUSER MOBILE221284ME01-251012'),</v>
      </c>
      <c r="BC5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('NB.0326','O99-ITD-NB012','JSBKWS2','MASHQEQP2000002','LAPTOP','DELL','Latitude 3490','i5-8250U','8','16','2 of 2','DDR4, SO-DIMM, 2400 / 2667 Mhz','256','SSD M.2/KYO Kaizen','1000','HDD SATA 2.5"/Toshiba MQ01ABD100','Windows','Windows 11 Pro','24H2','00330-71290-00002-AAOEM','TBD','','','','Good','Good','HDMI [Good]','Good','Good','','Good','Good','Good','Good','Good','Good','WiFI, Ethernet','GOOD','NORMAL','Hardware : Need to be Upgrade Performance','UPGRADE','Upgrade RAM','PIC','PERSONAL','-','-','MOBILE','USER MOBILE','221284','ME01-251012'),</v>
      </c>
    </row>
    <row r="6" spans="1:55" ht="16.5" x14ac:dyDescent="0.25">
      <c r="A6" s="3" t="str">
        <f>IF(Table12[[#This Row],[VAL-1]]="VALIDATE [DONE]","✓","✗")</f>
        <v>✗</v>
      </c>
      <c r="B6" s="33" t="s">
        <v>633</v>
      </c>
      <c r="C6" s="15" t="s">
        <v>644</v>
      </c>
      <c r="D6" s="15" t="s">
        <v>609</v>
      </c>
      <c r="E6" s="15" t="s">
        <v>697</v>
      </c>
      <c r="F6" s="15" t="str">
        <f>_xlfn.IFS(LEFT(Table12[[#This Row],[ID_ASSET]],2)="DT","PC DESKTOP",LEFT(Table12[[#This Row],[ID_ASSET]],2)="NB","LAPTOP")</f>
        <v>LAPTOP</v>
      </c>
      <c r="G6" s="15" t="s">
        <v>542</v>
      </c>
      <c r="H6" s="15" t="s">
        <v>654</v>
      </c>
      <c r="I6" s="15" t="s">
        <v>659</v>
      </c>
      <c r="J6" s="55">
        <v>12</v>
      </c>
      <c r="K6" s="55">
        <v>8</v>
      </c>
      <c r="L6" s="55"/>
      <c r="M6" s="59"/>
      <c r="N6" s="55">
        <v>512</v>
      </c>
      <c r="O6" s="57"/>
      <c r="P6" s="55">
        <v>0</v>
      </c>
      <c r="Q6" s="57" t="s">
        <v>551</v>
      </c>
      <c r="R6" s="15" t="s">
        <v>552</v>
      </c>
      <c r="S6" s="15"/>
      <c r="T6" s="15"/>
      <c r="U6" s="60"/>
      <c r="V6" s="60" t="s">
        <v>687</v>
      </c>
      <c r="W6" s="62" t="str">
        <f>IFERROR(IF(Table12[[#This Row],[CATEGORY]]="PC DESKTOP","NA",(Table12[[#This Row],[FCC]]/Table12[[#This Row],[DC]])),"")</f>
        <v/>
      </c>
      <c r="X6" s="63"/>
      <c r="Y6" s="63"/>
      <c r="Z6" s="16" t="s">
        <v>574</v>
      </c>
      <c r="AA6" s="16" t="s">
        <v>574</v>
      </c>
      <c r="AB6" s="15" t="s">
        <v>576</v>
      </c>
      <c r="AC6" s="16" t="s">
        <v>574</v>
      </c>
      <c r="AD6" s="16" t="s">
        <v>574</v>
      </c>
      <c r="AE6" s="55"/>
      <c r="AF6" s="16" t="s">
        <v>574</v>
      </c>
      <c r="AG6" s="16" t="s">
        <v>574</v>
      </c>
      <c r="AH6" s="16" t="s">
        <v>574</v>
      </c>
      <c r="AI6" s="16" t="s">
        <v>574</v>
      </c>
      <c r="AJ6" s="16" t="s">
        <v>574</v>
      </c>
      <c r="AK6" s="16" t="s">
        <v>574</v>
      </c>
      <c r="AL6" s="15" t="s">
        <v>573</v>
      </c>
      <c r="AM6" s="15" t="str">
        <f>IF(OR(Table12[[#This Row],[SUB_CON]]="CAUTION",Table12[[#This Row],[SUB_CON]]="POOR"),"BAD","GOOD")</f>
        <v>GOOD</v>
      </c>
      <c r="AN6" s="15" t="s">
        <v>664</v>
      </c>
      <c r="AO6" s="15" t="s">
        <v>668</v>
      </c>
      <c r="AP6" s="15" t="str" cm="1">
        <f t="array" ref="AP6">_xlfn.IFS(
Table12[[#This Row],[SUB_CON]]="GREAT","KEEP",
Table12[[#This Row],[SUB_CON]]="NORMAL","UPGRADE",
Table12[[#This Row],[SUB_CON]]="CAUTION","SERVICE",
Table12[[#This Row],[SUB_CON]]="POOR","DISPOSE")</f>
        <v>KEEP</v>
      </c>
      <c r="AQ6" s="46" t="s">
        <v>670</v>
      </c>
      <c r="AR6" s="15" t="s">
        <v>355</v>
      </c>
      <c r="AS6" s="15" t="s">
        <v>688</v>
      </c>
      <c r="AT6" s="15" t="s">
        <v>357</v>
      </c>
      <c r="AU6" s="15" t="s">
        <v>671</v>
      </c>
      <c r="AV6" s="15" t="s">
        <v>689</v>
      </c>
      <c r="AW6" s="15" t="s">
        <v>690</v>
      </c>
      <c r="AX6" s="16" t="str">
        <f>IF(Table12[[#This Row],[PIC_NIP]]&lt;&gt;999999,"IN USE",IF(AND(Table12[[#This Row],[NOTE_LOC]]="WAREHOUSE",Table12[[#This Row],[PIC_NIP]]=999999),"IN STORE","IN-ACTIVE"))</f>
        <v>IN USE</v>
      </c>
      <c r="AY6" s="55">
        <v>250501</v>
      </c>
      <c r="AZ6" s="28" t="s">
        <v>760</v>
      </c>
      <c r="BA6" s="15" t="str">
        <f>IF(COUNTBLANK(Table12[[#This Row],[ID_ASSET]:[ID_MAINTENANCE]])&gt;0,"VALIDATE [IN PROGRESS]","VALIDATE [DONE]")</f>
        <v>VALIDATE [IN PROGRESS]</v>
      </c>
      <c r="BB6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NB.0384O99-ITD-NB015J8Q5HX3MASHQEQP2300012LAPTOPDELLLatitude 3430i3-1215U1285120NAWindowsTBDGoodGoodHDMI [Good]GoodGoodGoodGoodGoodGoodGoodGoodWiFI, EthernetGOODGREATGOOD PERFORMANCEKEEPTidak adaPICPERSONAL-Ex Degia ParlopaMOBILEUSER MOBILE250501ME01-251012'),</v>
      </c>
      <c r="BC6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('NB.0384','O99-ITD-NB015','J8Q5HX3','MASHQEQP2300012','LAPTOP','DELL','Latitude 3430','i3-1215U','12','8','','','512','','0','NA','Windows','','','','TBD','','','','Good','Good','HDMI [Good]','Good','Good','','Good','Good','Good','Good','Good','Good','WiFI, Ethernet','GOOD','GREAT','GOOD PERFORMANCE','KEEP','Tidak ada','PIC','PERSONAL','-','Ex Degia Parlopa','MOBILE','USER MOBILE','250501','ME01-251012'),</v>
      </c>
    </row>
    <row r="7" spans="1:55" ht="16.5" x14ac:dyDescent="0.25">
      <c r="A7" s="3" t="str">
        <f>IF(Table12[[#This Row],[VAL-1]]="VALIDATE [DONE]","✓","✗")</f>
        <v>✗</v>
      </c>
      <c r="B7" s="33" t="s">
        <v>634</v>
      </c>
      <c r="C7" s="15" t="s">
        <v>645</v>
      </c>
      <c r="D7" s="15" t="s">
        <v>610</v>
      </c>
      <c r="E7" s="15" t="s">
        <v>597</v>
      </c>
      <c r="F7" s="15" t="str">
        <f>_xlfn.IFS(LEFT(Table12[[#This Row],[ID_ASSET]],2)="DT","PC DESKTOP",LEFT(Table12[[#This Row],[ID_ASSET]],2)="NB","LAPTOP")</f>
        <v>LAPTOP</v>
      </c>
      <c r="G7" s="15" t="s">
        <v>542</v>
      </c>
      <c r="H7" s="15" t="s">
        <v>655</v>
      </c>
      <c r="I7" s="15" t="s">
        <v>660</v>
      </c>
      <c r="J7" s="55">
        <v>13</v>
      </c>
      <c r="K7" s="55">
        <v>32</v>
      </c>
      <c r="L7" s="55" t="s">
        <v>682</v>
      </c>
      <c r="M7" s="59" t="s">
        <v>683</v>
      </c>
      <c r="N7" s="55">
        <v>512</v>
      </c>
      <c r="O7" s="57" t="s">
        <v>684</v>
      </c>
      <c r="P7" s="55">
        <v>0</v>
      </c>
      <c r="Q7" s="57" t="s">
        <v>551</v>
      </c>
      <c r="R7" s="15" t="s">
        <v>552</v>
      </c>
      <c r="S7" s="15" t="s">
        <v>553</v>
      </c>
      <c r="T7" s="15" t="s">
        <v>556</v>
      </c>
      <c r="U7" s="60" t="s">
        <v>681</v>
      </c>
      <c r="V7" s="60" t="s">
        <v>687</v>
      </c>
      <c r="W7" s="62" t="str">
        <f>IFERROR(IF(Table12[[#This Row],[CATEGORY]]="PC DESKTOP","NA",(Table12[[#This Row],[FCC]]/Table12[[#This Row],[DC]])),"")</f>
        <v/>
      </c>
      <c r="X7" s="63"/>
      <c r="Y7" s="63"/>
      <c r="Z7" s="16" t="s">
        <v>574</v>
      </c>
      <c r="AA7" s="16" t="s">
        <v>574</v>
      </c>
      <c r="AB7" s="15" t="s">
        <v>576</v>
      </c>
      <c r="AC7" s="16" t="s">
        <v>574</v>
      </c>
      <c r="AD7" s="16" t="s">
        <v>574</v>
      </c>
      <c r="AE7" s="55"/>
      <c r="AF7" s="16" t="s">
        <v>574</v>
      </c>
      <c r="AG7" s="16" t="s">
        <v>574</v>
      </c>
      <c r="AH7" s="16" t="s">
        <v>574</v>
      </c>
      <c r="AI7" s="16" t="s">
        <v>574</v>
      </c>
      <c r="AJ7" s="16" t="s">
        <v>574</v>
      </c>
      <c r="AK7" s="16" t="s">
        <v>574</v>
      </c>
      <c r="AL7" s="15" t="s">
        <v>573</v>
      </c>
      <c r="AM7" s="15" t="str">
        <f>IF(OR(Table12[[#This Row],[SUB_CON]]="CAUTION",Table12[[#This Row],[SUB_CON]]="POOR"),"BAD","GOOD")</f>
        <v>GOOD</v>
      </c>
      <c r="AN7" s="15" t="s">
        <v>664</v>
      </c>
      <c r="AO7" s="15" t="s">
        <v>668</v>
      </c>
      <c r="AP7" s="15" t="str" cm="1">
        <f t="array" ref="AP7">_xlfn.IFS(
Table12[[#This Row],[SUB_CON]]="GREAT","KEEP",
Table12[[#This Row],[SUB_CON]]="NORMAL","UPGRADE",
Table12[[#This Row],[SUB_CON]]="CAUTION","SERVICE",
Table12[[#This Row],[SUB_CON]]="POOR","DISPOSE")</f>
        <v>KEEP</v>
      </c>
      <c r="AQ7" s="46" t="s">
        <v>670</v>
      </c>
      <c r="AR7" s="15" t="s">
        <v>355</v>
      </c>
      <c r="AS7" s="15" t="s">
        <v>688</v>
      </c>
      <c r="AT7" s="15" t="s">
        <v>357</v>
      </c>
      <c r="AU7" s="15" t="s">
        <v>357</v>
      </c>
      <c r="AV7" s="15" t="s">
        <v>689</v>
      </c>
      <c r="AW7" s="15" t="s">
        <v>690</v>
      </c>
      <c r="AX7" s="16" t="str">
        <f>IF(Table12[[#This Row],[PIC_NIP]]&lt;&gt;999999,"IN USE",IF(AND(Table12[[#This Row],[NOTE_LOC]]="WAREHOUSE",Table12[[#This Row],[PIC_NIP]]=999999),"IN STORE","IN-ACTIVE"))</f>
        <v>IN USE</v>
      </c>
      <c r="AY7" s="55">
        <v>240287</v>
      </c>
      <c r="AZ7" s="28" t="s">
        <v>760</v>
      </c>
      <c r="BA7" s="15" t="str">
        <f>IF(COUNTBLANK(Table12[[#This Row],[ID_ASSET]:[ID_MAINTENANCE]])&gt;0,"VALIDATE [IN PROGRESS]","VALIDATE [DONE]")</f>
        <v>VALIDATE [IN PROGRESS]</v>
      </c>
      <c r="BB7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NB.0399O99-ITD-NB0162CQ7FX3MASHQEQP2400003LAPTOPDELLLatitude 5540i7-1370P13322 of 2DDR5, SO-DIMM, 4800 / 5600 Mhz512SSD M.2 Nvme/SK Hynix BC9010NAWindowsWindows 11 Pro24H200355-60997-88773-AAOEMTBDGoodGoodHDMI [Good]GoodGoodGoodGoodGoodGoodGoodGoodWiFI, EthernetGOODGREATGOOD PERFORMANCEKEEPTidak adaPICPERSONAL--MOBILEUSER MOBILE240287ME01-251012'),</v>
      </c>
      <c r="BC7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('NB.0399','O99-ITD-NB016','2CQ7FX3','MASHQEQP2400003','LAPTOP','DELL','Latitude 5540','i7-1370P','13','32','2 of 2','DDR5, SO-DIMM, 4800 / 5600 Mhz','512','SSD M.2 Nvme/SK Hynix BC901','0','NA','Windows','Windows 11 Pro','24H2','00355-60997-88773-AAOEM','TBD','','','','Good','Good','HDMI [Good]','Good','Good','','Good','Good','Good','Good','Good','Good','WiFI, Ethernet','GOOD','GREAT','GOOD PERFORMANCE','KEEP','Tidak ada','PIC','PERSONAL','-','-','MOBILE','USER MOBILE','240287','ME01-251012'),</v>
      </c>
    </row>
    <row r="8" spans="1:55" ht="16.5" x14ac:dyDescent="0.25">
      <c r="A8" s="3" t="str">
        <f>IF(Table12[[#This Row],[VAL-1]]="VALIDATE [DONE]","✓","✗")</f>
        <v>✗</v>
      </c>
      <c r="B8" s="33" t="s">
        <v>537</v>
      </c>
      <c r="C8" s="15" t="s">
        <v>538</v>
      </c>
      <c r="D8" s="15" t="s">
        <v>539</v>
      </c>
      <c r="E8" s="15" t="s">
        <v>540</v>
      </c>
      <c r="F8" s="15" t="str">
        <f>_xlfn.IFS(LEFT(Table12[[#This Row],[ID_ASSET]],2)="DT","PC DESKTOP",LEFT(Table12[[#This Row],[ID_ASSET]],2)="NB","LAPTOP")</f>
        <v>LAPTOP</v>
      </c>
      <c r="G8" s="15" t="s">
        <v>542</v>
      </c>
      <c r="H8" s="15" t="s">
        <v>543</v>
      </c>
      <c r="I8" s="15" t="s">
        <v>544</v>
      </c>
      <c r="J8" s="55">
        <v>13</v>
      </c>
      <c r="K8" s="55">
        <v>16</v>
      </c>
      <c r="L8" s="55" t="s">
        <v>545</v>
      </c>
      <c r="M8" s="59" t="s">
        <v>546</v>
      </c>
      <c r="N8" s="55">
        <v>512</v>
      </c>
      <c r="O8" s="57" t="s">
        <v>686</v>
      </c>
      <c r="P8" s="55">
        <v>0</v>
      </c>
      <c r="Q8" s="57" t="s">
        <v>551</v>
      </c>
      <c r="R8" s="15" t="s">
        <v>552</v>
      </c>
      <c r="S8" s="15" t="s">
        <v>553</v>
      </c>
      <c r="T8" s="15" t="s">
        <v>556</v>
      </c>
      <c r="U8" s="60" t="s">
        <v>554</v>
      </c>
      <c r="V8" s="60" t="s">
        <v>687</v>
      </c>
      <c r="W8" s="62" t="str">
        <f>IFERROR(IF(Table12[[#This Row],[CATEGORY]]="PC DESKTOP","NA",(Table12[[#This Row],[FCC]]/Table12[[#This Row],[DC]])),"")</f>
        <v/>
      </c>
      <c r="X8" s="63"/>
      <c r="Y8" s="63"/>
      <c r="Z8" s="16" t="s">
        <v>574</v>
      </c>
      <c r="AA8" s="16" t="s">
        <v>574</v>
      </c>
      <c r="AB8" s="15" t="s">
        <v>576</v>
      </c>
      <c r="AC8" s="16" t="s">
        <v>574</v>
      </c>
      <c r="AD8" s="16" t="s">
        <v>574</v>
      </c>
      <c r="AE8" s="55"/>
      <c r="AF8" s="16" t="s">
        <v>574</v>
      </c>
      <c r="AG8" s="16" t="s">
        <v>574</v>
      </c>
      <c r="AH8" s="16" t="s">
        <v>574</v>
      </c>
      <c r="AI8" s="16" t="s">
        <v>574</v>
      </c>
      <c r="AJ8" s="16" t="s">
        <v>574</v>
      </c>
      <c r="AK8" s="16" t="s">
        <v>574</v>
      </c>
      <c r="AL8" s="15" t="s">
        <v>573</v>
      </c>
      <c r="AM8" s="15" t="str">
        <f>IF(OR(Table12[[#This Row],[SUB_CON]]="CAUTION",Table12[[#This Row],[SUB_CON]]="POOR"),"BAD","GOOD")</f>
        <v>GOOD</v>
      </c>
      <c r="AN8" s="15" t="s">
        <v>664</v>
      </c>
      <c r="AO8" s="15" t="s">
        <v>668</v>
      </c>
      <c r="AP8" s="15" t="str" cm="1">
        <f t="array" ref="AP8">_xlfn.IFS(
Table12[[#This Row],[SUB_CON]]="GREAT","KEEP",
Table12[[#This Row],[SUB_CON]]="NORMAL","UPGRADE",
Table12[[#This Row],[SUB_CON]]="CAUTION","SERVICE",
Table12[[#This Row],[SUB_CON]]="POOR","DISPOSE")</f>
        <v>KEEP</v>
      </c>
      <c r="AQ8" s="46" t="s">
        <v>670</v>
      </c>
      <c r="AR8" s="15" t="s">
        <v>355</v>
      </c>
      <c r="AS8" s="15" t="s">
        <v>688</v>
      </c>
      <c r="AT8" s="15" t="s">
        <v>357</v>
      </c>
      <c r="AU8" s="15" t="s">
        <v>357</v>
      </c>
      <c r="AV8" s="15" t="s">
        <v>689</v>
      </c>
      <c r="AW8" s="15" t="s">
        <v>690</v>
      </c>
      <c r="AX8" s="16" t="str">
        <f>IF(Table12[[#This Row],[PIC_NIP]]&lt;&gt;999999,"IN USE",IF(AND(Table12[[#This Row],[NOTE_LOC]]="WAREHOUSE",Table12[[#This Row],[PIC_NIP]]=999999),"IN STORE","IN-ACTIVE"))</f>
        <v>IN USE</v>
      </c>
      <c r="AY8" s="55">
        <v>240763</v>
      </c>
      <c r="AZ8" s="28" t="s">
        <v>760</v>
      </c>
      <c r="BA8" s="15" t="str">
        <f>IF(COUNTBLANK(Table12[[#This Row],[ID_ASSET]:[ID_MAINTENANCE]])&gt;0,"VALIDATE [IN PROGRESS]","VALIDATE [DONE]")</f>
        <v>VALIDATE [IN PROGRESS]</v>
      </c>
      <c r="BB8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NB.0412O99-ITD-NB017GC8JX14MASHQEQP2400014LAPTOPDELLLatitude 5440i7-1365U13161 of 2DDR4, SO-DIMM, 3200Mhz512SSD M.2 Nvme/WD PC SN7400NAWindowsWindows 11 Pro24H200356-24531-33852-AAOEMTBDGoodGoodHDMI [Good]GoodGoodGoodGoodGoodGoodGoodGoodWiFI, EthernetGOODGREATGOOD PERFORMANCEKEEPTidak adaPICPERSONAL--MOBILEUSER MOBILE240763ME01-251012'),</v>
      </c>
      <c r="BC8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('NB.0412','O99-ITD-NB017','GC8JX14','MASHQEQP2400014','LAPTOP','DELL','Latitude 5440','i7-1365U','13','16','1 of 2','DDR4, SO-DIMM, 3200Mhz','512','SSD M.2 Nvme/WD PC SN740','0','NA','Windows','Windows 11 Pro','24H2','00356-24531-33852-AAOEM','TBD','','','','Good','Good','HDMI [Good]','Good','Good','','Good','Good','Good','Good','Good','Good','WiFI, Ethernet','GOOD','GREAT','GOOD PERFORMANCE','KEEP','Tidak ada','PIC','PERSONAL','-','-','MOBILE','USER MOBILE','240763','ME01-251012'),</v>
      </c>
    </row>
    <row r="9" spans="1:55" ht="16.5" x14ac:dyDescent="0.25">
      <c r="A9" s="3" t="str">
        <f>IF(Table12[[#This Row],[VAL-1]]="VALIDATE [DONE]","✓","✗")</f>
        <v>✗</v>
      </c>
      <c r="B9" s="33" t="s">
        <v>635</v>
      </c>
      <c r="C9" s="15" t="s">
        <v>646</v>
      </c>
      <c r="D9" s="15" t="s">
        <v>611</v>
      </c>
      <c r="E9" s="15" t="s">
        <v>602</v>
      </c>
      <c r="F9" s="15" t="str">
        <f>_xlfn.IFS(LEFT(Table12[[#This Row],[ID_ASSET]],2)="DT","PC DESKTOP",LEFT(Table12[[#This Row],[ID_ASSET]],2)="NB","LAPTOP")</f>
        <v>LAPTOP</v>
      </c>
      <c r="G9" s="15" t="s">
        <v>542</v>
      </c>
      <c r="H9" s="15" t="s">
        <v>656</v>
      </c>
      <c r="I9" s="15" t="s">
        <v>661</v>
      </c>
      <c r="J9" s="55">
        <v>13</v>
      </c>
      <c r="K9" s="55">
        <v>16</v>
      </c>
      <c r="L9" s="55"/>
      <c r="M9" s="59"/>
      <c r="N9" s="55">
        <v>512</v>
      </c>
      <c r="O9" s="57"/>
      <c r="P9" s="55">
        <v>0</v>
      </c>
      <c r="Q9" s="57" t="s">
        <v>551</v>
      </c>
      <c r="R9" s="15" t="s">
        <v>552</v>
      </c>
      <c r="S9" s="15"/>
      <c r="T9" s="15"/>
      <c r="U9" s="60"/>
      <c r="V9" s="60" t="s">
        <v>687</v>
      </c>
      <c r="W9" s="62" t="str">
        <f>IFERROR(IF(Table12[[#This Row],[CATEGORY]]="PC DESKTOP","NA",(Table12[[#This Row],[FCC]]/Table12[[#This Row],[DC]])),"")</f>
        <v/>
      </c>
      <c r="X9" s="63"/>
      <c r="Y9" s="63"/>
      <c r="Z9" s="16" t="s">
        <v>574</v>
      </c>
      <c r="AA9" s="16" t="s">
        <v>574</v>
      </c>
      <c r="AB9" s="15" t="s">
        <v>576</v>
      </c>
      <c r="AC9" s="16" t="s">
        <v>574</v>
      </c>
      <c r="AD9" s="16" t="s">
        <v>574</v>
      </c>
      <c r="AE9" s="55"/>
      <c r="AF9" s="16" t="s">
        <v>574</v>
      </c>
      <c r="AG9" s="16" t="s">
        <v>574</v>
      </c>
      <c r="AH9" s="16" t="s">
        <v>574</v>
      </c>
      <c r="AI9" s="16" t="s">
        <v>574</v>
      </c>
      <c r="AJ9" s="16" t="s">
        <v>574</v>
      </c>
      <c r="AK9" s="16" t="s">
        <v>574</v>
      </c>
      <c r="AL9" s="15" t="s">
        <v>573</v>
      </c>
      <c r="AM9" s="15" t="str">
        <f>IF(OR(Table12[[#This Row],[SUB_CON]]="CAUTION",Table12[[#This Row],[SUB_CON]]="POOR"),"BAD","GOOD")</f>
        <v>GOOD</v>
      </c>
      <c r="AN9" s="15" t="s">
        <v>664</v>
      </c>
      <c r="AO9" s="15" t="s">
        <v>668</v>
      </c>
      <c r="AP9" s="15" t="str" cm="1">
        <f t="array" ref="AP9">_xlfn.IFS(
Table12[[#This Row],[SUB_CON]]="GREAT","KEEP",
Table12[[#This Row],[SUB_CON]]="NORMAL","UPGRADE",
Table12[[#This Row],[SUB_CON]]="CAUTION","SERVICE",
Table12[[#This Row],[SUB_CON]]="POOR","DISPOSE")</f>
        <v>KEEP</v>
      </c>
      <c r="AQ9" s="46" t="s">
        <v>670</v>
      </c>
      <c r="AR9" s="15" t="s">
        <v>355</v>
      </c>
      <c r="AS9" s="15" t="s">
        <v>688</v>
      </c>
      <c r="AT9" s="15" t="s">
        <v>357</v>
      </c>
      <c r="AU9" s="15" t="s">
        <v>672</v>
      </c>
      <c r="AV9" s="15" t="s">
        <v>689</v>
      </c>
      <c r="AW9" s="15" t="s">
        <v>690</v>
      </c>
      <c r="AX9" s="16" t="str">
        <f>IF(Table12[[#This Row],[PIC_NIP]]&lt;&gt;999999,"IN USE",IF(AND(Table12[[#This Row],[NOTE_LOC]]="WAREHOUSE",Table12[[#This Row],[PIC_NIP]]=999999),"IN STORE","IN-ACTIVE"))</f>
        <v>IN USE</v>
      </c>
      <c r="AY9" s="55">
        <v>150821</v>
      </c>
      <c r="AZ9" s="28" t="s">
        <v>760</v>
      </c>
      <c r="BA9" s="15" t="str">
        <f>IF(COUNTBLANK(Table12[[#This Row],[ID_ASSET]:[ID_MAINTENANCE]])&gt;0,"VALIDATE [IN PROGRESS]","VALIDATE [DONE]")</f>
        <v>VALIDATE [IN PROGRESS]</v>
      </c>
      <c r="BB9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NB.0447O99-ITD-NB01894BJM44MASHQEQP2400037LAPTOPDELLLatitude 3450i5-1345U13165120NAWindowsTBDGoodGoodHDMI [Good]GoodGoodGoodGoodGoodGoodGoodGoodWiFI, EthernetGOODGREATGOOD PERFORMANCEKEEPTidak adaPICPERSONAL-Ex Aditya GustiyanaMOBILEUSER MOBILE150821ME01-251012'),</v>
      </c>
      <c r="BC9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('NB.0447','O99-ITD-NB018','94BJM44','MASHQEQP2400037','LAPTOP','DELL','Latitude 3450','i5-1345U','13','16','','','512','','0','NA','Windows','','','','TBD','','','','Good','Good','HDMI [Good]','Good','Good','','Good','Good','Good','Good','Good','Good','WiFI, Ethernet','GOOD','GREAT','GOOD PERFORMANCE','KEEP','Tidak ada','PIC','PERSONAL','-','Ex Aditya Gustiyana','MOBILE','USER MOBILE','150821','ME01-251012'),</v>
      </c>
    </row>
    <row r="10" spans="1:55" ht="16.5" x14ac:dyDescent="0.25">
      <c r="A10" s="3" t="str">
        <f>IF(Table12[[#This Row],[VAL-1]]="VALIDATE [DONE]","✓","✗")</f>
        <v>✗</v>
      </c>
      <c r="B10" s="33" t="s">
        <v>636</v>
      </c>
      <c r="C10" s="15" t="s">
        <v>647</v>
      </c>
      <c r="D10" s="15" t="s">
        <v>612</v>
      </c>
      <c r="E10" s="15" t="s">
        <v>603</v>
      </c>
      <c r="F10" s="15" t="str">
        <f>_xlfn.IFS(LEFT(Table12[[#This Row],[ID_ASSET]],2)="DT","PC DESKTOP",LEFT(Table12[[#This Row],[ID_ASSET]],2)="NB","LAPTOP")</f>
        <v>LAPTOP</v>
      </c>
      <c r="G10" s="15" t="s">
        <v>542</v>
      </c>
      <c r="H10" s="15" t="s">
        <v>656</v>
      </c>
      <c r="I10" s="15" t="s">
        <v>661</v>
      </c>
      <c r="J10" s="55">
        <v>13</v>
      </c>
      <c r="K10" s="55">
        <v>16</v>
      </c>
      <c r="L10" s="55"/>
      <c r="M10" s="59"/>
      <c r="N10" s="55">
        <v>512</v>
      </c>
      <c r="O10" s="57"/>
      <c r="P10" s="55">
        <v>0</v>
      </c>
      <c r="Q10" s="57" t="s">
        <v>551</v>
      </c>
      <c r="R10" s="15" t="s">
        <v>552</v>
      </c>
      <c r="S10" s="15"/>
      <c r="T10" s="15"/>
      <c r="U10" s="60"/>
      <c r="V10" s="60" t="s">
        <v>687</v>
      </c>
      <c r="W10" s="62" t="str">
        <f>IFERROR(IF(Table12[[#This Row],[CATEGORY]]="PC DESKTOP","NA",(Table12[[#This Row],[FCC]]/Table12[[#This Row],[DC]])),"")</f>
        <v/>
      </c>
      <c r="X10" s="63"/>
      <c r="Y10" s="63"/>
      <c r="Z10" s="16" t="s">
        <v>574</v>
      </c>
      <c r="AA10" s="16" t="s">
        <v>574</v>
      </c>
      <c r="AB10" s="15" t="s">
        <v>576</v>
      </c>
      <c r="AC10" s="16" t="s">
        <v>574</v>
      </c>
      <c r="AD10" s="16" t="s">
        <v>574</v>
      </c>
      <c r="AE10" s="55"/>
      <c r="AF10" s="16" t="s">
        <v>574</v>
      </c>
      <c r="AG10" s="16" t="s">
        <v>574</v>
      </c>
      <c r="AH10" s="16" t="s">
        <v>574</v>
      </c>
      <c r="AI10" s="16" t="s">
        <v>574</v>
      </c>
      <c r="AJ10" s="16" t="s">
        <v>574</v>
      </c>
      <c r="AK10" s="16" t="s">
        <v>574</v>
      </c>
      <c r="AL10" s="15" t="s">
        <v>573</v>
      </c>
      <c r="AM10" s="15" t="str">
        <f>IF(OR(Table12[[#This Row],[SUB_CON]]="CAUTION",Table12[[#This Row],[SUB_CON]]="POOR"),"BAD","GOOD")</f>
        <v>GOOD</v>
      </c>
      <c r="AN10" s="15" t="s">
        <v>664</v>
      </c>
      <c r="AO10" s="15" t="s">
        <v>668</v>
      </c>
      <c r="AP10" s="15" t="str" cm="1">
        <f t="array" ref="AP10">_xlfn.IFS(
Table12[[#This Row],[SUB_CON]]="GREAT","KEEP",
Table12[[#This Row],[SUB_CON]]="NORMAL","UPGRADE",
Table12[[#This Row],[SUB_CON]]="CAUTION","SERVICE",
Table12[[#This Row],[SUB_CON]]="POOR","DISPOSE")</f>
        <v>KEEP</v>
      </c>
      <c r="AQ10" s="46" t="s">
        <v>670</v>
      </c>
      <c r="AR10" s="15" t="s">
        <v>355</v>
      </c>
      <c r="AS10" s="15" t="s">
        <v>688</v>
      </c>
      <c r="AT10" s="15" t="s">
        <v>357</v>
      </c>
      <c r="AU10" s="15" t="s">
        <v>357</v>
      </c>
      <c r="AV10" s="15" t="s">
        <v>689</v>
      </c>
      <c r="AW10" s="15" t="s">
        <v>690</v>
      </c>
      <c r="AX10" s="16" t="str">
        <f>IF(Table12[[#This Row],[PIC_NIP]]&lt;&gt;999999,"IN USE",IF(AND(Table12[[#This Row],[NOTE_LOC]]="WAREHOUSE",Table12[[#This Row],[PIC_NIP]]=999999),"IN STORE","IN-ACTIVE"))</f>
        <v>IN USE</v>
      </c>
      <c r="AY10" s="55">
        <v>241681</v>
      </c>
      <c r="AZ10" s="28" t="s">
        <v>760</v>
      </c>
      <c r="BA10" s="15" t="str">
        <f>IF(COUNTBLANK(Table12[[#This Row],[ID_ASSET]:[ID_MAINTENANCE]])&gt;0,"VALIDATE [IN PROGRESS]","VALIDATE [DONE]")</f>
        <v>VALIDATE [IN PROGRESS]</v>
      </c>
      <c r="BB10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NB.0448O99-ITD-NB01974BJM44MASHQEQP2400036LAPTOPDELLLatitude 3450i5-1345U13165120NAWindowsTBDGoodGoodHDMI [Good]GoodGoodGoodGoodGoodGoodGoodGoodWiFI, EthernetGOODGREATGOOD PERFORMANCEKEEPTidak adaPICPERSONAL--MOBILEUSER MOBILE241681ME01-251012'),</v>
      </c>
      <c r="BC10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('NB.0448','O99-ITD-NB019','74BJM44','MASHQEQP2400036','LAPTOP','DELL','Latitude 3450','i5-1345U','13','16','','','512','','0','NA','Windows','','','','TBD','','','','Good','Good','HDMI [Good]','Good','Good','','Good','Good','Good','Good','Good','Good','WiFI, Ethernet','GOOD','GREAT','GOOD PERFORMANCE','KEEP','Tidak ada','PIC','PERSONAL','-','-','MOBILE','USER MOBILE','241681','ME01-251012'),</v>
      </c>
    </row>
    <row r="11" spans="1:55" ht="16.5" x14ac:dyDescent="0.25">
      <c r="A11" s="3" t="str">
        <f>IF(Table12[[#This Row],[VAL-1]]="VALIDATE [DONE]","✓","✗")</f>
        <v>✗</v>
      </c>
      <c r="B11" s="33" t="s">
        <v>637</v>
      </c>
      <c r="C11" s="15" t="s">
        <v>648</v>
      </c>
      <c r="D11" s="15" t="s">
        <v>613</v>
      </c>
      <c r="E11" s="15" t="s">
        <v>604</v>
      </c>
      <c r="F11" s="15" t="str">
        <f>_xlfn.IFS(LEFT(Table12[[#This Row],[ID_ASSET]],2)="DT","PC DESKTOP",LEFT(Table12[[#This Row],[ID_ASSET]],2)="NB","LAPTOP")</f>
        <v>LAPTOP</v>
      </c>
      <c r="G11" s="15" t="s">
        <v>542</v>
      </c>
      <c r="H11" s="15" t="s">
        <v>656</v>
      </c>
      <c r="I11" s="15" t="s">
        <v>661</v>
      </c>
      <c r="J11" s="55">
        <v>13</v>
      </c>
      <c r="K11" s="55">
        <v>16</v>
      </c>
      <c r="L11" s="55"/>
      <c r="M11" s="59"/>
      <c r="N11" s="55">
        <v>512</v>
      </c>
      <c r="O11" s="57"/>
      <c r="P11" s="55">
        <v>0</v>
      </c>
      <c r="Q11" s="57" t="s">
        <v>551</v>
      </c>
      <c r="R11" s="15" t="s">
        <v>552</v>
      </c>
      <c r="S11" s="15"/>
      <c r="T11" s="15"/>
      <c r="U11" s="60"/>
      <c r="V11" s="60" t="s">
        <v>687</v>
      </c>
      <c r="W11" s="62" t="str">
        <f>IFERROR(IF(Table12[[#This Row],[CATEGORY]]="PC DESKTOP","NA",(Table12[[#This Row],[FCC]]/Table12[[#This Row],[DC]])),"")</f>
        <v/>
      </c>
      <c r="X11" s="63"/>
      <c r="Y11" s="63"/>
      <c r="Z11" s="16" t="s">
        <v>574</v>
      </c>
      <c r="AA11" s="16" t="s">
        <v>574</v>
      </c>
      <c r="AB11" s="15" t="s">
        <v>576</v>
      </c>
      <c r="AC11" s="16" t="s">
        <v>574</v>
      </c>
      <c r="AD11" s="16" t="s">
        <v>574</v>
      </c>
      <c r="AE11" s="55"/>
      <c r="AF11" s="16" t="s">
        <v>574</v>
      </c>
      <c r="AG11" s="16" t="s">
        <v>574</v>
      </c>
      <c r="AH11" s="16" t="s">
        <v>574</v>
      </c>
      <c r="AI11" s="16" t="s">
        <v>574</v>
      </c>
      <c r="AJ11" s="16" t="s">
        <v>574</v>
      </c>
      <c r="AK11" s="16" t="s">
        <v>574</v>
      </c>
      <c r="AL11" s="15" t="s">
        <v>573</v>
      </c>
      <c r="AM11" s="15" t="str">
        <f>IF(OR(Table12[[#This Row],[SUB_CON]]="CAUTION",Table12[[#This Row],[SUB_CON]]="POOR"),"BAD","GOOD")</f>
        <v>GOOD</v>
      </c>
      <c r="AN11" s="15" t="s">
        <v>664</v>
      </c>
      <c r="AO11" s="15" t="s">
        <v>668</v>
      </c>
      <c r="AP11" s="15" t="str" cm="1">
        <f t="array" ref="AP11">_xlfn.IFS(
Table12[[#This Row],[SUB_CON]]="GREAT","KEEP",
Table12[[#This Row],[SUB_CON]]="NORMAL","UPGRADE",
Table12[[#This Row],[SUB_CON]]="CAUTION","SERVICE",
Table12[[#This Row],[SUB_CON]]="POOR","DISPOSE")</f>
        <v>KEEP</v>
      </c>
      <c r="AQ11" s="46" t="s">
        <v>670</v>
      </c>
      <c r="AR11" s="15" t="s">
        <v>355</v>
      </c>
      <c r="AS11" s="15" t="s">
        <v>688</v>
      </c>
      <c r="AT11" s="15" t="s">
        <v>357</v>
      </c>
      <c r="AU11" s="15" t="s">
        <v>357</v>
      </c>
      <c r="AV11" s="15" t="s">
        <v>689</v>
      </c>
      <c r="AW11" s="15" t="s">
        <v>690</v>
      </c>
      <c r="AX11" s="16" t="str">
        <f>IF(Table12[[#This Row],[PIC_NIP]]&lt;&gt;999999,"IN USE",IF(AND(Table12[[#This Row],[NOTE_LOC]]="WAREHOUSE",Table12[[#This Row],[PIC_NIP]]=999999),"IN STORE","IN-ACTIVE"))</f>
        <v>IN USE</v>
      </c>
      <c r="AY11" s="55">
        <v>241815</v>
      </c>
      <c r="AZ11" s="28" t="s">
        <v>760</v>
      </c>
      <c r="BA11" s="15" t="str">
        <f>IF(COUNTBLANK(Table12[[#This Row],[ID_ASSET]:[ID_MAINTENANCE]])&gt;0,"VALIDATE [IN PROGRESS]","VALIDATE [DONE]")</f>
        <v>VALIDATE [IN PROGRESS]</v>
      </c>
      <c r="BB11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NB.0452O99-ITD-NB020BB1JM44MASHQEQP2400053LAPTOPDELLLatitude 3450i5-1345U13165120NAWindowsTBDGoodGoodHDMI [Good]GoodGoodGoodGoodGoodGoodGoodGoodWiFI, EthernetGOODGREATGOOD PERFORMANCEKEEPTidak adaPICPERSONAL--MOBILEUSER MOBILE241815ME01-251012'),</v>
      </c>
      <c r="BC11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('NB.0452','O99-ITD-NB020','BB1JM44','MASHQEQP2400053','LAPTOP','DELL','Latitude 3450','i5-1345U','13','16','','','512','','0','NA','Windows','','','','TBD','','','','Good','Good','HDMI [Good]','Good','Good','','Good','Good','Good','Good','Good','Good','WiFI, Ethernet','GOOD','GREAT','GOOD PERFORMANCE','KEEP','Tidak ada','PIC','PERSONAL','-','-','MOBILE','USER MOBILE','241815','ME01-251012'),</v>
      </c>
    </row>
    <row r="12" spans="1:55" ht="16.5" x14ac:dyDescent="0.25">
      <c r="A12" s="3" t="str">
        <f>IF(Table12[[#This Row],[VAL-1]]="VALIDATE [DONE]","✓","✗")</f>
        <v>✗</v>
      </c>
      <c r="B12" s="33" t="s">
        <v>638</v>
      </c>
      <c r="C12" s="15" t="s">
        <v>649</v>
      </c>
      <c r="D12" s="15" t="s">
        <v>614</v>
      </c>
      <c r="E12" s="15" t="s">
        <v>605</v>
      </c>
      <c r="F12" s="15" t="str">
        <f>_xlfn.IFS(LEFT(Table12[[#This Row],[ID_ASSET]],2)="DT","PC DESKTOP",LEFT(Table12[[#This Row],[ID_ASSET]],2)="NB","LAPTOP")</f>
        <v>LAPTOP</v>
      </c>
      <c r="G12" s="15" t="s">
        <v>542</v>
      </c>
      <c r="H12" s="15" t="s">
        <v>656</v>
      </c>
      <c r="I12" s="15" t="s">
        <v>661</v>
      </c>
      <c r="J12" s="55">
        <v>13</v>
      </c>
      <c r="K12" s="55">
        <v>16</v>
      </c>
      <c r="L12" s="55"/>
      <c r="M12" s="59"/>
      <c r="N12" s="55">
        <v>512</v>
      </c>
      <c r="O12" s="57"/>
      <c r="P12" s="55">
        <v>0</v>
      </c>
      <c r="Q12" s="57" t="s">
        <v>551</v>
      </c>
      <c r="R12" s="15" t="s">
        <v>552</v>
      </c>
      <c r="S12" s="15"/>
      <c r="T12" s="15"/>
      <c r="U12" s="60"/>
      <c r="V12" s="60" t="s">
        <v>687</v>
      </c>
      <c r="W12" s="62" t="str">
        <f>IFERROR(IF(Table12[[#This Row],[CATEGORY]]="PC DESKTOP","NA",(Table12[[#This Row],[FCC]]/Table12[[#This Row],[DC]])),"")</f>
        <v/>
      </c>
      <c r="X12" s="63"/>
      <c r="Y12" s="63"/>
      <c r="Z12" s="16" t="s">
        <v>574</v>
      </c>
      <c r="AA12" s="16" t="s">
        <v>574</v>
      </c>
      <c r="AB12" s="15" t="s">
        <v>576</v>
      </c>
      <c r="AC12" s="16" t="s">
        <v>574</v>
      </c>
      <c r="AD12" s="16" t="s">
        <v>574</v>
      </c>
      <c r="AE12" s="55"/>
      <c r="AF12" s="16" t="s">
        <v>574</v>
      </c>
      <c r="AG12" s="16" t="s">
        <v>574</v>
      </c>
      <c r="AH12" s="16" t="s">
        <v>574</v>
      </c>
      <c r="AI12" s="16" t="s">
        <v>574</v>
      </c>
      <c r="AJ12" s="16" t="s">
        <v>574</v>
      </c>
      <c r="AK12" s="16" t="s">
        <v>574</v>
      </c>
      <c r="AL12" s="15" t="s">
        <v>573</v>
      </c>
      <c r="AM12" s="15" t="str">
        <f>IF(OR(Table12[[#This Row],[SUB_CON]]="CAUTION",Table12[[#This Row],[SUB_CON]]="POOR"),"BAD","GOOD")</f>
        <v>GOOD</v>
      </c>
      <c r="AN12" s="15" t="s">
        <v>664</v>
      </c>
      <c r="AO12" s="15" t="s">
        <v>668</v>
      </c>
      <c r="AP12" s="15" t="str" cm="1">
        <f t="array" ref="AP12">_xlfn.IFS(
Table12[[#This Row],[SUB_CON]]="GREAT","KEEP",
Table12[[#This Row],[SUB_CON]]="NORMAL","UPGRADE",
Table12[[#This Row],[SUB_CON]]="CAUTION","SERVICE",
Table12[[#This Row],[SUB_CON]]="POOR","DISPOSE")</f>
        <v>KEEP</v>
      </c>
      <c r="AQ12" s="46" t="s">
        <v>670</v>
      </c>
      <c r="AR12" s="15" t="s">
        <v>355</v>
      </c>
      <c r="AS12" s="15" t="s">
        <v>688</v>
      </c>
      <c r="AT12" s="15" t="s">
        <v>357</v>
      </c>
      <c r="AU12" s="15" t="s">
        <v>357</v>
      </c>
      <c r="AV12" s="15" t="s">
        <v>689</v>
      </c>
      <c r="AW12" s="15" t="s">
        <v>690</v>
      </c>
      <c r="AX12" s="16" t="str">
        <f>IF(Table12[[#This Row],[PIC_NIP]]&lt;&gt;999999,"IN USE",IF(AND(Table12[[#This Row],[NOTE_LOC]]="WAREHOUSE",Table12[[#This Row],[PIC_NIP]]=999999),"IN STORE","IN-ACTIVE"))</f>
        <v>IN USE</v>
      </c>
      <c r="AY12" s="55">
        <v>180362</v>
      </c>
      <c r="AZ12" s="28" t="s">
        <v>760</v>
      </c>
      <c r="BA12" s="15" t="str">
        <f>IF(COUNTBLANK(Table12[[#This Row],[ID_ASSET]:[ID_MAINTENANCE]])&gt;0,"VALIDATE [IN PROGRESS]","VALIDATE [DONE]")</f>
        <v>VALIDATE [IN PROGRESS]</v>
      </c>
      <c r="BB12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NB.0470O99-ITD-NB021B76JM44MASHQEQP2400061LAPTOPDELLLatitude 3450i5-1345U13165120NAWindowsTBDGoodGoodHDMI [Good]GoodGoodGoodGoodGoodGoodGoodGoodWiFI, EthernetGOODGREATGOOD PERFORMANCEKEEPTidak adaPICPERSONAL--MOBILEUSER MOBILE180362ME01-251012'),</v>
      </c>
      <c r="BC12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('NB.0470','O99-ITD-NB021','B76JM44','MASHQEQP2400061','LAPTOP','DELL','Latitude 3450','i5-1345U','13','16','','','512','','0','NA','Windows','','','','TBD','','','','Good','Good','HDMI [Good]','Good','Good','','Good','Good','Good','Good','Good','Good','WiFI, Ethernet','GOOD','GREAT','GOOD PERFORMANCE','KEEP','Tidak ada','PIC','PERSONAL','-','-','MOBILE','USER MOBILE','180362','ME01-251012'),</v>
      </c>
    </row>
    <row r="13" spans="1:55" ht="16.5" x14ac:dyDescent="0.25">
      <c r="A13" s="3" t="str">
        <f>IF(Table12[[#This Row],[VAL-1]]="VALIDATE [DONE]","✓","✗")</f>
        <v>✗</v>
      </c>
      <c r="B13" s="33" t="s">
        <v>639</v>
      </c>
      <c r="C13" s="15" t="s">
        <v>650</v>
      </c>
      <c r="D13" s="15" t="s">
        <v>615</v>
      </c>
      <c r="E13" s="15" t="s">
        <v>606</v>
      </c>
      <c r="F13" s="15" t="str">
        <f>_xlfn.IFS(LEFT(Table12[[#This Row],[ID_ASSET]],2)="DT","PC DESKTOP",LEFT(Table12[[#This Row],[ID_ASSET]],2)="NB","LAPTOP")</f>
        <v>LAPTOP</v>
      </c>
      <c r="G13" s="15" t="s">
        <v>542</v>
      </c>
      <c r="H13" s="15" t="s">
        <v>656</v>
      </c>
      <c r="I13" s="15" t="s">
        <v>661</v>
      </c>
      <c r="J13" s="55">
        <v>13</v>
      </c>
      <c r="K13" s="55">
        <v>16</v>
      </c>
      <c r="L13" s="55"/>
      <c r="M13" s="59"/>
      <c r="N13" s="55">
        <v>512</v>
      </c>
      <c r="O13" s="57"/>
      <c r="P13" s="55">
        <v>0</v>
      </c>
      <c r="Q13" s="57" t="s">
        <v>551</v>
      </c>
      <c r="R13" s="15" t="s">
        <v>552</v>
      </c>
      <c r="S13" s="15"/>
      <c r="T13" s="15"/>
      <c r="U13" s="60"/>
      <c r="V13" s="60" t="s">
        <v>687</v>
      </c>
      <c r="W13" s="62" t="str">
        <f>IFERROR(IF(Table12[[#This Row],[CATEGORY]]="PC DESKTOP","NA",(Table12[[#This Row],[FCC]]/Table12[[#This Row],[DC]])),"")</f>
        <v/>
      </c>
      <c r="X13" s="63"/>
      <c r="Y13" s="63"/>
      <c r="Z13" s="16" t="s">
        <v>574</v>
      </c>
      <c r="AA13" s="16" t="s">
        <v>574</v>
      </c>
      <c r="AB13" s="15" t="s">
        <v>576</v>
      </c>
      <c r="AC13" s="16" t="s">
        <v>574</v>
      </c>
      <c r="AD13" s="16" t="s">
        <v>574</v>
      </c>
      <c r="AE13" s="55"/>
      <c r="AF13" s="16" t="s">
        <v>574</v>
      </c>
      <c r="AG13" s="16" t="s">
        <v>574</v>
      </c>
      <c r="AH13" s="16" t="s">
        <v>574</v>
      </c>
      <c r="AI13" s="16" t="s">
        <v>574</v>
      </c>
      <c r="AJ13" s="16" t="s">
        <v>574</v>
      </c>
      <c r="AK13" s="16" t="s">
        <v>574</v>
      </c>
      <c r="AL13" s="15" t="s">
        <v>573</v>
      </c>
      <c r="AM13" s="15" t="str">
        <f>IF(OR(Table12[[#This Row],[SUB_CON]]="CAUTION",Table12[[#This Row],[SUB_CON]]="POOR"),"BAD","GOOD")</f>
        <v>GOOD</v>
      </c>
      <c r="AN13" s="15" t="s">
        <v>664</v>
      </c>
      <c r="AO13" s="15" t="s">
        <v>668</v>
      </c>
      <c r="AP13" s="15" t="str" cm="1">
        <f t="array" ref="AP13">_xlfn.IFS(
Table12[[#This Row],[SUB_CON]]="GREAT","KEEP",
Table12[[#This Row],[SUB_CON]]="NORMAL","UPGRADE",
Table12[[#This Row],[SUB_CON]]="CAUTION","SERVICE",
Table12[[#This Row],[SUB_CON]]="POOR","DISPOSE")</f>
        <v>KEEP</v>
      </c>
      <c r="AQ13" s="46" t="s">
        <v>670</v>
      </c>
      <c r="AR13" s="15" t="s">
        <v>355</v>
      </c>
      <c r="AS13" s="15" t="s">
        <v>688</v>
      </c>
      <c r="AT13" s="15" t="s">
        <v>357</v>
      </c>
      <c r="AU13" s="15" t="s">
        <v>357</v>
      </c>
      <c r="AV13" s="15" t="s">
        <v>689</v>
      </c>
      <c r="AW13" s="15" t="s">
        <v>690</v>
      </c>
      <c r="AX13" s="16" t="str">
        <f>IF(Table12[[#This Row],[PIC_NIP]]&lt;&gt;999999,"IN USE",IF(AND(Table12[[#This Row],[NOTE_LOC]]="WAREHOUSE",Table12[[#This Row],[PIC_NIP]]=999999),"IN STORE","IN-ACTIVE"))</f>
        <v>IN USE</v>
      </c>
      <c r="AY13" s="55">
        <v>232054</v>
      </c>
      <c r="AZ13" s="28" t="s">
        <v>760</v>
      </c>
      <c r="BA13" s="15" t="str">
        <f>IF(COUNTBLANK(Table12[[#This Row],[ID_ASSET]:[ID_MAINTENANCE]])&gt;0,"VALIDATE [IN PROGRESS]","VALIDATE [DONE]")</f>
        <v>VALIDATE [IN PROGRESS]</v>
      </c>
      <c r="BB13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NB.0471O99-ITD-NB022CS9JM44MASHQEQP2400062LAPTOPDELLLatitude 3450i5-1345U13165120NAWindowsTBDGoodGoodHDMI [Good]GoodGoodGoodGoodGoodGoodGoodGoodWiFI, EthernetGOODGREATGOOD PERFORMANCEKEEPTidak adaPICPERSONAL--MOBILEUSER MOBILE232054ME01-251012'),</v>
      </c>
      <c r="BC13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('NB.0471','O99-ITD-NB022','CS9JM44','MASHQEQP2400062','LAPTOP','DELL','Latitude 3450','i5-1345U','13','16','','','512','','0','NA','Windows','','','','TBD','','','','Good','Good','HDMI [Good]','Good','Good','','Good','Good','Good','Good','Good','Good','WiFI, Ethernet','GOOD','GREAT','GOOD PERFORMANCE','KEEP','Tidak ada','PIC','PERSONAL','-','-','MOBILE','USER MOBILE','232054','ME01-251012'),</v>
      </c>
    </row>
    <row r="14" spans="1:55" ht="16.5" x14ac:dyDescent="0.25">
      <c r="A14" s="3" t="str">
        <f>IF(Table12[[#This Row],[VAL-1]]="VALIDATE [DONE]","✓","✗")</f>
        <v>✓</v>
      </c>
      <c r="B14" s="33" t="s">
        <v>640</v>
      </c>
      <c r="C14" s="15" t="s">
        <v>694</v>
      </c>
      <c r="D14" s="15" t="s">
        <v>616</v>
      </c>
      <c r="E14" s="15" t="s">
        <v>593</v>
      </c>
      <c r="F14" s="15" t="str">
        <f>_xlfn.IFS(LEFT(Table12[[#This Row],[ID_ASSET]],2)="DT","PC DESKTOP",LEFT(Table12[[#This Row],[ID_ASSET]],2)="NB","LAPTOP")</f>
        <v>LAPTOP</v>
      </c>
      <c r="G14" s="15" t="s">
        <v>542</v>
      </c>
      <c r="H14" s="15" t="s">
        <v>656</v>
      </c>
      <c r="I14" s="15" t="s">
        <v>661</v>
      </c>
      <c r="J14" s="55">
        <v>13</v>
      </c>
      <c r="K14" s="55">
        <v>16</v>
      </c>
      <c r="L14" s="55" t="s">
        <v>682</v>
      </c>
      <c r="M14" s="59" t="s">
        <v>692</v>
      </c>
      <c r="N14" s="55">
        <v>512</v>
      </c>
      <c r="O14" s="57" t="s">
        <v>693</v>
      </c>
      <c r="P14" s="55">
        <v>0</v>
      </c>
      <c r="Q14" s="57" t="s">
        <v>551</v>
      </c>
      <c r="R14" s="15" t="s">
        <v>552</v>
      </c>
      <c r="S14" s="15" t="s">
        <v>553</v>
      </c>
      <c r="T14" s="15" t="s">
        <v>556</v>
      </c>
      <c r="U14" s="60" t="s">
        <v>691</v>
      </c>
      <c r="V14" s="60" t="s">
        <v>695</v>
      </c>
      <c r="W14" s="62">
        <f>IFERROR(IF(Table12[[#This Row],[CATEGORY]]="PC DESKTOP","NA",(Table12[[#This Row],[FCC]]/Table12[[#This Row],[DC]])),"")</f>
        <v>0.75384245027961927</v>
      </c>
      <c r="X14" s="63">
        <v>54002</v>
      </c>
      <c r="Y14" s="63">
        <v>40709</v>
      </c>
      <c r="Z14" s="16" t="s">
        <v>574</v>
      </c>
      <c r="AA14" s="16" t="s">
        <v>574</v>
      </c>
      <c r="AB14" s="15" t="s">
        <v>576</v>
      </c>
      <c r="AC14" s="16" t="s">
        <v>574</v>
      </c>
      <c r="AD14" s="16" t="s">
        <v>574</v>
      </c>
      <c r="AE14" s="55" t="s">
        <v>696</v>
      </c>
      <c r="AF14" s="16" t="s">
        <v>574</v>
      </c>
      <c r="AG14" s="16" t="s">
        <v>574</v>
      </c>
      <c r="AH14" s="16" t="s">
        <v>574</v>
      </c>
      <c r="AI14" s="16" t="s">
        <v>574</v>
      </c>
      <c r="AJ14" s="16" t="s">
        <v>574</v>
      </c>
      <c r="AK14" s="16" t="s">
        <v>574</v>
      </c>
      <c r="AL14" s="15" t="s">
        <v>573</v>
      </c>
      <c r="AM14" s="15" t="str">
        <f>IF(OR(Table12[[#This Row],[SUB_CON]]="CAUTION",Table12[[#This Row],[SUB_CON]]="POOR"),"BAD","GOOD")</f>
        <v>GOOD</v>
      </c>
      <c r="AN14" s="15" t="s">
        <v>664</v>
      </c>
      <c r="AO14" s="15" t="s">
        <v>668</v>
      </c>
      <c r="AP14" s="15" t="str" cm="1">
        <f t="array" ref="AP14">_xlfn.IFS(
Table12[[#This Row],[SUB_CON]]="GREAT","KEEP",
Table12[[#This Row],[SUB_CON]]="NORMAL","UPGRADE",
Table12[[#This Row],[SUB_CON]]="CAUTION","SERVICE",
Table12[[#This Row],[SUB_CON]]="POOR","DISPOSE")</f>
        <v>KEEP</v>
      </c>
      <c r="AQ14" s="46" t="s">
        <v>670</v>
      </c>
      <c r="AR14" s="15" t="s">
        <v>355</v>
      </c>
      <c r="AS14" s="15" t="s">
        <v>688</v>
      </c>
      <c r="AT14" s="15" t="s">
        <v>357</v>
      </c>
      <c r="AU14" s="15" t="s">
        <v>357</v>
      </c>
      <c r="AV14" s="15" t="s">
        <v>689</v>
      </c>
      <c r="AW14" s="15" t="s">
        <v>690</v>
      </c>
      <c r="AX14" s="16" t="str">
        <f>IF(Table12[[#This Row],[PIC_NIP]]&lt;&gt;999999,"IN USE",IF(AND(Table12[[#This Row],[NOTE_LOC]]="WAREHOUSE",Table12[[#This Row],[PIC_NIP]]=999999),"IN STORE","IN-ACTIVE"))</f>
        <v>IN USE</v>
      </c>
      <c r="AY14" s="55">
        <v>240025</v>
      </c>
      <c r="AZ14" s="28" t="s">
        <v>760</v>
      </c>
      <c r="BA14" s="15" t="str">
        <f>IF(COUNTBLANK(Table12[[#This Row],[ID_ASSET]:[ID_MAINTENANCE]])&gt;0,"VALIDATE [IN PROGRESS]","VALIDATE [DONE]")</f>
        <v>VALIDATE [DONE]</v>
      </c>
      <c r="BB14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NB.0472O99-ITD-NB09915BJM44MASHQEQP2400063LAPTOPDELLLatitude 3450i5-1345U13162 of 2DDR5, SO-DIMM, 5600 Mhz512SSD M.2 Nvme/Micorn 2400A0NAWindowsWindows 11 Pro24H200355-61745-26884-AAOEMY83MP-N97VD-98VFC-7YHQ4-844TG0,7538424502796195400240709GoodGoodHDMI [Good]GoodGoodA[3/3]-C[1/1]GoodGoodGoodGoodGoodGoodWiFI, EthernetGOODGREATGOOD PERFORMANCEKEEPTidak adaPICPERSONAL--MOBILEUSER MOBILE240025ME01-251012'),</v>
      </c>
      <c r="BC14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('NB.0472','O99-ITD-NB099','15BJM44','MASHQEQP2400063','LAPTOP','DELL','Latitude 3450','i5-1345U','13','16','2 of 2','DDR5, SO-DIMM, 5600 Mhz','512','SSD M.2 Nvme/Micorn 2400A','0','NA','Windows','Windows 11 Pro','24H2','00355-61745-26884-AAOEM','Y83MP-N97VD-98VFC-7YHQ4-844TG','0,753842450279619','54002','40709','Good','Good','HDMI [Good]','Good','Good','A[3/3]-C[1/1]','Good','Good','Good','Good','Good','Good','WiFI, Ethernet','GOOD','GREAT','GOOD PERFORMANCE','KEEP','Tidak ada','PIC','PERSONAL','-','-','MOBILE','USER MOBILE','240025','ME01-251012'),</v>
      </c>
    </row>
    <row r="15" spans="1:55" ht="16.5" x14ac:dyDescent="0.25">
      <c r="A15" s="3" t="str">
        <f>IF(Table12[[#This Row],[VAL-1]]="VALIDATE [DONE]","✓","✗")</f>
        <v>✗</v>
      </c>
      <c r="B15" s="33" t="s">
        <v>641</v>
      </c>
      <c r="C15" s="15" t="s">
        <v>651</v>
      </c>
      <c r="D15" s="15" t="s">
        <v>617</v>
      </c>
      <c r="E15" s="15" t="s">
        <v>607</v>
      </c>
      <c r="F15" s="15" t="str">
        <f>_xlfn.IFS(LEFT(Table12[[#This Row],[ID_ASSET]],2)="DT","PC DESKTOP",LEFT(Table12[[#This Row],[ID_ASSET]],2)="NB","LAPTOP")</f>
        <v>LAPTOP</v>
      </c>
      <c r="G15" s="15" t="s">
        <v>542</v>
      </c>
      <c r="H15" s="15" t="s">
        <v>656</v>
      </c>
      <c r="I15" s="15" t="s">
        <v>661</v>
      </c>
      <c r="J15" s="55">
        <v>13</v>
      </c>
      <c r="K15" s="55">
        <v>16</v>
      </c>
      <c r="L15" s="55"/>
      <c r="M15" s="59"/>
      <c r="N15" s="55">
        <v>512</v>
      </c>
      <c r="O15" s="57"/>
      <c r="P15" s="55">
        <v>0</v>
      </c>
      <c r="Q15" s="57" t="s">
        <v>551</v>
      </c>
      <c r="R15" s="15" t="s">
        <v>552</v>
      </c>
      <c r="S15" s="15"/>
      <c r="T15" s="15"/>
      <c r="U15" s="60"/>
      <c r="V15" s="60" t="s">
        <v>687</v>
      </c>
      <c r="W15" s="62" t="str">
        <f>IFERROR(IF(Table12[[#This Row],[CATEGORY]]="PC DESKTOP","NA",(Table12[[#This Row],[FCC]]/Table12[[#This Row],[DC]])),"")</f>
        <v/>
      </c>
      <c r="X15" s="63"/>
      <c r="Y15" s="63"/>
      <c r="Z15" s="16" t="s">
        <v>574</v>
      </c>
      <c r="AA15" s="16" t="s">
        <v>574</v>
      </c>
      <c r="AB15" s="15" t="s">
        <v>576</v>
      </c>
      <c r="AC15" s="16" t="s">
        <v>574</v>
      </c>
      <c r="AD15" s="16" t="s">
        <v>574</v>
      </c>
      <c r="AE15" s="55"/>
      <c r="AF15" s="16" t="s">
        <v>574</v>
      </c>
      <c r="AG15" s="16" t="s">
        <v>574</v>
      </c>
      <c r="AH15" s="16" t="s">
        <v>574</v>
      </c>
      <c r="AI15" s="16" t="s">
        <v>574</v>
      </c>
      <c r="AJ15" s="16" t="s">
        <v>574</v>
      </c>
      <c r="AK15" s="16" t="s">
        <v>574</v>
      </c>
      <c r="AL15" s="15" t="s">
        <v>573</v>
      </c>
      <c r="AM15" s="15" t="str">
        <f>IF(OR(Table12[[#This Row],[SUB_CON]]="CAUTION",Table12[[#This Row],[SUB_CON]]="POOR"),"BAD","GOOD")</f>
        <v>GOOD</v>
      </c>
      <c r="AN15" s="15" t="s">
        <v>664</v>
      </c>
      <c r="AO15" s="15" t="s">
        <v>668</v>
      </c>
      <c r="AP15" s="15" t="str" cm="1">
        <f t="array" ref="AP15">_xlfn.IFS(
Table12[[#This Row],[SUB_CON]]="GREAT","KEEP",
Table12[[#This Row],[SUB_CON]]="NORMAL","UPGRADE",
Table12[[#This Row],[SUB_CON]]="CAUTION","SERVICE",
Table12[[#This Row],[SUB_CON]]="POOR","DISPOSE")</f>
        <v>KEEP</v>
      </c>
      <c r="AQ15" s="46" t="s">
        <v>670</v>
      </c>
      <c r="AR15" s="15" t="s">
        <v>355</v>
      </c>
      <c r="AS15" s="15" t="s">
        <v>688</v>
      </c>
      <c r="AT15" s="15" t="s">
        <v>357</v>
      </c>
      <c r="AU15" s="15" t="s">
        <v>357</v>
      </c>
      <c r="AV15" s="15" t="s">
        <v>689</v>
      </c>
      <c r="AW15" s="15" t="s">
        <v>690</v>
      </c>
      <c r="AX15" s="16" t="str">
        <f>IF(Table12[[#This Row],[PIC_NIP]]&lt;&gt;999999,"IN USE",IF(AND(Table12[[#This Row],[NOTE_LOC]]="WAREHOUSE",Table12[[#This Row],[PIC_NIP]]=999999),"IN STORE","IN-ACTIVE"))</f>
        <v>IN USE</v>
      </c>
      <c r="AY15" s="55">
        <v>231399</v>
      </c>
      <c r="AZ15" s="28" t="s">
        <v>760</v>
      </c>
      <c r="BA15" s="15" t="str">
        <f>IF(COUNTBLANK(Table12[[#This Row],[ID_ASSET]:[ID_MAINTENANCE]])&gt;0,"VALIDATE [IN PROGRESS]","VALIDATE [DONE]")</f>
        <v>VALIDATE [IN PROGRESS]</v>
      </c>
      <c r="BB15" s="15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NB.0475O99-ITD-NB024FC1JM44MASHQEQP2400066LAPTOPDELLLatitude 3450i5-1345U13165120NAWindowsTBDGoodGoodHDMI [Good]GoodGoodGoodGoodGoodGoodGoodGoodWiFI, EthernetGOODGREATGOOD PERFORMANCEKEEPTidak adaPICPERSONAL--MOBILEUSER MOBILE231399ME01-251012'),</v>
      </c>
      <c r="BC15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('NB.0475','O99-ITD-NB024','FC1JM44','MASHQEQP2400066','LAPTOP','DELL','Latitude 3450','i5-1345U','13','16','','','512','','0','NA','Windows','','','','TBD','','','','Good','Good','HDMI [Good]','Good','Good','','Good','Good','Good','Good','Good','Good','WiFI, Ethernet','GOOD','GREAT','GOOD PERFORMANCE','KEEP','Tidak ada','PIC','PERSONAL','-','-','MOBILE','USER MOBILE','231399','ME01-251012'),</v>
      </c>
    </row>
    <row r="16" spans="1:55" ht="16.5" x14ac:dyDescent="0.25">
      <c r="A16" s="3" t="str">
        <f>IF(Table12[[#This Row],[VAL-1]]="VALIDATE [DONE]","✓","✗")</f>
        <v>✗</v>
      </c>
      <c r="B16" s="34" t="s">
        <v>642</v>
      </c>
      <c r="C16" s="30" t="s">
        <v>652</v>
      </c>
      <c r="D16" s="30" t="s">
        <v>618</v>
      </c>
      <c r="E16" s="54" t="s">
        <v>794</v>
      </c>
      <c r="F16" s="30" t="str">
        <f>_xlfn.IFS(LEFT(Table12[[#This Row],[ID_ASSET]],2)="DT","PC DESKTOP",LEFT(Table12[[#This Row],[ID_ASSET]],2)="NB","LAPTOP")</f>
        <v>PC DESKTOP</v>
      </c>
      <c r="G16" s="15" t="s">
        <v>542</v>
      </c>
      <c r="H16" s="30" t="s">
        <v>657</v>
      </c>
      <c r="I16" s="30" t="s">
        <v>658</v>
      </c>
      <c r="J16" s="56">
        <v>8</v>
      </c>
      <c r="K16" s="56">
        <v>4</v>
      </c>
      <c r="L16" s="55"/>
      <c r="M16" s="59"/>
      <c r="N16" s="56">
        <v>0</v>
      </c>
      <c r="O16" s="57" t="s">
        <v>551</v>
      </c>
      <c r="P16" s="56">
        <v>1000</v>
      </c>
      <c r="Q16" s="57" t="s">
        <v>662</v>
      </c>
      <c r="R16" s="15" t="s">
        <v>552</v>
      </c>
      <c r="S16" s="15"/>
      <c r="T16" s="15"/>
      <c r="U16" s="60"/>
      <c r="V16" s="60" t="s">
        <v>687</v>
      </c>
      <c r="W16" s="64" t="str">
        <f>IFERROR(IF(Table12[[#This Row],[CATEGORY]]="PC DESKTOP","NA",(Table12[[#This Row],[FCC]]/Table12[[#This Row],[DC]])),"")</f>
        <v>NA</v>
      </c>
      <c r="X16" s="63">
        <v>0</v>
      </c>
      <c r="Y16" s="63">
        <v>0</v>
      </c>
      <c r="Z16" s="16" t="s">
        <v>574</v>
      </c>
      <c r="AA16" s="16" t="s">
        <v>551</v>
      </c>
      <c r="AB16" s="15" t="s">
        <v>576</v>
      </c>
      <c r="AC16" s="16" t="s">
        <v>551</v>
      </c>
      <c r="AD16" s="16" t="s">
        <v>551</v>
      </c>
      <c r="AE16" s="55"/>
      <c r="AF16" s="16" t="s">
        <v>574</v>
      </c>
      <c r="AG16" s="16" t="s">
        <v>574</v>
      </c>
      <c r="AH16" s="16" t="s">
        <v>551</v>
      </c>
      <c r="AI16" s="16" t="s">
        <v>551</v>
      </c>
      <c r="AJ16" s="16" t="s">
        <v>551</v>
      </c>
      <c r="AK16" s="16" t="s">
        <v>551</v>
      </c>
      <c r="AL16" s="15" t="s">
        <v>573</v>
      </c>
      <c r="AM16" s="30" t="str">
        <f>IF(OR(Table12[[#This Row],[SUB_CON]]="CAUTION",Table12[[#This Row],[SUB_CON]]="POOR"),"BAD","GOOD")</f>
        <v>BAD</v>
      </c>
      <c r="AN16" s="30" t="s">
        <v>665</v>
      </c>
      <c r="AO16" s="30" t="s">
        <v>667</v>
      </c>
      <c r="AP16" s="30" t="str" cm="1">
        <f t="array" ref="AP16">_xlfn.IFS(
Table12[[#This Row],[SUB_CON]]="GREAT","KEEP",
Table12[[#This Row],[SUB_CON]]="NORMAL","UPGRADE",
Table12[[#This Row],[SUB_CON]]="CAUTION","SERVICE",
Table12[[#This Row],[SUB_CON]]="POOR","DISPOSE")</f>
        <v>DISPOSE</v>
      </c>
      <c r="AQ16" s="47" t="s">
        <v>670</v>
      </c>
      <c r="AR16" s="15" t="s">
        <v>355</v>
      </c>
      <c r="AS16" s="15" t="s">
        <v>674</v>
      </c>
      <c r="AT16" s="30" t="s">
        <v>675</v>
      </c>
      <c r="AU16" s="30" t="s">
        <v>357</v>
      </c>
      <c r="AV16" s="30" t="s">
        <v>315</v>
      </c>
      <c r="AW16" s="30" t="s">
        <v>673</v>
      </c>
      <c r="AX16" s="35" t="str">
        <f>IF(Table12[[#This Row],[PIC_NIP]]&lt;&gt;999999,"IN USE",IF(AND(Table12[[#This Row],[NOTE_LOC]]="WAREHOUSE",Table12[[#This Row],[PIC_NIP]]=999999),"IN STORE","IN-ACTIVE"))</f>
        <v>IN USE</v>
      </c>
      <c r="AY16" s="56">
        <v>220909</v>
      </c>
      <c r="AZ16" s="28" t="s">
        <v>760</v>
      </c>
      <c r="BA16" s="30" t="str">
        <f>IF(COUNTBLANK(Table12[[#This Row],[ID_ASSET]:[ID_MAINTENANCE]])&gt;0,"VALIDATE [IN PROGRESS]","VALIDATE [DONE]")</f>
        <v>VALIDATE [IN PROGRESS]</v>
      </c>
      <c r="BB16" s="30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DT.0374O99-ITD-DT001K7MSAC0001113SFMASHQEQP2000001PC DESKTOPDELLMini PC PN60-Ri5-8250U840NA1000HDD SATA 2.5"WindowsTBDNA00GoodNAHDMI [Good]NANAGoodGoodNANANANAWiFI, EthernetBADPOORNormalDISPOSETidak adaPICSYSTEMPC as Backups Email Users-O99Meja IT LT.21 ASGT220909ME01-251012'),</v>
      </c>
      <c r="BC16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('DT.0374','O99-ITD-DT001','K7MSAC0001113SF','MASHQEQP2000001','PC DESKTOP','DELL','Mini PC PN60-R','i5-8250U','8','4','','','0','NA','1000','HDD SATA 2.5"','Windows','','','','TBD','NA','0','0','Good','NA','HDMI [Good]','NA','NA','','Good','Good','NA','NA','NA','NA','WiFI, Ethernet','BAD','POOR','Normal','DISPOSE','Tidak ada','PIC','SYSTEM','PC as Backups Email Users','-','O99','Meja IT LT.21 ASGT','220909','ME01-251012'),</v>
      </c>
    </row>
    <row r="17" spans="1:55" ht="16.5" x14ac:dyDescent="0.25">
      <c r="A17" s="3" t="str">
        <f>IF(Table12[[#This Row],[VAL-1]]="VALIDATE [DONE]","✓","✗")</f>
        <v>✓</v>
      </c>
      <c r="B17" s="34" t="s">
        <v>779</v>
      </c>
      <c r="C17" s="30" t="s">
        <v>780</v>
      </c>
      <c r="D17" s="30" t="s">
        <v>781</v>
      </c>
      <c r="E17" s="30" t="s">
        <v>782</v>
      </c>
      <c r="F17" s="30" t="str">
        <f>_xlfn.IFS(LEFT(Table12[[#This Row],[ID_ASSET]],2)="DT","PC DESKTOP",LEFT(Table12[[#This Row],[ID_ASSET]],2)="NB","LAPTOP")</f>
        <v>LAPTOP</v>
      </c>
      <c r="G17" s="30" t="s">
        <v>542</v>
      </c>
      <c r="H17" s="30" t="s">
        <v>783</v>
      </c>
      <c r="I17" s="30" t="s">
        <v>784</v>
      </c>
      <c r="J17" s="56">
        <v>8</v>
      </c>
      <c r="K17" s="56">
        <v>8</v>
      </c>
      <c r="L17" s="56" t="s">
        <v>545</v>
      </c>
      <c r="M17" s="59" t="s">
        <v>805</v>
      </c>
      <c r="N17" s="56">
        <v>256</v>
      </c>
      <c r="O17" s="58" t="s">
        <v>804</v>
      </c>
      <c r="P17" s="56">
        <v>0</v>
      </c>
      <c r="Q17" s="58" t="s">
        <v>551</v>
      </c>
      <c r="R17" s="30" t="s">
        <v>552</v>
      </c>
      <c r="S17" s="30" t="s">
        <v>553</v>
      </c>
      <c r="T17" s="30" t="s">
        <v>556</v>
      </c>
      <c r="U17" s="61" t="s">
        <v>806</v>
      </c>
      <c r="V17" s="61" t="s">
        <v>687</v>
      </c>
      <c r="W17" s="64">
        <f>IFERROR(IF(Table12[[#This Row],[CATEGORY]]="PC DESKTOP","NA",(Table12[[#This Row],[FCC]]/Table12[[#This Row],[DC]])),"")</f>
        <v>0.14495928377541789</v>
      </c>
      <c r="X17" s="65">
        <v>41998</v>
      </c>
      <c r="Y17" s="65">
        <v>6088</v>
      </c>
      <c r="Z17" s="35" t="s">
        <v>574</v>
      </c>
      <c r="AA17" s="35" t="s">
        <v>574</v>
      </c>
      <c r="AB17" s="30" t="s">
        <v>576</v>
      </c>
      <c r="AC17" s="35" t="s">
        <v>574</v>
      </c>
      <c r="AD17" s="35" t="s">
        <v>574</v>
      </c>
      <c r="AE17" s="55" t="s">
        <v>807</v>
      </c>
      <c r="AF17" s="35" t="s">
        <v>574</v>
      </c>
      <c r="AG17" s="35" t="s">
        <v>574</v>
      </c>
      <c r="AH17" s="35" t="s">
        <v>574</v>
      </c>
      <c r="AI17" s="35" t="s">
        <v>574</v>
      </c>
      <c r="AJ17" s="35" t="s">
        <v>574</v>
      </c>
      <c r="AK17" s="35" t="s">
        <v>574</v>
      </c>
      <c r="AL17" s="30" t="s">
        <v>573</v>
      </c>
      <c r="AM17" s="30" t="str">
        <f>IF(OR(Table12[[#This Row],[SUB_CON]]="CAUTION",Table12[[#This Row],[SUB_CON]]="POOR"),"BAD","GOOD")</f>
        <v>BAD</v>
      </c>
      <c r="AN17" s="30" t="s">
        <v>785</v>
      </c>
      <c r="AO17" s="30" t="s">
        <v>786</v>
      </c>
      <c r="AP17" s="30" t="str" cm="1">
        <f t="array" ref="AP17">_xlfn.IFS(
Table12[[#This Row],[SUB_CON]]="GREAT","KEEP",
Table12[[#This Row],[SUB_CON]]="NORMAL","UPGRADE",
Table12[[#This Row],[SUB_CON]]="CAUTION","SERVICE",
Table12[[#This Row],[SUB_CON]]="POOR","DISPOSE")</f>
        <v>SERVICE</v>
      </c>
      <c r="AQ17" s="47" t="s">
        <v>788</v>
      </c>
      <c r="AR17" s="30" t="s">
        <v>808</v>
      </c>
      <c r="AS17" s="30" t="s">
        <v>688</v>
      </c>
      <c r="AT17" s="30" t="s">
        <v>357</v>
      </c>
      <c r="AU17" s="30" t="s">
        <v>357</v>
      </c>
      <c r="AV17" s="30" t="s">
        <v>484</v>
      </c>
      <c r="AW17" s="30" t="s">
        <v>789</v>
      </c>
      <c r="AX17" s="35" t="str">
        <f>IF(Table12[[#This Row],[PIC_NIP]]&lt;&gt;999999,"IN USE",IF(AND(Table12[[#This Row],[NOTE_LOC]]="WAREHOUSE",Table12[[#This Row],[PIC_NIP]]=999999),"IN STORE","IN-ACTIVE"))</f>
        <v>IN STORE</v>
      </c>
      <c r="AY17" s="56">
        <v>999999</v>
      </c>
      <c r="AZ17" s="28" t="s">
        <v>760</v>
      </c>
      <c r="BA17" s="30" t="str">
        <f>IF(COUNTBLANK(Table12[[#This Row],[ID_ASSET]:[ID_MAINTENANCE]])&gt;0,"VALIDATE [IN PROGRESS]","VALIDATE [DONE]")</f>
        <v>VALIDATE [DONE]</v>
      </c>
      <c r="BB17" s="30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NB.0180O99-ITD-NB002C63RQT2MOEQPLPT1020006LAPTOPDELLLatitude 3400i5-8265U881 of 2DDR4, SO-DIMM, 2667 Mhz256SSD M.2 SATA/TEAM TM8PS7256G0NAWindowsWindows 11 Pro24H200330-52338-50146-AAOEMTBD0,144959283775418419986088GoodGoodHDMI [Good]GoodGoodA[3/3]GoodGoodGoodGoodGoodGoodWiFI, EthernetBADCAUTIONBH &lt; 20%SERVICERepair [Battery]. Optional [Upgrade ; SSD 512 GB, RAM 16 GB]RTLPERSONAL--M01WAREHOUSE999999ME01-251012'),</v>
      </c>
      <c r="BC17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('NB.0180','O99-ITD-NB002','C63RQT2','MOEQPLPT1020006','LAPTOP','DELL','Latitude 3400','i5-8265U','8','8','1 of 2','DDR4, SO-DIMM, 2667 Mhz','256','SSD M.2 SATA/TEAM TM8PS7256G','0','NA','Windows','Windows 11 Pro','24H2','00330-52338-50146-AAOEM','TBD','0,144959283775418','41998','6088','Good','Good','HDMI [Good]','Good','Good','A[3/3]','Good','Good','Good','Good','Good','Good','WiFI, Ethernet','BAD','CAUTION','BH &lt; 20%','SERVICE','Repair [Battery]. Optional [Upgrade ; SSD 512 GB, RAM 16 GB]','RTL','PERSONAL','-','-','M01','WAREHOUSE','999999','ME01-251012'),</v>
      </c>
    </row>
    <row r="18" spans="1:55" ht="16.5" x14ac:dyDescent="0.25">
      <c r="A18" s="3" t="str">
        <f>IF(Table12[[#This Row],[VAL-1]]="VALIDATE [DONE]","✓","✗")</f>
        <v>✓</v>
      </c>
      <c r="B18" s="34" t="s">
        <v>796</v>
      </c>
      <c r="C18" s="30" t="s">
        <v>797</v>
      </c>
      <c r="D18" s="30" t="s">
        <v>798</v>
      </c>
      <c r="E18" s="30" t="s">
        <v>799</v>
      </c>
      <c r="F18" s="30" t="str">
        <f>_xlfn.IFS(LEFT(Table12[[#This Row],[ID_ASSET]],2)="DT","PC DESKTOP",LEFT(Table12[[#This Row],[ID_ASSET]],2)="NB","LAPTOP")</f>
        <v>LAPTOP</v>
      </c>
      <c r="G18" s="30" t="s">
        <v>542</v>
      </c>
      <c r="H18" s="30" t="s">
        <v>800</v>
      </c>
      <c r="I18" s="30" t="s">
        <v>801</v>
      </c>
      <c r="J18" s="56">
        <v>11</v>
      </c>
      <c r="K18" s="56">
        <v>16</v>
      </c>
      <c r="L18" s="56" t="s">
        <v>682</v>
      </c>
      <c r="M18" s="59" t="s">
        <v>775</v>
      </c>
      <c r="N18" s="56">
        <v>512</v>
      </c>
      <c r="O18" s="57" t="s">
        <v>803</v>
      </c>
      <c r="P18" s="56">
        <v>0</v>
      </c>
      <c r="Q18" s="58" t="s">
        <v>551</v>
      </c>
      <c r="R18" s="30" t="s">
        <v>552</v>
      </c>
      <c r="S18" s="30" t="s">
        <v>553</v>
      </c>
      <c r="T18" s="30" t="s">
        <v>556</v>
      </c>
      <c r="U18" s="61" t="s">
        <v>802</v>
      </c>
      <c r="V18" s="61" t="s">
        <v>687</v>
      </c>
      <c r="W18" s="64">
        <f>IFERROR(IF(Table12[[#This Row],[CATEGORY]]="PC DESKTOP","NA",(Table12[[#This Row],[FCC]]/Table12[[#This Row],[DC]])),"")</f>
        <v>0.84370015948963317</v>
      </c>
      <c r="X18" s="65">
        <v>42009</v>
      </c>
      <c r="Y18" s="65">
        <v>35443</v>
      </c>
      <c r="Z18" s="35" t="s">
        <v>574</v>
      </c>
      <c r="AA18" s="35" t="s">
        <v>574</v>
      </c>
      <c r="AB18" s="30" t="s">
        <v>576</v>
      </c>
      <c r="AC18" s="35" t="s">
        <v>574</v>
      </c>
      <c r="AD18" s="35" t="s">
        <v>574</v>
      </c>
      <c r="AE18" s="55" t="s">
        <v>696</v>
      </c>
      <c r="AF18" s="35" t="s">
        <v>574</v>
      </c>
      <c r="AG18" s="35" t="s">
        <v>574</v>
      </c>
      <c r="AH18" s="35" t="s">
        <v>574</v>
      </c>
      <c r="AI18" s="35" t="s">
        <v>574</v>
      </c>
      <c r="AJ18" s="35" t="s">
        <v>574</v>
      </c>
      <c r="AK18" s="35" t="s">
        <v>574</v>
      </c>
      <c r="AL18" s="30" t="s">
        <v>573</v>
      </c>
      <c r="AM18" s="30" t="str">
        <f>IF(OR(Table12[[#This Row],[SUB_CON]]="CAUTION",Table12[[#This Row],[SUB_CON]]="POOR"),"BAD","GOOD")</f>
        <v>GOOD</v>
      </c>
      <c r="AN18" s="30" t="s">
        <v>664</v>
      </c>
      <c r="AO18" s="30" t="s">
        <v>668</v>
      </c>
      <c r="AP18" s="30" t="str" cm="1">
        <f t="array" ref="AP18">_xlfn.IFS(
Table12[[#This Row],[SUB_CON]]="GREAT","KEEP",
Table12[[#This Row],[SUB_CON]]="NORMAL","UPGRADE",
Table12[[#This Row],[SUB_CON]]="CAUTION","SERVICE",
Table12[[#This Row],[SUB_CON]]="POOR","DISPOSE")</f>
        <v>KEEP</v>
      </c>
      <c r="AQ18" s="47" t="s">
        <v>670</v>
      </c>
      <c r="AR18" s="30" t="s">
        <v>355</v>
      </c>
      <c r="AS18" s="30" t="s">
        <v>688</v>
      </c>
      <c r="AT18" s="30" t="s">
        <v>357</v>
      </c>
      <c r="AU18" s="30" t="s">
        <v>357</v>
      </c>
      <c r="AV18" s="30" t="s">
        <v>689</v>
      </c>
      <c r="AW18" s="30" t="s">
        <v>690</v>
      </c>
      <c r="AX18" s="35" t="str">
        <f>IF(Table12[[#This Row],[PIC_NIP]]&lt;&gt;999999,"IN USE",IF(AND(Table12[[#This Row],[NOTE_LOC]]="WAREHOUSE",Table12[[#This Row],[PIC_NIP]]=999999),"IN STORE","IN-ACTIVE"))</f>
        <v>IN USE</v>
      </c>
      <c r="AY18" s="56">
        <v>100822</v>
      </c>
      <c r="AZ18" s="28" t="s">
        <v>760</v>
      </c>
      <c r="BA18" s="30" t="str">
        <f>IF(COUNTBLANK(Table12[[#This Row],[ID_ASSET]:[ID_MAINTENANCE]])&gt;0,"VALIDATE [IN PROGRESS]","VALIDATE [DONE]")</f>
        <v>VALIDATE [DONE]</v>
      </c>
      <c r="BB18" s="30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NB.0178O99-ITD-NB0031C22QN3DI8MASEQP2200010LAPTOPDELLLatitude 5420i7-1185G711162 of 2DDR4, SO-DIMM, 2400 / 2667 Mhz512SSD M.2 Nvme/SK Hynix BC7110NAWindowsWindows 11 Pro24H200330-50000-00000-AAOEMTBD0,8437001594896334200935443GoodGoodHDMI [Good]GoodGoodA[3/3]-C[1/1]GoodGoodGoodGoodGoodGoodWiFI, EthernetGOODGREATGOOD PERFORMANCEKEEPTidak adaPICPERSONAL--MOBILEUSER MOBILE100822ME01-251012'),</v>
      </c>
      <c r="BC18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('NB.0178','O99-ITD-NB003','1C22QN3','DI8MASEQP2200010','LAPTOP','DELL','Latitude 5420','i7-1185G7','11','16','2 of 2','DDR4, SO-DIMM, 2400 / 2667 Mhz','512','SSD M.2 Nvme/SK Hynix BC711','0','NA','Windows','Windows 11 Pro','24H2','00330-50000-00000-AAOEM','TBD','0,843700159489633','42009','35443','Good','Good','HDMI [Good]','Good','Good','A[3/3]-C[1/1]','Good','Good','Good','Good','Good','Good','WiFI, Ethernet','GOOD','GREAT','GOOD PERFORMANCE','KEEP','Tidak ada','PIC','PERSONAL','-','-','MOBILE','USER MOBILE','100822','ME01-251012'),</v>
      </c>
    </row>
    <row r="19" spans="1:55" ht="16.5" x14ac:dyDescent="0.25">
      <c r="A19" s="3" t="str">
        <f>IF(Table12[[#This Row],[VAL-1]]="VALIDATE [DONE]","✓","✗")</f>
        <v>✓</v>
      </c>
      <c r="B19" s="34" t="s">
        <v>809</v>
      </c>
      <c r="C19" s="30" t="s">
        <v>810</v>
      </c>
      <c r="D19" s="30" t="s">
        <v>811</v>
      </c>
      <c r="E19" s="30" t="s">
        <v>812</v>
      </c>
      <c r="F19" s="30" t="str">
        <f>_xlfn.IFS(LEFT(Table12[[#This Row],[ID_ASSET]],2)="DT","PC DESKTOP",LEFT(Table12[[#This Row],[ID_ASSET]],2)="NB","LAPTOP")</f>
        <v>LAPTOP</v>
      </c>
      <c r="G19" s="30" t="s">
        <v>542</v>
      </c>
      <c r="H19" s="30" t="s">
        <v>783</v>
      </c>
      <c r="I19" s="30" t="s">
        <v>784</v>
      </c>
      <c r="J19" s="56">
        <v>8</v>
      </c>
      <c r="K19" s="56">
        <v>8</v>
      </c>
      <c r="L19" s="56" t="s">
        <v>682</v>
      </c>
      <c r="M19" s="59" t="s">
        <v>805</v>
      </c>
      <c r="N19" s="56">
        <v>126</v>
      </c>
      <c r="O19" s="57" t="s">
        <v>817</v>
      </c>
      <c r="P19" s="56">
        <v>0</v>
      </c>
      <c r="Q19" s="58" t="s">
        <v>551</v>
      </c>
      <c r="R19" s="30" t="s">
        <v>552</v>
      </c>
      <c r="S19" s="30" t="s">
        <v>553</v>
      </c>
      <c r="T19" s="30" t="s">
        <v>816</v>
      </c>
      <c r="U19" s="61" t="s">
        <v>815</v>
      </c>
      <c r="V19" s="61" t="s">
        <v>687</v>
      </c>
      <c r="W19" s="64">
        <f>IFERROR(IF(Table12[[#This Row],[CATEGORY]]="PC DESKTOP","NA",(Table12[[#This Row],[FCC]]/Table12[[#This Row],[DC]])),"")</f>
        <v>0.72529644268774707</v>
      </c>
      <c r="X19" s="65">
        <v>41998</v>
      </c>
      <c r="Y19" s="65">
        <v>30461</v>
      </c>
      <c r="Z19" s="35" t="s">
        <v>574</v>
      </c>
      <c r="AA19" s="35" t="s">
        <v>574</v>
      </c>
      <c r="AB19" s="30" t="s">
        <v>576</v>
      </c>
      <c r="AC19" s="35" t="s">
        <v>574</v>
      </c>
      <c r="AD19" s="35" t="s">
        <v>574</v>
      </c>
      <c r="AE19" s="55" t="s">
        <v>807</v>
      </c>
      <c r="AF19" s="35" t="s">
        <v>574</v>
      </c>
      <c r="AG19" s="35" t="s">
        <v>574</v>
      </c>
      <c r="AH19" s="35" t="s">
        <v>574</v>
      </c>
      <c r="AI19" s="35" t="s">
        <v>574</v>
      </c>
      <c r="AJ19" s="35" t="s">
        <v>574</v>
      </c>
      <c r="AK19" s="35" t="s">
        <v>574</v>
      </c>
      <c r="AL19" s="30" t="s">
        <v>573</v>
      </c>
      <c r="AM19" s="30" t="str">
        <f>IF(OR(Table12[[#This Row],[SUB_CON]]="CAUTION",Table12[[#This Row],[SUB_CON]]="POOR"),"BAD","GOOD")</f>
        <v>BAD</v>
      </c>
      <c r="AN19" s="30" t="s">
        <v>665</v>
      </c>
      <c r="AO19" s="30" t="s">
        <v>813</v>
      </c>
      <c r="AP19" s="30" t="str" cm="1">
        <f t="array" ref="AP19">_xlfn.IFS(
Table12[[#This Row],[SUB_CON]]="GREAT","KEEP",
Table12[[#This Row],[SUB_CON]]="NORMAL","UPGRADE",
Table12[[#This Row],[SUB_CON]]="CAUTION","SERVICE",
Table12[[#This Row],[SUB_CON]]="POOR","DISPOSE")</f>
        <v>DISPOSE</v>
      </c>
      <c r="AQ19" s="47" t="s">
        <v>670</v>
      </c>
      <c r="AR19" s="30" t="s">
        <v>808</v>
      </c>
      <c r="AS19" s="30" t="s">
        <v>688</v>
      </c>
      <c r="AT19" s="30" t="s">
        <v>357</v>
      </c>
      <c r="AU19" s="30" t="s">
        <v>814</v>
      </c>
      <c r="AV19" s="30" t="s">
        <v>314</v>
      </c>
      <c r="AW19" s="30" t="s">
        <v>789</v>
      </c>
      <c r="AX19" s="35" t="str">
        <f>IF(Table12[[#This Row],[PIC_NIP]]&lt;&gt;999999,"IN USE",IF(AND(Table12[[#This Row],[NOTE_LOC]]="WAREHOUSE",Table12[[#This Row],[PIC_NIP]]=999999),"IN STORE","IN-ACTIVE"))</f>
        <v>IN STORE</v>
      </c>
      <c r="AY19" s="56">
        <v>999999</v>
      </c>
      <c r="AZ19" s="28" t="s">
        <v>760</v>
      </c>
      <c r="BA19" s="30" t="str">
        <f>IF(COUNTBLANK(Table12[[#This Row],[ID_ASSET]:[ID_MAINTENANCE]])&gt;0,"VALIDATE [IN PROGRESS]","VALIDATE [DONE]")</f>
        <v>VALIDATE [DONE]</v>
      </c>
      <c r="BB19" s="31" t="str">
        <f>Table12[[#This Row],[ID_ASSET]]&amp;Table12[[#This Row],[HOSTNAME]]&amp;Table12[[#This Row],[SN]]&amp;Table12[[#This Row],[BARCODE]]&amp;Table12[[#This Row],[CATEGORY]]&amp;Table12[[#This Row],[BRAND]]&amp;Table12[[#This Row],[TYPE]]&amp;Table12[[#This Row],[PROCESSORS]]&amp;Table12[[#This Row],[GEN]]&amp;Table12[[#This Row],[RAM_CAP]]&amp;Table12[[#This Row],[RAM_SLOT]]&amp;Table12[[#This Row],[RAM_TYPE]]&amp;Table12[[#This Row],[DISK1_CAP]]&amp;Table12[[#This Row],[DISK1_TYPE]]&amp;Table12[[#This Row],[DISK2_CAP]]&amp;Table12[[#This Row],[DISK2_TYPE]]&amp;Table12[[#This Row],[OS]]&amp;Table12[[#This Row],[OS_TYPE]]&amp;Table12[[#This Row],[OS_VER]]&amp;Table12[[#This Row],[PRODUCT_ID]]&amp;Table12[[#This Row],[PRODUCT_KEY]]&amp;Table12[[#This Row],[BH]]&amp;Table12[[#This Row],[DC]]&amp;Table12[[#This Row],[FCC]]&amp;Table12[[#This Row],[CASING]]&amp;Table12[[#This Row],[DISPLAY]]&amp;Table12[[#This Row],[PORT_DISPLAY]]&amp;Table12[[#This Row],[KEYBOARD]]&amp;Table12[[#This Row],[TOUCHPAD]]&amp;Table12[[#This Row],[PORT_USB]]&amp;Table12[[#This Row],[PORT_JECK]]&amp;Table12[[#This Row],[PORT_PSU]]&amp;Table12[[#This Row],[FAN]]&amp;Table12[[#This Row],[WEBCAM]]&amp;Table12[[#This Row],[MICROFON]]&amp;Table12[[#This Row],[SPEAKER]]&amp;Table12[[#This Row],[CONNECTION]]&amp;Table12[[#This Row],[CONDITIONS]]&amp;Table12[[#This Row],[SUB_CON]]&amp;Table12[[#This Row],[NOTE_CON]]&amp;Table12[[#This Row],[SOLUTION]]&amp;Table12[[#This Row],[NOTE_SOL]]&amp;Table12[[#This Row],[STATUS_FUNC]]&amp;Table12[[#This Row],[FUNCTIONS]]&amp;Table12[[#This Row],[NOTE_FUNC]]&amp;Table12[[#This Row],[HISTORY_PIC]]&amp;Table12[[#This Row],[LOCATION]]&amp;Table12[[#This Row],[NOTE_LOC]]&amp;Table12[[#This Row],[PIC_NIP]]&amp;Table12[[#This Row],[ID_MAINTENANCE]]&amp;"'),"</f>
        <v>NB.0335M02-ITD-NB0041B2RQT2MOEQPLPT1020005LAPTOPDELLLatitude 3400i5-8265U882 of 2DDR4, SO-DIMM, 2667 Mhz126SSD M.2 SATA/SK Hynix SC3110NAWindowsWindows 11 Pro23H200330-52338-74258-AAOEMTBD0,7252964426877474199830461GoodGoodHDMI [Good]GoodGoodA[3/3]GoodGoodGoodGoodGoodGoodWiFI, EthernetBADPOORMB ERROR = ShutDown OftenDISPOSETidak adaRTLPERSONAL-Ex Hardi WasistoM02WAREHOUSE999999ME01-251012'),</v>
      </c>
      <c r="BC19" s="66" t="str">
        <f>"('"&amp;Table12[[#This Row],[ID_ASSET]]&amp;"','"&amp;
Table12[[#This Row],[HOSTNAME]]&amp;"','"&amp;
Table12[[#This Row],[SN]]&amp;"','"&amp;
Table12[[#This Row],[BARCODE]]&amp;"','"&amp;
Table12[[#This Row],[CATEGORY]]&amp;"','"&amp;
Table12[[#This Row],[BRAND]]&amp;"','"&amp;
Table12[[#This Row],[TYPE]]&amp;"','"&amp;
Table12[[#This Row],[PROCESSORS]]&amp;"','"&amp;
Table12[[#This Row],[GEN]]&amp;"','"&amp;
Table12[[#This Row],[RAM_CAP]]&amp;"','"&amp;
Table12[[#This Row],[RAM_SLOT]]&amp;"','"&amp;
Table12[[#This Row],[RAM_TYPE]]&amp;"','"&amp;
Table12[[#This Row],[DISK1_CAP]]&amp;"','"&amp;
Table12[[#This Row],[DISK1_TYPE]]&amp;"','"&amp;
Table12[[#This Row],[DISK2_CAP]]&amp;"','"&amp;
Table12[[#This Row],[DISK2_TYPE]]&amp;"','"&amp;
Table12[[#This Row],[OS]]&amp;"','"&amp;
Table12[[#This Row],[OS_TYPE]]&amp;"','"&amp;
Table12[[#This Row],[OS_VER]]&amp;"','"&amp;
Table12[[#This Row],[PRODUCT_ID]]&amp;"','"&amp;
Table12[[#This Row],[PRODUCT_KEY]]&amp;"','"&amp;
Table12[[#This Row],[BH]]&amp;"','"&amp;
Table12[[#This Row],[DC]]&amp;"','"&amp;
Table12[[#This Row],[FCC]]&amp;"','"&amp;
Table12[[#This Row],[CASING]]&amp;"','"&amp;
Table12[[#This Row],[DISPLAY]]&amp;"','"&amp;
Table12[[#This Row],[PORT_DISPLAY]]&amp;"','"&amp;
Table12[[#This Row],[KEYBOARD]]&amp;"','"&amp;
Table12[[#This Row],[TOUCHPAD]]&amp;"','"&amp;
Table12[[#This Row],[PORT_USB]]&amp;"','"&amp;
Table12[[#This Row],[PORT_JECK]]&amp;"','"&amp;
Table12[[#This Row],[PORT_PSU]]&amp;"','"&amp;
Table12[[#This Row],[FAN]]&amp;"','"&amp;
Table12[[#This Row],[WEBCAM]]&amp;"','"&amp;
Table12[[#This Row],[MICROFON]]&amp;"','"&amp;
Table12[[#This Row],[SPEAKER]]&amp;"','"&amp;
Table12[[#This Row],[CONNECTION]]&amp;"','"&amp;
Table12[[#This Row],[CONDITIONS]]&amp;"','"&amp;
Table12[[#This Row],[SUB_CON]]&amp;"','"&amp;
Table12[[#This Row],[NOTE_CON]]&amp;"','"&amp;
Table12[[#This Row],[SOLUTION]]&amp;"','"&amp;
Table12[[#This Row],[NOTE_SOL]]&amp;"','"&amp;
Table12[[#This Row],[STATUS_FUNC]]&amp;"','"&amp;
Table12[[#This Row],[FUNCTIONS]]&amp;"','"&amp;
Table12[[#This Row],[NOTE_FUNC]]&amp;"','"&amp;
Table12[[#This Row],[HISTORY_PIC]]&amp;"','"&amp;
Table12[[#This Row],[LOCATION]]&amp;"','"&amp;
Table12[[#This Row],[NOTE_LOC]]&amp;"','"&amp;
Table12[[#This Row],[PIC_NIP]]&amp;"','"&amp;
Table12[[#This Row],[ID_MAINTENANCE]]&amp;"'),"</f>
        <v>('NB.0335','M02-ITD-NB004','1B2RQT2','MOEQPLPT1020005','LAPTOP','DELL','Latitude 3400','i5-8265U','8','8','2 of 2','DDR4, SO-DIMM, 2667 Mhz','126','SSD M.2 SATA/SK Hynix SC311','0','NA','Windows','Windows 11 Pro','23H2','00330-52338-74258-AAOEM','TBD','0,725296442687747','41998','30461','Good','Good','HDMI [Good]','Good','Good','A[3/3]','Good','Good','Good','Good','Good','Good','WiFI, Ethernet','BAD','POOR','MB ERROR = ShutDown Often','DISPOSE','Tidak ada','RTL','PERSONAL','-','Ex Hardi Wasisto','M02','WAREHOUSE','999999','ME01-251012'),</v>
      </c>
    </row>
  </sheetData>
  <mergeCells count="1">
    <mergeCell ref="X3:Y3"/>
  </mergeCells>
  <pageMargins left="0.7" right="0.7" top="0.75" bottom="0.75" header="0.3" footer="0.3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932D-0D62-48BD-8D29-6D3181332C88}">
  <sheetPr>
    <tabColor rgb="FFFFFF00"/>
  </sheetPr>
  <dimension ref="B4:F54"/>
  <sheetViews>
    <sheetView zoomScale="85" zoomScaleNormal="85" workbookViewId="0">
      <selection activeCell="I31" sqref="I31"/>
    </sheetView>
  </sheetViews>
  <sheetFormatPr defaultRowHeight="15" x14ac:dyDescent="0.25"/>
  <cols>
    <col min="2" max="2" width="15.28515625" bestFit="1" customWidth="1"/>
    <col min="3" max="3" width="9.5703125" bestFit="1" customWidth="1"/>
    <col min="4" max="4" width="36.85546875" bestFit="1" customWidth="1"/>
    <col min="5" max="5" width="11.140625" customWidth="1"/>
    <col min="6" max="6" width="52.5703125" bestFit="1" customWidth="1"/>
  </cols>
  <sheetData>
    <row r="4" spans="2:6" x14ac:dyDescent="0.25">
      <c r="B4" t="s">
        <v>761</v>
      </c>
      <c r="C4" t="s">
        <v>361</v>
      </c>
      <c r="D4" t="s">
        <v>762</v>
      </c>
      <c r="E4" t="s">
        <v>763</v>
      </c>
      <c r="F4" t="s">
        <v>325</v>
      </c>
    </row>
    <row r="5" spans="2:6" x14ac:dyDescent="0.25">
      <c r="B5" s="40" t="s">
        <v>521</v>
      </c>
      <c r="C5" s="15" t="s">
        <v>735</v>
      </c>
      <c r="D5" s="23">
        <v>7</v>
      </c>
      <c r="E5" s="16">
        <f>IF(Table17[[#This Row],[TYPE]]="ENUM",0,Table17[[#This Row],[LENGTH]])</f>
        <v>7</v>
      </c>
      <c r="F5" s="1" t="str">
        <f>Table17[[#This Row],[OB]]&amp;" "&amp;Table17[[#This Row],[TYPE]]&amp;"("&amp;IF(Table17[[#This Row],[TYPE]]="ENUM",("'"&amp;Table17[[#This Row],[LENGTH]]),Table17[[#This Row],[LENGHT2]])&amp;"),"</f>
        <v>ID_ASSET VARCHAR(7),</v>
      </c>
    </row>
    <row r="6" spans="2:6" x14ac:dyDescent="0.25">
      <c r="B6" s="40" t="s">
        <v>522</v>
      </c>
      <c r="C6" s="15" t="s">
        <v>735</v>
      </c>
      <c r="D6" s="23">
        <v>13</v>
      </c>
      <c r="E6" s="16">
        <f>IF(Table17[[#This Row],[TYPE]]="ENUM",0,Table17[[#This Row],[LENGTH]])</f>
        <v>13</v>
      </c>
      <c r="F6" s="1" t="str">
        <f>Table17[[#This Row],[OB]]&amp;" "&amp;Table17[[#This Row],[TYPE]]&amp;"("&amp;IF(Table17[[#This Row],[TYPE]]="ENUM",("'"&amp;Table17[[#This Row],[LENGTH]]),Table17[[#This Row],[LENGHT2]])&amp;"),"</f>
        <v>HOSTNAME VARCHAR(13),</v>
      </c>
    </row>
    <row r="7" spans="2:6" x14ac:dyDescent="0.25">
      <c r="B7" s="40" t="s">
        <v>523</v>
      </c>
      <c r="C7" s="15" t="s">
        <v>735</v>
      </c>
      <c r="D7" s="23">
        <v>15</v>
      </c>
      <c r="E7" s="16">
        <f>IF(Table17[[#This Row],[TYPE]]="ENUM",0,Table17[[#This Row],[LENGTH]])</f>
        <v>15</v>
      </c>
      <c r="F7" s="1" t="str">
        <f>Table17[[#This Row],[OB]]&amp;" "&amp;Table17[[#This Row],[TYPE]]&amp;"("&amp;IF(Table17[[#This Row],[TYPE]]="ENUM",("'"&amp;Table17[[#This Row],[LENGTH]]),Table17[[#This Row],[LENGHT2]])&amp;"),"</f>
        <v>SN VARCHAR(15),</v>
      </c>
    </row>
    <row r="8" spans="2:6" x14ac:dyDescent="0.25">
      <c r="B8" s="40" t="s">
        <v>524</v>
      </c>
      <c r="C8" s="15" t="s">
        <v>735</v>
      </c>
      <c r="D8" s="23">
        <v>15</v>
      </c>
      <c r="E8" s="16">
        <f>IF(Table17[[#This Row],[TYPE]]="ENUM",0,Table17[[#This Row],[LENGTH]])</f>
        <v>15</v>
      </c>
      <c r="F8" s="1" t="str">
        <f>Table17[[#This Row],[OB]]&amp;" "&amp;Table17[[#This Row],[TYPE]]&amp;"("&amp;IF(Table17[[#This Row],[TYPE]]="ENUM",("'"&amp;Table17[[#This Row],[LENGTH]]),Table17[[#This Row],[LENGHT2]])&amp;"),"</f>
        <v>BARCODE VARCHAR(15),</v>
      </c>
    </row>
    <row r="9" spans="2:6" x14ac:dyDescent="0.25">
      <c r="B9" s="40" t="s">
        <v>536</v>
      </c>
      <c r="C9" s="15" t="s">
        <v>756</v>
      </c>
      <c r="D9" s="44" t="s">
        <v>764</v>
      </c>
      <c r="E9" s="16">
        <f>IF(Table17[[#This Row],[TYPE]]="ENUM",0,Table17[[#This Row],[LENGTH]])</f>
        <v>0</v>
      </c>
      <c r="F9" s="1" t="str">
        <f>Table17[[#This Row],[OB]]&amp;" "&amp;Table17[[#This Row],[TYPE]]&amp;"("&amp;IF(Table17[[#This Row],[TYPE]]="ENUM",("'"&amp;Table17[[#This Row],[LENGTH]]),Table17[[#This Row],[LENGHT2]])&amp;"),"</f>
        <v>CATEGORY ENUM('LAPTOP','PC DESKTOP'),</v>
      </c>
    </row>
    <row r="10" spans="2:6" x14ac:dyDescent="0.25">
      <c r="B10" s="40" t="s">
        <v>525</v>
      </c>
      <c r="C10" s="15" t="s">
        <v>735</v>
      </c>
      <c r="D10" s="23">
        <v>4</v>
      </c>
      <c r="E10" s="16">
        <f>IF(Table17[[#This Row],[TYPE]]="ENUM",0,Table17[[#This Row],[LENGTH]])</f>
        <v>4</v>
      </c>
      <c r="F10" s="1" t="str">
        <f>Table17[[#This Row],[OB]]&amp;" "&amp;Table17[[#This Row],[TYPE]]&amp;"("&amp;IF(Table17[[#This Row],[TYPE]]="ENUM",("'"&amp;Table17[[#This Row],[LENGTH]]),Table17[[#This Row],[LENGHT2]])&amp;"),"</f>
        <v>BRAND VARCHAR(4),</v>
      </c>
    </row>
    <row r="11" spans="2:6" x14ac:dyDescent="0.25">
      <c r="B11" s="40" t="s">
        <v>361</v>
      </c>
      <c r="C11" s="15" t="s">
        <v>735</v>
      </c>
      <c r="D11" s="23">
        <v>14</v>
      </c>
      <c r="E11" s="16">
        <f>IF(Table17[[#This Row],[TYPE]]="ENUM",0,Table17[[#This Row],[LENGTH]])</f>
        <v>14</v>
      </c>
      <c r="F11" s="1" t="str">
        <f>Table17[[#This Row],[OB]]&amp;" "&amp;Table17[[#This Row],[TYPE]]&amp;"("&amp;IF(Table17[[#This Row],[TYPE]]="ENUM",("'"&amp;Table17[[#This Row],[LENGTH]]),Table17[[#This Row],[LENGHT2]])&amp;"),"</f>
        <v>TYPE VARCHAR(14),</v>
      </c>
    </row>
    <row r="12" spans="2:6" x14ac:dyDescent="0.25">
      <c r="B12" s="40" t="s">
        <v>526</v>
      </c>
      <c r="C12" s="15" t="s">
        <v>735</v>
      </c>
      <c r="D12" s="23">
        <v>8</v>
      </c>
      <c r="E12" s="16">
        <f>IF(Table17[[#This Row],[TYPE]]="ENUM",0,Table17[[#This Row],[LENGTH]])</f>
        <v>8</v>
      </c>
      <c r="F12" s="1" t="str">
        <f>Table17[[#This Row],[OB]]&amp;" "&amp;Table17[[#This Row],[TYPE]]&amp;"("&amp;IF(Table17[[#This Row],[TYPE]]="ENUM",("'"&amp;Table17[[#This Row],[LENGTH]]),Table17[[#This Row],[LENGHT2]])&amp;"),"</f>
        <v>PROCESSORS VARCHAR(8),</v>
      </c>
    </row>
    <row r="13" spans="2:6" x14ac:dyDescent="0.25">
      <c r="B13" s="40" t="s">
        <v>527</v>
      </c>
      <c r="C13" s="15" t="s">
        <v>757</v>
      </c>
      <c r="D13" s="23">
        <v>2</v>
      </c>
      <c r="E13" s="16">
        <f>IF(Table17[[#This Row],[TYPE]]="ENUM",0,Table17[[#This Row],[LENGTH]])</f>
        <v>2</v>
      </c>
      <c r="F13" s="1" t="str">
        <f>Table17[[#This Row],[OB]]&amp;" "&amp;Table17[[#This Row],[TYPE]]&amp;"("&amp;IF(Table17[[#This Row],[TYPE]]="ENUM",("'"&amp;Table17[[#This Row],[LENGTH]]),Table17[[#This Row],[LENGHT2]])&amp;"),"</f>
        <v>GEN INT(2),</v>
      </c>
    </row>
    <row r="14" spans="2:6" x14ac:dyDescent="0.25">
      <c r="B14" s="40" t="s">
        <v>535</v>
      </c>
      <c r="C14" s="15" t="s">
        <v>757</v>
      </c>
      <c r="D14" s="23">
        <v>2</v>
      </c>
      <c r="E14" s="16">
        <f>IF(Table17[[#This Row],[TYPE]]="ENUM",0,Table17[[#This Row],[LENGTH]])</f>
        <v>2</v>
      </c>
      <c r="F14" s="1" t="str">
        <f>Table17[[#This Row],[OB]]&amp;" "&amp;Table17[[#This Row],[TYPE]]&amp;"("&amp;IF(Table17[[#This Row],[TYPE]]="ENUM",("'"&amp;Table17[[#This Row],[LENGTH]]),Table17[[#This Row],[LENGHT2]])&amp;"),"</f>
        <v>RAM_CAP INT(2),</v>
      </c>
    </row>
    <row r="15" spans="2:6" x14ac:dyDescent="0.25">
      <c r="B15" s="40" t="s">
        <v>534</v>
      </c>
      <c r="C15" s="15" t="s">
        <v>735</v>
      </c>
      <c r="D15" s="23">
        <v>6</v>
      </c>
      <c r="E15" s="16">
        <f>IF(Table17[[#This Row],[TYPE]]="ENUM",0,Table17[[#This Row],[LENGTH]])</f>
        <v>6</v>
      </c>
      <c r="F15" s="1" t="str">
        <f>Table17[[#This Row],[OB]]&amp;" "&amp;Table17[[#This Row],[TYPE]]&amp;"("&amp;IF(Table17[[#This Row],[TYPE]]="ENUM",("'"&amp;Table17[[#This Row],[LENGTH]]),Table17[[#This Row],[LENGHT2]])&amp;"),"</f>
        <v>RAM_SLOT VARCHAR(6),</v>
      </c>
    </row>
    <row r="16" spans="2:6" x14ac:dyDescent="0.25">
      <c r="B16" s="40" t="s">
        <v>533</v>
      </c>
      <c r="C16" s="15" t="s">
        <v>735</v>
      </c>
      <c r="D16" s="23">
        <v>50</v>
      </c>
      <c r="E16" s="16">
        <f>IF(Table17[[#This Row],[TYPE]]="ENUM",0,Table17[[#This Row],[LENGTH]])</f>
        <v>50</v>
      </c>
      <c r="F16" s="1" t="str">
        <f>Table17[[#This Row],[OB]]&amp;" "&amp;Table17[[#This Row],[TYPE]]&amp;"("&amp;IF(Table17[[#This Row],[TYPE]]="ENUM",("'"&amp;Table17[[#This Row],[LENGTH]]),Table17[[#This Row],[LENGHT2]])&amp;"),"</f>
        <v>RAM_TYPE VARCHAR(50),</v>
      </c>
    </row>
    <row r="17" spans="2:6" x14ac:dyDescent="0.25">
      <c r="B17" s="40" t="s">
        <v>532</v>
      </c>
      <c r="C17" s="15" t="s">
        <v>757</v>
      </c>
      <c r="D17" s="23">
        <v>4</v>
      </c>
      <c r="E17" s="16">
        <f>IF(Table17[[#This Row],[TYPE]]="ENUM",0,Table17[[#This Row],[LENGTH]])</f>
        <v>4</v>
      </c>
      <c r="F17" s="1" t="str">
        <f>Table17[[#This Row],[OB]]&amp;" "&amp;Table17[[#This Row],[TYPE]]&amp;"("&amp;IF(Table17[[#This Row],[TYPE]]="ENUM",("'"&amp;Table17[[#This Row],[LENGTH]]),Table17[[#This Row],[LENGHT2]])&amp;"),"</f>
        <v>DISK1_CAP INT(4),</v>
      </c>
    </row>
    <row r="18" spans="2:6" x14ac:dyDescent="0.25">
      <c r="B18" s="40" t="s">
        <v>531</v>
      </c>
      <c r="C18" s="15" t="s">
        <v>735</v>
      </c>
      <c r="D18" s="23">
        <v>50</v>
      </c>
      <c r="E18" s="16">
        <f>IF(Table17[[#This Row],[TYPE]]="ENUM",0,Table17[[#This Row],[LENGTH]])</f>
        <v>50</v>
      </c>
      <c r="F18" s="1" t="str">
        <f>Table17[[#This Row],[OB]]&amp;" "&amp;Table17[[#This Row],[TYPE]]&amp;"("&amp;IF(Table17[[#This Row],[TYPE]]="ENUM",("'"&amp;Table17[[#This Row],[LENGTH]]),Table17[[#This Row],[LENGHT2]])&amp;"),"</f>
        <v>DISK1_TYPE VARCHAR(50),</v>
      </c>
    </row>
    <row r="19" spans="2:6" x14ac:dyDescent="0.25">
      <c r="B19" s="40" t="s">
        <v>530</v>
      </c>
      <c r="C19" s="15" t="s">
        <v>757</v>
      </c>
      <c r="D19" s="23">
        <v>4</v>
      </c>
      <c r="E19" s="16">
        <f>IF(Table17[[#This Row],[TYPE]]="ENUM",0,Table17[[#This Row],[LENGTH]])</f>
        <v>4</v>
      </c>
      <c r="F19" s="1" t="str">
        <f>Table17[[#This Row],[OB]]&amp;" "&amp;Table17[[#This Row],[TYPE]]&amp;"("&amp;IF(Table17[[#This Row],[TYPE]]="ENUM",("'"&amp;Table17[[#This Row],[LENGTH]]),Table17[[#This Row],[LENGHT2]])&amp;"),"</f>
        <v>DISK2_CAP INT(4),</v>
      </c>
    </row>
    <row r="20" spans="2:6" x14ac:dyDescent="0.25">
      <c r="B20" s="40" t="s">
        <v>529</v>
      </c>
      <c r="C20" s="15" t="s">
        <v>735</v>
      </c>
      <c r="D20" s="23">
        <v>50</v>
      </c>
      <c r="E20" s="16">
        <f>IF(Table17[[#This Row],[TYPE]]="ENUM",0,Table17[[#This Row],[LENGTH]])</f>
        <v>50</v>
      </c>
      <c r="F20" s="1" t="str">
        <f>Table17[[#This Row],[OB]]&amp;" "&amp;Table17[[#This Row],[TYPE]]&amp;"("&amp;IF(Table17[[#This Row],[TYPE]]="ENUM",("'"&amp;Table17[[#This Row],[LENGTH]]),Table17[[#This Row],[LENGHT2]])&amp;"),"</f>
        <v>DISK2_TYPE VARCHAR(50),</v>
      </c>
    </row>
    <row r="21" spans="2:6" x14ac:dyDescent="0.25">
      <c r="B21" s="40" t="s">
        <v>549</v>
      </c>
      <c r="C21" s="15" t="s">
        <v>735</v>
      </c>
      <c r="D21" s="23">
        <v>25</v>
      </c>
      <c r="E21" s="16">
        <f>IF(Table17[[#This Row],[TYPE]]="ENUM",0,Table17[[#This Row],[LENGTH]])</f>
        <v>25</v>
      </c>
      <c r="F21" s="1" t="str">
        <f>Table17[[#This Row],[OB]]&amp;" "&amp;Table17[[#This Row],[TYPE]]&amp;"("&amp;IF(Table17[[#This Row],[TYPE]]="ENUM",("'"&amp;Table17[[#This Row],[LENGTH]]),Table17[[#This Row],[LENGHT2]])&amp;"),"</f>
        <v>OS VARCHAR(25),</v>
      </c>
    </row>
    <row r="22" spans="2:6" x14ac:dyDescent="0.25">
      <c r="B22" s="40" t="s">
        <v>528</v>
      </c>
      <c r="C22" s="15" t="s">
        <v>735</v>
      </c>
      <c r="D22" s="23">
        <v>25</v>
      </c>
      <c r="E22" s="16">
        <f>IF(Table17[[#This Row],[TYPE]]="ENUM",0,Table17[[#This Row],[LENGTH]])</f>
        <v>25</v>
      </c>
      <c r="F22" s="1" t="str">
        <f>Table17[[#This Row],[OB]]&amp;" "&amp;Table17[[#This Row],[TYPE]]&amp;"("&amp;IF(Table17[[#This Row],[TYPE]]="ENUM",("'"&amp;Table17[[#This Row],[LENGTH]]),Table17[[#This Row],[LENGHT2]])&amp;"),"</f>
        <v>OS_TYPE VARCHAR(25),</v>
      </c>
    </row>
    <row r="23" spans="2:6" x14ac:dyDescent="0.25">
      <c r="B23" s="40" t="s">
        <v>555</v>
      </c>
      <c r="C23" s="15" t="s">
        <v>735</v>
      </c>
      <c r="D23" s="23">
        <v>25</v>
      </c>
      <c r="E23" s="16">
        <f>IF(Table17[[#This Row],[TYPE]]="ENUM",0,Table17[[#This Row],[LENGTH]])</f>
        <v>25</v>
      </c>
      <c r="F23" s="1" t="str">
        <f>Table17[[#This Row],[OB]]&amp;" "&amp;Table17[[#This Row],[TYPE]]&amp;"("&amp;IF(Table17[[#This Row],[TYPE]]="ENUM",("'"&amp;Table17[[#This Row],[LENGTH]]),Table17[[#This Row],[LENGHT2]])&amp;"),"</f>
        <v>OS_VER VARCHAR(25),</v>
      </c>
    </row>
    <row r="24" spans="2:6" x14ac:dyDescent="0.25">
      <c r="B24" s="40" t="s">
        <v>547</v>
      </c>
      <c r="C24" s="15" t="s">
        <v>735</v>
      </c>
      <c r="D24" s="23">
        <v>25</v>
      </c>
      <c r="E24" s="16">
        <f>IF(Table17[[#This Row],[TYPE]]="ENUM",0,Table17[[#This Row],[LENGTH]])</f>
        <v>25</v>
      </c>
      <c r="F24" s="1" t="str">
        <f>Table17[[#This Row],[OB]]&amp;" "&amp;Table17[[#This Row],[TYPE]]&amp;"("&amp;IF(Table17[[#This Row],[TYPE]]="ENUM",("'"&amp;Table17[[#This Row],[LENGTH]]),Table17[[#This Row],[LENGHT2]])&amp;"),"</f>
        <v>PRODUCT_ID VARCHAR(25),</v>
      </c>
    </row>
    <row r="25" spans="2:6" x14ac:dyDescent="0.25">
      <c r="B25" s="40" t="s">
        <v>548</v>
      </c>
      <c r="C25" s="15" t="s">
        <v>735</v>
      </c>
      <c r="D25" s="23">
        <v>30</v>
      </c>
      <c r="E25" s="16">
        <f>IF(Table17[[#This Row],[TYPE]]="ENUM",0,Table17[[#This Row],[LENGTH]])</f>
        <v>30</v>
      </c>
      <c r="F25" s="1" t="str">
        <f>Table17[[#This Row],[OB]]&amp;" "&amp;Table17[[#This Row],[TYPE]]&amp;"("&amp;IF(Table17[[#This Row],[TYPE]]="ENUM",("'"&amp;Table17[[#This Row],[LENGTH]]),Table17[[#This Row],[LENGHT2]])&amp;"),"</f>
        <v>PRODUCT_KEY VARCHAR(30),</v>
      </c>
    </row>
    <row r="26" spans="2:6" x14ac:dyDescent="0.25">
      <c r="B26" s="40" t="s">
        <v>560</v>
      </c>
      <c r="C26" s="15" t="s">
        <v>758</v>
      </c>
      <c r="D26" s="23" t="s">
        <v>759</v>
      </c>
      <c r="E26" s="16" t="str">
        <f>IF(Table17[[#This Row],[TYPE]]="ENUM",0,Table17[[#This Row],[LENGTH]])</f>
        <v>5, 2</v>
      </c>
      <c r="F26" s="1" t="str">
        <f>Table17[[#This Row],[OB]]&amp;" "&amp;Table17[[#This Row],[TYPE]]&amp;"("&amp;IF(Table17[[#This Row],[TYPE]]="ENUM",("'"&amp;Table17[[#This Row],[LENGTH]]),Table17[[#This Row],[LENGHT2]])&amp;"),"</f>
        <v>BH DECIMAL(5, 2),</v>
      </c>
    </row>
    <row r="27" spans="2:6" x14ac:dyDescent="0.25">
      <c r="B27" s="40" t="s">
        <v>557</v>
      </c>
      <c r="C27" s="15" t="s">
        <v>757</v>
      </c>
      <c r="D27" s="23">
        <v>5</v>
      </c>
      <c r="E27" s="16">
        <f>IF(Table17[[#This Row],[TYPE]]="ENUM",0,Table17[[#This Row],[LENGTH]])</f>
        <v>5</v>
      </c>
      <c r="F27" s="1" t="str">
        <f>Table17[[#This Row],[OB]]&amp;" "&amp;Table17[[#This Row],[TYPE]]&amp;"("&amp;IF(Table17[[#This Row],[TYPE]]="ENUM",("'"&amp;Table17[[#This Row],[LENGTH]]),Table17[[#This Row],[LENGHT2]])&amp;"),"</f>
        <v>DC INT(5),</v>
      </c>
    </row>
    <row r="28" spans="2:6" x14ac:dyDescent="0.25">
      <c r="B28" s="40" t="s">
        <v>558</v>
      </c>
      <c r="C28" s="15" t="s">
        <v>757</v>
      </c>
      <c r="D28" s="23">
        <v>5</v>
      </c>
      <c r="E28" s="16">
        <f>IF(Table17[[#This Row],[TYPE]]="ENUM",0,Table17[[#This Row],[LENGTH]])</f>
        <v>5</v>
      </c>
      <c r="F28" s="1" t="str">
        <f>Table17[[#This Row],[OB]]&amp;" "&amp;Table17[[#This Row],[TYPE]]&amp;"("&amp;IF(Table17[[#This Row],[TYPE]]="ENUM",("'"&amp;Table17[[#This Row],[LENGTH]]),Table17[[#This Row],[LENGHT2]])&amp;"),"</f>
        <v>FCC INT(5),</v>
      </c>
    </row>
    <row r="29" spans="2:6" x14ac:dyDescent="0.25">
      <c r="B29" s="40" t="s">
        <v>561</v>
      </c>
      <c r="C29" s="15" t="s">
        <v>756</v>
      </c>
      <c r="D29" s="23" t="s">
        <v>765</v>
      </c>
      <c r="E29" s="16">
        <f>IF(Table17[[#This Row],[TYPE]]="ENUM",0,Table17[[#This Row],[LENGTH]])</f>
        <v>0</v>
      </c>
      <c r="F29" s="1" t="str">
        <f>Table17[[#This Row],[OB]]&amp;" "&amp;Table17[[#This Row],[TYPE]]&amp;"("&amp;IF(Table17[[#This Row],[TYPE]]="ENUM",("'"&amp;Table17[[#This Row],[LENGTH]]),Table17[[#This Row],[LENGHT2]])&amp;"),"</f>
        <v>CASING ENUM('GOOD','BAD'),</v>
      </c>
    </row>
    <row r="30" spans="2:6" x14ac:dyDescent="0.25">
      <c r="B30" s="40" t="s">
        <v>562</v>
      </c>
      <c r="C30" s="15" t="s">
        <v>756</v>
      </c>
      <c r="D30" s="23" t="s">
        <v>765</v>
      </c>
      <c r="E30" s="16">
        <f>IF(Table17[[#This Row],[TYPE]]="ENUM",0,Table17[[#This Row],[LENGTH]])</f>
        <v>0</v>
      </c>
      <c r="F30" s="1" t="str">
        <f>Table17[[#This Row],[OB]]&amp;" "&amp;Table17[[#This Row],[TYPE]]&amp;"("&amp;IF(Table17[[#This Row],[TYPE]]="ENUM",("'"&amp;Table17[[#This Row],[LENGTH]]),Table17[[#This Row],[LENGHT2]])&amp;"),"</f>
        <v>DISPLAY ENUM('GOOD','BAD'),</v>
      </c>
    </row>
    <row r="31" spans="2:6" x14ac:dyDescent="0.25">
      <c r="B31" s="40" t="s">
        <v>575</v>
      </c>
      <c r="C31" s="15" t="s">
        <v>735</v>
      </c>
      <c r="D31" s="23">
        <v>25</v>
      </c>
      <c r="E31" s="16">
        <f>IF(Table17[[#This Row],[TYPE]]="ENUM",0,Table17[[#This Row],[LENGTH]])</f>
        <v>25</v>
      </c>
      <c r="F31" s="1" t="str">
        <f>Table17[[#This Row],[OB]]&amp;" "&amp;Table17[[#This Row],[TYPE]]&amp;"("&amp;IF(Table17[[#This Row],[TYPE]]="ENUM",("'"&amp;Table17[[#This Row],[LENGTH]]),Table17[[#This Row],[LENGHT2]])&amp;"),"</f>
        <v>PORT_DISPLAY VARCHAR(25),</v>
      </c>
    </row>
    <row r="32" spans="2:6" x14ac:dyDescent="0.25">
      <c r="B32" s="40" t="s">
        <v>563</v>
      </c>
      <c r="C32" s="15" t="s">
        <v>756</v>
      </c>
      <c r="D32" s="23" t="s">
        <v>765</v>
      </c>
      <c r="E32" s="16">
        <f>IF(Table17[[#This Row],[TYPE]]="ENUM",0,Table17[[#This Row],[LENGTH]])</f>
        <v>0</v>
      </c>
      <c r="F32" s="1" t="str">
        <f>Table17[[#This Row],[OB]]&amp;" "&amp;Table17[[#This Row],[TYPE]]&amp;"("&amp;IF(Table17[[#This Row],[TYPE]]="ENUM",("'"&amp;Table17[[#This Row],[LENGTH]]),Table17[[#This Row],[LENGHT2]])&amp;"),"</f>
        <v>KEYBOARD ENUM('GOOD','BAD'),</v>
      </c>
    </row>
    <row r="33" spans="2:6" x14ac:dyDescent="0.25">
      <c r="B33" s="40" t="s">
        <v>564</v>
      </c>
      <c r="C33" s="15" t="s">
        <v>756</v>
      </c>
      <c r="D33" s="23" t="s">
        <v>765</v>
      </c>
      <c r="E33" s="16">
        <f>IF(Table17[[#This Row],[TYPE]]="ENUM",0,Table17[[#This Row],[LENGTH]])</f>
        <v>0</v>
      </c>
      <c r="F33" s="1" t="str">
        <f>Table17[[#This Row],[OB]]&amp;" "&amp;Table17[[#This Row],[TYPE]]&amp;"("&amp;IF(Table17[[#This Row],[TYPE]]="ENUM",("'"&amp;Table17[[#This Row],[LENGTH]]),Table17[[#This Row],[LENGHT2]])&amp;"),"</f>
        <v>TOUCHPAD ENUM('GOOD','BAD'),</v>
      </c>
    </row>
    <row r="34" spans="2:6" x14ac:dyDescent="0.25">
      <c r="B34" s="40" t="s">
        <v>565</v>
      </c>
      <c r="C34" s="15" t="s">
        <v>735</v>
      </c>
      <c r="D34" s="23">
        <v>25</v>
      </c>
      <c r="E34" s="16">
        <f>IF(Table17[[#This Row],[TYPE]]="ENUM",0,Table17[[#This Row],[LENGTH]])</f>
        <v>25</v>
      </c>
      <c r="F34" s="1" t="str">
        <f>Table17[[#This Row],[OB]]&amp;" "&amp;Table17[[#This Row],[TYPE]]&amp;"("&amp;IF(Table17[[#This Row],[TYPE]]="ENUM",("'"&amp;Table17[[#This Row],[LENGTH]]),Table17[[#This Row],[LENGHT2]])&amp;"),"</f>
        <v>PORT_USB VARCHAR(25),</v>
      </c>
    </row>
    <row r="35" spans="2:6" x14ac:dyDescent="0.25">
      <c r="B35" s="40" t="s">
        <v>566</v>
      </c>
      <c r="C35" s="15" t="s">
        <v>756</v>
      </c>
      <c r="D35" s="23" t="s">
        <v>765</v>
      </c>
      <c r="E35" s="16">
        <f>IF(Table17[[#This Row],[TYPE]]="ENUM",0,Table17[[#This Row],[LENGTH]])</f>
        <v>0</v>
      </c>
      <c r="F35" s="1" t="str">
        <f>Table17[[#This Row],[OB]]&amp;" "&amp;Table17[[#This Row],[TYPE]]&amp;"("&amp;IF(Table17[[#This Row],[TYPE]]="ENUM",("'"&amp;Table17[[#This Row],[LENGTH]]),Table17[[#This Row],[LENGHT2]])&amp;"),"</f>
        <v>PORT_JECK ENUM('GOOD','BAD'),</v>
      </c>
    </row>
    <row r="36" spans="2:6" x14ac:dyDescent="0.25">
      <c r="B36" s="40" t="s">
        <v>567</v>
      </c>
      <c r="C36" s="15" t="s">
        <v>756</v>
      </c>
      <c r="D36" s="23" t="s">
        <v>765</v>
      </c>
      <c r="E36" s="16">
        <f>IF(Table17[[#This Row],[TYPE]]="ENUM",0,Table17[[#This Row],[LENGTH]])</f>
        <v>0</v>
      </c>
      <c r="F36" s="1" t="str">
        <f>Table17[[#This Row],[OB]]&amp;" "&amp;Table17[[#This Row],[TYPE]]&amp;"("&amp;IF(Table17[[#This Row],[TYPE]]="ENUM",("'"&amp;Table17[[#This Row],[LENGTH]]),Table17[[#This Row],[LENGHT2]])&amp;"),"</f>
        <v>PORT_PSU ENUM('GOOD','BAD'),</v>
      </c>
    </row>
    <row r="37" spans="2:6" x14ac:dyDescent="0.25">
      <c r="B37" s="40" t="s">
        <v>568</v>
      </c>
      <c r="C37" s="15" t="s">
        <v>756</v>
      </c>
      <c r="D37" s="23" t="s">
        <v>765</v>
      </c>
      <c r="E37" s="16">
        <f>IF(Table17[[#This Row],[TYPE]]="ENUM",0,Table17[[#This Row],[LENGTH]])</f>
        <v>0</v>
      </c>
      <c r="F37" s="1" t="str">
        <f>Table17[[#This Row],[OB]]&amp;" "&amp;Table17[[#This Row],[TYPE]]&amp;"("&amp;IF(Table17[[#This Row],[TYPE]]="ENUM",("'"&amp;Table17[[#This Row],[LENGTH]]),Table17[[#This Row],[LENGHT2]])&amp;"),"</f>
        <v>FAN ENUM('GOOD','BAD'),</v>
      </c>
    </row>
    <row r="38" spans="2:6" x14ac:dyDescent="0.25">
      <c r="B38" s="40" t="s">
        <v>569</v>
      </c>
      <c r="C38" s="15" t="s">
        <v>756</v>
      </c>
      <c r="D38" s="23" t="s">
        <v>765</v>
      </c>
      <c r="E38" s="16">
        <f>IF(Table17[[#This Row],[TYPE]]="ENUM",0,Table17[[#This Row],[LENGTH]])</f>
        <v>0</v>
      </c>
      <c r="F38" s="1" t="str">
        <f>Table17[[#This Row],[OB]]&amp;" "&amp;Table17[[#This Row],[TYPE]]&amp;"("&amp;IF(Table17[[#This Row],[TYPE]]="ENUM",("'"&amp;Table17[[#This Row],[LENGTH]]),Table17[[#This Row],[LENGHT2]])&amp;"),"</f>
        <v>WEBCAM ENUM('GOOD','BAD'),</v>
      </c>
    </row>
    <row r="39" spans="2:6" x14ac:dyDescent="0.25">
      <c r="B39" s="40" t="s">
        <v>570</v>
      </c>
      <c r="C39" s="15" t="s">
        <v>756</v>
      </c>
      <c r="D39" s="23" t="s">
        <v>765</v>
      </c>
      <c r="E39" s="16">
        <f>IF(Table17[[#This Row],[TYPE]]="ENUM",0,Table17[[#This Row],[LENGTH]])</f>
        <v>0</v>
      </c>
      <c r="F39" s="1" t="str">
        <f>Table17[[#This Row],[OB]]&amp;" "&amp;Table17[[#This Row],[TYPE]]&amp;"("&amp;IF(Table17[[#This Row],[TYPE]]="ENUM",("'"&amp;Table17[[#This Row],[LENGTH]]),Table17[[#This Row],[LENGHT2]])&amp;"),"</f>
        <v>MICROFON ENUM('GOOD','BAD'),</v>
      </c>
    </row>
    <row r="40" spans="2:6" x14ac:dyDescent="0.25">
      <c r="B40" s="40" t="s">
        <v>571</v>
      </c>
      <c r="C40" s="15" t="s">
        <v>756</v>
      </c>
      <c r="D40" s="23" t="s">
        <v>765</v>
      </c>
      <c r="E40" s="16">
        <f>IF(Table17[[#This Row],[TYPE]]="ENUM",0,Table17[[#This Row],[LENGTH]])</f>
        <v>0</v>
      </c>
      <c r="F40" s="1" t="str">
        <f>Table17[[#This Row],[OB]]&amp;" "&amp;Table17[[#This Row],[TYPE]]&amp;"("&amp;IF(Table17[[#This Row],[TYPE]]="ENUM",("'"&amp;Table17[[#This Row],[LENGTH]]),Table17[[#This Row],[LENGHT2]])&amp;"),"</f>
        <v>SPEAKER ENUM('GOOD','BAD'),</v>
      </c>
    </row>
    <row r="41" spans="2:6" x14ac:dyDescent="0.25">
      <c r="B41" s="40" t="s">
        <v>770</v>
      </c>
      <c r="C41" s="15" t="s">
        <v>735</v>
      </c>
      <c r="D41" s="23">
        <v>25</v>
      </c>
      <c r="E41" s="16">
        <f>IF(Table17[[#This Row],[TYPE]]="ENUM",0,Table17[[#This Row],[LENGTH]])</f>
        <v>25</v>
      </c>
      <c r="F41" s="1" t="str">
        <f>Table17[[#This Row],[OB]]&amp;" "&amp;Table17[[#This Row],[TYPE]]&amp;"("&amp;IF(Table17[[#This Row],[TYPE]]="ENUM",("'"&amp;Table17[[#This Row],[LENGTH]]),Table17[[#This Row],[LENGHT2]])&amp;"),"</f>
        <v>CONNECTIONS VARCHAR(25),</v>
      </c>
    </row>
    <row r="42" spans="2:6" x14ac:dyDescent="0.25">
      <c r="B42" s="40" t="s">
        <v>577</v>
      </c>
      <c r="C42" s="15" t="s">
        <v>756</v>
      </c>
      <c r="D42" s="23" t="s">
        <v>765</v>
      </c>
      <c r="E42" s="16">
        <f>IF(Table17[[#This Row],[TYPE]]="ENUM",0,Table17[[#This Row],[LENGTH]])</f>
        <v>0</v>
      </c>
      <c r="F42" s="1" t="str">
        <f>Table17[[#This Row],[OB]]&amp;" "&amp;Table17[[#This Row],[TYPE]]&amp;"("&amp;IF(Table17[[#This Row],[TYPE]]="ENUM",("'"&amp;Table17[[#This Row],[LENGTH]]),Table17[[#This Row],[LENGHT2]])&amp;"),"</f>
        <v>CONDITION ENUM('GOOD','BAD'),</v>
      </c>
    </row>
    <row r="43" spans="2:6" x14ac:dyDescent="0.25">
      <c r="B43" s="40" t="s">
        <v>578</v>
      </c>
      <c r="C43" s="15" t="s">
        <v>756</v>
      </c>
      <c r="D43" s="23" t="s">
        <v>766</v>
      </c>
      <c r="E43" s="16">
        <f>IF(Table17[[#This Row],[TYPE]]="ENUM",0,Table17[[#This Row],[LENGTH]])</f>
        <v>0</v>
      </c>
      <c r="F43" s="1" t="str">
        <f>Table17[[#This Row],[OB]]&amp;" "&amp;Table17[[#This Row],[TYPE]]&amp;"("&amp;IF(Table17[[#This Row],[TYPE]]="ENUM",("'"&amp;Table17[[#This Row],[LENGTH]]),Table17[[#This Row],[LENGHT2]])&amp;"),"</f>
        <v>SUB_CON ENUM('GREAT','NORMAL','CAUTION','POOR'),</v>
      </c>
    </row>
    <row r="44" spans="2:6" x14ac:dyDescent="0.25">
      <c r="B44" s="40" t="s">
        <v>579</v>
      </c>
      <c r="C44" s="15" t="s">
        <v>735</v>
      </c>
      <c r="D44" s="23">
        <v>200</v>
      </c>
      <c r="E44" s="16">
        <f>IF(Table17[[#This Row],[TYPE]]="ENUM",0,Table17[[#This Row],[LENGTH]])</f>
        <v>200</v>
      </c>
      <c r="F44" s="1" t="str">
        <f>Table17[[#This Row],[OB]]&amp;" "&amp;Table17[[#This Row],[TYPE]]&amp;"("&amp;IF(Table17[[#This Row],[TYPE]]="ENUM",("'"&amp;Table17[[#This Row],[LENGTH]]),Table17[[#This Row],[LENGHT2]])&amp;"),"</f>
        <v>NOTE_CON VARCHAR(200),</v>
      </c>
    </row>
    <row r="45" spans="2:6" x14ac:dyDescent="0.25">
      <c r="B45" s="40" t="s">
        <v>580</v>
      </c>
      <c r="C45" s="15" t="s">
        <v>756</v>
      </c>
      <c r="D45" s="23" t="s">
        <v>767</v>
      </c>
      <c r="E45" s="16">
        <f>IF(Table17[[#This Row],[TYPE]]="ENUM",0,Table17[[#This Row],[LENGTH]])</f>
        <v>0</v>
      </c>
      <c r="F45" s="1" t="str">
        <f>Table17[[#This Row],[OB]]&amp;" "&amp;Table17[[#This Row],[TYPE]]&amp;"("&amp;IF(Table17[[#This Row],[TYPE]]="ENUM",("'"&amp;Table17[[#This Row],[LENGTH]]),Table17[[#This Row],[LENGHT2]])&amp;"),"</f>
        <v>SOLUTION ENUM('KEEP','UPGRADE','SERVICE','DISPOSE'),</v>
      </c>
    </row>
    <row r="46" spans="2:6" x14ac:dyDescent="0.25">
      <c r="B46" s="40" t="s">
        <v>581</v>
      </c>
      <c r="C46" s="15" t="s">
        <v>735</v>
      </c>
      <c r="D46" s="23">
        <v>200</v>
      </c>
      <c r="E46" s="16">
        <f>IF(Table17[[#This Row],[TYPE]]="ENUM",0,Table17[[#This Row],[LENGTH]])</f>
        <v>200</v>
      </c>
      <c r="F46" s="1" t="str">
        <f>Table17[[#This Row],[OB]]&amp;" "&amp;Table17[[#This Row],[TYPE]]&amp;"("&amp;IF(Table17[[#This Row],[TYPE]]="ENUM",("'"&amp;Table17[[#This Row],[LENGTH]]),Table17[[#This Row],[LENGHT2]])&amp;"),"</f>
        <v>NOTE_SOL VARCHAR(200),</v>
      </c>
    </row>
    <row r="47" spans="2:6" x14ac:dyDescent="0.25">
      <c r="B47" s="40" t="s">
        <v>586</v>
      </c>
      <c r="C47" s="15" t="s">
        <v>756</v>
      </c>
      <c r="D47" s="23" t="s">
        <v>769</v>
      </c>
      <c r="E47" s="16">
        <f>IF(Table17[[#This Row],[TYPE]]="ENUM",0,Table17[[#This Row],[LENGTH]])</f>
        <v>0</v>
      </c>
      <c r="F47" s="1" t="str">
        <f>Table17[[#This Row],[OB]]&amp;" "&amp;Table17[[#This Row],[TYPE]]&amp;"("&amp;IF(Table17[[#This Row],[TYPE]]="ENUM",("'"&amp;Table17[[#This Row],[LENGTH]]),Table17[[#This Row],[LENGHT2]])&amp;"),"</f>
        <v>STATUS_FUNC ENUM('PIC','LOAN'),</v>
      </c>
    </row>
    <row r="48" spans="2:6" x14ac:dyDescent="0.25">
      <c r="B48" s="40" t="s">
        <v>771</v>
      </c>
      <c r="C48" s="15" t="s">
        <v>756</v>
      </c>
      <c r="D48" s="23" t="s">
        <v>768</v>
      </c>
      <c r="E48" s="16">
        <f>IF(Table17[[#This Row],[TYPE]]="ENUM",0,Table17[[#This Row],[LENGTH]])</f>
        <v>0</v>
      </c>
      <c r="F48" s="1" t="str">
        <f>Table17[[#This Row],[OB]]&amp;" "&amp;Table17[[#This Row],[TYPE]]&amp;"("&amp;IF(Table17[[#This Row],[TYPE]]="ENUM",("'"&amp;Table17[[#This Row],[LENGTH]]),Table17[[#This Row],[LENGHT2]])&amp;"),"</f>
        <v>FUNCTIONS ENUM('PERSONAL','OPERATIONAL','SYSTEM','TESTING'),</v>
      </c>
    </row>
    <row r="49" spans="2:6" x14ac:dyDescent="0.25">
      <c r="B49" s="40" t="s">
        <v>582</v>
      </c>
      <c r="C49" s="15" t="s">
        <v>735</v>
      </c>
      <c r="D49" s="23">
        <v>200</v>
      </c>
      <c r="E49" s="16">
        <f>IF(Table17[[#This Row],[TYPE]]="ENUM",0,Table17[[#This Row],[LENGTH]])</f>
        <v>200</v>
      </c>
      <c r="F49" s="1" t="str">
        <f>Table17[[#This Row],[OB]]&amp;" "&amp;Table17[[#This Row],[TYPE]]&amp;"("&amp;IF(Table17[[#This Row],[TYPE]]="ENUM",("'"&amp;Table17[[#This Row],[LENGTH]]),Table17[[#This Row],[LENGHT2]])&amp;"),"</f>
        <v>NOTE_FUNC VARCHAR(200),</v>
      </c>
    </row>
    <row r="50" spans="2:6" x14ac:dyDescent="0.25">
      <c r="B50" s="40" t="s">
        <v>583</v>
      </c>
      <c r="C50" s="15" t="s">
        <v>735</v>
      </c>
      <c r="D50" s="23">
        <v>200</v>
      </c>
      <c r="E50" s="16">
        <f>IF(Table17[[#This Row],[TYPE]]="ENUM",0,Table17[[#This Row],[LENGTH]])</f>
        <v>200</v>
      </c>
      <c r="F50" s="1" t="str">
        <f>Table17[[#This Row],[OB]]&amp;" "&amp;Table17[[#This Row],[TYPE]]&amp;"("&amp;IF(Table17[[#This Row],[TYPE]]="ENUM",("'"&amp;Table17[[#This Row],[LENGTH]]),Table17[[#This Row],[LENGHT2]])&amp;"),"</f>
        <v>HISTORY_PIC VARCHAR(200),</v>
      </c>
    </row>
    <row r="51" spans="2:6" x14ac:dyDescent="0.25">
      <c r="B51" s="40" t="s">
        <v>584</v>
      </c>
      <c r="C51" s="15" t="s">
        <v>735</v>
      </c>
      <c r="D51" s="23">
        <v>6</v>
      </c>
      <c r="E51" s="16">
        <f>IF(Table17[[#This Row],[TYPE]]="ENUM",0,Table17[[#This Row],[LENGTH]])</f>
        <v>6</v>
      </c>
      <c r="F51" s="1" t="str">
        <f>Table17[[#This Row],[OB]]&amp;" "&amp;Table17[[#This Row],[TYPE]]&amp;"("&amp;IF(Table17[[#This Row],[TYPE]]="ENUM",("'"&amp;Table17[[#This Row],[LENGTH]]),Table17[[#This Row],[LENGHT2]])&amp;"),"</f>
        <v>LOCATION VARCHAR(6),</v>
      </c>
    </row>
    <row r="52" spans="2:6" x14ac:dyDescent="0.25">
      <c r="B52" s="40" t="s">
        <v>585</v>
      </c>
      <c r="C52" s="15" t="s">
        <v>735</v>
      </c>
      <c r="D52" s="23">
        <v>100</v>
      </c>
      <c r="E52" s="16">
        <f>IF(Table17[[#This Row],[TYPE]]="ENUM",0,Table17[[#This Row],[LENGTH]])</f>
        <v>100</v>
      </c>
      <c r="F52" s="1" t="str">
        <f>Table17[[#This Row],[OB]]&amp;" "&amp;Table17[[#This Row],[TYPE]]&amp;"("&amp;IF(Table17[[#This Row],[TYPE]]="ENUM",("'"&amp;Table17[[#This Row],[LENGTH]]),Table17[[#This Row],[LENGHT2]])&amp;"),"</f>
        <v>NOTE_LOC VARCHAR(100),</v>
      </c>
    </row>
    <row r="53" spans="2:6" x14ac:dyDescent="0.25">
      <c r="B53" s="40" t="s">
        <v>356</v>
      </c>
      <c r="C53" s="15" t="s">
        <v>757</v>
      </c>
      <c r="D53" s="23">
        <v>6</v>
      </c>
      <c r="E53" s="16">
        <f>IF(Table17[[#This Row],[TYPE]]="ENUM",0,Table17[[#This Row],[LENGTH]])</f>
        <v>6</v>
      </c>
      <c r="F53" s="1" t="str">
        <f>Table17[[#This Row],[OB]]&amp;" "&amp;Table17[[#This Row],[TYPE]]&amp;"("&amp;IF(Table17[[#This Row],[TYPE]]="ENUM",("'"&amp;Table17[[#This Row],[LENGTH]]),Table17[[#This Row],[LENGHT2]])&amp;"),"</f>
        <v>PIC_NIP INT(6),</v>
      </c>
    </row>
    <row r="54" spans="2:6" x14ac:dyDescent="0.25">
      <c r="B54" s="40" t="s">
        <v>587</v>
      </c>
      <c r="C54" s="15" t="s">
        <v>735</v>
      </c>
      <c r="D54" s="23">
        <v>11</v>
      </c>
      <c r="E54" s="16">
        <f>IF(Table17[[#This Row],[TYPE]]="ENUM",0,Table17[[#This Row],[LENGTH]])</f>
        <v>11</v>
      </c>
      <c r="F54" s="1" t="str">
        <f>Table17[[#This Row],[OB]]&amp;" "&amp;Table17[[#This Row],[TYPE]]&amp;"("&amp;IF(Table17[[#This Row],[TYPE]]="ENUM",("'"&amp;Table17[[#This Row],[LENGTH]]),Table17[[#This Row],[LENGHT2]])&amp;"),"</f>
        <v>ID_MAINTENANCE VARCHAR(11),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511F-DEA9-46E3-AE19-14E0364675DF}">
  <dimension ref="B4:F8"/>
  <sheetViews>
    <sheetView showGridLines="0" zoomScale="85" zoomScaleNormal="85" workbookViewId="0">
      <selection activeCell="F5" sqref="F5:F8"/>
    </sheetView>
  </sheetViews>
  <sheetFormatPr defaultRowHeight="15" x14ac:dyDescent="0.25"/>
  <cols>
    <col min="1" max="1" width="2.7109375" customWidth="1"/>
    <col min="2" max="2" width="16.42578125" bestFit="1" customWidth="1"/>
    <col min="3" max="3" width="14.7109375" bestFit="1" customWidth="1"/>
    <col min="4" max="4" width="18.140625" bestFit="1" customWidth="1"/>
    <col min="5" max="5" width="15.42578125" bestFit="1" customWidth="1"/>
    <col min="6" max="6" width="54.85546875" bestFit="1" customWidth="1"/>
  </cols>
  <sheetData>
    <row r="4" spans="2:6" x14ac:dyDescent="0.25">
      <c r="B4" s="3" t="s">
        <v>587</v>
      </c>
      <c r="C4" s="3" t="s">
        <v>740</v>
      </c>
      <c r="D4" s="3" t="s">
        <v>742</v>
      </c>
      <c r="E4" s="3" t="s">
        <v>751</v>
      </c>
      <c r="F4" s="3" t="s">
        <v>325</v>
      </c>
    </row>
    <row r="5" spans="2:6" x14ac:dyDescent="0.25">
      <c r="B5" s="5" t="s">
        <v>737</v>
      </c>
      <c r="C5" s="21" t="s">
        <v>551</v>
      </c>
      <c r="D5" s="21"/>
      <c r="E5" s="41"/>
      <c r="F5" s="1" t="str">
        <f>"('"&amp;ME[[#This Row],[ID_MAINTENANCE]]&amp;"','"&amp;ME[[#This Row],[MAINTENANCE]]&amp;"','"&amp;
ME[[#This Row],[TIME_DESC]]&amp;"','"&amp;ME[[#This Row],[CHARACTERISTIC]]&amp;"'),"</f>
        <v>('ME00','NA','',''),</v>
      </c>
    </row>
    <row r="6" spans="2:6" x14ac:dyDescent="0.25">
      <c r="B6" s="4" t="s">
        <v>736</v>
      </c>
      <c r="C6" s="22" t="s">
        <v>741</v>
      </c>
      <c r="D6" s="42" t="s">
        <v>745</v>
      </c>
      <c r="E6" s="42" t="s">
        <v>748</v>
      </c>
      <c r="F6" s="1" t="str">
        <f>"('"&amp;ME[[#This Row],[ID_MAINTENANCE]]&amp;"','"&amp;ME[[#This Row],[MAINTENANCE]]&amp;"','"&amp;
ME[[#This Row],[TIME_DESC]]&amp;"','"&amp;ME[[#This Row],[CHARACTERISTIC]]&amp;"'),"</f>
        <v>('ME01','PREVENTIVE','PERIODICALLY','PROACTIVE'),</v>
      </c>
    </row>
    <row r="7" spans="2:6" x14ac:dyDescent="0.25">
      <c r="B7" s="4" t="s">
        <v>738</v>
      </c>
      <c r="C7" s="22" t="s">
        <v>743</v>
      </c>
      <c r="D7" s="42" t="s">
        <v>746</v>
      </c>
      <c r="E7" s="42" t="s">
        <v>749</v>
      </c>
      <c r="F7" s="1" t="str">
        <f>"('"&amp;ME[[#This Row],[ID_MAINTENANCE]]&amp;"','"&amp;ME[[#This Row],[MAINTENANCE]]&amp;"','"&amp;
ME[[#This Row],[TIME_DESC]]&amp;"','"&amp;ME[[#This Row],[CHARACTERISTIC]]&amp;"'),"</f>
        <v>('ME02','CORRECTIVE','AFTER BEING DAMAGED','REACTIVE'),</v>
      </c>
    </row>
    <row r="8" spans="2:6" x14ac:dyDescent="0.25">
      <c r="B8" s="4" t="s">
        <v>739</v>
      </c>
      <c r="C8" s="22" t="s">
        <v>744</v>
      </c>
      <c r="D8" s="42" t="s">
        <v>747</v>
      </c>
      <c r="E8" s="42" t="s">
        <v>750</v>
      </c>
      <c r="F8" s="1" t="str">
        <f>"('"&amp;ME[[#This Row],[ID_MAINTENANCE]]&amp;"','"&amp;ME[[#This Row],[MAINTENANCE]]&amp;"','"&amp;
ME[[#This Row],[TIME_DESC]]&amp;"','"&amp;ME[[#This Row],[CHARACTERISTIC]]&amp;"'),"</f>
        <v>('ME03','PREDICTIVE','BASED ON PREDICTIONS','SMART PROACTIVE'),</v>
      </c>
    </row>
  </sheetData>
  <phoneticPr fontId="3" type="noConversion"/>
  <conditionalFormatting sqref="B5:C8">
    <cfRule type="duplicateValues" dxfId="52" priority="3"/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7005-42DF-48EC-930C-FA39B92DFA05}">
  <dimension ref="B3:G8"/>
  <sheetViews>
    <sheetView zoomScale="85" zoomScaleNormal="85" workbookViewId="0">
      <selection activeCell="B6" sqref="B6"/>
    </sheetView>
  </sheetViews>
  <sheetFormatPr defaultRowHeight="15" x14ac:dyDescent="0.25"/>
  <cols>
    <col min="1" max="1" width="2.7109375" customWidth="1"/>
    <col min="2" max="2" width="22.140625" bestFit="1" customWidth="1"/>
    <col min="3" max="3" width="19.140625" bestFit="1" customWidth="1"/>
    <col min="4" max="4" width="19.140625" customWidth="1"/>
    <col min="5" max="5" width="19.7109375" bestFit="1" customWidth="1"/>
    <col min="6" max="6" width="19.7109375" customWidth="1"/>
    <col min="7" max="7" width="38.85546875" bestFit="1" customWidth="1"/>
  </cols>
  <sheetData>
    <row r="3" spans="2:7" x14ac:dyDescent="0.25">
      <c r="B3" s="32" cm="1">
        <f t="array" ref="B3">MAX(LEN(TASK[ID_TASK]))</f>
        <v>10</v>
      </c>
      <c r="C3" s="32" cm="1">
        <f t="array" ref="C3">MAX(LEN(TASK[ID_MAINTENANCE2]))</f>
        <v>4</v>
      </c>
      <c r="D3" s="32" cm="1">
        <f t="array" ref="D3">MAX(LEN(TASK[MAINTENANCE]))</f>
        <v>10</v>
      </c>
      <c r="E3" s="32" cm="1">
        <f t="array" ref="E3">MAX(LEN(TASK[SCHEDULE_TASK]))</f>
        <v>5</v>
      </c>
      <c r="F3" s="32" cm="1">
        <f t="array" ref="F3">MAX(LEN(TASK[SCH_CONV]))</f>
        <v>10</v>
      </c>
    </row>
    <row r="4" spans="2:7" x14ac:dyDescent="0.25">
      <c r="B4" s="3" t="s">
        <v>753</v>
      </c>
      <c r="C4" s="3" t="s">
        <v>752</v>
      </c>
      <c r="D4" s="43" t="s">
        <v>740</v>
      </c>
      <c r="E4" s="3" t="s">
        <v>754</v>
      </c>
      <c r="F4" s="3" t="s">
        <v>755</v>
      </c>
      <c r="G4" s="3" t="s">
        <v>325</v>
      </c>
    </row>
    <row r="5" spans="2:7" x14ac:dyDescent="0.25">
      <c r="B5" s="5" t="str">
        <f>TASK[[#This Row],[ID_MAINTENANCE2]]&amp;TEXT(TASK[[#This Row],[SCHEDULE_TASK]],"YYMMDD")</f>
        <v>ME00251012</v>
      </c>
      <c r="C5" s="21" t="s">
        <v>737</v>
      </c>
      <c r="D5" s="41" t="str">
        <f>_xlfn.IFNA(VLOOKUP(TASK[[#This Row],[ID_MAINTENANCE2]],ME[[ID_MAINTENANCE]:[CHARACTERISTIC]],2,0),"NA")</f>
        <v>NA</v>
      </c>
      <c r="E5" s="20">
        <v>45942</v>
      </c>
      <c r="F5" s="20" t="str">
        <f>TEXT(TASK[[#This Row],[SCHEDULE_TASK]],"YYYY-MM-DD")</f>
        <v>2025-10-12</v>
      </c>
      <c r="G5" s="1" t="str">
        <f>"('"&amp;TASK[[#This Row],[ID_TASK]]&amp;"','"&amp;TASK[[#This Row],[ID_MAINTENANCE2]]&amp;"','"&amp;TASK[[#This Row],[SCH_CONV]]&amp;"'),"</f>
        <v>('ME00251012','ME00','2025-10-12'),</v>
      </c>
    </row>
    <row r="6" spans="2:7" x14ac:dyDescent="0.25">
      <c r="B6" s="4" t="str">
        <f>TASK[[#This Row],[ID_MAINTENANCE2]]&amp;TEXT(TASK[[#This Row],[SCHEDULE_TASK]],"YYMMDD")</f>
        <v>ME01251012</v>
      </c>
      <c r="C6" s="22" t="s">
        <v>736</v>
      </c>
      <c r="D6" s="42" t="str">
        <f>_xlfn.IFNA(VLOOKUP(TASK[[#This Row],[ID_MAINTENANCE2]],ME[[ID_MAINTENANCE]:[CHARACTERISTIC]],2,0),"NA")</f>
        <v>PREVENTIVE</v>
      </c>
      <c r="E6" s="8">
        <v>45942</v>
      </c>
      <c r="F6" s="8" t="str">
        <f>TEXT(TASK[[#This Row],[SCHEDULE_TASK]],"YYYY-MM-DD")</f>
        <v>2025-10-12</v>
      </c>
      <c r="G6" s="1" t="str">
        <f>"('"&amp;TASK[[#This Row],[ID_TASK]]&amp;"','"&amp;TASK[[#This Row],[ID_MAINTENANCE2]]&amp;"','"&amp;TASK[[#This Row],[SCH_CONV]]&amp;"'),"</f>
        <v>('ME01251012','ME01','2025-10-12'),</v>
      </c>
    </row>
    <row r="7" spans="2:7" x14ac:dyDescent="0.25">
      <c r="B7" s="4" t="str">
        <f>TASK[[#This Row],[ID_MAINTENANCE2]]&amp;TEXT(TASK[[#This Row],[SCHEDULE_TASK]],"YYMMDD")</f>
        <v>ME02251012</v>
      </c>
      <c r="C7" s="22" t="s">
        <v>738</v>
      </c>
      <c r="D7" s="42" t="str">
        <f>_xlfn.IFNA(VLOOKUP(TASK[[#This Row],[ID_MAINTENANCE2]],ME[[ID_MAINTENANCE]:[CHARACTERISTIC]],2,0),"NA")</f>
        <v>CORRECTIVE</v>
      </c>
      <c r="E7" s="8">
        <v>45942</v>
      </c>
      <c r="F7" s="8" t="str">
        <f>TEXT(TASK[[#This Row],[SCHEDULE_TASK]],"YYYY-MM-DD")</f>
        <v>2025-10-12</v>
      </c>
      <c r="G7" s="1" t="str">
        <f>"('"&amp;TASK[[#This Row],[ID_TASK]]&amp;"','"&amp;TASK[[#This Row],[ID_MAINTENANCE2]]&amp;"','"&amp;TASK[[#This Row],[SCH_CONV]]&amp;"'),"</f>
        <v>('ME02251012','ME02','2025-10-12'),</v>
      </c>
    </row>
    <row r="8" spans="2:7" x14ac:dyDescent="0.25">
      <c r="B8" s="4" t="str">
        <f>TASK[[#This Row],[ID_MAINTENANCE2]]&amp;TEXT(TASK[[#This Row],[SCHEDULE_TASK]],"YYMMDD")</f>
        <v>ME03251012</v>
      </c>
      <c r="C8" s="22" t="s">
        <v>739</v>
      </c>
      <c r="D8" s="42" t="str">
        <f>_xlfn.IFNA(VLOOKUP(TASK[[#This Row],[ID_MAINTENANCE2]],ME[[ID_MAINTENANCE]:[CHARACTERISTIC]],2,0),"NA")</f>
        <v>PREDICTIVE</v>
      </c>
      <c r="E8" s="8">
        <v>45942</v>
      </c>
      <c r="F8" s="8" t="str">
        <f>TEXT(TASK[[#This Row],[SCHEDULE_TASK]],"YYYY-MM-DD")</f>
        <v>2025-10-12</v>
      </c>
      <c r="G8" s="1" t="str">
        <f>"('"&amp;TASK[[#This Row],[ID_TASK]]&amp;"','"&amp;TASK[[#This Row],[ID_MAINTENANCE2]]&amp;"','"&amp;TASK[[#This Row],[SCH_CONV]]&amp;"'),"</f>
        <v>('ME03251012','ME03','2025-10-12'),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9ECC-9A7D-4EB0-9F76-008602F08A68}">
  <dimension ref="B3:H8"/>
  <sheetViews>
    <sheetView zoomScale="85" zoomScaleNormal="85" workbookViewId="0">
      <selection activeCell="P9" sqref="P9"/>
    </sheetView>
  </sheetViews>
  <sheetFormatPr defaultRowHeight="15" x14ac:dyDescent="0.25"/>
  <cols>
    <col min="1" max="1" width="2.7109375" customWidth="1"/>
    <col min="2" max="2" width="22.140625" bestFit="1" customWidth="1"/>
    <col min="3" max="3" width="9.28515625" bestFit="1" customWidth="1"/>
    <col min="4" max="4" width="19.140625" bestFit="1" customWidth="1"/>
    <col min="5" max="5" width="19.140625" customWidth="1"/>
    <col min="6" max="6" width="19.7109375" bestFit="1" customWidth="1"/>
    <col min="7" max="7" width="19.7109375" customWidth="1"/>
    <col min="8" max="8" width="38.85546875" bestFit="1" customWidth="1"/>
  </cols>
  <sheetData>
    <row r="3" spans="2:8" x14ac:dyDescent="0.25">
      <c r="B3" s="32" cm="1">
        <f t="array" ref="B3">MAX(LEN(TASK19[ID_WH]))</f>
        <v>10</v>
      </c>
      <c r="C3" s="32"/>
      <c r="D3" s="32" cm="1">
        <f t="array" ref="D3">MAX(LEN(TASK19[ID_ASSET]))</f>
        <v>6</v>
      </c>
      <c r="E3" s="32" cm="1">
        <f t="array" ref="E3">MAX(LEN(TASK19[WH_SITE]))</f>
        <v>3</v>
      </c>
      <c r="F3" s="32" cm="1">
        <f t="array" ref="F3">MAX(LEN(TASK19[STATUS]))</f>
        <v>8</v>
      </c>
      <c r="G3" s="32" cm="1">
        <f t="array" ref="G3">MAX(LEN(TASK19[STATUS_AVAILABLE]))</f>
        <v>1</v>
      </c>
    </row>
    <row r="4" spans="2:8" x14ac:dyDescent="0.25">
      <c r="B4" s="3" t="s">
        <v>818</v>
      </c>
      <c r="C4" s="3" t="s">
        <v>8</v>
      </c>
      <c r="D4" s="3" t="s">
        <v>521</v>
      </c>
      <c r="E4" s="3" t="s">
        <v>819</v>
      </c>
      <c r="F4" s="3" t="s">
        <v>310</v>
      </c>
      <c r="G4" s="68" t="s">
        <v>820</v>
      </c>
      <c r="H4" s="3" t="s">
        <v>325</v>
      </c>
    </row>
    <row r="5" spans="2:8" x14ac:dyDescent="0.25">
      <c r="B5" s="4" t="str">
        <f>"WH-"&amp;TASK19[[#This Row],[WH_SITE]]&amp;"-"&amp;TASK19[[#This Row],[NO]]</f>
        <v>WH-O99-001</v>
      </c>
      <c r="C5" s="67" t="s">
        <v>821</v>
      </c>
      <c r="D5" s="22" t="s">
        <v>825</v>
      </c>
      <c r="E5" s="42" t="s">
        <v>315</v>
      </c>
      <c r="F5" s="4" t="s">
        <v>790</v>
      </c>
      <c r="G5" s="4">
        <f>IF(OR(TASK19[[#This Row],[STATUS]]="IN STORE",TASK19[[#This Row],[STATUS]]="IN REPAIR"),1,0)</f>
        <v>1</v>
      </c>
      <c r="H5" s="1" t="str">
        <f>"('"&amp;TASK19[[#This Row],[ID_WH]]&amp;"','"&amp;TASK19[[#This Row],[ID_ASSET]]&amp;"','"&amp;TASK19[[#This Row],[WH_SITE]]&amp;"','"&amp;TASK19[[#This Row],[STATUS]]&amp;"','"&amp;TASK19[[#This Row],[STATUS_AVAILABLE]]&amp;"'),"</f>
        <v>('WH-O99-001','NB.001','O99','IN STORE','1'),</v>
      </c>
    </row>
    <row r="6" spans="2:8" x14ac:dyDescent="0.25">
      <c r="B6" s="4" t="str">
        <f>"WH-"&amp;TASK19[[#This Row],[WH_SITE]]&amp;"-"&amp;TASK19[[#This Row],[NO]]</f>
        <v>WH-M01-002</v>
      </c>
      <c r="C6" s="67" t="s">
        <v>822</v>
      </c>
      <c r="D6" s="22" t="s">
        <v>827</v>
      </c>
      <c r="E6" s="42" t="s">
        <v>484</v>
      </c>
      <c r="F6" s="4" t="s">
        <v>826</v>
      </c>
      <c r="G6" s="4">
        <f>IF(OR(TASK19[[#This Row],[STATUS]]="IN STORE",TASK19[[#This Row],[STATUS]]="IN REPAIR"),1,0)</f>
        <v>0</v>
      </c>
      <c r="H6" s="1" t="str">
        <f>"('"&amp;TASK19[[#This Row],[ID_WH]]&amp;"','"&amp;TASK19[[#This Row],[ID_ASSET]]&amp;"','"&amp;TASK19[[#This Row],[WH_SITE]]&amp;"','"&amp;TASK19[[#This Row],[STATUS]]&amp;"','"&amp;TASK19[[#This Row],[STATUS_AVAILABLE]]&amp;"'),"</f>
        <v>('WH-M01-002','NB.002','M01','EXPIRED','0'),</v>
      </c>
    </row>
    <row r="7" spans="2:8" x14ac:dyDescent="0.25">
      <c r="B7" s="4" t="str">
        <f>"WH-"&amp;TASK19[[#This Row],[WH_SITE]]&amp;"-"&amp;TASK19[[#This Row],[NO]]</f>
        <v>WH-M02-003</v>
      </c>
      <c r="C7" s="67" t="s">
        <v>823</v>
      </c>
      <c r="D7" s="22" t="s">
        <v>828</v>
      </c>
      <c r="E7" s="42" t="s">
        <v>314</v>
      </c>
      <c r="F7" s="4" t="s">
        <v>787</v>
      </c>
      <c r="G7" s="4">
        <f>IF(OR(TASK19[[#This Row],[STATUS]]="IN STORE",TASK19[[#This Row],[STATUS]]="IN REPAIR"),1,0)</f>
        <v>0</v>
      </c>
      <c r="H7" s="1" t="str">
        <f>"('"&amp;TASK19[[#This Row],[ID_WH]]&amp;"','"&amp;TASK19[[#This Row],[ID_ASSET]]&amp;"','"&amp;TASK19[[#This Row],[WH_SITE]]&amp;"','"&amp;TASK19[[#This Row],[STATUS]]&amp;"','"&amp;TASK19[[#This Row],[STATUS_AVAILABLE]]&amp;"'),"</f>
        <v>('WH-M02-003','NB.003','M02','DISPOSE','0'),</v>
      </c>
    </row>
    <row r="8" spans="2:8" x14ac:dyDescent="0.25">
      <c r="B8" s="4" t="str">
        <f>"WH-"&amp;TASK19[[#This Row],[WH_SITE]]&amp;"-"&amp;TASK19[[#This Row],[NO]]</f>
        <v>WH-M03-004</v>
      </c>
      <c r="C8" s="67" t="s">
        <v>824</v>
      </c>
      <c r="D8" s="22" t="s">
        <v>829</v>
      </c>
      <c r="E8" s="42" t="s">
        <v>316</v>
      </c>
      <c r="F8" s="4" t="s">
        <v>787</v>
      </c>
      <c r="G8" s="4">
        <f>IF(OR(TASK19[[#This Row],[STATUS]]="IN STORE",TASK19[[#This Row],[STATUS]]="IN REPAIR"),1,0)</f>
        <v>0</v>
      </c>
      <c r="H8" s="1" t="str">
        <f>"('"&amp;TASK19[[#This Row],[ID_WH]]&amp;"','"&amp;TASK19[[#This Row],[ID_ASSET]]&amp;"','"&amp;TASK19[[#This Row],[WH_SITE]]&amp;"','"&amp;TASK19[[#This Row],[STATUS]]&amp;"','"&amp;TASK19[[#This Row],[STATUS_AVAILABLE]]&amp;"'),"</f>
        <v>('WH-M03-004','NB.004','M03','DISPOSE','0'),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737A-4B8C-4289-BE53-AF00EC614659}">
  <dimension ref="B3:T17"/>
  <sheetViews>
    <sheetView zoomScale="85" zoomScaleNormal="85" workbookViewId="0">
      <selection activeCell="T5" sqref="T5:T17"/>
    </sheetView>
  </sheetViews>
  <sheetFormatPr defaultRowHeight="15" x14ac:dyDescent="0.25"/>
  <cols>
    <col min="1" max="1" width="2.7109375" customWidth="1"/>
    <col min="2" max="2" width="17.28515625" bestFit="1" customWidth="1"/>
    <col min="3" max="3" width="16.42578125" bestFit="1" customWidth="1"/>
    <col min="4" max="4" width="19.140625" bestFit="1" customWidth="1"/>
    <col min="5" max="5" width="9.140625" bestFit="1" customWidth="1"/>
    <col min="6" max="6" width="16.42578125" bestFit="1" customWidth="1"/>
    <col min="7" max="7" width="16.7109375" bestFit="1" customWidth="1"/>
    <col min="8" max="8" width="12.5703125" bestFit="1" customWidth="1"/>
    <col min="9" max="9" width="12.5703125" customWidth="1"/>
    <col min="10" max="10" width="17.140625" bestFit="1" customWidth="1"/>
    <col min="11" max="14" width="17.140625" customWidth="1"/>
    <col min="15" max="15" width="16.5703125" bestFit="1" customWidth="1"/>
    <col min="16" max="16" width="9.85546875" bestFit="1" customWidth="1"/>
    <col min="17" max="17" width="23.5703125" bestFit="1" customWidth="1"/>
    <col min="18" max="19" width="20.28515625" bestFit="1" customWidth="1"/>
    <col min="20" max="20" width="134.28515625" bestFit="1" customWidth="1"/>
  </cols>
  <sheetData>
    <row r="3" spans="2:20" x14ac:dyDescent="0.25">
      <c r="B3" s="36" cm="1">
        <f t="array" ref="B3">MAX(LEN(LEVEL101114[BARCODE]))</f>
        <v>15</v>
      </c>
      <c r="C3" s="36"/>
      <c r="D3" s="36"/>
      <c r="E3" s="36" cm="1">
        <f t="array" ref="E3">MAX(LEN(LEVEL101114[ID_SITE]))</f>
        <v>3</v>
      </c>
      <c r="F3" s="36" cm="1">
        <f t="array" ref="F3">MAX(LEN(LEVEL101114[NO_PR]))</f>
        <v>15</v>
      </c>
      <c r="G3" s="36" cm="1">
        <f t="array" ref="G3">MAX(LEN(LEVEL101114[NO_PO]))</f>
        <v>16</v>
      </c>
      <c r="H3" s="36" cm="1">
        <f t="array" ref="H3">MAX(LEN(LEVEL101114[DATE_PR]))</f>
        <v>5</v>
      </c>
      <c r="I3" s="36" cm="1">
        <f t="array" ref="I3">MAX(LEN(LEVEL101114[CONVDPR]))</f>
        <v>10</v>
      </c>
      <c r="J3" s="36" cm="1">
        <f t="array" ref="J3">MAX(LEN(LEVEL101114[DATE_PO]))</f>
        <v>10</v>
      </c>
      <c r="K3" s="36" cm="1">
        <f t="array" ref="K3">MAX(LEN(LEVEL101114[CONVPO]))</f>
        <v>10</v>
      </c>
      <c r="L3" s="36" cm="1">
        <f t="array" ref="L3">MAX(LEN(LEVEL101114[DATE_SHIPPING]))</f>
        <v>10</v>
      </c>
      <c r="M3" s="36" cm="1">
        <f t="array" ref="M3">MAX(LEN(LEVEL101114[CONVSHP]))</f>
        <v>10</v>
      </c>
      <c r="N3" s="36"/>
      <c r="O3" s="36" cm="1">
        <f t="array" ref="O3">MAX(LEN(LEVEL101114[PRICE]))</f>
        <v>8</v>
      </c>
      <c r="P3" s="36" cm="1">
        <f t="array" ref="P3">MAX(LEN(LEVEL101114[QTY]))</f>
        <v>1</v>
      </c>
      <c r="Q3" s="36" cm="1">
        <f t="array" ref="Q3">MAX(LEN(LEVEL101114[DATE_ACQUISITION]))</f>
        <v>10</v>
      </c>
      <c r="R3" s="36" cm="1">
        <f t="array" ref="R3">MAX(LEN(LEVEL101114[CONVACQ]))</f>
        <v>10</v>
      </c>
      <c r="S3" s="36" cm="1">
        <f t="array" ref="S3">MAX(LEN(LEVEL101114[COLL-SUPPORT1]))</f>
        <v>15</v>
      </c>
    </row>
    <row r="4" spans="2:20" x14ac:dyDescent="0.25">
      <c r="B4" s="3" t="s">
        <v>524</v>
      </c>
      <c r="C4" s="3" t="s">
        <v>700</v>
      </c>
      <c r="D4" s="3" t="s">
        <v>698</v>
      </c>
      <c r="E4" s="3" t="s">
        <v>5</v>
      </c>
      <c r="F4" s="3" t="s">
        <v>588</v>
      </c>
      <c r="G4" s="3" t="s">
        <v>589</v>
      </c>
      <c r="H4" s="3" t="s">
        <v>591</v>
      </c>
      <c r="I4" s="3" t="s">
        <v>600</v>
      </c>
      <c r="J4" s="3" t="s">
        <v>590</v>
      </c>
      <c r="K4" s="3" t="s">
        <v>601</v>
      </c>
      <c r="L4" s="3" t="s">
        <v>621</v>
      </c>
      <c r="M4" s="3" t="s">
        <v>622</v>
      </c>
      <c r="N4" s="3" t="s">
        <v>699</v>
      </c>
      <c r="O4" s="3" t="s">
        <v>702</v>
      </c>
      <c r="P4" s="3" t="s">
        <v>592</v>
      </c>
      <c r="Q4" s="3" t="s">
        <v>677</v>
      </c>
      <c r="R4" s="3" t="s">
        <v>679</v>
      </c>
      <c r="S4" s="3" t="s">
        <v>678</v>
      </c>
      <c r="T4" s="3" t="s">
        <v>325</v>
      </c>
    </row>
    <row r="5" spans="2:20" x14ac:dyDescent="0.25">
      <c r="B5" s="53" t="s">
        <v>795</v>
      </c>
      <c r="C5" s="5" t="s">
        <v>701</v>
      </c>
      <c r="D5" s="5">
        <v>221284</v>
      </c>
      <c r="E5" s="5" t="s">
        <v>315</v>
      </c>
      <c r="F5" s="50" t="s">
        <v>791</v>
      </c>
      <c r="G5" s="50" t="s">
        <v>792</v>
      </c>
      <c r="H5" s="45">
        <v>36526</v>
      </c>
      <c r="I5" s="20" t="str">
        <f>IF(LEVEL101114[[#This Row],[DATE_PR]]&lt;&gt;"-",TEXT(LEVEL101114[[#This Row],[DATE_PR]],"YYYY-MM-DD"),"-")</f>
        <v>2000-01-01</v>
      </c>
      <c r="J5" s="45">
        <v>36526</v>
      </c>
      <c r="K5" s="20" t="str">
        <f>IF(LEVEL101114[[#This Row],[DATE_PO]]&lt;&gt;"-",TEXT(LEVEL101114[[#This Row],[DATE_PO]],"YYYY-MM-DD"),"-")</f>
        <v>2000-01-01</v>
      </c>
      <c r="L5" s="45">
        <v>36526</v>
      </c>
      <c r="M5" s="20" t="str">
        <f>IF(LEVEL101114[[#This Row],[DATE_SHIPPING]]&lt;&gt;"-",TEXT(LEVEL101114[[#This Row],[DATE_SHIPPING]],"YYYY-MM-DD"),"-")</f>
        <v>2000-01-01</v>
      </c>
      <c r="N5" s="52">
        <v>170747</v>
      </c>
      <c r="O5" s="51">
        <v>15000000</v>
      </c>
      <c r="P5" s="5">
        <v>1</v>
      </c>
      <c r="Q5" s="45" t="s">
        <v>793</v>
      </c>
      <c r="R5" s="20" t="str">
        <f>IF(LEVEL101114[[#This Row],[DATE_ACQUISITION]]&lt;&gt;"-",TEXT(LEVEL101114[[#This Row],[DATE_ACQUISITION]],"YYYY-MM-DD"),"-")</f>
        <v>2000-01-01</v>
      </c>
      <c r="S5" s="9" t="str">
        <f>IF(COUNTBLANK(LEVEL101114[[#This Row],[BARCODE]:[CONVACQ]])&gt;0,"VALIDATE [IN PROGRESS]","VALIDATE [DONE]")</f>
        <v>VALIDATE [DONE]</v>
      </c>
      <c r="T5" s="1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('MASHQEQP2000002','EQP-001',221284,'O99','PR/XXX/0000/000','POP/XXX/0000/000','2000-01-01','2000-01-01','2000-01-01',170747,'15000000','1','2000-01-01'),</v>
      </c>
    </row>
    <row r="6" spans="2:20" x14ac:dyDescent="0.25">
      <c r="B6" s="9" t="s">
        <v>697</v>
      </c>
      <c r="C6" s="5" t="s">
        <v>701</v>
      </c>
      <c r="D6" s="5">
        <v>250501</v>
      </c>
      <c r="E6" s="5" t="s">
        <v>315</v>
      </c>
      <c r="F6" s="50" t="s">
        <v>791</v>
      </c>
      <c r="G6" s="21" t="s">
        <v>619</v>
      </c>
      <c r="H6" s="45">
        <v>36526</v>
      </c>
      <c r="I6" s="20" t="str">
        <f>IF(LEVEL101114[[#This Row],[DATE_PR]]&lt;&gt;"-",TEXT(LEVEL101114[[#This Row],[DATE_PR]],"YYYY-MM-DD"),"-")</f>
        <v>2000-01-01</v>
      </c>
      <c r="J6" s="45">
        <v>36526</v>
      </c>
      <c r="K6" s="20" t="str">
        <f>IF(LEVEL101114[[#This Row],[DATE_PO]]&lt;&gt;"-",TEXT(LEVEL101114[[#This Row],[DATE_PO]],"YYYY-MM-DD"),"-")</f>
        <v>2000-01-01</v>
      </c>
      <c r="L6" s="20" t="s">
        <v>620</v>
      </c>
      <c r="M6" s="20" t="str">
        <f>IF(LEVEL101114[[#This Row],[DATE_SHIPPING]]&lt;&gt;"-",TEXT(LEVEL101114[[#This Row],[DATE_SHIPPING]],"YYYY-MM-DD"),"-")</f>
        <v>2023-12-08</v>
      </c>
      <c r="N6" s="52">
        <v>170747</v>
      </c>
      <c r="O6" s="51">
        <v>15300000</v>
      </c>
      <c r="P6" s="5">
        <v>1</v>
      </c>
      <c r="Q6" s="20">
        <v>45275</v>
      </c>
      <c r="R6" s="20" t="str">
        <f>IF(LEVEL101114[[#This Row],[DATE_ACQUISITION]]&lt;&gt;"-",TEXT(LEVEL101114[[#This Row],[DATE_ACQUISITION]],"YYYY-MM-DD"),"-")</f>
        <v>2023-12-15</v>
      </c>
      <c r="S6" s="9" t="str">
        <f>IF(COUNTBLANK(LEVEL101114[[#This Row],[BARCODE]:[CONVACQ]])&gt;0,"VALIDATE [IN PROGRESS]","VALIDATE [DONE]")</f>
        <v>VALIDATE [DONE]</v>
      </c>
      <c r="T6" s="1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('MASHQEQP2300012','EQP-001',250501,'O99','PR/XXX/0000/000','POP/ASR/1123/006','2000-01-01','2000-01-01','2023-12-08',170747,'15300000','1','2023-12-15'),</v>
      </c>
    </row>
    <row r="7" spans="2:20" x14ac:dyDescent="0.25">
      <c r="B7" s="9" t="s">
        <v>597</v>
      </c>
      <c r="C7" s="5" t="s">
        <v>701</v>
      </c>
      <c r="D7" s="5">
        <v>240287</v>
      </c>
      <c r="E7" s="5" t="s">
        <v>315</v>
      </c>
      <c r="F7" s="21" t="s">
        <v>596</v>
      </c>
      <c r="G7" s="21" t="s">
        <v>598</v>
      </c>
      <c r="H7" s="20">
        <v>45301</v>
      </c>
      <c r="I7" s="20" t="str">
        <f>IF(LEVEL101114[[#This Row],[DATE_PR]]&lt;&gt;"-",TEXT(LEVEL101114[[#This Row],[DATE_PR]],"YYYY-MM-DD"),"-")</f>
        <v>2024-01-10</v>
      </c>
      <c r="J7" s="20" t="s">
        <v>626</v>
      </c>
      <c r="K7" s="20" t="str">
        <f>IF(LEVEL101114[[#This Row],[DATE_PO]]&lt;&gt;"-",TEXT(LEVEL101114[[#This Row],[DATE_PO]],"YYYY-MM-DD"),"-")</f>
        <v>2024-02-22</v>
      </c>
      <c r="L7" s="20" t="s">
        <v>626</v>
      </c>
      <c r="M7" s="20" t="str">
        <f>IF(LEVEL101114[[#This Row],[DATE_SHIPPING]]&lt;&gt;"-",TEXT(LEVEL101114[[#This Row],[DATE_SHIPPING]],"YYYY-MM-DD"),"-")</f>
        <v>2024-02-22</v>
      </c>
      <c r="N7" s="39">
        <v>170747</v>
      </c>
      <c r="O7" s="38">
        <v>24650000</v>
      </c>
      <c r="P7" s="5">
        <v>1</v>
      </c>
      <c r="Q7" s="20">
        <v>45351</v>
      </c>
      <c r="R7" s="20" t="str">
        <f>IF(LEVEL101114[[#This Row],[DATE_ACQUISITION]]&lt;&gt;"-",TEXT(LEVEL101114[[#This Row],[DATE_ACQUISITION]],"YYYY-MM-DD"),"-")</f>
        <v>2024-02-29</v>
      </c>
      <c r="S7" s="9" t="str">
        <f>IF(COUNTBLANK(LEVEL101114[[#This Row],[BARCODE]:[CONVACQ]])&gt;0,"VALIDATE [IN PROGRESS]","VALIDATE [DONE]")</f>
        <v>VALIDATE [DONE]</v>
      </c>
      <c r="T7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('MASHQEQP2400003','EQP-001',240287,'O99','PR/ASR/0124/003','POP/ASR/0124/013','2024-01-10','2024-02-22','2024-02-22',170747,'24650000','1','2024-02-29'),</v>
      </c>
    </row>
    <row r="8" spans="2:20" x14ac:dyDescent="0.25">
      <c r="B8" s="9" t="s">
        <v>540</v>
      </c>
      <c r="C8" s="5" t="s">
        <v>701</v>
      </c>
      <c r="D8" s="5">
        <v>240763</v>
      </c>
      <c r="E8" s="5" t="s">
        <v>315</v>
      </c>
      <c r="F8" s="21" t="s">
        <v>595</v>
      </c>
      <c r="G8" s="21" t="s">
        <v>599</v>
      </c>
      <c r="H8" s="20">
        <v>45387</v>
      </c>
      <c r="I8" s="20" t="str">
        <f>IF(LEVEL101114[[#This Row],[DATE_PR]]&lt;&gt;"-",TEXT(LEVEL101114[[#This Row],[DATE_PR]],"YYYY-MM-DD"),"-")</f>
        <v>2024-04-05</v>
      </c>
      <c r="J8" s="20" t="s">
        <v>627</v>
      </c>
      <c r="K8" s="20" t="str">
        <f>IF(LEVEL101114[[#This Row],[DATE_PO]]&lt;&gt;"-",TEXT(LEVEL101114[[#This Row],[DATE_PO]],"YYYY-MM-DD"),"-")</f>
        <v>2024-06-03</v>
      </c>
      <c r="L8" s="20" t="s">
        <v>627</v>
      </c>
      <c r="M8" s="20" t="str">
        <f>IF(LEVEL101114[[#This Row],[DATE_SHIPPING]]&lt;&gt;"-",TEXT(LEVEL101114[[#This Row],[DATE_SHIPPING]],"YYYY-MM-DD"),"-")</f>
        <v>2024-06-03</v>
      </c>
      <c r="N8" s="39">
        <v>170747</v>
      </c>
      <c r="O8" s="38">
        <v>24000000</v>
      </c>
      <c r="P8" s="5">
        <v>1</v>
      </c>
      <c r="Q8" s="20">
        <v>45453</v>
      </c>
      <c r="R8" s="20" t="str">
        <f>IF(LEVEL101114[[#This Row],[DATE_ACQUISITION]]&lt;&gt;"-",TEXT(LEVEL101114[[#This Row],[DATE_ACQUISITION]],"YYYY-MM-DD"),"-")</f>
        <v>2024-06-10</v>
      </c>
      <c r="S8" s="9" t="str">
        <f>IF(COUNTBLANK(LEVEL101114[[#This Row],[BARCODE]:[CONVACQ]])&gt;0,"VALIDATE [IN PROGRESS]","VALIDATE [DONE]")</f>
        <v>VALIDATE [DONE]</v>
      </c>
      <c r="T8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('MASHQEQP2400014','EQP-001',240763,'O99','PR/ASR/0424/003','POP/ASR/0524/005','2024-04-05','2024-06-03','2024-06-03',170747,'24000000','1','2024-06-10'),</v>
      </c>
    </row>
    <row r="9" spans="2:20" x14ac:dyDescent="0.25">
      <c r="B9" s="9" t="s">
        <v>602</v>
      </c>
      <c r="C9" s="5" t="s">
        <v>701</v>
      </c>
      <c r="D9" s="5">
        <v>150821</v>
      </c>
      <c r="E9" s="5" t="s">
        <v>315</v>
      </c>
      <c r="F9" s="21" t="s">
        <v>676</v>
      </c>
      <c r="G9" s="21" t="s">
        <v>623</v>
      </c>
      <c r="H9" s="20">
        <v>45236</v>
      </c>
      <c r="I9" s="20" t="str">
        <f>IF(LEVEL101114[[#This Row],[DATE_PR]]&lt;&gt;"-",TEXT(LEVEL101114[[#This Row],[DATE_PR]],"YYYY-MM-DD"),"-")</f>
        <v>2023-11-06</v>
      </c>
      <c r="J9" s="20" t="s">
        <v>628</v>
      </c>
      <c r="K9" s="20" t="str">
        <f>IF(LEVEL101114[[#This Row],[DATE_PO]]&lt;&gt;"-",TEXT(LEVEL101114[[#This Row],[DATE_PO]],"YYYY-MM-DD"),"-")</f>
        <v>2024-10-28</v>
      </c>
      <c r="L9" s="20" t="s">
        <v>628</v>
      </c>
      <c r="M9" s="20" t="str">
        <f>IF(LEVEL101114[[#This Row],[DATE_SHIPPING]]&lt;&gt;"-",TEXT(LEVEL101114[[#This Row],[DATE_SHIPPING]],"YYYY-MM-DD"),"-")</f>
        <v>2024-10-28</v>
      </c>
      <c r="N9" s="39">
        <v>170747</v>
      </c>
      <c r="O9" s="38">
        <v>16550000</v>
      </c>
      <c r="P9" s="5">
        <v>1</v>
      </c>
      <c r="Q9" s="20">
        <v>45600</v>
      </c>
      <c r="R9" s="20" t="str">
        <f>IF(LEVEL101114[[#This Row],[DATE_ACQUISITION]]&lt;&gt;"-",TEXT(LEVEL101114[[#This Row],[DATE_ACQUISITION]],"YYYY-MM-DD"),"-")</f>
        <v>2024-11-04</v>
      </c>
      <c r="S9" s="9" t="str">
        <f>IF(COUNTBLANK(LEVEL101114[[#This Row],[BARCODE]:[CONVACQ]])&gt;0,"VALIDATE [IN PROGRESS]","VALIDATE [DONE]")</f>
        <v>VALIDATE [DONE]</v>
      </c>
      <c r="T9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('MASHQEQP2400037','EQP-001',150821,'O99','PR/ASR/1123/005','POP/ASR/1024/005','2023-11-06','2024-10-28','2024-10-28',170747,'16550000','1','2024-11-04'),</v>
      </c>
    </row>
    <row r="10" spans="2:20" x14ac:dyDescent="0.25">
      <c r="B10" s="9" t="s">
        <v>603</v>
      </c>
      <c r="C10" s="5" t="s">
        <v>701</v>
      </c>
      <c r="D10" s="5">
        <v>241681</v>
      </c>
      <c r="E10" s="5" t="s">
        <v>315</v>
      </c>
      <c r="F10" s="21" t="s">
        <v>676</v>
      </c>
      <c r="G10" s="21" t="s">
        <v>623</v>
      </c>
      <c r="H10" s="20">
        <v>45236</v>
      </c>
      <c r="I10" s="20" t="str">
        <f>IF(LEVEL101114[[#This Row],[DATE_PR]]&lt;&gt;"-",TEXT(LEVEL101114[[#This Row],[DATE_PR]],"YYYY-MM-DD"),"-")</f>
        <v>2023-11-06</v>
      </c>
      <c r="J10" s="20" t="s">
        <v>628</v>
      </c>
      <c r="K10" s="20" t="str">
        <f>IF(LEVEL101114[[#This Row],[DATE_PO]]&lt;&gt;"-",TEXT(LEVEL101114[[#This Row],[DATE_PO]],"YYYY-MM-DD"),"-")</f>
        <v>2024-10-28</v>
      </c>
      <c r="L10" s="20" t="s">
        <v>628</v>
      </c>
      <c r="M10" s="20" t="str">
        <f>IF(LEVEL101114[[#This Row],[DATE_SHIPPING]]&lt;&gt;"-",TEXT(LEVEL101114[[#This Row],[DATE_SHIPPING]],"YYYY-MM-DD"),"-")</f>
        <v>2024-10-28</v>
      </c>
      <c r="N10" s="39">
        <v>170747</v>
      </c>
      <c r="O10" s="38">
        <v>16550000</v>
      </c>
      <c r="P10" s="5">
        <v>1</v>
      </c>
      <c r="Q10" s="20">
        <v>45600</v>
      </c>
      <c r="R10" s="20" t="str">
        <f>IF(LEVEL101114[[#This Row],[DATE_ACQUISITION]]&lt;&gt;"-",TEXT(LEVEL101114[[#This Row],[DATE_ACQUISITION]],"YYYY-MM-DD"),"-")</f>
        <v>2024-11-04</v>
      </c>
      <c r="S10" s="9" t="str">
        <f>IF(COUNTBLANK(LEVEL101114[[#This Row],[BARCODE]:[CONVACQ]])&gt;0,"VALIDATE [IN PROGRESS]","VALIDATE [DONE]")</f>
        <v>VALIDATE [DONE]</v>
      </c>
      <c r="T10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('MASHQEQP2400036','EQP-001',241681,'O99','PR/ASR/1123/005','POP/ASR/1024/005','2023-11-06','2024-10-28','2024-10-28',170747,'16550000','1','2024-11-04'),</v>
      </c>
    </row>
    <row r="11" spans="2:20" x14ac:dyDescent="0.25">
      <c r="B11" s="9" t="s">
        <v>604</v>
      </c>
      <c r="C11" s="5" t="s">
        <v>701</v>
      </c>
      <c r="D11" s="5">
        <v>241815</v>
      </c>
      <c r="E11" s="5" t="s">
        <v>315</v>
      </c>
      <c r="F11" s="21" t="s">
        <v>774</v>
      </c>
      <c r="G11" s="21" t="s">
        <v>624</v>
      </c>
      <c r="H11" s="20">
        <v>45568</v>
      </c>
      <c r="I11" s="20" t="str">
        <f>IF(LEVEL101114[[#This Row],[DATE_PR]]&lt;&gt;"-",TEXT(LEVEL101114[[#This Row],[DATE_PR]],"YYYY-MM-DD"),"-")</f>
        <v>2024-10-03</v>
      </c>
      <c r="J11" s="45">
        <v>45598</v>
      </c>
      <c r="K11" s="20" t="str">
        <f>IF(LEVEL101114[[#This Row],[DATE_PO]]&lt;&gt;"-",TEXT(LEVEL101114[[#This Row],[DATE_PO]],"YYYY-MM-DD"),"-")</f>
        <v>2024-11-02</v>
      </c>
      <c r="L11" s="20" t="s">
        <v>629</v>
      </c>
      <c r="M11" s="20" t="str">
        <f>IF(LEVEL101114[[#This Row],[DATE_SHIPPING]]&lt;&gt;"-",TEXT(LEVEL101114[[#This Row],[DATE_SHIPPING]],"YYYY-MM-DD"),"-")</f>
        <v>2024-11-21</v>
      </c>
      <c r="N11" s="39">
        <v>170747</v>
      </c>
      <c r="O11" s="38">
        <v>16550000</v>
      </c>
      <c r="P11" s="5">
        <v>1</v>
      </c>
      <c r="Q11" s="20">
        <v>45619</v>
      </c>
      <c r="R11" s="20" t="str">
        <f>IF(LEVEL101114[[#This Row],[DATE_ACQUISITION]]&lt;&gt;"-",TEXT(LEVEL101114[[#This Row],[DATE_ACQUISITION]],"YYYY-MM-DD"),"-")</f>
        <v>2024-11-23</v>
      </c>
      <c r="S11" s="9" t="str">
        <f>IF(COUNTBLANK(LEVEL101114[[#This Row],[BARCODE]:[CONVACQ]])&gt;0,"VALIDATE [IN PROGRESS]","VALIDATE [DONE]")</f>
        <v>VALIDATE [DONE]</v>
      </c>
      <c r="T11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('MASHQEQP2400053','EQP-001',241815,'O99','PR/ASR/1024/002','POP/ASR/1124/001','2024-10-03','2024-11-02','2024-11-21',170747,'16550000','1','2024-11-23'),</v>
      </c>
    </row>
    <row r="12" spans="2:20" x14ac:dyDescent="0.25">
      <c r="B12" s="9" t="s">
        <v>605</v>
      </c>
      <c r="C12" s="5" t="s">
        <v>701</v>
      </c>
      <c r="D12" s="5">
        <v>180362</v>
      </c>
      <c r="E12" s="5" t="s">
        <v>315</v>
      </c>
      <c r="F12" s="21" t="s">
        <v>773</v>
      </c>
      <c r="G12" s="21" t="s">
        <v>594</v>
      </c>
      <c r="H12" s="20">
        <v>45955</v>
      </c>
      <c r="I12" s="20" t="str">
        <f>IF(LEVEL101114[[#This Row],[DATE_PR]]&lt;&gt;"-",TEXT(LEVEL101114[[#This Row],[DATE_PR]],"YYYY-MM-DD"),"-")</f>
        <v>2025-10-25</v>
      </c>
      <c r="J12" s="45">
        <v>45985</v>
      </c>
      <c r="K12" s="20" t="str">
        <f>IF(LEVEL101114[[#This Row],[DATE_PO]]&lt;&gt;"-",TEXT(LEVEL101114[[#This Row],[DATE_PO]],"YYYY-MM-DD"),"-")</f>
        <v>2025-11-24</v>
      </c>
      <c r="L12" s="20" t="s">
        <v>630</v>
      </c>
      <c r="M12" s="20" t="str">
        <f>IF(LEVEL101114[[#This Row],[DATE_SHIPPING]]&lt;&gt;"-",TEXT(LEVEL101114[[#This Row],[DATE_SHIPPING]],"YYYY-MM-DD"),"-")</f>
        <v>2024-12-02</v>
      </c>
      <c r="N12" s="39">
        <v>170747</v>
      </c>
      <c r="O12" s="38">
        <v>16550000</v>
      </c>
      <c r="P12" s="5">
        <v>1</v>
      </c>
      <c r="Q12" s="20">
        <v>45630</v>
      </c>
      <c r="R12" s="20" t="str">
        <f>IF(LEVEL101114[[#This Row],[DATE_ACQUISITION]]&lt;&gt;"-",TEXT(LEVEL101114[[#This Row],[DATE_ACQUISITION]],"YYYY-MM-DD"),"-")</f>
        <v>2024-12-04</v>
      </c>
      <c r="S12" s="9" t="str">
        <f>IF(COUNTBLANK(LEVEL101114[[#This Row],[BARCODE]:[CONVACQ]])&gt;0,"VALIDATE [IN PROGRESS]","VALIDATE [DONE]")</f>
        <v>VALIDATE [DONE]</v>
      </c>
      <c r="T12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('MASHQEQP2400061','EQP-001',180362,'O99','PR/ASR/1024/014','POP/ASR/1124/009','2025-10-25','2025-11-24','2024-12-02',170747,'16550000','1','2024-12-04'),</v>
      </c>
    </row>
    <row r="13" spans="2:20" x14ac:dyDescent="0.25">
      <c r="B13" s="9" t="s">
        <v>606</v>
      </c>
      <c r="C13" s="5" t="s">
        <v>701</v>
      </c>
      <c r="D13" s="5">
        <v>232054</v>
      </c>
      <c r="E13" s="5" t="s">
        <v>315</v>
      </c>
      <c r="F13" s="21" t="s">
        <v>773</v>
      </c>
      <c r="G13" s="21" t="s">
        <v>594</v>
      </c>
      <c r="H13" s="20">
        <v>45955</v>
      </c>
      <c r="I13" s="20" t="str">
        <f>IF(LEVEL101114[[#This Row],[DATE_PR]]&lt;&gt;"-",TEXT(LEVEL101114[[#This Row],[DATE_PR]],"YYYY-MM-DD"),"-")</f>
        <v>2025-10-25</v>
      </c>
      <c r="J13" s="45">
        <v>45985</v>
      </c>
      <c r="K13" s="20" t="str">
        <f>IF(LEVEL101114[[#This Row],[DATE_PO]]&lt;&gt;"-",TEXT(LEVEL101114[[#This Row],[DATE_PO]],"YYYY-MM-DD"),"-")</f>
        <v>2025-11-24</v>
      </c>
      <c r="L13" s="20" t="s">
        <v>630</v>
      </c>
      <c r="M13" s="20" t="str">
        <f>IF(LEVEL101114[[#This Row],[DATE_SHIPPING]]&lt;&gt;"-",TEXT(LEVEL101114[[#This Row],[DATE_SHIPPING]],"YYYY-MM-DD"),"-")</f>
        <v>2024-12-02</v>
      </c>
      <c r="N13" s="39">
        <v>170747</v>
      </c>
      <c r="O13" s="38">
        <v>16550000</v>
      </c>
      <c r="P13" s="5">
        <v>1</v>
      </c>
      <c r="Q13" s="20">
        <v>45630</v>
      </c>
      <c r="R13" s="20" t="str">
        <f>IF(LEVEL101114[[#This Row],[DATE_ACQUISITION]]&lt;&gt;"-",TEXT(LEVEL101114[[#This Row],[DATE_ACQUISITION]],"YYYY-MM-DD"),"-")</f>
        <v>2024-12-04</v>
      </c>
      <c r="S13" s="9" t="str">
        <f>IF(COUNTBLANK(LEVEL101114[[#This Row],[BARCODE]:[CONVACQ]])&gt;0,"VALIDATE [IN PROGRESS]","VALIDATE [DONE]")</f>
        <v>VALIDATE [DONE]</v>
      </c>
      <c r="T13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('MASHQEQP2400062','EQP-001',232054,'O99','PR/ASR/1024/014','POP/ASR/1124/009','2025-10-25','2025-11-24','2024-12-02',170747,'16550000','1','2024-12-04'),</v>
      </c>
    </row>
    <row r="14" spans="2:20" x14ac:dyDescent="0.25">
      <c r="B14" s="9" t="s">
        <v>593</v>
      </c>
      <c r="C14" s="5" t="s">
        <v>701</v>
      </c>
      <c r="D14" s="5">
        <v>221489</v>
      </c>
      <c r="E14" s="5" t="s">
        <v>315</v>
      </c>
      <c r="F14" s="21" t="s">
        <v>773</v>
      </c>
      <c r="G14" s="21" t="s">
        <v>594</v>
      </c>
      <c r="H14" s="20">
        <v>45955</v>
      </c>
      <c r="I14" s="20" t="str">
        <f>IF(LEVEL101114[[#This Row],[DATE_PR]]&lt;&gt;"-",TEXT(LEVEL101114[[#This Row],[DATE_PR]],"YYYY-MM-DD"),"-")</f>
        <v>2025-10-25</v>
      </c>
      <c r="J14" s="45">
        <v>45985</v>
      </c>
      <c r="K14" s="20" t="str">
        <f>IF(LEVEL101114[[#This Row],[DATE_PO]]&lt;&gt;"-",TEXT(LEVEL101114[[#This Row],[DATE_PO]],"YYYY-MM-DD"),"-")</f>
        <v>2025-11-24</v>
      </c>
      <c r="L14" s="20" t="s">
        <v>630</v>
      </c>
      <c r="M14" s="20" t="str">
        <f>IF(LEVEL101114[[#This Row],[DATE_SHIPPING]]&lt;&gt;"-",TEXT(LEVEL101114[[#This Row],[DATE_SHIPPING]],"YYYY-MM-DD"),"-")</f>
        <v>2024-12-02</v>
      </c>
      <c r="N14" s="39">
        <v>170747</v>
      </c>
      <c r="O14" s="38">
        <v>16550000</v>
      </c>
      <c r="P14" s="5">
        <v>1</v>
      </c>
      <c r="Q14" s="20">
        <v>45630</v>
      </c>
      <c r="R14" s="20" t="str">
        <f>IF(LEVEL101114[[#This Row],[DATE_ACQUISITION]]&lt;&gt;"-",TEXT(LEVEL101114[[#This Row],[DATE_ACQUISITION]],"YYYY-MM-DD"),"-")</f>
        <v>2024-12-04</v>
      </c>
      <c r="S14" s="9" t="str">
        <f>IF(COUNTBLANK(LEVEL101114[[#This Row],[BARCODE]:[CONVACQ]])&gt;0,"VALIDATE [IN PROGRESS]","VALIDATE [DONE]")</f>
        <v>VALIDATE [DONE]</v>
      </c>
      <c r="T14" s="6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('MASHQEQP2400063','EQP-001',221489,'O99','PR/ASR/1024/014','POP/ASR/1124/009','2025-10-25','2025-11-24','2024-12-02',170747,'16550000','1','2024-12-04'),</v>
      </c>
    </row>
    <row r="15" spans="2:20" x14ac:dyDescent="0.25">
      <c r="B15" s="9" t="s">
        <v>607</v>
      </c>
      <c r="C15" s="5" t="s">
        <v>701</v>
      </c>
      <c r="D15" s="5">
        <v>231399</v>
      </c>
      <c r="E15" s="5" t="s">
        <v>315</v>
      </c>
      <c r="F15" s="50" t="s">
        <v>791</v>
      </c>
      <c r="G15" s="50" t="s">
        <v>625</v>
      </c>
      <c r="H15" s="45">
        <v>36526</v>
      </c>
      <c r="I15" s="20" t="str">
        <f>IF(LEVEL101114[[#This Row],[DATE_PR]]&lt;&gt;"-",TEXT(LEVEL101114[[#This Row],[DATE_PR]],"YYYY-MM-DD"),"-")</f>
        <v>2000-01-01</v>
      </c>
      <c r="J15" s="45">
        <v>36526</v>
      </c>
      <c r="K15" s="20" t="str">
        <f>IF(LEVEL101114[[#This Row],[DATE_PO]]&lt;&gt;"-",TEXT(LEVEL101114[[#This Row],[DATE_PO]],"YYYY-MM-DD"),"-")</f>
        <v>2000-01-01</v>
      </c>
      <c r="L15" s="20" t="s">
        <v>631</v>
      </c>
      <c r="M15" s="20" t="str">
        <f>IF(LEVEL101114[[#This Row],[DATE_SHIPPING]]&lt;&gt;"-",TEXT(LEVEL101114[[#This Row],[DATE_SHIPPING]],"YYYY-MM-DD"),"-")</f>
        <v>2024-12-09</v>
      </c>
      <c r="N15" s="52">
        <v>170747</v>
      </c>
      <c r="O15" s="51">
        <v>15000000</v>
      </c>
      <c r="P15" s="5">
        <v>1</v>
      </c>
      <c r="Q15" s="45" t="s">
        <v>793</v>
      </c>
      <c r="R15" s="20" t="str">
        <f>IF(LEVEL101114[[#This Row],[DATE_ACQUISITION]]&lt;&gt;"-",TEXT(LEVEL101114[[#This Row],[DATE_ACQUISITION]],"YYYY-MM-DD"),"-")</f>
        <v>2000-01-01</v>
      </c>
      <c r="S15" s="9" t="str">
        <f>IF(COUNTBLANK(LEVEL101114[[#This Row],[BARCODE]:[CONVACQ]])&gt;0,"VALIDATE [IN PROGRESS]","VALIDATE [DONE]")</f>
        <v>VALIDATE [DONE]</v>
      </c>
      <c r="T15" s="1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('MASHQEQP2400066','EQP-001',231399,'O99','PR/XXX/0000/000','POP/ASR/1024/003','2000-01-01','2000-01-01','2024-12-09',170747,'15000000','1','2000-01-01'),</v>
      </c>
    </row>
    <row r="16" spans="2:20" x14ac:dyDescent="0.25">
      <c r="B16" s="53" t="s">
        <v>794</v>
      </c>
      <c r="C16" s="5" t="s">
        <v>701</v>
      </c>
      <c r="D16" s="5">
        <v>220909</v>
      </c>
      <c r="E16" s="5" t="s">
        <v>315</v>
      </c>
      <c r="F16" s="50" t="s">
        <v>791</v>
      </c>
      <c r="G16" s="50" t="s">
        <v>792</v>
      </c>
      <c r="H16" s="45">
        <v>36526</v>
      </c>
      <c r="I16" s="20" t="str">
        <f>IF(LEVEL101114[[#This Row],[DATE_PR]]&lt;&gt;"-",TEXT(LEVEL101114[[#This Row],[DATE_PR]],"YYYY-MM-DD"),"-")</f>
        <v>2000-01-01</v>
      </c>
      <c r="J16" s="45">
        <v>36526</v>
      </c>
      <c r="K16" s="20" t="str">
        <f>IF(LEVEL101114[[#This Row],[DATE_PO]]&lt;&gt;"-",TEXT(LEVEL101114[[#This Row],[DATE_PO]],"YYYY-MM-DD"),"-")</f>
        <v>2000-01-01</v>
      </c>
      <c r="L16" s="45">
        <v>36526</v>
      </c>
      <c r="M16" s="20" t="str">
        <f>IF(LEVEL101114[[#This Row],[DATE_SHIPPING]]&lt;&gt;"-",TEXT(LEVEL101114[[#This Row],[DATE_SHIPPING]],"YYYY-MM-DD"),"-")</f>
        <v>2000-01-01</v>
      </c>
      <c r="N16" s="52">
        <v>170747</v>
      </c>
      <c r="O16" s="51">
        <v>15000000</v>
      </c>
      <c r="P16" s="5">
        <v>1</v>
      </c>
      <c r="Q16" s="45" t="s">
        <v>793</v>
      </c>
      <c r="R16" s="20" t="str">
        <f>IF(LEVEL101114[[#This Row],[DATE_ACQUISITION]]&lt;&gt;"-",TEXT(LEVEL101114[[#This Row],[DATE_ACQUISITION]],"YYYY-MM-DD"),"-")</f>
        <v>2000-01-01</v>
      </c>
      <c r="S16" s="9" t="str">
        <f>IF(COUNTBLANK(LEVEL101114[[#This Row],[BARCODE]:[CONVACQ]])&gt;0,"VALIDATE [IN PROGRESS]","VALIDATE [DONE]")</f>
        <v>VALIDATE [DONE]</v>
      </c>
      <c r="T16" s="1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('MASHQEQP2000001','EQP-001',220909,'O99','PR/XXX/0000/000','POP/XXX/0000/000','2000-01-01','2000-01-01','2000-01-01',170747,'15000000','1','2000-01-01'),</v>
      </c>
    </row>
    <row r="17" spans="2:20" x14ac:dyDescent="0.25">
      <c r="B17" s="9" t="s">
        <v>782</v>
      </c>
      <c r="C17" s="5" t="s">
        <v>701</v>
      </c>
      <c r="D17" s="5">
        <v>999999</v>
      </c>
      <c r="E17" s="5" t="s">
        <v>314</v>
      </c>
      <c r="F17" s="50" t="s">
        <v>791</v>
      </c>
      <c r="G17" s="50" t="s">
        <v>792</v>
      </c>
      <c r="H17" s="45">
        <v>36526</v>
      </c>
      <c r="I17" s="20" t="str">
        <f>IF(LEVEL101114[[#This Row],[DATE_PR]]&lt;&gt;"-",TEXT(LEVEL101114[[#This Row],[DATE_PR]],"YYYY-MM-DD"),"-")</f>
        <v>2000-01-01</v>
      </c>
      <c r="J17" s="45">
        <v>36526</v>
      </c>
      <c r="K17" s="20" t="str">
        <f>IF(LEVEL101114[[#This Row],[DATE_PO]]&lt;&gt;"-",TEXT(LEVEL101114[[#This Row],[DATE_PO]],"YYYY-MM-DD"),"-")</f>
        <v>2000-01-01</v>
      </c>
      <c r="L17" s="45">
        <v>36526</v>
      </c>
      <c r="M17" s="20" t="str">
        <f>IF(LEVEL101114[[#This Row],[DATE_SHIPPING]]&lt;&gt;"-",TEXT(LEVEL101114[[#This Row],[DATE_SHIPPING]],"YYYY-MM-DD"),"-")</f>
        <v>2000-01-01</v>
      </c>
      <c r="N17" s="52">
        <v>170747</v>
      </c>
      <c r="O17" s="51">
        <v>15000000</v>
      </c>
      <c r="P17" s="5">
        <v>1</v>
      </c>
      <c r="Q17" s="45" t="s">
        <v>793</v>
      </c>
      <c r="R17" s="20" t="str">
        <f>IF(LEVEL101114[[#This Row],[DATE_ACQUISITION]]&lt;&gt;"-",TEXT(LEVEL101114[[#This Row],[DATE_ACQUISITION]],"YYYY-MM-DD"),"-")</f>
        <v>2000-01-01</v>
      </c>
      <c r="S17" s="9" t="str">
        <f>IF(COUNTBLANK(LEVEL101114[[#This Row],[BARCODE]:[CONVACQ]])&gt;0,"VALIDATE [IN PROGRESS]","VALIDATE [DONE]")</f>
        <v>VALIDATE [DONE]</v>
      </c>
      <c r="T17" s="1" t="str">
        <f>"('"&amp;LEVEL101114[[#This Row],[BARCODE]]&amp;"','"&amp;
LEVEL101114[[#This Row],[CODE_ITEM]]&amp;"',"&amp;
LEVEL101114[[#This Row],[OWNER_CODE]]&amp;",'"&amp;
LEVEL101114[[#This Row],[ID_SITE]]&amp;"','"&amp;
LEVEL101114[[#This Row],[NO_PR]]&amp;"','"&amp;
LEVEL101114[[#This Row],[NO_PO]]&amp;"','"&amp;
LEVEL101114[[#This Row],[CONVDPR]]&amp;"','"&amp;
LEVEL101114[[#This Row],[CONVPO]]&amp;"','"&amp;
LEVEL101114[[#This Row],[CONVSHP]]&amp;"',"&amp;
LEVEL101114[[#This Row],[RECIPIENT]]&amp;",'"&amp;
LEVEL101114[[#This Row],[PRICE]]&amp;"','"&amp;
LEVEL101114[[#This Row],[QTY]]&amp;"','"&amp;
LEVEL101114[[#This Row],[CONVACQ]]&amp;"'),"</f>
        <v>('MOEQPLPT1020006','EQP-001',999999,'M02','PR/XXX/0000/000','POP/XXX/0000/000','2000-01-01','2000-01-01','2000-01-01',170747,'15000000','1','2000-01-01'),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AEEE-76C0-4ED2-A3FA-0F506F69B929}">
  <dimension ref="B4:E21"/>
  <sheetViews>
    <sheetView zoomScale="85" zoomScaleNormal="85" workbookViewId="0">
      <selection activeCell="E8" sqref="B4:E21"/>
    </sheetView>
  </sheetViews>
  <sheetFormatPr defaultRowHeight="15" x14ac:dyDescent="0.25"/>
  <cols>
    <col min="1" max="1" width="2.7109375" customWidth="1"/>
    <col min="2" max="2" width="15.5703125" bestFit="1" customWidth="1"/>
    <col min="3" max="3" width="11.7109375" bestFit="1" customWidth="1"/>
    <col min="4" max="4" width="17" bestFit="1" customWidth="1"/>
    <col min="5" max="5" width="64.7109375" bestFit="1" customWidth="1"/>
  </cols>
  <sheetData>
    <row r="4" spans="2:5" x14ac:dyDescent="0.25">
      <c r="B4" s="3" t="s">
        <v>700</v>
      </c>
      <c r="C4" s="3" t="s">
        <v>361</v>
      </c>
      <c r="D4" s="3" t="s">
        <v>536</v>
      </c>
      <c r="E4" s="3" t="s">
        <v>325</v>
      </c>
    </row>
    <row r="5" spans="2:5" x14ac:dyDescent="0.25">
      <c r="B5" s="5" t="s">
        <v>701</v>
      </c>
      <c r="C5" s="21" t="s">
        <v>541</v>
      </c>
      <c r="D5" s="21" t="s">
        <v>722</v>
      </c>
      <c r="E5" s="1" t="str">
        <f>"('"&amp;LEVEL101115[[#This Row],[CODE_ITEM]]&amp;"','"&amp;LEVEL101115[[#This Row],[TYPE]]&amp;"','"&amp;
LEVEL101115[[#This Row],[CATEGORY]]&amp;"'),"</f>
        <v>('EQP-001','LAPTOP','EQUIPMENT'),</v>
      </c>
    </row>
    <row r="6" spans="2:5" x14ac:dyDescent="0.25">
      <c r="B6" s="4" t="s">
        <v>703</v>
      </c>
      <c r="C6" s="22" t="s">
        <v>719</v>
      </c>
      <c r="D6" s="22" t="s">
        <v>722</v>
      </c>
      <c r="E6" s="1" t="str">
        <f>"('"&amp;LEVEL101115[[#This Row],[CODE_ITEM]]&amp;"','"&amp;LEVEL101115[[#This Row],[TYPE]]&amp;"','"&amp;
LEVEL101115[[#This Row],[CATEGORY]]&amp;"'),"</f>
        <v>('EQP-002','PC DESKTOP','EQUIPMENT'),</v>
      </c>
    </row>
    <row r="7" spans="2:5" x14ac:dyDescent="0.25">
      <c r="B7" s="4" t="s">
        <v>704</v>
      </c>
      <c r="C7" s="22" t="s">
        <v>720</v>
      </c>
      <c r="D7" s="22" t="s">
        <v>722</v>
      </c>
      <c r="E7" s="1" t="str">
        <f>"('"&amp;LEVEL101115[[#This Row],[CODE_ITEM]]&amp;"','"&amp;LEVEL101115[[#This Row],[TYPE]]&amp;"','"&amp;
LEVEL101115[[#This Row],[CATEGORY]]&amp;"'),"</f>
        <v>('EQP-003','DESKTOP','EQUIPMENT'),</v>
      </c>
    </row>
    <row r="8" spans="2:5" x14ac:dyDescent="0.25">
      <c r="B8" s="4" t="s">
        <v>705</v>
      </c>
      <c r="C8" s="22" t="s">
        <v>721</v>
      </c>
      <c r="D8" s="22" t="s">
        <v>722</v>
      </c>
      <c r="E8" s="1" t="str">
        <f>"('"&amp;LEVEL101115[[#This Row],[CODE_ITEM]]&amp;"','"&amp;LEVEL101115[[#This Row],[TYPE]]&amp;"','"&amp;
LEVEL101115[[#This Row],[CATEGORY]]&amp;"'),"</f>
        <v>('EQP-004','SERVER','EQUIPMENT'),</v>
      </c>
    </row>
    <row r="9" spans="2:5" x14ac:dyDescent="0.25">
      <c r="B9" s="4" t="s">
        <v>706</v>
      </c>
      <c r="C9" s="22"/>
      <c r="D9" s="22"/>
      <c r="E9" s="1" t="str">
        <f>"('"&amp;LEVEL101115[[#This Row],[CODE_ITEM]]&amp;"','"&amp;LEVEL101115[[#This Row],[TYPE]]&amp;"','"&amp;
LEVEL101115[[#This Row],[CATEGORY]]&amp;"'),"</f>
        <v>('EQP-005','',''),</v>
      </c>
    </row>
    <row r="10" spans="2:5" x14ac:dyDescent="0.25">
      <c r="B10" s="4" t="s">
        <v>707</v>
      </c>
      <c r="C10" s="22"/>
      <c r="D10" s="22"/>
      <c r="E10" s="1" t="str">
        <f>"('"&amp;LEVEL101115[[#This Row],[CODE_ITEM]]&amp;"','"&amp;LEVEL101115[[#This Row],[TYPE]]&amp;"','"&amp;
LEVEL101115[[#This Row],[CATEGORY]]&amp;"'),"</f>
        <v>('EQP-006','',''),</v>
      </c>
    </row>
    <row r="11" spans="2:5" x14ac:dyDescent="0.25">
      <c r="B11" s="4" t="s">
        <v>708</v>
      </c>
      <c r="C11" s="22"/>
      <c r="D11" s="22"/>
      <c r="E11" s="1" t="str">
        <f>"('"&amp;LEVEL101115[[#This Row],[CODE_ITEM]]&amp;"','"&amp;LEVEL101115[[#This Row],[TYPE]]&amp;"','"&amp;
LEVEL101115[[#This Row],[CATEGORY]]&amp;"'),"</f>
        <v>('EQP-007','',''),</v>
      </c>
    </row>
    <row r="12" spans="2:5" x14ac:dyDescent="0.25">
      <c r="B12" s="4" t="s">
        <v>709</v>
      </c>
      <c r="C12" s="22"/>
      <c r="D12" s="22"/>
      <c r="E12" s="1" t="str">
        <f>"('"&amp;LEVEL101115[[#This Row],[CODE_ITEM]]&amp;"','"&amp;LEVEL101115[[#This Row],[TYPE]]&amp;"','"&amp;
LEVEL101115[[#This Row],[CATEGORY]]&amp;"'),"</f>
        <v>('EQP-008','',''),</v>
      </c>
    </row>
    <row r="13" spans="2:5" x14ac:dyDescent="0.25">
      <c r="B13" s="4" t="s">
        <v>710</v>
      </c>
      <c r="C13" s="22"/>
      <c r="D13" s="22"/>
      <c r="E13" s="1" t="str">
        <f>"('"&amp;LEVEL101115[[#This Row],[CODE_ITEM]]&amp;"','"&amp;LEVEL101115[[#This Row],[TYPE]]&amp;"','"&amp;
LEVEL101115[[#This Row],[CATEGORY]]&amp;"'),"</f>
        <v>('EQP-009','',''),</v>
      </c>
    </row>
    <row r="14" spans="2:5" x14ac:dyDescent="0.25">
      <c r="B14" s="4" t="s">
        <v>711</v>
      </c>
      <c r="C14" s="22"/>
      <c r="D14" s="22"/>
      <c r="E14" s="1" t="str">
        <f>"('"&amp;LEVEL101115[[#This Row],[CODE_ITEM]]&amp;"','"&amp;LEVEL101115[[#This Row],[TYPE]]&amp;"','"&amp;
LEVEL101115[[#This Row],[CATEGORY]]&amp;"'),"</f>
        <v>('EQP-010','',''),</v>
      </c>
    </row>
    <row r="15" spans="2:5" x14ac:dyDescent="0.25">
      <c r="B15" s="4" t="s">
        <v>712</v>
      </c>
      <c r="C15" s="22"/>
      <c r="D15" s="22"/>
      <c r="E15" s="1" t="str">
        <f>"('"&amp;LEVEL101115[[#This Row],[CODE_ITEM]]&amp;"','"&amp;LEVEL101115[[#This Row],[TYPE]]&amp;"','"&amp;
LEVEL101115[[#This Row],[CATEGORY]]&amp;"'),"</f>
        <v>('EQP-011','',''),</v>
      </c>
    </row>
    <row r="16" spans="2:5" x14ac:dyDescent="0.25">
      <c r="B16" s="4" t="s">
        <v>713</v>
      </c>
      <c r="C16" s="22"/>
      <c r="D16" s="22"/>
      <c r="E16" s="1" t="str">
        <f>"('"&amp;LEVEL101115[[#This Row],[CODE_ITEM]]&amp;"','"&amp;LEVEL101115[[#This Row],[TYPE]]&amp;"','"&amp;
LEVEL101115[[#This Row],[CATEGORY]]&amp;"'),"</f>
        <v>('EQP-012','',''),</v>
      </c>
    </row>
    <row r="17" spans="2:5" x14ac:dyDescent="0.25">
      <c r="B17" s="4" t="s">
        <v>714</v>
      </c>
      <c r="C17" s="22"/>
      <c r="D17" s="22"/>
      <c r="E17" s="1" t="str">
        <f>"('"&amp;LEVEL101115[[#This Row],[CODE_ITEM]]&amp;"','"&amp;LEVEL101115[[#This Row],[TYPE]]&amp;"','"&amp;
LEVEL101115[[#This Row],[CATEGORY]]&amp;"'),"</f>
        <v>('EQP-013','',''),</v>
      </c>
    </row>
    <row r="18" spans="2:5" x14ac:dyDescent="0.25">
      <c r="B18" s="4" t="s">
        <v>715</v>
      </c>
      <c r="C18" s="22"/>
      <c r="D18" s="22"/>
      <c r="E18" s="1" t="str">
        <f>"('"&amp;LEVEL101115[[#This Row],[CODE_ITEM]]&amp;"','"&amp;LEVEL101115[[#This Row],[TYPE]]&amp;"','"&amp;
LEVEL101115[[#This Row],[CATEGORY]]&amp;"'),"</f>
        <v>('EQP-014','',''),</v>
      </c>
    </row>
    <row r="19" spans="2:5" x14ac:dyDescent="0.25">
      <c r="B19" s="4" t="s">
        <v>716</v>
      </c>
      <c r="C19" s="22"/>
      <c r="D19" s="22"/>
      <c r="E19" s="1" t="str">
        <f>"('"&amp;LEVEL101115[[#This Row],[CODE_ITEM]]&amp;"','"&amp;LEVEL101115[[#This Row],[TYPE]]&amp;"','"&amp;
LEVEL101115[[#This Row],[CATEGORY]]&amp;"'),"</f>
        <v>('EQP-015','',''),</v>
      </c>
    </row>
    <row r="20" spans="2:5" x14ac:dyDescent="0.25">
      <c r="B20" s="4" t="s">
        <v>717</v>
      </c>
      <c r="C20" s="22"/>
      <c r="D20" s="22"/>
      <c r="E20" s="1" t="str">
        <f>"('"&amp;LEVEL101115[[#This Row],[CODE_ITEM]]&amp;"','"&amp;LEVEL101115[[#This Row],[TYPE]]&amp;"','"&amp;
LEVEL101115[[#This Row],[CATEGORY]]&amp;"'),"</f>
        <v>('EQP-016','',''),</v>
      </c>
    </row>
    <row r="21" spans="2:5" x14ac:dyDescent="0.25">
      <c r="B21" s="4" t="s">
        <v>718</v>
      </c>
      <c r="C21" s="22"/>
      <c r="D21" s="22"/>
      <c r="E21" s="1" t="str">
        <f>"('"&amp;LEVEL101115[[#This Row],[CODE_ITEM]]&amp;"','"&amp;LEVEL101115[[#This Row],[TYPE]]&amp;"','"&amp;
LEVEL101115[[#This Row],[CATEGORY]]&amp;"'),"</f>
        <v>('EQP-017','',''),</v>
      </c>
    </row>
  </sheetData>
  <phoneticPr fontId="3" type="noConversion"/>
  <conditionalFormatting sqref="B5:C21">
    <cfRule type="duplicateValues" dxfId="51" priority="1"/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76B4-8B89-4270-B99C-31CF1DB7614A}">
  <sheetPr codeName="Sheet11"/>
  <dimension ref="B5:K27"/>
  <sheetViews>
    <sheetView showGridLines="0" zoomScaleNormal="100" workbookViewId="0">
      <selection activeCell="E7" sqref="E7"/>
    </sheetView>
  </sheetViews>
  <sheetFormatPr defaultColWidth="8.85546875" defaultRowHeight="15" x14ac:dyDescent="0.25"/>
  <cols>
    <col min="1" max="1" width="2.7109375" customWidth="1"/>
    <col min="2" max="2" width="12" bestFit="1" customWidth="1"/>
    <col min="3" max="3" width="21.5703125" bestFit="1" customWidth="1"/>
    <col min="4" max="4" width="19.7109375" bestFit="1" customWidth="1"/>
    <col min="5" max="5" width="25.140625" bestFit="1" customWidth="1"/>
    <col min="6" max="6" width="12.5703125" bestFit="1" customWidth="1"/>
    <col min="7" max="8" width="13.140625" bestFit="1" customWidth="1"/>
    <col min="9" max="9" width="123.140625" bestFit="1" customWidth="1"/>
    <col min="10" max="10" width="39.5703125" bestFit="1" customWidth="1"/>
    <col min="11" max="11" width="228.85546875" bestFit="1" customWidth="1"/>
  </cols>
  <sheetData>
    <row r="5" spans="2:11" s="32" customFormat="1" ht="12.75" x14ac:dyDescent="0.25"/>
    <row r="6" spans="2:11" x14ac:dyDescent="0.25">
      <c r="B6" s="24" t="s">
        <v>5</v>
      </c>
      <c r="C6" s="25" t="s">
        <v>509</v>
      </c>
      <c r="D6" s="25" t="s">
        <v>6</v>
      </c>
      <c r="E6" s="25" t="s">
        <v>510</v>
      </c>
      <c r="F6" s="25" t="s">
        <v>428</v>
      </c>
      <c r="G6" s="25" t="s">
        <v>429</v>
      </c>
      <c r="H6" s="25" t="s">
        <v>430</v>
      </c>
      <c r="I6" s="25" t="s">
        <v>431</v>
      </c>
      <c r="J6" s="25" t="s">
        <v>432</v>
      </c>
      <c r="K6" s="26" t="s">
        <v>325</v>
      </c>
    </row>
    <row r="7" spans="2:11" x14ac:dyDescent="0.25">
      <c r="B7" s="27" t="s">
        <v>433</v>
      </c>
      <c r="C7" s="15" t="s">
        <v>434</v>
      </c>
      <c r="D7" s="15" t="s">
        <v>435</v>
      </c>
      <c r="E7" s="15" t="s">
        <v>514</v>
      </c>
      <c r="F7" s="15" t="s">
        <v>436</v>
      </c>
      <c r="G7" s="15" t="s">
        <v>437</v>
      </c>
      <c r="H7" s="15" t="s">
        <v>438</v>
      </c>
      <c r="I7" s="15" t="s">
        <v>439</v>
      </c>
      <c r="J7" s="15" t="s">
        <v>440</v>
      </c>
      <c r="K7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('A01','Taman Anggrek Residence','Apartement','PT. AMA','Indonesia','Jakarta','Jakarta Barat','Jl. Tj. Duren Timur 2 No.12, RT.12/RW.1, Tj. Duren Sel., Kec. Grogol petamburan, Kota Jakarta Barat, Daerah Khusus Ibukota Jakarta 11470','https://maps.app.goo.gl/RczWGcAEpFTuXA6G7'),</v>
      </c>
    </row>
    <row r="8" spans="2:11" x14ac:dyDescent="0.25">
      <c r="B8" s="27" t="s">
        <v>441</v>
      </c>
      <c r="C8" s="15" t="s">
        <v>442</v>
      </c>
      <c r="D8" s="15" t="s">
        <v>435</v>
      </c>
      <c r="E8" s="15" t="s">
        <v>519</v>
      </c>
      <c r="F8" s="15" t="s">
        <v>436</v>
      </c>
      <c r="G8" s="15" t="s">
        <v>437</v>
      </c>
      <c r="H8" s="15" t="s">
        <v>443</v>
      </c>
      <c r="I8" s="15" t="s">
        <v>444</v>
      </c>
      <c r="J8" s="15" t="s">
        <v>445</v>
      </c>
      <c r="K8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('A02','Fatmawati City Center','Apartement','PT. KAM','Indonesia','Jakarta','Jakarta Selatan','Jl. Fatmawati Raya, RT.3/RW.9, Cilandak Bar., Kec. Cilandak, Kota Jakarta Selatan, Daerah Khusus Ibukota Jakarta 12430','https://maps.app.goo.gl/cZ7XNNiT6Kxgmu7f7'),</v>
      </c>
    </row>
    <row r="9" spans="2:11" x14ac:dyDescent="0.25">
      <c r="B9" s="27" t="s">
        <v>446</v>
      </c>
      <c r="C9" s="15" t="s">
        <v>447</v>
      </c>
      <c r="D9" s="15" t="s">
        <v>435</v>
      </c>
      <c r="E9" s="15" t="s">
        <v>515</v>
      </c>
      <c r="F9" s="15" t="s">
        <v>436</v>
      </c>
      <c r="G9" s="15" t="s">
        <v>437</v>
      </c>
      <c r="H9" s="15" t="s">
        <v>448</v>
      </c>
      <c r="I9" s="15" t="s">
        <v>449</v>
      </c>
      <c r="J9" s="15" t="s">
        <v>450</v>
      </c>
      <c r="K9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('A03','Menara Jakarta','Apartement','PT. PPP','Indonesia','Jakarta','Jakarta Utara','Arena Pekan Raya Jkt - Kemayoran, Jl. H. Benyamin Sueb No.10, RW.10, Gn. Sahari Sel., Kec. Kemayoran, Jkt Utara, Daerah Khusus Ibukota Jakarta 14410','https://maps.app.goo.gl/nmdtJgPT3FR2HnWU6'),</v>
      </c>
    </row>
    <row r="10" spans="2:11" hidden="1" x14ac:dyDescent="0.25">
      <c r="B10" s="27" t="s">
        <v>451</v>
      </c>
      <c r="C10" s="15" t="s">
        <v>452</v>
      </c>
      <c r="D10" s="15" t="s">
        <v>435</v>
      </c>
      <c r="E10" s="15"/>
      <c r="F10" s="15" t="s">
        <v>436</v>
      </c>
      <c r="G10" s="15" t="s">
        <v>437</v>
      </c>
      <c r="H10" s="15" t="s">
        <v>448</v>
      </c>
      <c r="I10" s="15" t="s">
        <v>453</v>
      </c>
      <c r="J10" s="15" t="s">
        <v>454</v>
      </c>
      <c r="K10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('A04','French Walk','Apartement','','Indonesia','Jakarta','Jakarta Utara','Kelapa Gading Barat, Kelapa Gading, RT.18/RW.8, RT.18/RW.8, Klp. Gading Bar., Jakarta Utara, Jkt Utara, Daerah Khusus Ibukota Jakarta 14240','https://maps.app.goo.gl/pbEgWFSERS9ka2n28'),</v>
      </c>
    </row>
    <row r="11" spans="2:11" x14ac:dyDescent="0.25">
      <c r="B11" s="27" t="s">
        <v>455</v>
      </c>
      <c r="C11" s="15" t="s">
        <v>456</v>
      </c>
      <c r="D11" s="15" t="s">
        <v>457</v>
      </c>
      <c r="E11" s="15"/>
      <c r="F11" s="15" t="s">
        <v>436</v>
      </c>
      <c r="G11" s="15" t="s">
        <v>437</v>
      </c>
      <c r="H11" s="15" t="s">
        <v>448</v>
      </c>
      <c r="I11" s="15" t="s">
        <v>458</v>
      </c>
      <c r="J11" s="15" t="s">
        <v>459</v>
      </c>
      <c r="K11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('F01','FLIX PIK','Cinema','','Indonesia','Jakarta','Jakarta Utara','Pantai Indah Kapuk St Boulevard, RT.6/RW.2, Kamal Muara, Penjaringan, North Jakarta City, Jakarta 14470','https://maps.app.goo.gl/y1gkFm9bwuNjVQe2A'),</v>
      </c>
    </row>
    <row r="12" spans="2:11" x14ac:dyDescent="0.25">
      <c r="B12" s="27" t="s">
        <v>460</v>
      </c>
      <c r="C12" s="15" t="s">
        <v>461</v>
      </c>
      <c r="D12" s="15" t="s">
        <v>457</v>
      </c>
      <c r="E12" s="15"/>
      <c r="F12" s="15" t="s">
        <v>436</v>
      </c>
      <c r="G12" s="15" t="s">
        <v>437</v>
      </c>
      <c r="H12" s="15" t="s">
        <v>448</v>
      </c>
      <c r="I12" s="15" t="s">
        <v>462</v>
      </c>
      <c r="J12" s="15" t="s">
        <v>463</v>
      </c>
      <c r="K12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('F02','FLIX MOI','Cinema','','Indonesia','Jakarta','Jakarta Utara','Jl. Boulevard Bar. Raya No.12, RT.18/RW.19, Klp. Gading Bar., Kec. Klp. Gading, Jkt Utara, Daerah Khusus Ibukota Jakarta 14240','https://maps.app.goo.gl/CDafTWd9qFpdTmW67'),</v>
      </c>
    </row>
    <row r="13" spans="2:11" x14ac:dyDescent="0.25">
      <c r="B13" s="27" t="s">
        <v>464</v>
      </c>
      <c r="C13" s="15" t="s">
        <v>465</v>
      </c>
      <c r="D13" s="15" t="s">
        <v>457</v>
      </c>
      <c r="E13" s="15"/>
      <c r="F13" s="15" t="s">
        <v>436</v>
      </c>
      <c r="G13" s="15" t="s">
        <v>437</v>
      </c>
      <c r="H13" s="15" t="s">
        <v>466</v>
      </c>
      <c r="I13" s="15" t="s">
        <v>467</v>
      </c>
      <c r="J13" s="15" t="s">
        <v>468</v>
      </c>
      <c r="K13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('F03','FLIX GGP','Cinema','','Indonesia','Jakarta','Bekasi Selatan','Jl. Boulevard Raya No.1, RT.003/RW.017, Jaka Setia, Kec. Bekasi Sel., Kota Bks, Jawa Barat 17147','https://maps.app.goo.gl/8VVfF28Grsr9G2mU8'),</v>
      </c>
    </row>
    <row r="14" spans="2:11" x14ac:dyDescent="0.25">
      <c r="B14" s="27" t="s">
        <v>469</v>
      </c>
      <c r="C14" s="15" t="s">
        <v>470</v>
      </c>
      <c r="D14" s="15" t="s">
        <v>457</v>
      </c>
      <c r="E14" s="15"/>
      <c r="F14" s="15" t="s">
        <v>436</v>
      </c>
      <c r="G14" s="15" t="s">
        <v>437</v>
      </c>
      <c r="H14" s="15" t="s">
        <v>443</v>
      </c>
      <c r="I14" s="15" t="s">
        <v>471</v>
      </c>
      <c r="J14" s="15" t="s">
        <v>472</v>
      </c>
      <c r="K14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('F04','FLIX ASHTA','Cinema','','Indonesia','Jakarta','Jakarta Selatan','Jl. Senopati No.83, Senayan, Kec. Kby. Baru, Kota Jakarta Selatan, Daerah Khusus Ibukota Jakarta 12190','https://maps.app.goo.gl/JJhw2MQg4rf476B59'),</v>
      </c>
    </row>
    <row r="15" spans="2:11" x14ac:dyDescent="0.25">
      <c r="B15" s="27" t="s">
        <v>473</v>
      </c>
      <c r="C15" s="15" t="s">
        <v>474</v>
      </c>
      <c r="D15" s="15" t="s">
        <v>457</v>
      </c>
      <c r="E15" s="15"/>
      <c r="F15" s="15" t="s">
        <v>436</v>
      </c>
      <c r="G15" s="15" t="s">
        <v>437</v>
      </c>
      <c r="H15" s="15" t="s">
        <v>448</v>
      </c>
      <c r="I15" s="15" t="s">
        <v>462</v>
      </c>
      <c r="J15" s="15" t="s">
        <v>463</v>
      </c>
      <c r="K15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('F99','FLIX SHQ','Cinema','','Indonesia','Jakarta','Jakarta Utara','Jl. Boulevard Bar. Raya No.12, RT.18/RW.19, Klp. Gading Bar., Kec. Klp. Gading, Jkt Utara, Daerah Khusus Ibukota Jakarta 14240','https://maps.app.goo.gl/CDafTWd9qFpdTmW67'),</v>
      </c>
    </row>
    <row r="16" spans="2:11" hidden="1" x14ac:dyDescent="0.25">
      <c r="B16" s="27" t="s">
        <v>475</v>
      </c>
      <c r="C16" s="15" t="s">
        <v>476</v>
      </c>
      <c r="D16" s="15" t="s">
        <v>477</v>
      </c>
      <c r="E16" s="15"/>
      <c r="F16" s="15" t="s">
        <v>436</v>
      </c>
      <c r="G16" s="15" t="s">
        <v>437</v>
      </c>
      <c r="H16" s="15" t="s">
        <v>448</v>
      </c>
      <c r="I16" s="15" t="s">
        <v>458</v>
      </c>
      <c r="J16" s="15" t="s">
        <v>459</v>
      </c>
      <c r="K16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('H01','Swiss Hotel','Hotel','','Indonesia','Jakarta','Jakarta Utara','Pantai Indah Kapuk St Boulevard, RT.6/RW.2, Kamal Muara, Penjaringan, North Jakarta City, Jakarta 14470','https://maps.app.goo.gl/y1gkFm9bwuNjVQe2A'),</v>
      </c>
    </row>
    <row r="17" spans="2:11" hidden="1" x14ac:dyDescent="0.25">
      <c r="B17" s="27" t="s">
        <v>478</v>
      </c>
      <c r="C17" s="15" t="s">
        <v>479</v>
      </c>
      <c r="D17" s="15" t="s">
        <v>477</v>
      </c>
      <c r="E17" s="15"/>
      <c r="F17" s="15" t="s">
        <v>436</v>
      </c>
      <c r="G17" s="15" t="s">
        <v>437</v>
      </c>
      <c r="H17" s="15" t="s">
        <v>448</v>
      </c>
      <c r="I17" s="15" t="s">
        <v>458</v>
      </c>
      <c r="J17" s="15" t="s">
        <v>459</v>
      </c>
      <c r="K17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('H02','Mercure','Hotel','','Indonesia','Jakarta','Jakarta Utara','Pantai Indah Kapuk St Boulevard, RT.6/RW.2, Kamal Muara, Penjaringan, North Jakarta City, Jakarta 14470','https://maps.app.goo.gl/y1gkFm9bwuNjVQe2A'),</v>
      </c>
    </row>
    <row r="18" spans="2:11" hidden="1" x14ac:dyDescent="0.25">
      <c r="B18" s="27" t="s">
        <v>480</v>
      </c>
      <c r="C18" s="15" t="s">
        <v>481</v>
      </c>
      <c r="D18" s="15" t="s">
        <v>477</v>
      </c>
      <c r="E18" s="15"/>
      <c r="F18" s="15" t="s">
        <v>436</v>
      </c>
      <c r="G18" s="15" t="s">
        <v>437</v>
      </c>
      <c r="H18" s="15" t="s">
        <v>443</v>
      </c>
      <c r="I18" s="15" t="s">
        <v>482</v>
      </c>
      <c r="J18" s="15" t="s">
        <v>483</v>
      </c>
      <c r="K18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('H03','Lengham','Hotel','','Indonesia','Jakarta','Jakarta Selatan','Jalan Senopati Raya No.8B, RT.5/RW.3, Senayan, Kec. Kby. Baru, Kota Jakarta Selatan, Daerah Khusus Ibukota Jakarta 12190','https://maps.app.goo.gl/RNChXHeZVaHL4C5HA'),</v>
      </c>
    </row>
    <row r="19" spans="2:11" x14ac:dyDescent="0.25">
      <c r="B19" s="27" t="s">
        <v>484</v>
      </c>
      <c r="C19" s="15" t="s">
        <v>485</v>
      </c>
      <c r="D19" s="15" t="s">
        <v>486</v>
      </c>
      <c r="E19" s="15" t="s">
        <v>513</v>
      </c>
      <c r="F19" s="15" t="s">
        <v>436</v>
      </c>
      <c r="G19" s="15" t="s">
        <v>437</v>
      </c>
      <c r="H19" s="15" t="s">
        <v>448</v>
      </c>
      <c r="I19" s="15" t="s">
        <v>458</v>
      </c>
      <c r="J19" s="15" t="s">
        <v>459</v>
      </c>
      <c r="K19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('M01','PIK Avenue','Mall','PT. MAP','Indonesia','Jakarta','Jakarta Utara','Pantai Indah Kapuk St Boulevard, RT.6/RW.2, Kamal Muara, Penjaringan, North Jakarta City, Jakarta 14470','https://maps.app.goo.gl/y1gkFm9bwuNjVQe2A'),</v>
      </c>
    </row>
    <row r="20" spans="2:11" x14ac:dyDescent="0.25">
      <c r="B20" s="27" t="s">
        <v>314</v>
      </c>
      <c r="C20" s="15" t="s">
        <v>487</v>
      </c>
      <c r="D20" s="15" t="s">
        <v>486</v>
      </c>
      <c r="E20" s="15" t="s">
        <v>516</v>
      </c>
      <c r="F20" s="15" t="s">
        <v>436</v>
      </c>
      <c r="G20" s="15" t="s">
        <v>437</v>
      </c>
      <c r="H20" s="15" t="s">
        <v>448</v>
      </c>
      <c r="I20" s="15" t="s">
        <v>462</v>
      </c>
      <c r="J20" s="15" t="s">
        <v>463</v>
      </c>
      <c r="K20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('M02','MOI','Mall','PT. MJS','Indonesia','Jakarta','Jakarta Utara','Jl. Boulevard Bar. Raya No.12, RT.18/RW.19, Klp. Gading Bar., Kec. Klp. Gading, Jkt Utara, Daerah Khusus Ibukota Jakarta 14240','https://maps.app.goo.gl/CDafTWd9qFpdTmW67'),</v>
      </c>
    </row>
    <row r="21" spans="2:11" x14ac:dyDescent="0.25">
      <c r="B21" s="27" t="s">
        <v>316</v>
      </c>
      <c r="C21" s="15" t="s">
        <v>488</v>
      </c>
      <c r="D21" s="15" t="s">
        <v>486</v>
      </c>
      <c r="E21" s="15" t="s">
        <v>517</v>
      </c>
      <c r="F21" s="15" t="s">
        <v>436</v>
      </c>
      <c r="G21" s="15" t="s">
        <v>489</v>
      </c>
      <c r="H21" s="15" t="s">
        <v>466</v>
      </c>
      <c r="I21" s="15" t="s">
        <v>467</v>
      </c>
      <c r="J21" s="15" t="s">
        <v>468</v>
      </c>
      <c r="K21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('M03','GGP','Mall','PT. BJK','Indonesia','Jawa Barat','Bekasi Selatan','Jl. Boulevard Raya No.1, RT.003/RW.017, Jaka Setia, Kec. Bekasi Sel., Kota Bks, Jawa Barat 17147','https://maps.app.goo.gl/8VVfF28Grsr9G2mU8'),</v>
      </c>
    </row>
    <row r="22" spans="2:11" x14ac:dyDescent="0.25">
      <c r="B22" s="27" t="s">
        <v>490</v>
      </c>
      <c r="C22" s="15" t="s">
        <v>491</v>
      </c>
      <c r="D22" s="15" t="s">
        <v>486</v>
      </c>
      <c r="E22" s="15" t="s">
        <v>520</v>
      </c>
      <c r="F22" s="15" t="s">
        <v>436</v>
      </c>
      <c r="G22" s="15" t="s">
        <v>437</v>
      </c>
      <c r="H22" s="15" t="s">
        <v>443</v>
      </c>
      <c r="I22" s="15" t="s">
        <v>471</v>
      </c>
      <c r="J22" s="15" t="s">
        <v>472</v>
      </c>
      <c r="K22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('M04','ASHTA','Mall','PT. MAS','Indonesia','Jakarta','Jakarta Selatan','Jl. Senopati No.83, Senayan, Kec. Kby. Baru, Kota Jakarta Selatan, Daerah Khusus Ibukota Jakarta 12190','https://maps.app.goo.gl/JJhw2MQg4rf476B59'),</v>
      </c>
    </row>
    <row r="23" spans="2:11" x14ac:dyDescent="0.25">
      <c r="B23" s="27" t="s">
        <v>492</v>
      </c>
      <c r="C23" s="15" t="s">
        <v>493</v>
      </c>
      <c r="D23" s="15" t="s">
        <v>486</v>
      </c>
      <c r="E23" s="15" t="s">
        <v>518</v>
      </c>
      <c r="F23" s="15" t="s">
        <v>436</v>
      </c>
      <c r="G23" s="15" t="s">
        <v>437</v>
      </c>
      <c r="H23" s="15" t="s">
        <v>438</v>
      </c>
      <c r="I23" s="15" t="s">
        <v>494</v>
      </c>
      <c r="J23" s="15" t="s">
        <v>495</v>
      </c>
      <c r="K23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('M05','Hublife','Mall','PT. AKMA','Indonesia','Jakarta','Jakarta Barat','Jl. Tanjung Duren Timur No.2, RW.5, Tj. Duren Sel., Kec. Grogol petamburan, Kota Jakarta Barat, Daerah Khusus Ibukota Jakarta 11470','https://maps.app.goo.gl/xFdujp585bfoE3qn6'),</v>
      </c>
    </row>
    <row r="24" spans="2:11" x14ac:dyDescent="0.25">
      <c r="B24" s="27" t="s">
        <v>496</v>
      </c>
      <c r="C24" s="15" t="s">
        <v>512</v>
      </c>
      <c r="D24" s="15" t="s">
        <v>486</v>
      </c>
      <c r="E24" s="15"/>
      <c r="F24" s="15" t="s">
        <v>436</v>
      </c>
      <c r="G24" s="15" t="s">
        <v>437</v>
      </c>
      <c r="H24" s="15" t="s">
        <v>448</v>
      </c>
      <c r="I24" s="15"/>
      <c r="J24" s="15"/>
      <c r="K24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('M06','K-Mall','Mall','','Indonesia','Jakarta','Jakarta Utara','',''),</v>
      </c>
    </row>
    <row r="25" spans="2:11" x14ac:dyDescent="0.25">
      <c r="B25" s="27" t="s">
        <v>315</v>
      </c>
      <c r="C25" s="15" t="s">
        <v>497</v>
      </c>
      <c r="D25" s="15" t="s">
        <v>498</v>
      </c>
      <c r="E25" s="15" t="s">
        <v>520</v>
      </c>
      <c r="F25" s="15" t="s">
        <v>436</v>
      </c>
      <c r="G25" s="15" t="s">
        <v>437</v>
      </c>
      <c r="H25" s="15" t="s">
        <v>448</v>
      </c>
      <c r="I25" s="15" t="s">
        <v>499</v>
      </c>
      <c r="J25" s="15" t="s">
        <v>500</v>
      </c>
      <c r="K25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('O99','ASG Tower','Ofiice','PT. MAS','Indonesia','Jakarta','Jakarta Utara','ASG Tower, Jl. Pantai Indah Kapuk No.2, RT.6/RW.2, Kamal Muara, Kec. Penjaringan, Jkt Utara, Daerah Khusus Ibukota Jakarta 14470','https://maps.app.goo.gl/rTbagH72jdi6VfLk9'),</v>
      </c>
    </row>
    <row r="26" spans="2:11" x14ac:dyDescent="0.25">
      <c r="B26" s="27" t="s">
        <v>501</v>
      </c>
      <c r="C26" s="15" t="s">
        <v>502</v>
      </c>
      <c r="D26" s="15" t="s">
        <v>498</v>
      </c>
      <c r="E26" s="15"/>
      <c r="F26" s="15" t="s">
        <v>436</v>
      </c>
      <c r="G26" s="15" t="s">
        <v>437</v>
      </c>
      <c r="H26" s="15" t="s">
        <v>443</v>
      </c>
      <c r="I26" s="15" t="s">
        <v>482</v>
      </c>
      <c r="J26" s="15" t="s">
        <v>483</v>
      </c>
      <c r="K26" s="28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('OD8','District 8','Ofiice','','Indonesia','Jakarta','Jakarta Selatan','Jalan Senopati Raya No.8B, RT.5/RW.3, Senayan, Kec. Kby. Baru, Kota Jakarta Selatan, Daerah Khusus Ibukota Jakarta 12190','https://maps.app.goo.gl/RNChXHeZVaHL4C5HA'),</v>
      </c>
    </row>
    <row r="27" spans="2:11" x14ac:dyDescent="0.25">
      <c r="B27" s="29" t="s">
        <v>427</v>
      </c>
      <c r="C27" s="30" t="s">
        <v>503</v>
      </c>
      <c r="D27" s="30" t="s">
        <v>504</v>
      </c>
      <c r="E27" s="30" t="s">
        <v>511</v>
      </c>
      <c r="F27" s="30" t="s">
        <v>505</v>
      </c>
      <c r="G27" s="30" t="s">
        <v>506</v>
      </c>
      <c r="H27" s="30" t="s">
        <v>507</v>
      </c>
      <c r="I27" s="30" t="s">
        <v>508</v>
      </c>
      <c r="J27" s="30"/>
      <c r="K27" s="31" t="str">
        <f>"('"&amp;db_site[[#This Row],[ID_SITE]]&amp;"','"&amp;
db_site[[#This Row],[SITE]]&amp;"','"&amp;
db_site[[#This Row],[BUSINESS_UNIT]]&amp;"','"&amp;
db_site[[#This Row],[COMPANY]]&amp;"','"&amp;
db_site[[#This Row],[Country]]&amp;"','"&amp;
db_site[[#This Row],[Provincy]]&amp;"','"&amp;
db_site[[#This Row],[City]]&amp;"','"&amp;
db_site[[#This Row],[Address]]&amp;"','"&amp;
db_site[[#This Row],[Url_maps]]&amp;"'),"</f>
        <v>('VAC','No SITE','No Placement','No Company','No Country','No Provincy','No City','No Address',''),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Employee</vt:lpstr>
      <vt:lpstr>EMPLOYEES</vt:lpstr>
      <vt:lpstr>LEVEL</vt:lpstr>
      <vt:lpstr>DIRECTORATE</vt:lpstr>
      <vt:lpstr>DIVISION</vt:lpstr>
      <vt:lpstr>DEPARTEMENT</vt:lpstr>
      <vt:lpstr>SUB-DEPARTEMENT</vt:lpstr>
      <vt:lpstr>BUSINESS-UNIT</vt:lpstr>
      <vt:lpstr>CORP</vt:lpstr>
      <vt:lpstr>EMAIL</vt:lpstr>
      <vt:lpstr>AD</vt:lpstr>
      <vt:lpstr>WORKSTATION</vt:lpstr>
      <vt:lpstr>Q-WS</vt:lpstr>
      <vt:lpstr>ME</vt:lpstr>
      <vt:lpstr>TASK</vt:lpstr>
      <vt:lpstr>WH</vt:lpstr>
      <vt:lpstr>AM</vt:lpstr>
      <vt:lpstr>ITEM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Degia Parlopa Pasaribu</dc:creator>
  <cp:lastModifiedBy>Degia Parlopa</cp:lastModifiedBy>
  <dcterms:created xsi:type="dcterms:W3CDTF">2015-06-05T18:17:20Z</dcterms:created>
  <dcterms:modified xsi:type="dcterms:W3CDTF">2025-10-23T12:03:36Z</dcterms:modified>
</cp:coreProperties>
</file>