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Quy trình" sheetId="1" r:id="rId5"/>
    <sheet state="visible" name="3. Công thức lab theo từng mã h" sheetId="2" r:id="rId6"/>
    <sheet state="visible" name="2. HÀNG NGÀY 2026" sheetId="3" r:id="rId7"/>
    <sheet state="hidden" name="HÀNG NGÀY 2025" sheetId="4" r:id="rId8"/>
    <sheet state="visible" name="4. DEGO CẦN THO" sheetId="5" r:id="rId9"/>
    <sheet state="visible" name="5. NIỀM TIN VIỆT" sheetId="6" r:id="rId10"/>
    <sheet state="hidden" name="TỔNG" sheetId="7" r:id="rId11"/>
  </sheets>
  <definedNames>
    <definedName hidden="1" localSheetId="1" name="_xlnm._FilterDatabase">'3. Công thức lab theo từng mã h'!$A$3:$Y$994</definedName>
    <definedName hidden="1" localSheetId="2" name="_xlnm._FilterDatabase">'2. HÀNG NGÀY 2026'!$A$2:$W$659</definedName>
    <definedName hidden="1" localSheetId="3" name="_xlnm._FilterDatabase">'HÀNG NGÀY 2025'!$A$2:$X$996</definedName>
    <definedName hidden="1" localSheetId="5" name="_xlnm._FilterDatabase">'5. NIỀM TIN VIỆT'!$A$3:$BQ$999</definedName>
    <definedName hidden="1" localSheetId="6" name="_xlnm._FilterDatabase">'TỔNG'!$A$2:$BQ$334</definedName>
  </definedNames>
  <calcPr/>
</workbook>
</file>

<file path=xl/sharedStrings.xml><?xml version="1.0" encoding="utf-8"?>
<sst xmlns="http://schemas.openxmlformats.org/spreadsheetml/2006/main" count="4644" uniqueCount="1395">
  <si>
    <t>QUY TRÌNH  XỬ LÝ GIÁ SAU TIẾP NHẬN ĐƠN HÀNG NHÀ MÁY DEGO</t>
  </si>
  <si>
    <t>TỔNG QUAN</t>
  </si>
  <si>
    <t>Tiếp nhận đơn → Kiểm tra mã → Kiểm tra giá → Tính giá → Kiểm soát → Duyệt → Cập nhật hệ thống</t>
  </si>
  <si>
    <t>STT</t>
  </si>
  <si>
    <t>Công đoạn</t>
  </si>
  <si>
    <t>Nội dung thực hiện</t>
  </si>
  <si>
    <t>Kết quả</t>
  </si>
  <si>
    <t>Trách nhiệm</t>
  </si>
  <si>
    <t>Biểu mẫu</t>
  </si>
  <si>
    <t>Ghi chú</t>
  </si>
  <si>
    <t>Hình minh hoạ 1</t>
  </si>
  <si>
    <t>Hình minh hoạ 2</t>
  </si>
  <si>
    <t>Hình minh hoạ 3</t>
  </si>
  <si>
    <t>Tiếp nhận đơn</t>
  </si>
  <si>
    <r>
      <rPr>
        <rFont val="Times New Roman"/>
        <color theme="1"/>
        <sz val="12.0"/>
      </rPr>
      <t>1. Điều phối tiếp nhận đơn hàng KD vào drive "</t>
    </r>
    <r>
      <rPr>
        <rFont val="Times New Roman"/>
        <b/>
        <color theme="1"/>
        <sz val="12.0"/>
      </rPr>
      <t>SX-ĐIỀU PHỐI THÀNH PHẨM</t>
    </r>
    <r>
      <rPr>
        <rFont val="Times New Roman"/>
        <color theme="1"/>
        <sz val="12.0"/>
      </rPr>
      <t>"  sheet "</t>
    </r>
    <r>
      <rPr>
        <rFont val="Times New Roman"/>
        <b/>
        <color theme="1"/>
        <sz val="12.0"/>
      </rPr>
      <t>ĐIỀU PHỐI</t>
    </r>
    <r>
      <rPr>
        <rFont val="Times New Roman"/>
        <color theme="1"/>
        <sz val="12.0"/>
      </rPr>
      <t>"</t>
    </r>
  </si>
  <si>
    <t>Đơn hàng được ghi nhận đầy đủ, chính xác
Làm cơ sở dữ liệu đầu vào cho toàn bộ quy trình</t>
  </si>
  <si>
    <t>KD-&gt; Điều phối</t>
  </si>
  <si>
    <t>SX-ĐIỀU PHỐI THÀNH PHẨM</t>
  </si>
  <si>
    <t>Hình minh hoạ 1: ĐIỀU PHỐI</t>
  </si>
  <si>
    <t>Thực hiện kiểm tra đơn hàng</t>
  </si>
  <si>
    <r>
      <rPr>
        <rFont val="Times New Roman"/>
        <color theme="1"/>
        <sz val="12.0"/>
      </rPr>
      <t xml:space="preserve">1. Vào dvire "SX-ĐIỀU PHỐI THÀNH PHẨM" vào sheet" ĐIỀU PHỐI" chọn (cột B) NCC đề xuất  lọc </t>
    </r>
    <r>
      <rPr>
        <rFont val="Times New Roman"/>
        <b/>
        <color theme="1"/>
        <sz val="12.0"/>
      </rPr>
      <t>NCC Dego Cần Thơ.</t>
    </r>
  </si>
  <si>
    <t>Hiển thị các đơn hàng cần kiểm tra giá.</t>
  </si>
  <si>
    <t>Nhà máy</t>
  </si>
  <si>
    <t>Hình minh hoạ 1: ĐIỀU PHỐI
Hình minh hoạ 2: HÀNG NGÀY 2026</t>
  </si>
  <si>
    <r>
      <rPr>
        <rFont val="Times New Roman"/>
        <color theme="1"/>
        <sz val="12.0"/>
      </rPr>
      <t xml:space="preserve">2. Kiểm tra từng đơn hàng: Thương hiệu, Mã hàng, Tên pháp lý, Công thức, Giá bán khách hàng,…
→ Nếu thiếu thông tin, yêu cầu bổ sung ngay trước khi xử lý tiếp.
</t>
    </r>
    <r>
      <rPr>
        <rFont val="Times New Roman"/>
        <b/>
        <color theme="1"/>
        <sz val="12.0"/>
      </rPr>
      <t>Bắt buộc cập nhật:</t>
    </r>
    <r>
      <rPr>
        <rFont val="Times New Roman"/>
        <color theme="1"/>
        <sz val="12.0"/>
      </rPr>
      <t xml:space="preserve">
</t>
    </r>
    <r>
      <rPr>
        <rFont val="Times New Roman"/>
        <b/>
        <color theme="1"/>
        <sz val="12.0"/>
      </rPr>
      <t>Mã công thức</t>
    </r>
    <r>
      <rPr>
        <rFont val="Times New Roman"/>
        <color theme="1"/>
        <sz val="12.0"/>
      </rPr>
      <t xml:space="preserve">
→ Đảm bảo sử dụng đúng công thức, tránh sai giá (do cùng công thức nhưng mỗi thương hiệu có giá khác nhau).
</t>
    </r>
    <r>
      <rPr>
        <rFont val="Times New Roman"/>
        <b/>
        <color theme="1"/>
        <sz val="12.0"/>
      </rPr>
      <t>Giá bán khách hàng</t>
    </r>
    <r>
      <rPr>
        <rFont val="Times New Roman"/>
        <color theme="1"/>
        <sz val="12.0"/>
      </rPr>
      <t xml:space="preserve">
→ Trường hợp không cung cấp giá bán, nếu phát sinh âm biên lợi nhuận thì BPYC tự chịu trách nhiệm.</t>
    </r>
  </si>
  <si>
    <t>Dữ liệu đơn hàng đầy đủ, chính xác
Đủ điều kiện để tính giá, hạn chế sai và âm lợi nhuận</t>
  </si>
  <si>
    <t>3. Cập nhật đơn hàng vào sheet “2. HÀNG NGÀY 2026” (Drive “CẬP NHẬT ĐƠN HÀNG HẰNG NGÀY”)
→ Kiểm tra công thức từ sheet “ĐIỀU PHỐI”
→ Copy dữ liệu từ cột B đến cột Q và dán vào file theo dõi</t>
  </si>
  <si>
    <t>Đơn hàng được cập nhật đầy đủ, đúng công thức
Dữ liệu đồng bộ, sẵn sàng cho bước tính giá
 → Tiến hành so sánh và kiểm tra lại công thức của đơn hàng đã cập nhật.</t>
  </si>
  <si>
    <t>Kiểm tra trạng thái công thức</t>
  </si>
  <si>
    <t>B1. Lấy mã công thức  (cột K) theo đơn hàng trên sheet “ĐIỀU PHỐI” của Drive "SX-ĐIỀU PHỐI THÀNH PHẨM"</t>
  </si>
  <si>
    <t>Xác định rõ công thức đã có hay chưa
Cập nhật trạng thái xử lý
Đảm bảo đơn hàng được xử lý đúng tiến độ</t>
  </si>
  <si>
    <t>Nhà máy, Lab</t>
  </si>
  <si>
    <r>
      <rPr>
        <rFont val="Times New Roman"/>
        <color theme="1"/>
        <sz val="12.0"/>
      </rPr>
      <t>B2. Vào Drive “</t>
    </r>
    <r>
      <rPr>
        <rFont val="Times New Roman"/>
        <b/>
        <color theme="1"/>
        <sz val="12.0"/>
      </rPr>
      <t>Giá BTP PB bàn giao Nhà máy</t>
    </r>
    <r>
      <rPr>
        <rFont val="Times New Roman"/>
        <color theme="1"/>
        <sz val="12.0"/>
      </rPr>
      <t>” → mở sheet “</t>
    </r>
    <r>
      <rPr>
        <rFont val="Times New Roman"/>
        <b/>
        <color theme="1"/>
        <sz val="12.0"/>
      </rPr>
      <t>11. DANH SÁCH MÃ HÀNG GẮN VỚI CTPB KD</t>
    </r>
    <r>
      <rPr>
        <rFont val="Times New Roman"/>
        <color theme="1"/>
        <sz val="12.0"/>
      </rPr>
      <t>”</t>
    </r>
  </si>
  <si>
    <t>Drive Giá BTP PB bàn giao Nhà máy</t>
  </si>
  <si>
    <r>
      <rPr>
        <rFont val="Times New Roman"/>
        <b/>
        <color theme="1"/>
        <sz val="12.0"/>
      </rPr>
      <t>B3. Kiểm tra công thức theo mã hàng / mã công thức:</t>
    </r>
    <r>
      <rPr>
        <rFont val="Times New Roman"/>
        <color theme="1"/>
        <sz val="12.0"/>
      </rPr>
      <t xml:space="preserve">
</t>
    </r>
    <r>
      <rPr>
        <rFont val="Times New Roman"/>
        <b/>
        <color theme="1"/>
        <sz val="12.0"/>
      </rPr>
      <t>Trường hợp 1</t>
    </r>
    <r>
      <rPr>
        <rFont val="Times New Roman"/>
        <color theme="1"/>
        <sz val="12.0"/>
      </rPr>
      <t xml:space="preserve">: Công thức cũ (đã có giá BTP)
→ Copy công thức cũ vào cột R sheet “2. HÀNG NGÀY 2026” (để theo dõi, kiểm soát sai/đổi công thức)
→ Cập nhật trạng thái cột BE (Xử lý giá vốn Hương): “Đã có giá, chờ Lab phản hồi” trên drive "SX-ĐIỀU PHỐI THÀNH PHẨM"
</t>
    </r>
    <r>
      <rPr>
        <rFont val="Times New Roman"/>
        <b/>
        <color theme="1"/>
        <sz val="12.0"/>
      </rPr>
      <t>Trường hợp 2</t>
    </r>
    <r>
      <rPr>
        <rFont val="Times New Roman"/>
        <color theme="1"/>
        <sz val="12.0"/>
      </rPr>
      <t>: Công thức mới (chưa có giá)
→ Gửi mã công thức + đơn hàng vào nhóm Zalo “</t>
    </r>
    <r>
      <rPr>
        <rFont val="Times New Roman"/>
        <b/>
        <color theme="1"/>
        <sz val="12.0"/>
      </rPr>
      <t>SX – CẬP NHẬT LINK BDM MẪU</t>
    </r>
    <r>
      <rPr>
        <rFont val="Times New Roman"/>
        <color theme="1"/>
        <sz val="12.0"/>
      </rPr>
      <t>” cho Lab
→ Cập nhật trạng thái cột BE: “Chưa có công thức lab” Trên drive "SX-ĐIỀU PHỐI THÀNH PHẨM"
→</t>
    </r>
    <r>
      <rPr>
        <rFont val="Times New Roman"/>
        <b/>
        <color theme="1"/>
        <sz val="12.0"/>
      </rPr>
      <t xml:space="preserve"> Chờ Lab xử lý:</t>
    </r>
    <r>
      <rPr>
        <rFont val="Times New Roman"/>
        <color theme="1"/>
        <sz val="12.0"/>
      </rPr>
      <t xml:space="preserve">
- Lab cập nhật mã công thức và giá vốn..
- Gửi giá vốn cho KD -&gt; đợi KD xác nhận giá → cho đi đơn hàng/huỷ đơn/tạm ngưng.</t>
    </r>
  </si>
  <si>
    <r>
      <rPr>
        <rFont val="Times New Roman"/>
        <color theme="1"/>
        <sz val="12.0"/>
      </rPr>
      <t>B4. Chờ Lab kiểm tra đơn hàng tại sheet “</t>
    </r>
    <r>
      <rPr>
        <rFont val="Times New Roman"/>
        <b/>
        <color theme="1"/>
        <sz val="12.0"/>
      </rPr>
      <t>4.DEGO CẦN THƠ</t>
    </r>
    <r>
      <rPr>
        <rFont val="Times New Roman"/>
        <color theme="1"/>
        <sz val="12.0"/>
      </rPr>
      <t>”</t>
    </r>
  </si>
  <si>
    <t>CẬP NHẬT ĐƠN HÀNG PHÁT SINH HÀNG NGÀY</t>
  </si>
  <si>
    <r>
      <rPr>
        <rFont val="Times New Roman"/>
        <color theme="1"/>
        <sz val="12.0"/>
      </rPr>
      <t xml:space="preserve">
B5. Lab cập nhật công thức theo dơn hàng vào sheet “</t>
    </r>
    <r>
      <rPr>
        <rFont val="Times New Roman"/>
        <b/>
        <color theme="1"/>
        <sz val="12.0"/>
      </rPr>
      <t>3. Công thức lab theo từng mã hàng</t>
    </r>
    <r>
      <rPr>
        <rFont val="Times New Roman"/>
        <color theme="1"/>
        <sz val="12.0"/>
      </rPr>
      <t>”
→ Theo dõi tiến độ để đảm bảo đơn hàng xử lý đúng hạn.</t>
    </r>
  </si>
  <si>
    <t>Xử lý giá</t>
  </si>
  <si>
    <r>
      <rPr>
        <rFont val="Times New Roman"/>
        <color theme="1"/>
        <sz val="12.0"/>
      </rPr>
      <t>Vào Drive “</t>
    </r>
    <r>
      <rPr>
        <rFont val="Times New Roman"/>
        <b/>
        <color theme="1"/>
        <sz val="12.0"/>
      </rPr>
      <t>Giá BTP PB bàn giao Nhà máy</t>
    </r>
    <r>
      <rPr>
        <rFont val="Times New Roman"/>
        <color theme="1"/>
        <sz val="12.0"/>
      </rPr>
      <t>” → sheet “</t>
    </r>
    <r>
      <rPr>
        <rFont val="Times New Roman"/>
        <b/>
        <color theme="1"/>
        <sz val="12.0"/>
      </rPr>
      <t>11. DANH SÁCH MÃ HÀNG GẮN VỚI CTPB KD</t>
    </r>
    <r>
      <rPr>
        <rFont val="Times New Roman"/>
        <color theme="1"/>
        <sz val="12.0"/>
      </rPr>
      <t>” để xử lý giá:</t>
    </r>
  </si>
  <si>
    <t>Mỗi đơn hàng được xử lý đúng theo từng trường hợp
Đảm bảo kiểm soát giá, tránh sai và hạn chế âm lợi nhuận</t>
  </si>
  <si>
    <r>
      <rPr>
        <rFont val="Times New Roman"/>
        <b/>
        <color theme="1"/>
        <sz val="12.0"/>
      </rPr>
      <t>Trường hợp 1: Mã cũ – công thức cũ</t>
    </r>
    <r>
      <rPr>
        <rFont val="Times New Roman"/>
        <color theme="1"/>
        <sz val="12.0"/>
      </rPr>
      <t xml:space="preserve">
→ Kiểm tra mã hàng và giá bán khách hàng
1. Giá bán không đổi → Duyệt giá, cho đi đơn
2. Giá bán tăng → Vẫn cho đi đơn
3. </t>
    </r>
    <r>
      <rPr>
        <rFont val="Times New Roman"/>
        <b/>
        <color theme="1"/>
        <sz val="12.0"/>
      </rPr>
      <t xml:space="preserve">Giá bán giảm → Thông báo KD xác nhận: </t>
    </r>
    <r>
      <rPr>
        <rFont val="Times New Roman"/>
        <color theme="1"/>
        <sz val="12.0"/>
      </rPr>
      <t xml:space="preserve">
- Đồng ý → Đi đơn
- Không đồng ý →Đợi KD phản hồi lại giá hoặc huỷ đơn hàng theo yêu cầu của KD
→ Cập nhật lại thông tin vào Drive</t>
    </r>
  </si>
  <si>
    <r>
      <rPr>
        <rFont val="Times New Roman"/>
        <b/>
        <color theme="1"/>
        <sz val="12.0"/>
      </rPr>
      <t>Trường hợp 2: Mã cũ – công thức mới</t>
    </r>
    <r>
      <rPr>
        <rFont val="Times New Roman"/>
        <color theme="1"/>
        <sz val="12.0"/>
      </rPr>
      <t xml:space="preserve">
→ Kiểm tra thông tin KD đã nhập.
Nếu KD nhập sai → Yêu cầu KD chỉnh sửa lại.
Nếu đúng và đã xác nhận có cải tiến công thức:
→ Thực hiện quy trình hỏi công thức và giá Lab → Sau khi lab phản hồi:
- </t>
    </r>
    <r>
      <rPr>
        <rFont val="Times New Roman"/>
        <b/>
        <color theme="1"/>
        <sz val="12.0"/>
      </rPr>
      <t xml:space="preserve">Có giá vốn -&gt; báo giá cho KD 
</t>
    </r>
    <r>
      <rPr>
        <rFont val="Times New Roman"/>
        <color theme="1"/>
        <sz val="12.0"/>
      </rPr>
      <t>1. xác nhận → Duyệt, cho đi đơn
2. chưa xác nhận → Tạm ngưng hoặc hủy đơn</t>
    </r>
  </si>
  <si>
    <r>
      <rPr>
        <rFont val="Times New Roman"/>
        <b/>
        <color theme="1"/>
        <sz val="12.0"/>
      </rPr>
      <t>Trường hợp 3: Mã mới – công thức mới</t>
    </r>
    <r>
      <rPr>
        <rFont val="Times New Roman"/>
        <color theme="1"/>
        <sz val="12.0"/>
      </rPr>
      <t xml:space="preserve">
→ Thực hiện quy trình hỏi công thức và giá mẫu Lab
→ Sau khi có giá:
</t>
    </r>
    <r>
      <rPr>
        <rFont val="Times New Roman"/>
        <b/>
        <color theme="1"/>
        <sz val="12.0"/>
      </rPr>
      <t xml:space="preserve">- Có giá vốn -&gt; báo giá cho KD </t>
    </r>
    <r>
      <rPr>
        <rFont val="Times New Roman"/>
        <color theme="1"/>
        <sz val="12.0"/>
      </rPr>
      <t xml:space="preserve">
1. xác nhận → Duyệt, cho đi đơn
2. chưa xác nhận → Tạm ngưng hoặc hủy đơn</t>
    </r>
  </si>
  <si>
    <t>Xác nhận và theo dõi đơn hàng</t>
  </si>
  <si>
    <r>
      <rPr>
        <rFont val="Times New Roman"/>
        <b/>
        <color theme="1"/>
        <sz val="12.0"/>
      </rPr>
      <t>Hoàn tất các bước kiểm tra giá:</t>
    </r>
    <r>
      <rPr>
        <rFont val="Times New Roman"/>
        <color theme="1"/>
        <sz val="12.0"/>
      </rPr>
      <t xml:space="preserve">
vào drive " </t>
    </r>
    <r>
      <rPr>
        <rFont val="Times New Roman"/>
        <b/>
        <color theme="1"/>
        <sz val="12.0"/>
      </rPr>
      <t>SX-ĐIỀU PHỐI THÀNH PHẨM</t>
    </r>
    <r>
      <rPr>
        <rFont val="Times New Roman"/>
        <color theme="1"/>
        <sz val="12.0"/>
      </rPr>
      <t>" sheet "</t>
    </r>
    <r>
      <rPr>
        <rFont val="Times New Roman"/>
        <b/>
        <color theme="1"/>
        <sz val="12.0"/>
      </rPr>
      <t>Điều phối</t>
    </r>
    <r>
      <rPr>
        <rFont val="Times New Roman"/>
        <color theme="1"/>
        <sz val="12.0"/>
      </rPr>
      <t xml:space="preserve">"
- Cập nhật trạng thái phù hợp với từng đơn hàng tại cột BF (Xử lý giá vốn Hương):
 Đã xử lý giá
 Chưa có công thức lab
 Đã có giá, chờ Lab phản hồi
 Chưa có thông tin công thức đơn hàng từ KD
 KD huỷ đơn
Kèm theo ghi chú chi tiết vào cột BG (Ghi chú)
</t>
    </r>
  </si>
  <si>
    <t>Trạng thái đơn hàng được cập nhật rõ ràng
Dễ theo dõi và kiểm soát tiến độ xử lý</t>
  </si>
  <si>
    <t>Hình minh hoạ 1: ĐIỀU PHỐI duyệt giá cho đi đơn hàng</t>
  </si>
  <si>
    <t>NCC đề xuất</t>
  </si>
  <si>
    <t>Mã đơn đặt hàng (po)</t>
  </si>
  <si>
    <t>Ngày yêu cầu</t>
  </si>
  <si>
    <t>Trạng thái kiểm duyệt nhãn</t>
  </si>
  <si>
    <t>Thương hiệu</t>
  </si>
  <si>
    <t>Mã Hàng</t>
  </si>
  <si>
    <t>Tên hàng</t>
  </si>
  <si>
    <t>Phân loại</t>
  </si>
  <si>
    <t>Tên pháp lý</t>
  </si>
  <si>
    <t>Công thức</t>
  </si>
  <si>
    <t>Màu btp</t>
  </si>
  <si>
    <t>ĐVT</t>
  </si>
  <si>
    <t>Quy cách thùng</t>
  </si>
  <si>
    <t>SLTP/Thùng</t>
  </si>
  <si>
    <t>Sl thành phẩm
(gồm khuyến mãi)</t>
  </si>
  <si>
    <t>Ngày yêu cầu sẵn kho NCC</t>
  </si>
  <si>
    <t>CÔNG THỨC GẦN NHẤT
(Tham Khảo)</t>
  </si>
  <si>
    <t>Ngày check giá</t>
  </si>
  <si>
    <t>Công thức BĐM từ lab</t>
  </si>
  <si>
    <t>Ngày cập nhật</t>
  </si>
  <si>
    <t>Ghi chú Nhật Anh</t>
  </si>
  <si>
    <t>Dego Cần Thơ</t>
  </si>
  <si>
    <t>ATP06012607</t>
  </si>
  <si>
    <t>Đã duyệt</t>
  </si>
  <si>
    <t>ABA</t>
  </si>
  <si>
    <t>HH4545</t>
  </si>
  <si>
    <t>GC - V - 4545 - GNH - DR. PHOENIX SUPER ĐỒNG (Nước xanh nõn chuối) - 100ml - 100</t>
  </si>
  <si>
    <t>Phân bón</t>
  </si>
  <si>
    <t>Vi lượng Agama - Cu</t>
  </si>
  <si>
    <t>A01311025</t>
  </si>
  <si>
    <t>Nước xanh nõn chuối</t>
  </si>
  <si>
    <t>Chai</t>
  </si>
  <si>
    <t>17KN0011</t>
  </si>
  <si>
    <t>Chưa có công thức lab</t>
  </si>
  <si>
    <t>ATP06012608</t>
  </si>
  <si>
    <t>HH4546</t>
  </si>
  <si>
    <t>GC - V - 4546 - GNH - DR. PHOENIX SUPER ĐỒNG (Nước xanh nõn chuối) - 250ml - 40</t>
  </si>
  <si>
    <t>ATP08012603</t>
  </si>
  <si>
    <t>HH4608</t>
  </si>
  <si>
    <t>GC - V - 4608 - CTY ASAHI NHẬT BẢN - RONBIN SAMURAI (Gel nâu đen) - 500ml - 40</t>
  </si>
  <si>
    <t>Vi lượng Quantity New</t>
  </si>
  <si>
    <t>A04270225</t>
  </si>
  <si>
    <t>Gel nâu đen</t>
  </si>
  <si>
    <t>13XL0008V2</t>
  </si>
  <si>
    <t>ITP08012608</t>
  </si>
  <si>
    <t>IDA</t>
  </si>
  <si>
    <t>HH3050</t>
  </si>
  <si>
    <t>IDA Global - I - 3050 - SIÊU KẼM 247 (Nước vàng nhạt) - 250ml - 40</t>
  </si>
  <si>
    <t>Vi lượng AGAMA-ZN</t>
  </si>
  <si>
    <t>Đóng theo đơn gần nhất</t>
  </si>
  <si>
    <t>Nước vàng nhạt</t>
  </si>
  <si>
    <t>03DD0003</t>
  </si>
  <si>
    <t>ITP08012613</t>
  </si>
  <si>
    <t>HH4609</t>
  </si>
  <si>
    <t>IDA GLOBAL (ĐL ÚT TÈO) - Hữu Cơ Organic ĐGP 01 - WINNER EXTRA - 500ml - 40</t>
  </si>
  <si>
    <t>Hữu Cơ Organic ĐGP 01</t>
  </si>
  <si>
    <t>Công thức lab I01171025</t>
  </si>
  <si>
    <t>Nước nâu đen</t>
  </si>
  <si>
    <t>04VG0010V3</t>
  </si>
  <si>
    <t>XTP.09012601</t>
  </si>
  <si>
    <t>Dr.xanh</t>
  </si>
  <si>
    <t>HH4204</t>
  </si>
  <si>
    <t>DR.XANH - VIII - 4204 - ROBUST EXTRA (Gel nâu đen) - 500ml - 40</t>
  </si>
  <si>
    <t>Root US90</t>
  </si>
  <si>
    <t>X01180825</t>
  </si>
  <si>
    <t>Đen</t>
  </si>
  <si>
    <t>chai</t>
  </si>
  <si>
    <t>01RR0071V1</t>
  </si>
  <si>
    <t>XTP.09012602</t>
  </si>
  <si>
    <t>HH4206</t>
  </si>
  <si>
    <t>DR.XANH - VIII - 4206 - ROBUST EXTRA (Gel nâu đen) - 250ml - 40</t>
  </si>
  <si>
    <t>01RR0071V5</t>
  </si>
  <si>
    <t>ATP16042602</t>
  </si>
  <si>
    <t>HH4479</t>
  </si>
  <si>
    <t>GC - V - 4479 - CTY QUANG ĐĂNG AGRICULTURE (ĐL ÚT TIỆP) - COMBI GREEN (Nước trắng sữa) - 250ml - 40</t>
  </si>
  <si>
    <t>vi lượng Phú Sĩ FJ-09 Kẽm Mg</t>
  </si>
  <si>
    <t>A02011025</t>
  </si>
  <si>
    <t>Nước trắng sữa</t>
  </si>
  <si>
    <t>ATP05052604</t>
  </si>
  <si>
    <t>HH4976</t>
  </si>
  <si>
    <t>GC - V - 4976 - CTY AN LẠC - GROW 7-7-7 + TE (Gel xanh lơ) - 50ml - 300</t>
  </si>
  <si>
    <t>lá NPK-vi lượng GNC19</t>
  </si>
  <si>
    <t>A07290725</t>
  </si>
  <si>
    <t>Gel xanh lơ</t>
  </si>
  <si>
    <t>Túi/Gói</t>
  </si>
  <si>
    <t>01RR0070</t>
  </si>
  <si>
    <t>Có công thức</t>
  </si>
  <si>
    <t>Ghi chú Hương</t>
  </si>
  <si>
    <t>Dego Đồng Tháp</t>
  </si>
  <si>
    <t>ATP30082502</t>
  </si>
  <si>
    <t>HH1625</t>
  </si>
  <si>
    <t>GC - II - 1625 - AGC - BOCAX (nước vàng) - 500ml - 40</t>
  </si>
  <si>
    <t>Vi lượng Run Fast</t>
  </si>
  <si>
    <t>cùng ruột 1618</t>
  </si>
  <si>
    <t>Nước vàng</t>
  </si>
  <si>
    <t>10CR0001V1</t>
  </si>
  <si>
    <t>x</t>
  </si>
  <si>
    <t>ITP.30082506</t>
  </si>
  <si>
    <t>HH3860</t>
  </si>
  <si>
    <t>IDA Global - I - 3860 - CỨNG CÂY 304 (Nước nâu đen) - 500ml - 40</t>
  </si>
  <si>
    <t>Hữu cơ SH Agro Organic Fertilizer 20</t>
  </si>
  <si>
    <t>02CC0002V1</t>
  </si>
  <si>
    <t>ITP.30082514</t>
  </si>
  <si>
    <t>HH3170</t>
  </si>
  <si>
    <t>IDA Global - I - 3170 - IDA ORGANIC X2 (Nước nâu đen) - 1L - 20</t>
  </si>
  <si>
    <t>01RR0044</t>
  </si>
  <si>
    <t>ITP.30082516</t>
  </si>
  <si>
    <t>HH3994</t>
  </si>
  <si>
    <t>IDA Global - I - 3994 - RONADO (Nước tím) - 450ml - 40</t>
  </si>
  <si>
    <t>Hỗn Hợp NP AGAMA-AP</t>
  </si>
  <si>
    <t>Nước tím</t>
  </si>
  <si>
    <t>01RR0025V3</t>
  </si>
  <si>
    <t>ATP23082501</t>
  </si>
  <si>
    <t xml:space="preserve">Đã duyệt </t>
  </si>
  <si>
    <t>HH4021</t>
  </si>
  <si>
    <t>GC - II - 4021 - GC ABA (A. QUYẾT) - GROW FAST (nước nâu đen) - 20L - 1</t>
  </si>
  <si>
    <t>Hữu cơ ORGANIC ĐGP 01</t>
  </si>
  <si>
    <t>A01090825</t>
  </si>
  <si>
    <t>Can</t>
  </si>
  <si>
    <t>05KC0010</t>
  </si>
  <si>
    <t>ATP26082508</t>
  </si>
  <si>
    <t>HH3998</t>
  </si>
  <si>
    <t>GC - IV - 3998 - CTY NAUY - SUPER NANO (Nước nâu đen) - 500ml - 40</t>
  </si>
  <si>
    <t>HỖN HỢP NPK AGAMA-SRH</t>
  </si>
  <si>
    <t>A07190825</t>
  </si>
  <si>
    <t>04VG0039</t>
  </si>
  <si>
    <t>AYC28082503</t>
  </si>
  <si>
    <t>HH3960</t>
  </si>
  <si>
    <t>GC - IV - 3960 - Cty Hương Nông - HN-pH++ (Nước nâu đen) - 5L - 4</t>
  </si>
  <si>
    <t>01RR0014V3</t>
  </si>
  <si>
    <t>ATP04092503</t>
  </si>
  <si>
    <t>HH4049</t>
  </si>
  <si>
    <t>GC - IV - 4049 - WINDY ALS - CALCIBOZIN (Dạng SC - Trắng sữa) - 500ml - 40</t>
  </si>
  <si>
    <t>Vi lượng AGAMA-CANXI BO</t>
  </si>
  <si>
    <t>A02160725</t>
  </si>
  <si>
    <t>Dạng SC - Trắng sữa</t>
  </si>
  <si>
    <t>10CR0021</t>
  </si>
  <si>
    <t>XTP.04092501</t>
  </si>
  <si>
    <t>Dr.Xanh</t>
  </si>
  <si>
    <t>HH3983</t>
  </si>
  <si>
    <t>DR.XANH - VIII - 3983 - ROBUST EXTRA (Gel nâu đen) - 250ml - 40</t>
  </si>
  <si>
    <t>Hữu cơ ROOTS US90</t>
  </si>
  <si>
    <t>01RR0071</t>
  </si>
  <si>
    <t>ATP05082503</t>
  </si>
  <si>
    <t>HH1913</t>
  </si>
  <si>
    <t>GC - IV - 1913 - HÓA NÔNG SHINO - COMBI SHINO PLUS+ (Nước xanh lá) - 250ml - 40</t>
  </si>
  <si>
    <t>Đóng Như lô gần nhất</t>
  </si>
  <si>
    <t>Nước xanh lá</t>
  </si>
  <si>
    <t>16VL0001V1</t>
  </si>
  <si>
    <t>ATP05082504</t>
  </si>
  <si>
    <t>HH2893</t>
  </si>
  <si>
    <t>GC - IV - 2893 - CTY ASAHI NHẬT BẢN - KINONE KÍCH RỄ (Nước nâu đen) - 22kg - 1</t>
  </si>
  <si>
    <t>01RR0036</t>
  </si>
  <si>
    <t>ATP05082505</t>
  </si>
  <si>
    <t>HH4052</t>
  </si>
  <si>
    <t>GC - IV - 4052 - AGRITECH - NUTI ROOTS 02 (Nước nâu đen) - 1L - 20</t>
  </si>
  <si>
    <t>A20280225</t>
  </si>
  <si>
    <t>01RR0050</t>
  </si>
  <si>
    <t>ITP.29082508</t>
  </si>
  <si>
    <t>HH3905</t>
  </si>
  <si>
    <t>IDA Global - I - 3905 - WINNER X2 (Nước đỏ cam) - 500ml - 40</t>
  </si>
  <si>
    <t>NPK-Vi lượng MASSIVE-BLUE</t>
  </si>
  <si>
    <t>Nước đỏ cam</t>
  </si>
  <si>
    <t>04VG0015</t>
  </si>
  <si>
    <t>ITP.29082503</t>
  </si>
  <si>
    <t>HH3888</t>
  </si>
  <si>
    <t>IDA Global - I - 3888 - VG RICE 02 - 500ml - 40</t>
  </si>
  <si>
    <t>NPK-vi lượng HC CAN</t>
  </si>
  <si>
    <t>chưa xác định</t>
  </si>
  <si>
    <t>04VG0033</t>
  </si>
  <si>
    <t>ITP.29082505</t>
  </si>
  <si>
    <t>XTP.05092501</t>
  </si>
  <si>
    <t>HH4089</t>
  </si>
  <si>
    <t>DR.XANH - VIII - 4089 - DR.XTRESS (Nước nâu đen) - 250ml - 40</t>
  </si>
  <si>
    <t>Hữu cơ Organic BM Gold  FW</t>
  </si>
  <si>
    <t>X03121224</t>
  </si>
  <si>
    <t>01RR0040</t>
  </si>
  <si>
    <t>ITP.06092503</t>
  </si>
  <si>
    <t>HH4091</t>
  </si>
  <si>
    <t>IDA Global - I - 4091 - KG - ORGANIC X2 (Nước nâu đen) - 1L - 20</t>
  </si>
  <si>
    <t>ATP06092503</t>
  </si>
  <si>
    <t>HH3953</t>
  </si>
  <si>
    <t>GC - IV - 3953 - CTY THIÊN DI - THIDI CANXIBO (Nước trắng sữa) - 500ml - 40</t>
  </si>
  <si>
    <t>ATP08092501</t>
  </si>
  <si>
    <t>HH4086</t>
  </si>
  <si>
    <t>GC - IV - 4086 - CTY QUANG ĐĂNG AGRICULTURE - GROW BOOST (Nước nâu đen) - 500ml - 40</t>
  </si>
  <si>
    <t>19DD0017</t>
  </si>
  <si>
    <t>ITP.08092501</t>
  </si>
  <si>
    <t>HH4090</t>
  </si>
  <si>
    <t>IDA GLOBAL - Hữu cơ SH Agro Organic Fertilizer 20 - IDA ORGANIC X2 - 1L - 20</t>
  </si>
  <si>
    <t>Click chọn</t>
  </si>
  <si>
    <t>XTP.09092501</t>
  </si>
  <si>
    <t>ATP09092502</t>
  </si>
  <si>
    <t>HH3801</t>
  </si>
  <si>
    <t>GC - II - 3801 - CSSX An Khang (A.Dinh) - TAK09 (Nước nâu đen) - 500ml - 40</t>
  </si>
  <si>
    <t>A01090625</t>
  </si>
  <si>
    <t>01RR0055</t>
  </si>
  <si>
    <t>ATP04092504</t>
  </si>
  <si>
    <t>HH4050</t>
  </si>
  <si>
    <t>GC - IV - 4050 - WINDY ALS - ZINC-MAGIE (Dạng SC - Xanh lá) - 450ml - 40</t>
  </si>
  <si>
    <t>A05200825</t>
  </si>
  <si>
    <t>Dạng SC - Xanh lá</t>
  </si>
  <si>
    <t>23GS0011</t>
  </si>
  <si>
    <t>ITP.10092502</t>
  </si>
  <si>
    <t>HH3986</t>
  </si>
  <si>
    <t>IDA Global - I - 3986 - STOP UP (Nước nâu đen) - 1L - 20</t>
  </si>
  <si>
    <t>06CD0009V1</t>
  </si>
  <si>
    <t>AYC10092501</t>
  </si>
  <si>
    <t>HH3999</t>
  </si>
  <si>
    <t>GC - IV - 3999 - CTY NAUY - GALAXY (Nước nâu đen) - 500ml - 40</t>
  </si>
  <si>
    <t>Vi lượng AGAMA-SUPPORT</t>
  </si>
  <si>
    <t>S02031224</t>
  </si>
  <si>
    <t>Đơn hàng xử lý</t>
  </si>
  <si>
    <t>AYC13092501</t>
  </si>
  <si>
    <t>HH3972</t>
  </si>
  <si>
    <t>GC - IV - 3972 - THÀNH CÔNG AGRI - ULTRA FRUIT (Gel nâu đen) - 20L - 1</t>
  </si>
  <si>
    <t>cùng ruột 3091</t>
  </si>
  <si>
    <t>Xô</t>
  </si>
  <si>
    <t>11TT0006V1</t>
  </si>
  <si>
    <t>ATP15092501</t>
  </si>
  <si>
    <t>HH3605</t>
  </si>
  <si>
    <t>GC - IV - 3605 - HƯƠNG NÔNG - Siêu Chặn Đọt (nước nâu đen) - 1L - 20</t>
  </si>
  <si>
    <t>06CD0007</t>
  </si>
  <si>
    <t>ATP15092502</t>
  </si>
  <si>
    <t>HH4124</t>
  </si>
  <si>
    <t>GC - IV - 4124 - Cty Hương Nông - Đậu Trái (nước vàng mật ong) - 500ml - 40</t>
  </si>
  <si>
    <t>Cùng  ruột bocax AGC HH1625</t>
  </si>
  <si>
    <t>Màu vàng mật ong</t>
  </si>
  <si>
    <t>ATP11092501</t>
  </si>
  <si>
    <t>HH3743</t>
  </si>
  <si>
    <t>GC - IV - 3743 - CTY QUANG ĐĂNG AGRICULTURE - ĐL LÂM THANH TRÍ - KIM TRỤ (Nước nâu đen) - 500ml - 40</t>
  </si>
  <si>
    <t>Hữu Cơ Crops Care</t>
  </si>
  <si>
    <t>A01180625</t>
  </si>
  <si>
    <t>02CC0011V1</t>
  </si>
  <si>
    <t>ATP16092502</t>
  </si>
  <si>
    <t>HH4134</t>
  </si>
  <si>
    <t>GC ABA - CTY NAUY - Hỗn Hợp NP AGAMA-AP - GALAXY - 500ml - 40</t>
  </si>
  <si>
    <t>A20280225 cùng ruột 4052</t>
  </si>
  <si>
    <t>ATP16092504</t>
  </si>
  <si>
    <t>HH4011</t>
  </si>
  <si>
    <t>GC - IV - 4011 - NHP GROUP - KODO STOP (Nước nâu đen) - 1L - 20</t>
  </si>
  <si>
    <t>cùng ruột 3483
Dòng V1</t>
  </si>
  <si>
    <t>06CD0006</t>
  </si>
  <si>
    <t>ATP16092505</t>
  </si>
  <si>
    <t>HH3337</t>
  </si>
  <si>
    <t>GC - IV - 3337 - NHP Group - CALIMIX (Nước nâu đen) - 500ml - 40</t>
  </si>
  <si>
    <t>A05050325</t>
  </si>
  <si>
    <t>08TM0019</t>
  </si>
  <si>
    <t>ATP16092506</t>
  </si>
  <si>
    <t>HH2522</t>
  </si>
  <si>
    <t>GC - II - 2522 - CSSX An Khang (A.Dinh) - T-AK 01 (Gel nâu đen) - 500ml - 40</t>
  </si>
  <si>
    <t>Đóng như đơn gần nhất</t>
  </si>
  <si>
    <t>09KH0007</t>
  </si>
  <si>
    <t>ATP16092507</t>
  </si>
  <si>
    <t>HH4140</t>
  </si>
  <si>
    <t>GC - IV - 4140 - CTY HIỆP PHÁT ABC - HP 06 (Gel nâu đen) - 330ml - 40</t>
  </si>
  <si>
    <t>Cùng ruột HH2550</t>
  </si>
  <si>
    <t>09KH0010</t>
  </si>
  <si>
    <t>ITP.16092502</t>
  </si>
  <si>
    <t>HH4075</t>
  </si>
  <si>
    <t>IDA Global - I - 4075 - CỨNG CÂY 304 (Nước nâu đen) - 500ml - 40</t>
  </si>
  <si>
    <t>ATP18092501</t>
  </si>
  <si>
    <t>HH1570</t>
  </si>
  <si>
    <t>GC - II - 1570 - Japan Crop Science - Sumo Siêu Cứng (gel nâu đen) - 500ml - 30</t>
  </si>
  <si>
    <t>Dòng phụ gia thấp V1</t>
  </si>
  <si>
    <t>02CC0001V1</t>
  </si>
  <si>
    <t>STP19092501</t>
  </si>
  <si>
    <t>N2SBIO</t>
  </si>
  <si>
    <t>HH3903</t>
  </si>
  <si>
    <t>GC - V - 3903 - N2SBIO -  N2 MG ZN-70 (Nước xanh lá) - 500ml - 40</t>
  </si>
  <si>
    <t xml:space="preserve">N01080825 </t>
  </si>
  <si>
    <t>23GS0002</t>
  </si>
  <si>
    <t>ATP22092503</t>
  </si>
  <si>
    <t>HH3520</t>
  </si>
  <si>
    <t>CTY NEWTECH - Vi lượng MICKEY - NEW ZINC - 500ml - 40</t>
  </si>
  <si>
    <t>Vi lượng MICKEY</t>
  </si>
  <si>
    <t>CÙNG RUỘT HH1973</t>
  </si>
  <si>
    <t>Nước vàng sữa</t>
  </si>
  <si>
    <t>03D0001V1</t>
  </si>
  <si>
    <t>ATP22092504</t>
  </si>
  <si>
    <t>HH4018</t>
  </si>
  <si>
    <t xml:space="preserve"> GC - II - 4018 - Cty Hương Nông (A.Tùng) - Bung Đọt (nước nâu đen) - 500ml - 40</t>
  </si>
  <si>
    <t>Cùng ruột HH1816</t>
  </si>
  <si>
    <t>05KC0004</t>
  </si>
  <si>
    <t>ATP23092505</t>
  </si>
  <si>
    <t>HH3965</t>
  </si>
  <si>
    <t>GC - IV - 3965 - THÀNH CÔNG AGRI - STOP ĐỌT (Nước nâu đen V2) - 1L - 20</t>
  </si>
  <si>
    <t>CHẶN ĐỌT DÒNG V2</t>
  </si>
  <si>
    <t>Nước nâu đen V2</t>
  </si>
  <si>
    <t>ATP23092506</t>
  </si>
  <si>
    <t>HH3971</t>
  </si>
  <si>
    <t>GC - IV - 3971 - Cty Thành Công Agri - MASTER STOP (nước nâu đen V2) - 1L - 20</t>
  </si>
  <si>
    <t>ITP.23092501</t>
  </si>
  <si>
    <t>ATP24092502</t>
  </si>
  <si>
    <t>ATP24092504</t>
  </si>
  <si>
    <t>HH3851</t>
  </si>
  <si>
    <t>GC - IV - 3851 - NHP GROUP - ULTRA KEO CABOR (Nước vàng) - 200ml - 40</t>
  </si>
  <si>
    <t>cùng ruột 3027</t>
  </si>
  <si>
    <t>ATP24092506</t>
  </si>
  <si>
    <t>HH3996</t>
  </si>
  <si>
    <t>GC - IV - 3996 - CTY DONA VINA - UNI-STOP ONE (Nước nâu đen) - 1L - 20</t>
  </si>
  <si>
    <t>STP23092501</t>
  </si>
  <si>
    <t>N01080825</t>
  </si>
  <si>
    <t>ATP16092510</t>
  </si>
  <si>
    <t>HH4125</t>
  </si>
  <si>
    <t>GC - IV - 4125 - CTY QUANG ĐĂNG AGRICULTURE - ĐL LÂM THANH TRÍ - QĐ-PHOSKA (Nước nâu đen) - 500ml - 40</t>
  </si>
  <si>
    <t>LÁ HỖN HỢP PK AGRI FOS AB</t>
  </si>
  <si>
    <t>A03160925</t>
  </si>
  <si>
    <t>Nước tím nhạt</t>
  </si>
  <si>
    <t>08TM0025</t>
  </si>
  <si>
    <t>STP19092502</t>
  </si>
  <si>
    <t>HH4027</t>
  </si>
  <si>
    <t>GC - IX - 4027 - N2SBIO - N2 HYPER LOCK (Dạng SC - Trắng sữa) - 1L - 20</t>
  </si>
  <si>
    <t>LÁ PK-TRUNG LƯỢNG NBC-PHOTPHONATE</t>
  </si>
  <si>
    <t>N04290725</t>
  </si>
  <si>
    <t>06CD0016</t>
  </si>
  <si>
    <t>ATP24092507</t>
  </si>
  <si>
    <t>HH4160</t>
  </si>
  <si>
    <t>GC - IV - 4160 - Japan Crop Science - Sumo Siêu Cứng (gel nâu đen) - 500ml - 30</t>
  </si>
  <si>
    <t>Cùng ruột 1570</t>
  </si>
  <si>
    <t>STP25092501</t>
  </si>
  <si>
    <t>ITP.24092502</t>
  </si>
  <si>
    <t>BAMBOO</t>
  </si>
  <si>
    <t>HH3968</t>
  </si>
  <si>
    <t>BAMBOO - VI - 3968 - BAMBOO 777 TE (chưa xác định) - 1L - 20</t>
  </si>
  <si>
    <t>03DĐ0015</t>
  </si>
  <si>
    <t>ATP25092501</t>
  </si>
  <si>
    <t>HH4155</t>
  </si>
  <si>
    <t>GC - II - 4155 - LOT AGC (CAPY GLOBAL) - DR.STOP (Nước nâu đen) - 1L - 20</t>
  </si>
  <si>
    <t>Cùng ruột HH1298</t>
  </si>
  <si>
    <t>ATP25092506</t>
  </si>
  <si>
    <t>HH4162</t>
  </si>
  <si>
    <t>GC - IV - 4162 - NHP Group - CANXI BO BIO PLUS (Dạng SC - Trắng sữa) - 500ml - 40</t>
  </si>
  <si>
    <t>ATP26092501</t>
  </si>
  <si>
    <t>HH3525</t>
  </si>
  <si>
    <t>GC - IV - 3525 - Cty Sen Hồng (A.Diễn) - SIÊU VÔ GẠO TE+ (Gel đỏ cam) - 500ml - 40</t>
  </si>
  <si>
    <t>cùng ruột HH2519</t>
  </si>
  <si>
    <t>Gel đỏ cam</t>
  </si>
  <si>
    <t>04VG0014V1</t>
  </si>
  <si>
    <t>ATP26092503</t>
  </si>
  <si>
    <t>HH4163</t>
  </si>
  <si>
    <t>GC - IV - 4163 - CTY QUANG ĐĂNG AGRICULTURE (HTX TÂN THÀNH) - CABO SUPER (Nước trắng sữa) - 500ml - 40</t>
  </si>
  <si>
    <t>STP26092501</t>
  </si>
  <si>
    <t>A06290725 54.000đ chưa có công thức lab 16/9/2025
KD đổi công thức A03160925 LÂN 2 CHIỀU  - 01 26/9/2025</t>
  </si>
  <si>
    <t>N04290725 chưa có công thức lab để xử lý giá 22/9/2025
285.000đ 26/9/2025</t>
  </si>
  <si>
    <t>A02160725 49.500đ 26/9/2025</t>
  </si>
  <si>
    <t>cùng ruột HH2519 48.000đ 26/9/2025</t>
  </si>
  <si>
    <t>đã có CT</t>
  </si>
  <si>
    <t>cùng ruột HH3515 42.000đ 26/9/2025</t>
  </si>
  <si>
    <t>N04290725 285.000đ 26/9/2025</t>
  </si>
  <si>
    <t>ATP17092501</t>
  </si>
  <si>
    <t>HH4141</t>
  </si>
  <si>
    <t>GC - IV - 4141 - NHP Group - SỬA TƯỚNG SẦU RIÊNG (Nước nâu đen) - 500ml - 40</t>
  </si>
  <si>
    <t>A01230925</t>
  </si>
  <si>
    <t>21ST0003</t>
  </si>
  <si>
    <t>Chờ mã NL chưa có mã NL đóng hàng 22/9/2025 
 A01170925 đơn hàng âm KD đang cập nhật lại giá 26/9/2025
KD chấp nhận âm giá cho đi đơn hàng, sẽ điều chỉnh giá sau 29/9/2025</t>
  </si>
  <si>
    <t>ITP.26092503</t>
  </si>
  <si>
    <t>HH4174</t>
  </si>
  <si>
    <t>IDA Global - I - 4174 - STOP UP (Nước nâu đen) - 1L - 20</t>
  </si>
  <si>
    <t>Nước nâu đen check giá theo công thức cũ 190.000đ 29/9/2025</t>
  </si>
  <si>
    <t>Cùng ruột 1570 50.500đ 25/9/2025</t>
  </si>
  <si>
    <t>STP29092501</t>
  </si>
  <si>
    <t>HH4068</t>
  </si>
  <si>
    <t>N2AGRO - LÁ NK TRUNG VI LƯỢNG CÓ CHẤT ĐIỀU HÒA SINH TRƯỞNG HALO 26 - N2 HYPER CALBOR - 500ml - 40</t>
  </si>
  <si>
    <t>LÁ NK TRUNG VI LƯỢNG CÓ CHẤT ĐIỀU HÒA SINH TRƯỞNG HALO 26</t>
  </si>
  <si>
    <t>Dạng SC - Vàng</t>
  </si>
  <si>
    <t>Chưa có công thức từ lab</t>
  </si>
  <si>
    <t>Chưa có công thức KD chưa check được giá 185.000đ 29/9/2025</t>
  </si>
  <si>
    <t>chưa có ct</t>
  </si>
  <si>
    <t>STP29092502</t>
  </si>
  <si>
    <t>HH4058</t>
  </si>
  <si>
    <t>N2AGRO - LÁ NK TRUNG VI LƯỢNG CÓ CHẤT ĐIỀU HÒA SINH TRƯỞNG HALO 26 - SIÊU BO SỮA - 250ml - 40</t>
  </si>
  <si>
    <t>Chưa có công thức KD chưa check được giá 120.000đ 29/9/2025</t>
  </si>
  <si>
    <t>STP29092503</t>
  </si>
  <si>
    <t>HH4067</t>
  </si>
  <si>
    <t>N2AGRO - LÁ VÔ CƠ NHIỀU THÀNH PHẦN NBC-ALCROP - N2 ANTI STRESS - 500ml - 40</t>
  </si>
  <si>
    <t>LÁ VÔ CƠ NHIỀU THÀNH PHẦN NBC-ALCROP</t>
  </si>
  <si>
    <t>N03220825</t>
  </si>
  <si>
    <t>N03220825 chưa có công thức lab 29/9/2025</t>
  </si>
  <si>
    <t>STP29092504</t>
  </si>
  <si>
    <t>N01080825 190.000đ 29/9/2025</t>
  </si>
  <si>
    <t>Đã có ct</t>
  </si>
  <si>
    <t>ATP29092501</t>
  </si>
  <si>
    <t>HH4175</t>
  </si>
  <si>
    <t>GC - IV - 4175 - HƯƠNG NÔNG - HN Stop (Gel nâu đen) - 1L - 20</t>
  </si>
  <si>
    <t>Chặn đọt V3 06CD0007</t>
  </si>
  <si>
    <t>Chặn đọt V3 06CD0007 196.350đ 29/9/2025</t>
  </si>
  <si>
    <t>ATP29092502</t>
  </si>
  <si>
    <t>HH3877</t>
  </si>
  <si>
    <t>GC - II - 3877 - GC.NANOFISH - STOP 25 (nước nâu đen) - 1L - 20</t>
  </si>
  <si>
    <t>06CD0007 CHẶN ĐỌT DÒNG V3</t>
  </si>
  <si>
    <t>06CD0007 CHẶN ĐỌT DÒNG V3 176.400đ 29/9/2025</t>
  </si>
  <si>
    <t>ATP27092501</t>
  </si>
  <si>
    <t>HH4138</t>
  </si>
  <si>
    <t>GC - IV - 4138 - Cty Newtex - VÔ GẠO T9 (Dạng SC - Xanh lá) - 500ml - 40</t>
  </si>
  <si>
    <t>Hỗn hợp NPK GNC 101</t>
  </si>
  <si>
    <t>A03160725</t>
  </si>
  <si>
    <t>Dạng SC - Xanh lá 75.000đ A03160725 lab chưa có công thức 29/9/2025</t>
  </si>
  <si>
    <t>chưa có CT</t>
  </si>
  <si>
    <t>ATP30092504</t>
  </si>
  <si>
    <t>HH3962</t>
  </si>
  <si>
    <t>GC - IV - 3962 - THÀNH CÔNG AGRI - MT STOP (Nước nâu đen) - 1L - 20</t>
  </si>
  <si>
    <t>CHẶN ĐỌT DÒNG V2 115.500đ 30/9/2025</t>
  </si>
  <si>
    <t>AYC30092501</t>
  </si>
  <si>
    <t>A05291024</t>
  </si>
  <si>
    <t>Hàng xử lý</t>
  </si>
  <si>
    <t>AYC30092502</t>
  </si>
  <si>
    <t>HH2899</t>
  </si>
  <si>
    <t>GC - IV - 2899 - CTY ASAHI NHẬT BẢN - ULTRA BUD (Nước nâu đen) - 22kg - 1</t>
  </si>
  <si>
    <t>A06291024</t>
  </si>
  <si>
    <t>An Nông</t>
  </si>
  <si>
    <t>ATP30092505</t>
  </si>
  <si>
    <t>HH2791</t>
  </si>
  <si>
    <t>GC - IV - 2791 - Cty Hóa Nông Shino - VATINO SUPER 525SE (Nước cam sữa) - 250ml - 40</t>
  </si>
  <si>
    <t>Thuốc trừ bệnh</t>
  </si>
  <si>
    <t>VATINO SUPER 525SE</t>
  </si>
  <si>
    <t>A01260725</t>
  </si>
  <si>
    <t>Nước cam sữa</t>
  </si>
  <si>
    <t>Công thức mới</t>
  </si>
  <si>
    <t>ATP30092506</t>
  </si>
  <si>
    <t>cùng ruột 3636</t>
  </si>
  <si>
    <t>ITP.30092501</t>
  </si>
  <si>
    <t>ATP01102501</t>
  </si>
  <si>
    <t>HH4183</t>
  </si>
  <si>
    <t>CTY HƯƠNG NÔNG (A.TÙNG) - Hữu cơ SH Agro Organic Fertilizer 20 - HƯƠNG NÔNG pH++ - 5L - 4</t>
  </si>
  <si>
    <t>cùng ruột HH3960</t>
  </si>
  <si>
    <t>ATP01102502</t>
  </si>
  <si>
    <t>HH4179</t>
  </si>
  <si>
    <t>GC - IV - 4179 - CTY THIÊN DI - DƯỠNG CHẤT CHUYÊN DÙNG CHO SẦU RIÊNG (Nước tím đỏ) - 500ml - 40</t>
  </si>
  <si>
    <t>Cùng ruột HH3160</t>
  </si>
  <si>
    <t>Nước tím đỏ</t>
  </si>
  <si>
    <t>19DD0018</t>
  </si>
  <si>
    <t>ATP01102503</t>
  </si>
  <si>
    <t>HH4180</t>
  </si>
  <si>
    <t>GC ABA - CTY THIÊN DI - A. THÀNH DOL - Vi lượng Quantity New - LỚN TRÁI MẬN THIDI PLUM MAX+ - 500ml - 40</t>
  </si>
  <si>
    <t>Cùng ruột HH3112</t>
  </si>
  <si>
    <t>04VG0028</t>
  </si>
  <si>
    <t>ATP02102502</t>
  </si>
  <si>
    <t>HH4044</t>
  </si>
  <si>
    <t>GC - IV - 4044 - Cty Sen Hồng - ROOT+ (Gel xanh dương) - 500ml - 40</t>
  </si>
  <si>
    <t>Gel xanh dương</t>
  </si>
  <si>
    <t>01RR0039</t>
  </si>
  <si>
    <t>ITP.02102501</t>
  </si>
  <si>
    <t>ATP03102501</t>
  </si>
  <si>
    <t>HH4040</t>
  </si>
  <si>
    <t>GC - IV - 4040 - AGRITECH - AGRI STOP (Nước nâu đen) - 1L - 20</t>
  </si>
  <si>
    <t>Chặn đọt dòng V2
Cùng ruột HH2667</t>
  </si>
  <si>
    <t>ATP03102503</t>
  </si>
  <si>
    <t>HH4191</t>
  </si>
  <si>
    <t>GC - IV - 4191 - Cty Sen Hồng - ROOT+ (Gel xanh dương) - 500ml - 40</t>
  </si>
  <si>
    <t>ATP04102502</t>
  </si>
  <si>
    <t>HH4182</t>
  </si>
  <si>
    <t>GC - IV - 4182 - Hóa Nông Shino - CANXI BO (Nước trắng sữa) - 500ml - 30</t>
  </si>
  <si>
    <t>ITP.01102503</t>
  </si>
  <si>
    <t>DEGO</t>
  </si>
  <si>
    <t>HH2927</t>
  </si>
  <si>
    <t>IDA Global - I - 2927 - IDA ORGANIC FEED (Nước nâu đen) - 5L - 4</t>
  </si>
  <si>
    <t>01RR0025</t>
  </si>
  <si>
    <t>ATP03102502</t>
  </si>
  <si>
    <t>HH4060</t>
  </si>
  <si>
    <t>GC - IV - 4060 - AGRITECH - NUTI ROOTS 02 (Nước nâu đen) - 500ml - 40</t>
  </si>
  <si>
    <t>ITP.04102501</t>
  </si>
  <si>
    <t>HH3924</t>
  </si>
  <si>
    <t>BAMBOO - VI - 3924 - BAMBOO MG KẼM (nước xanh lá sữa) - 500ml - 40</t>
  </si>
  <si>
    <t>Nước xanh lá sữa</t>
  </si>
  <si>
    <t>13XL0017</t>
  </si>
  <si>
    <t>Check giá công thức  cũ 190.000đ 6/10/2025</t>
  </si>
  <si>
    <t>ATP06102506</t>
  </si>
  <si>
    <t>HH4181</t>
  </si>
  <si>
    <t>GC - IV - 4181 - THÀNH CÔNG AGRI - UT-STOP 25 (Nước nâu đen) - 500ml - 30</t>
  </si>
  <si>
    <t>Chăn đọt dòng V3 cùng ruột 3877.</t>
  </si>
  <si>
    <t>Chăn đọt dòng V3 cùng ruột 3877. 90.825đ 6/10/2025</t>
  </si>
  <si>
    <t>ATP06102508</t>
  </si>
  <si>
    <t>HH3893</t>
  </si>
  <si>
    <t>GC - IV - 3893 - Cty GNH (A.Thời) - Ra Rễ Nở Bụi (nước nâu đen) - 500ml - 40</t>
  </si>
  <si>
    <t>01RR0049</t>
  </si>
  <si>
    <t>check giá công thức cũ 24.675đ 6/10/2025</t>
  </si>
  <si>
    <t>ATP06102509</t>
  </si>
  <si>
    <t>HH3244</t>
  </si>
  <si>
    <t>GC - IV - 3244 - GNH - Ra Rễ Nở Bụi (nước nâu đen) - 1L - 20</t>
  </si>
  <si>
    <t>check giá công thức cũ 42.525đ 6/10/2025</t>
  </si>
  <si>
    <t>ATP06102510</t>
  </si>
  <si>
    <t>HH4190</t>
  </si>
  <si>
    <t>CTY NEWTECH - Vi lượng MICKEY - NEW ZINC - 500ml - 30</t>
  </si>
  <si>
    <t>cùng ruột HH3520</t>
  </si>
  <si>
    <t>03DĐ0001</t>
  </si>
  <si>
    <t>cùng ruột HH3520 68.000đ 6/10/2025</t>
  </si>
  <si>
    <t>ATP06102511</t>
  </si>
  <si>
    <t>HH4193</t>
  </si>
  <si>
    <t>GC ABA - NEWTECH - NPK-Vi lượng MASSIVE-BLUE - NEW RICE - 500ml - 30</t>
  </si>
  <si>
    <t>cùng ruột HH3087</t>
  </si>
  <si>
    <t>cùng ruột HH3807 78.000đ 6/10/2025</t>
  </si>
  <si>
    <t>ATP06102512</t>
  </si>
  <si>
    <t>HH4192</t>
  </si>
  <si>
    <t>GC ABA - NEWTECH - Hỗn Hợp NP AGAMA-AP - NEW PLANT - 500ml - 30</t>
  </si>
  <si>
    <t>cùng ruột HH2772</t>
  </si>
  <si>
    <t>01RR0030</t>
  </si>
  <si>
    <t>cùng ruột HH2772 40.000đ 6/10/2025</t>
  </si>
  <si>
    <t>ATP06102513</t>
  </si>
  <si>
    <t>HH4194</t>
  </si>
  <si>
    <t>CTY HƯƠNG NÔNG (A.TÙNG) - Vi lượng Quantity New - TẠO MẦM - 1L - 20</t>
  </si>
  <si>
    <t>Tạo mầm cùng ruột HH3606 Siêu tạo mầm</t>
  </si>
  <si>
    <t>08TM0007V1</t>
  </si>
  <si>
    <t>Tạo mầm cùng ruột HH3606 Siêu tạo mầm 123.900đ 6/10/2025</t>
  </si>
  <si>
    <t>ATP07102501</t>
  </si>
  <si>
    <t>HH4172</t>
  </si>
  <si>
    <t>GC - IV - 4172 - CTY DONA VINA - CANXIBO ĐỒNG KẼM (Nước trắng sữa) - 500ml - 40</t>
  </si>
  <si>
    <t>CanxiBo Đồng Kẽm</t>
  </si>
  <si>
    <t>KD chưa cập nhật mã công thức. đơn hàng chưa đóng hàng</t>
  </si>
  <si>
    <t>XTP.07102501</t>
  </si>
  <si>
    <t>HH3982</t>
  </si>
  <si>
    <t>DR.XANH - VIII - 3982 - ROBUST EXTRA (Gel nâu đen) - 500ml - 40</t>
  </si>
  <si>
    <t>GC - IX - 4058 - N2SBIO -  SIÊU BO SỮA (Dạng SC - Trắng sữa) - 250ml - 40</t>
  </si>
  <si>
    <t>LÁ VI LƯỢNG NBC-BO.15</t>
  </si>
  <si>
    <t>N01190825</t>
  </si>
  <si>
    <t>Chưa có công thức KD chưa check được giá 120.000đ 29/9/2025
Chưa có công thức lab cập nhật 7-8/10/2025</t>
  </si>
  <si>
    <t>GC - IX - 4068 - N2SBIO - N2 HYPER CALBOR (Dạng SC - Vàng) - 500ml - 40</t>
  </si>
  <si>
    <t>N01220825</t>
  </si>
  <si>
    <t>Chưa có công thức KD chưa check được giá 185.000đ 29/9/2025
Chưa có công thức lab cập nhật 7-8/10/2025</t>
  </si>
  <si>
    <t>GC - IV - 4180 - CTY THIÊN DI - THIDI PLUM MAX+ (Nước nâu đen) - 500ml - 40</t>
  </si>
  <si>
    <t>Cùng ruột HH3112 37.275đ 1/10/2025
Chưa có công thức lab cập nhật 7-8/10/2025</t>
  </si>
  <si>
    <t>Check giá công thức  cũ 190.000đ 6/10/2025
Lab chưa cập nhật 7-8/10/2025</t>
  </si>
  <si>
    <t>check giá công thức cũ 24.675đ 6/10/2025
Chưa có công thức lab cập nhật 7-8/10/2025</t>
  </si>
  <si>
    <t>check giá công thức cũ 42.525đ 6/10/2025
Chưa có công thức lab cập nhật 7-8/10/2025</t>
  </si>
  <si>
    <t>GC - IV - 4193 - NEWTECH CROP SCIENCE - NEW RICE (Nước đỏ cam) - 500ml - 30</t>
  </si>
  <si>
    <t>cùng ruột HH3807</t>
  </si>
  <si>
    <t>cùng ruột HH3807 78.000đ 7/10/2025
Chưa có công thức lab cập nhật 7-8/10/2025</t>
  </si>
  <si>
    <t>GC - IV - 4192 - NEWTECH CROP SCIENCE - NEW PLANT (Nước nâu đen) - 500ml - 30</t>
  </si>
  <si>
    <t>cùng ruột HH2772 40.000đ 7/10/2025
Chưa có công thức lab cập nhật 7-8/10/2025</t>
  </si>
  <si>
    <t>GC - IV - 4194 - HƯƠNG NÔNG - Tạo Mầm (Nước nâu đen) - 1L - 20</t>
  </si>
  <si>
    <t>Tạo mầm cùng ruột HH3606 Siêu tạo mầm 123.900đ 7/10/2025
Chưa có công thức lab cập nhật 7-8/10/2025</t>
  </si>
  <si>
    <t>Cùng ruột HH3883 nha.</t>
  </si>
  <si>
    <t>Cùng ruột HH3883 40.425đ 7/10/2025
chưa có thông tin từ lab 7-8/10/2025</t>
  </si>
  <si>
    <t>ATP08102502</t>
  </si>
  <si>
    <t>Chặn đọt V3 06CD0007 196.350đ 8/10/2025</t>
  </si>
  <si>
    <t>ATP08102504</t>
  </si>
  <si>
    <t>HH4205</t>
  </si>
  <si>
    <t>GC ABA - THÀNH CÔNG AGRI - Vi lượng Quantity New - PT-STOP - 500ml - 30</t>
  </si>
  <si>
    <t>Chặn đọt dòng V3, cùng ruột HH3877</t>
  </si>
  <si>
    <t>Chưa xác định đc công thức đang hỏi lại kd 82.950đ 8/10/2025</t>
  </si>
  <si>
    <t>ATP08102506</t>
  </si>
  <si>
    <t>HH4214</t>
  </si>
  <si>
    <t>GC ABA - CTY NAUY - HỖN HỢP NPK AGAMA-SRH - SUPER NANO - 500ml - 40</t>
  </si>
  <si>
    <t>A07190825 28.875đ 9/10/2025</t>
  </si>
  <si>
    <t>ATP08102507</t>
  </si>
  <si>
    <t>HH4213</t>
  </si>
  <si>
    <t>A20280225 cùng ruột 4052 32.602đ 9/10/2025</t>
  </si>
  <si>
    <t>ATP08102508</t>
  </si>
  <si>
    <t>HH3035</t>
  </si>
  <si>
    <t>GC - IV - 3035 - CTY HIỆP PHÁT ABC - DRAW FLOWER (Dạng tinh thể màu trắng) - 1kg - 20</t>
  </si>
  <si>
    <t>Vi lượng AGAMA-BATFUNG</t>
  </si>
  <si>
    <t>Tinh thể màu trắng</t>
  </si>
  <si>
    <t>Dạng tinh thể màu trắng</t>
  </si>
  <si>
    <t>08TM0016</t>
  </si>
  <si>
    <t>Tinh thể màu trắng check giá công thức cũ 9/10/2025</t>
  </si>
  <si>
    <t>ATP09102501</t>
  </si>
  <si>
    <t>GC - IV - 4183 - Cty Hương Nông - HN-pH++ (Nước nâu đen) - 5L - 4</t>
  </si>
  <si>
    <t>cùng ruột HH3960 850.500đ 9/10/2025</t>
  </si>
  <si>
    <t>ATP09102503</t>
  </si>
  <si>
    <t>HH4217</t>
  </si>
  <si>
    <t>GC - IV - 4217 - HƯƠNG NÔNG - HN Stop (Gel nâu đen) - 1L - 20</t>
  </si>
  <si>
    <t>Chặn đọt V3 06CD0007 196.350đ 9/10/2025</t>
  </si>
  <si>
    <t>ATP09102504</t>
  </si>
  <si>
    <t>HH4211</t>
  </si>
  <si>
    <t>GC ABA - CAPY GLOBAL - TOP SPROUT - CHAI PET TRÒN TRẮNG (CÓ CỐC ĐONG) 500ML và VTBB</t>
  </si>
  <si>
    <t>cùng ruột HH2666</t>
  </si>
  <si>
    <t>08TM0004V1</t>
  </si>
  <si>
    <t>cùng ruột HH2666 68.250đ 9/10/2025</t>
  </si>
  <si>
    <t>ATP10102502</t>
  </si>
  <si>
    <t>HH4198</t>
  </si>
  <si>
    <t>GC - IV - 4198 - CTY NAUY - CỨNG CÂY NAUY (Nước nâu đen) - 500ml - 40</t>
  </si>
  <si>
    <t>vi lượng G.A 05</t>
  </si>
  <si>
    <t>A01200825</t>
  </si>
  <si>
    <t>A01200825 41.475đ 11/10/2025</t>
  </si>
  <si>
    <t>ATP10102504</t>
  </si>
  <si>
    <t>HH3666</t>
  </si>
  <si>
    <t>GC - IV - 3666 - CTY DONA VINA - TẠO MẦM FLOWER (Nước nâu đen) - 1L - 20</t>
  </si>
  <si>
    <t>cùng ruột với 1512 - PHOSKA 90 của Nanofish</t>
  </si>
  <si>
    <t>cùng ruột với 1512 - PHOSKA 90 của Nanofish 115.000đ 11/10/2025</t>
  </si>
  <si>
    <t>ATP10102505</t>
  </si>
  <si>
    <t>chặn đọt dòng V2</t>
  </si>
  <si>
    <t>chặn đọt dòng V2 115.000đ 11/10/2025</t>
  </si>
  <si>
    <t>ATP10102506</t>
  </si>
  <si>
    <t>HH4221</t>
  </si>
  <si>
    <t>GC - IV - 4221 - CTY DONA VINA - STOP ONE (Nước nâu đen) - 1L - 20</t>
  </si>
  <si>
    <t>dòng V2 cùng ruột 3996</t>
  </si>
  <si>
    <t>dòng V2 cùng ruột 3996 110.000đ 11/10/2025</t>
  </si>
  <si>
    <t>STP11102501</t>
  </si>
  <si>
    <t>CTY N2SBIO</t>
  </si>
  <si>
    <t>HH4187</t>
  </si>
  <si>
    <t>N2AGRO - LÁ PK-TRUNG LƯỢNG NBC-PHOTPHONATE - N2 ULTRA LOCK - 500ml - 40</t>
  </si>
  <si>
    <t>275.000đ N04290725 13/10/2025</t>
  </si>
  <si>
    <t>ATP11102503</t>
  </si>
  <si>
    <t>HH4223</t>
  </si>
  <si>
    <t>GC - IV - 4223 - THÀNH CÔNG AGRI - MT STOP (Nước nâu đen) - 1L - 20</t>
  </si>
  <si>
    <t>Chặn đọt dòng V2</t>
  </si>
  <si>
    <t>Chặn đọt dòng V2 115.500đ 13/10/2025</t>
  </si>
  <si>
    <t>ATP13102501</t>
  </si>
  <si>
    <t>HH4226</t>
  </si>
  <si>
    <t>GC - IV - 4226 - NHP GROUP - KODO STOP SPECIAL (Nước nâu đen) - 1L - 20</t>
  </si>
  <si>
    <t>Cùng ruột HH3776</t>
  </si>
  <si>
    <t>Cùng ruột HH3776 173.250đ 13/10/2025</t>
  </si>
  <si>
    <t>ATP13102504</t>
  </si>
  <si>
    <t>ATP14102501</t>
  </si>
  <si>
    <t>HH4229</t>
  </si>
  <si>
    <t>GC GNH - PBVL QUANTITY NEW - RA RỄ NỞ BỤI - CHAI HD TRẮNG NẮP TRẮNG 500ML và VTBB</t>
  </si>
  <si>
    <t>cùng ruột HH3244</t>
  </si>
  <si>
    <t>cùng ruột HH3244 42.525đ 14/10/2025</t>
  </si>
  <si>
    <t>ATP14102502</t>
  </si>
  <si>
    <t>HH4212</t>
  </si>
  <si>
    <t>GC - IV - 4212 - Cty CAPY GLOBAL - NUTRI BIO KING (Gel nâu đen) - 5L - 4</t>
  </si>
  <si>
    <t>A02131025</t>
  </si>
  <si>
    <t>A02131025 341.250đ 14/10/2025</t>
  </si>
  <si>
    <t>ATP14102503</t>
  </si>
  <si>
    <t>HH4235</t>
  </si>
  <si>
    <t>LOT AGC (CAPY GLOBAL) - PBVL QUANTITY NEW - DR.STOP - CHAI HD TRÒN TRẮNG NẮP TRẮNG 1L và VTBB</t>
  </si>
  <si>
    <t>Cùng ruột HH4155</t>
  </si>
  <si>
    <t>Cùng ruột HH4155 94.500đ 14/10/2025</t>
  </si>
  <si>
    <t>ATP14102504</t>
  </si>
  <si>
    <t>HH4209</t>
  </si>
  <si>
    <t>GC - IV - 4209 - Cty Quang Đăng Agriculture - KÍCH RỄ NỞ BỤI + (Nước nâu đen) - 1L - 20</t>
  </si>
  <si>
    <t>A20280225 60.000đ 14/10/2025</t>
  </si>
  <si>
    <t>XTP.14102501</t>
  </si>
  <si>
    <t>X01180825 95.000đ 15/10/2025</t>
  </si>
  <si>
    <t>XTP.14102502</t>
  </si>
  <si>
    <t>ATP15102501</t>
  </si>
  <si>
    <t>01RR0014V4</t>
  </si>
  <si>
    <t>cùng ruột HH3960 850.500đ 15/10/2025</t>
  </si>
  <si>
    <t>ATP16102501</t>
  </si>
  <si>
    <t>GC - IV - 4211 - Cty Capy Global - TOP SPROUT (nước nâu đen) - 500ml - 40</t>
  </si>
  <si>
    <t>ATP16102502</t>
  </si>
  <si>
    <t>HH4244</t>
  </si>
  <si>
    <t>HH4244 - CSSX AN KHANG (A. DINH) - PBVL AGAMA-BATFUNG - TAK03 - GÓI 100GR</t>
  </si>
  <si>
    <t>A03131224</t>
  </si>
  <si>
    <t>Bột màu trắng</t>
  </si>
  <si>
    <t>19DD0025</t>
  </si>
  <si>
    <t>STP16102501</t>
  </si>
  <si>
    <t>STP16102502</t>
  </si>
  <si>
    <t>Lá Vi Lượng NBC-BO.15</t>
  </si>
  <si>
    <t>10CR0027</t>
  </si>
  <si>
    <t>N01190825 KD chưa cập nhật giá KH 17/10/2025</t>
  </si>
  <si>
    <t>STP16102503</t>
  </si>
  <si>
    <t>GC - IX - 4067 - N2SBIO - N2 ANTI STRESS (Gel nâu đen) - 500ml - 40</t>
  </si>
  <si>
    <t>Lá Vô Cơ Nhiều Thành Phần NBC-ALCROP</t>
  </si>
  <si>
    <t>23GS0012</t>
  </si>
  <si>
    <t>STP16102504</t>
  </si>
  <si>
    <t>GC - IX - 4187 - N2SBIO - N2 ULTRA LOCK (Dạng SC - Trắng sữa) - 500ml - 40</t>
  </si>
  <si>
    <t>Lá PK-Trung Lượng NBC-Photphonate</t>
  </si>
  <si>
    <t>STP16102505</t>
  </si>
  <si>
    <t>Lá NK Trung Vi Lượng Có Chất Điều Hòa Sinh Trưởng Halo 26</t>
  </si>
  <si>
    <t>10CR0026</t>
  </si>
  <si>
    <t>XTP.17102025</t>
  </si>
  <si>
    <t>HH4247</t>
  </si>
  <si>
    <t>DR.XANH - VIII - 4247 - DR.CALBOR (Nước vàng xanh) - 500ml - 40</t>
  </si>
  <si>
    <t>X02121224</t>
  </si>
  <si>
    <t>Nước vàng xanh</t>
  </si>
  <si>
    <t>10CR0013</t>
  </si>
  <si>
    <t>ATP17102506</t>
  </si>
  <si>
    <t>HH4098</t>
  </si>
  <si>
    <t>GC - IV - 4098 - Cty Sen Hồng (Anh Diễn) - Kích Rễ 4.0 (nước nâu đen) - 1L - 20</t>
  </si>
  <si>
    <t>Chung ruột HH1763</t>
  </si>
  <si>
    <t>01RR0001</t>
  </si>
  <si>
    <t>Chung ruột HH1763 48.000đ 17/10/2025</t>
  </si>
  <si>
    <t>ATP17102505</t>
  </si>
  <si>
    <t>HH4252</t>
  </si>
  <si>
    <t>GC - IV - 4252 - Cty Agritech (Anh Trương) - CABOR PLUS+ (Nước vàng mật ong) - 500ml - 40</t>
  </si>
  <si>
    <t>Cùng ruột HH3871</t>
  </si>
  <si>
    <t>Nước vàng mật ong</t>
  </si>
  <si>
    <t>10CR0001</t>
  </si>
  <si>
    <t>ATP17102507</t>
  </si>
  <si>
    <t>HH4243</t>
  </si>
  <si>
    <t>GC - IV - 4243 - CTY QUANG ĐĂNG AGRICULTURE - VỌT ĐỌT - MẬP CHỒI (Nước nâu đen) - 500ml - 40</t>
  </si>
  <si>
    <t>chung ruột NL A20280225</t>
  </si>
  <si>
    <t>ATP17102508</t>
  </si>
  <si>
    <t>HH3460</t>
  </si>
  <si>
    <t>GC - IV - 3460 - Cty Quang Đăng Agriculture - PROTEIN (Nước nâu đen) - 500ml - 40</t>
  </si>
  <si>
    <t>ATP17102509</t>
  </si>
  <si>
    <t>ATP18102507</t>
  </si>
  <si>
    <t>HH3131</t>
  </si>
  <si>
    <t>GC - IV - 3131 - HÓA NÔNG SHINO - CỨNG CÂY D345 (Nước nâu đen) - 500ml - 30</t>
  </si>
  <si>
    <t>Cùng ruột HH2617</t>
  </si>
  <si>
    <t>02CC0005</t>
  </si>
  <si>
    <t>Cùng ruột HH2617 50.500đ 18/10/2025</t>
  </si>
  <si>
    <t>ATP18102508</t>
  </si>
  <si>
    <t>HH3794</t>
  </si>
  <si>
    <t>GC - IV - 3794 - Cty Sen Hồng (A.Diễn) - VÔ GẠO TE+ (Gel đỏ cam) - 500ml - 40</t>
  </si>
  <si>
    <t>chung ruột HH3525</t>
  </si>
  <si>
    <t>ITP.210102501</t>
  </si>
  <si>
    <t>đóng như đơn gần nhất</t>
  </si>
  <si>
    <t>ATP21102503</t>
  </si>
  <si>
    <t>HH4262</t>
  </si>
  <si>
    <t>CTY HƯƠNG NÔNG (A.TÙNG) - Hữu cơ Organic BM Gold  FW - BIO HỮU CƠ - 10L - 1</t>
  </si>
  <si>
    <t>Cùng ruột3948</t>
  </si>
  <si>
    <t>01TT0010</t>
  </si>
  <si>
    <t>ATP21102504</t>
  </si>
  <si>
    <t>HH4259</t>
  </si>
  <si>
    <t>GC - IV - 4259 - CTY DONA VINA - CANXIBO MAXI (Nước trắng sữa) - 500ml - 40</t>
  </si>
  <si>
    <t>Cùng ruột HH3883</t>
  </si>
  <si>
    <t>ATP21102508</t>
  </si>
  <si>
    <t>HH4016</t>
  </si>
  <si>
    <t>GC - IV - 4016 - CTY NOVI - CANXI BO (Nước trắng sữa) - 250ml - 40</t>
  </si>
  <si>
    <t>ATP21102510</t>
  </si>
  <si>
    <t>HH4265</t>
  </si>
  <si>
    <t>GC - IV - 4265 - THÀNH CÔNG AGRI - PK-MAX (Nước nâu vàng) - 500ml - 30</t>
  </si>
  <si>
    <t>Lá Hỗn Hợp PK AGRI FOS AB</t>
  </si>
  <si>
    <t>A07290925</t>
  </si>
  <si>
    <t>Nước nâu vàng</t>
  </si>
  <si>
    <t>A07290925 85.000đ 21/10/2025</t>
  </si>
  <si>
    <t>ITP.20102501</t>
  </si>
  <si>
    <t>HH4120</t>
  </si>
  <si>
    <t>IDA Global - I - 4120 - Amazon 80 - 100ml - 100</t>
  </si>
  <si>
    <t>I01040925 - Magie kẽm IDA (Amazon 80)
ngày 03/10/2025</t>
  </si>
  <si>
    <t>I01040925 - Magie kẽm IDA (Amazon 80)
ngày 03/10/2025 18.600đ 20/10/2025</t>
  </si>
  <si>
    <t>ATP22102501</t>
  </si>
  <si>
    <t>HH4267</t>
  </si>
  <si>
    <t>GC - IV - 4267 - CSSX An Khang (A.Dinh) - TAK06 (Gel nâu đen) - 20L - 1</t>
  </si>
  <si>
    <t>Cùng ruột hh3863</t>
  </si>
  <si>
    <t>19DD0014V1</t>
  </si>
  <si>
    <t>Cùng ruột hh3863 800.000đ 23/10/2025</t>
  </si>
  <si>
    <t>ATP23102502</t>
  </si>
  <si>
    <t>HH4277</t>
  </si>
  <si>
    <t>GC - IV - 4277 - CTY HIỆP PHÁT ABC - HP.02 (Gel nâu đen) - 5L - 4</t>
  </si>
  <si>
    <t>cùng ruột HH3932</t>
  </si>
  <si>
    <t>cùng ruột HH3932 330.000đ 23/10/2025</t>
  </si>
  <si>
    <t>ATP23102504</t>
  </si>
  <si>
    <t>HH4272</t>
  </si>
  <si>
    <t>GC - IV - 4272 - CTY ASAHI NHẬT BẢN - RONBIN SAMURAI (Gel nâu đen) - 500ml - 40</t>
  </si>
  <si>
    <t>Cùng ruột 3740 - A06110125</t>
  </si>
  <si>
    <t>13XL0008V1</t>
  </si>
  <si>
    <t>Cùng ruột 3740 - A06110125 18.900đ 23/10/2025</t>
  </si>
  <si>
    <t>ATP23102505</t>
  </si>
  <si>
    <t>HH4264</t>
  </si>
  <si>
    <t>GC - IV - 4264 - CTY NGỌC BẢO LONG AGRI - SIÊU VÔ GẠO (nước nâu đen) - 500ml - 30</t>
  </si>
  <si>
    <t>Lá PK Vi lượng SV 5-18</t>
  </si>
  <si>
    <t>A07111025</t>
  </si>
  <si>
    <t>A07111025 73.500đ 23/10/2025</t>
  </si>
  <si>
    <t>ATP23102507</t>
  </si>
  <si>
    <t>HH4278</t>
  </si>
  <si>
    <t>GC ABA - CAPY GLOBAL - Vi lượng Quantity New - DR.H2 - 1L - 20</t>
  </si>
  <si>
    <t>cùng ruột 4017, chặn đọt dòng V1</t>
  </si>
  <si>
    <t>ATP23102510</t>
  </si>
  <si>
    <t>HH4242</t>
  </si>
  <si>
    <t>GC Cty Agricare Úc - A. LỘC - lá NPK-vi lượng GNC19 - AQUA DƯỠNG CHẤT HỮU CƠ - 50ml - 200</t>
  </si>
  <si>
    <t>Mã NL: A01131025</t>
  </si>
  <si>
    <t>STP24102501</t>
  </si>
  <si>
    <t>HH4283</t>
  </si>
  <si>
    <t>GC - IX - 4283 - N2SBIO - N2 MG ZN-70 (Nước xanh lá) - 500ml - 40</t>
  </si>
  <si>
    <t>ATP25102501</t>
  </si>
  <si>
    <t>HH4284</t>
  </si>
  <si>
    <t>GC - IV - 4284 - HÓA NÔNG SHINO - CỨNG CÂY D345 (Nước nâu đen) - 500ml - 30</t>
  </si>
  <si>
    <t>ATP25102502</t>
  </si>
  <si>
    <t>GC - II - 4235 - LOT AGC (CAPY GLOBAL) - DR.STOP (Nước nâu đen) - 1L - 20</t>
  </si>
  <si>
    <t>ATP28102501</t>
  </si>
  <si>
    <t>ATP28102502</t>
  </si>
  <si>
    <t>HH4184</t>
  </si>
  <si>
    <t>GC - IV - 4184 - Cty Agrochem Korea - TITANG-KẼM (Nước nâu đen) - 500ml - 40</t>
  </si>
  <si>
    <t>Dòng phụ gia thấp V1
Cùng ruột 1570, 1907, 2798
02CC0001</t>
  </si>
  <si>
    <t>ATP28102503</t>
  </si>
  <si>
    <t>06CD0006V1</t>
  </si>
  <si>
    <t>ATP28102504</t>
  </si>
  <si>
    <t>HH4273</t>
  </si>
  <si>
    <t>GC - IV - 4273 - Cty Thành Công Agri - MASTER STOP (nước nâu đen V2) - 1L - 20</t>
  </si>
  <si>
    <t>Vi Lượng G.A 05</t>
  </si>
  <si>
    <t>A08281025</t>
  </si>
  <si>
    <t>Huỷ đơn</t>
  </si>
  <si>
    <t>ATP29102504</t>
  </si>
  <si>
    <t>HH4301</t>
  </si>
  <si>
    <t>GC ABA - CTY GNH - A THỜI - Vi lượng Quantity New - RA RỄ NỞ BỤI - 1L - 20</t>
  </si>
  <si>
    <t>chung mã NL 3244</t>
  </si>
  <si>
    <t>01RR0049V1</t>
  </si>
  <si>
    <t>ATP30102501</t>
  </si>
  <si>
    <t>GC - IV - 4301 - CTY GNH - Ra Rễ Nở Bụi (nước nâu đen) - 1L - 20</t>
  </si>
  <si>
    <t>ATP30102502</t>
  </si>
  <si>
    <t>HH4297</t>
  </si>
  <si>
    <t>CTY NAUY - PBHC CROPS CARE - CỨNG CÂY NAUY</t>
  </si>
  <si>
    <t>Bổ sung mã NL sau</t>
  </si>
  <si>
    <t>ATP30102504</t>
  </si>
  <si>
    <t>HH4083</t>
  </si>
  <si>
    <t>GC - II - 4083 - CSSX An Khang (A.Dinh) - TAK12 (Bột màu trắng) - 2kg - 10</t>
  </si>
  <si>
    <t>Lá NPK-Trung-Vi Lượng GNC 08</t>
  </si>
  <si>
    <t>A02190725</t>
  </si>
  <si>
    <t>ATP30102505</t>
  </si>
  <si>
    <t>HH4100</t>
  </si>
  <si>
    <t>GC - IV - 4100 - Cty Sen Hồng (A.Diễn) - CỨNG CÂY 4.0 (Nước nâu đen) - 400ml - 30</t>
  </si>
  <si>
    <t>ATP01112501</t>
  </si>
  <si>
    <t>ATP03112502</t>
  </si>
  <si>
    <t>HH4231</t>
  </si>
  <si>
    <t>GC - IV - 4231 - CTY R3 - R3 TANK  (Nước nâu vàng) - 330ml - 40</t>
  </si>
  <si>
    <t>A02200825</t>
  </si>
  <si>
    <t>ATP03112503</t>
  </si>
  <si>
    <t>HH4232</t>
  </si>
  <si>
    <t>GC - IV - 4232 - CTY R3 - R3 BLOOM  (Nước xanh bơ sữa) - 330ml - 40</t>
  </si>
  <si>
    <t>A03260525</t>
  </si>
  <si>
    <t>Nước xanh bơ sữa</t>
  </si>
  <si>
    <t>03DD0017</t>
  </si>
  <si>
    <t>ATP03112504</t>
  </si>
  <si>
    <t>ATP03112505</t>
  </si>
  <si>
    <t>XTP.03112501</t>
  </si>
  <si>
    <t>HH4316</t>
  </si>
  <si>
    <t>HH4316 - DR.XANH - PBHC SH AGRO ORGANIC FERTILIZER 20 - DR.AB MAGSI - CHAI HDPE TRẮNG NẮP TRẮNG (CÓ CỐC) 500ML</t>
  </si>
  <si>
    <t>X06121224</t>
  </si>
  <si>
    <t>02CC0009</t>
  </si>
  <si>
    <t>XTP.03112502</t>
  </si>
  <si>
    <t>HH4314</t>
  </si>
  <si>
    <t>HH4314 - DR.XANH - PBHC ORGANIC BM GOLD FW - DR.XTRESS - CHAI HDPE TRẮNG NẮP TRẮNG (CÓC CỐC) 500ML</t>
  </si>
  <si>
    <t>ITP.01112501</t>
  </si>
  <si>
    <t>HH4003</t>
  </si>
  <si>
    <t>IDA Global - I - 4003 - CANXI BO LIQUID (Nước trắng sữa) - 500ml - 40</t>
  </si>
  <si>
    <t>10CR0015</t>
  </si>
  <si>
    <t>ATP03112501</t>
  </si>
  <si>
    <t>HH4234</t>
  </si>
  <si>
    <t>GC - IV - 4234 - CTY R3 - R3 ROOT+  (Nước nâu đen) - 330ml - 40</t>
  </si>
  <si>
    <t>ATP04112501</t>
  </si>
  <si>
    <t>HH2717</t>
  </si>
  <si>
    <t>GC - IV - 2717 - GNH - DR. PHOENIX NANO ĐỒNG (Nước xanh nõn chuối) - 250ml - 40</t>
  </si>
  <si>
    <t>KD đổi công thức mới
A01311025</t>
  </si>
  <si>
    <t>ATP04112502</t>
  </si>
  <si>
    <t>HH4101</t>
  </si>
  <si>
    <t>GC - IV - 4101 - CTY SEN HỒNG - Mập Đòng  (Gel nâu đen) - 500ml - 40</t>
  </si>
  <si>
    <t>Hữu Cơ PBHC Cabozinc A.B.A</t>
  </si>
  <si>
    <t>A05091025</t>
  </si>
  <si>
    <t>ATP04112503</t>
  </si>
  <si>
    <t>HH4321</t>
  </si>
  <si>
    <t>GC ABA - NHP GROUP - Vi lượng Quantity New - KODO STOP - 1L - 20</t>
  </si>
  <si>
    <t>cùng ruột 4011
Dòng V1</t>
  </si>
  <si>
    <t>ITP.04112501</t>
  </si>
  <si>
    <t>HH3790</t>
  </si>
  <si>
    <t>BAMBOO - VI - 3790 - BAMBOO CANXI BO MASTER (Nước trắng sữa) - 1L - 20</t>
  </si>
  <si>
    <t>ITP.04112502</t>
  </si>
  <si>
    <t>ITP.04112503</t>
  </si>
  <si>
    <t>HH4311</t>
  </si>
  <si>
    <t>BAMBOO - VI - 4311 - BAMBOO 777 TE (chưa xác định) - 1L - 20</t>
  </si>
  <si>
    <t>Chưa có thông tin công thức từ KD</t>
  </si>
  <si>
    <t>ITP.04112504</t>
  </si>
  <si>
    <t>ATP05112501</t>
  </si>
  <si>
    <t>HH4323</t>
  </si>
  <si>
    <t>GC - IV - 4323 - Cty Tiến Vinh - KẼM MAGIE TIVI (Gel xanh lá) - 500ml - 40</t>
  </si>
  <si>
    <t>A04070825 cùng ruột 3988</t>
  </si>
  <si>
    <t>Gel xanh lá</t>
  </si>
  <si>
    <t>23GS0004</t>
  </si>
  <si>
    <t>ATP05112502</t>
  </si>
  <si>
    <t>HH4313</t>
  </si>
  <si>
    <t>GC ABA - CTY NAUY - Hỗn Hợp NPK GNC 101 - KINGS AGROS - 1kg - 20</t>
  </si>
  <si>
    <t>Hỗn Hợp NPK GNC 101</t>
  </si>
  <si>
    <t>A03011125</t>
  </si>
  <si>
    <t>Bột trắng</t>
  </si>
  <si>
    <t>ATP05112503</t>
  </si>
  <si>
    <t>HH4324</t>
  </si>
  <si>
    <t>GC ABA - USA FARM - vi lượng Phú Sĩ FJ-09 Kẽm Mg - MAGIE-KẼM - 500ml - 40</t>
  </si>
  <si>
    <t>ATP06112503</t>
  </si>
  <si>
    <t>HH4319</t>
  </si>
  <si>
    <t>GC - IV - 4319 - Cty Newtex - NT-PHOS T1 (Nước xanh dương) - 500ml - 40</t>
  </si>
  <si>
    <t>Nước xanh dương</t>
  </si>
  <si>
    <t>ATP07112501</t>
  </si>
  <si>
    <t>HH4337</t>
  </si>
  <si>
    <t>GC ABA - THÀNH CÔNG AGRI - Vi lượng Quantity New - STOP ĐỌT - 1L - 20</t>
  </si>
  <si>
    <t>ATP07112502</t>
  </si>
  <si>
    <t>HH4233</t>
  </si>
  <si>
    <t>GC - IV - 4233 - CTY R3 - R3 VOGAO  (Nước đỏ cam) - 330ml - 40</t>
  </si>
  <si>
    <t>A03091025</t>
  </si>
  <si>
    <t>ATP08112501</t>
  </si>
  <si>
    <t>HH4339</t>
  </si>
  <si>
    <t>GC - IV - 4339 - AGRITECH - CALBO TECH (Nước trắng sữa) - 500ml - 40</t>
  </si>
  <si>
    <t>A04201124</t>
  </si>
  <si>
    <t>10CR0012</t>
  </si>
  <si>
    <t>ATP08112503</t>
  </si>
  <si>
    <t>ITP.08112501</t>
  </si>
  <si>
    <t>HH4285</t>
  </si>
  <si>
    <t>IDA Global - I - 4285 - STOP UP (Nước nâu đen) - 1L - 20</t>
  </si>
  <si>
    <t>ATP10112501</t>
  </si>
  <si>
    <t>HH4348</t>
  </si>
  <si>
    <t>GC - IV - 4348 - Cty Hương Nông - Đậu Trái (nước vàng mật ong) - 500ml - 40</t>
  </si>
  <si>
    <t>STP10112502</t>
  </si>
  <si>
    <t>23GS0002V1</t>
  </si>
  <si>
    <t>STP10112503</t>
  </si>
  <si>
    <t>STP10112501</t>
  </si>
  <si>
    <t>HH4066</t>
  </si>
  <si>
    <t>N2AGRO - Lá PK-Trung Lượng NBC-Photphonate - N2 PHYTO PLUS - 500ml - 40</t>
  </si>
  <si>
    <t>N02220825</t>
  </si>
  <si>
    <t>ATP10112503</t>
  </si>
  <si>
    <t>HH4327</t>
  </si>
  <si>
    <t>GC - IV - 4327 - Cty Hóa Nông Shino - SHINO ĐỒNG (Nước xanh dương) - 250ml - 40</t>
  </si>
  <si>
    <t>Vi lượng Agama Cu</t>
  </si>
  <si>
    <t>A02300524</t>
  </si>
  <si>
    <t>17KN0007</t>
  </si>
  <si>
    <t>ATP11112502</t>
  </si>
  <si>
    <t>HH4340</t>
  </si>
  <si>
    <t>GC ABA - CTY GNH - A THỜI - Vi lượng Quantity New - SIÊU KÍCH RỄ  - 500ml - 40</t>
  </si>
  <si>
    <t>cùng ruột HH3893</t>
  </si>
  <si>
    <t>ATP11112503</t>
  </si>
  <si>
    <t>ATP11112505</t>
  </si>
  <si>
    <t>19DD0018V1</t>
  </si>
  <si>
    <t>ITP.12112501</t>
  </si>
  <si>
    <t>03DD0015V1</t>
  </si>
  <si>
    <t>ATP12112503</t>
  </si>
  <si>
    <t>HH3006</t>
  </si>
  <si>
    <t>GC - IV - 3006 - Cty Quang Đăng Agriculture - LOCK GROW QĐ DURI (Nước nâu đen) - 1L - 20</t>
  </si>
  <si>
    <t>Chặn đọt
DÒNG V2</t>
  </si>
  <si>
    <t>ATP12112505</t>
  </si>
  <si>
    <t>A01301025</t>
  </si>
  <si>
    <t>04VG0040</t>
  </si>
  <si>
    <t>ATP12112502</t>
  </si>
  <si>
    <t>ITP.13112501</t>
  </si>
  <si>
    <t>ATP13112505</t>
  </si>
  <si>
    <t>ATP14112502</t>
  </si>
  <si>
    <t>HH4372</t>
  </si>
  <si>
    <t>GC ABA - THÀNH CÔNG AGRI - Vi lượng Quantity New - MASTER STOP - 1L - 20</t>
  </si>
  <si>
    <t>ITP.13112502</t>
  </si>
  <si>
    <t>HH4357</t>
  </si>
  <si>
    <t>IDA Global - I - 4357 - ĐL LÊ NGUYỄN 2 - SIÊU CỨNG CÂY (Nước nâu đen) - 500ml - 40</t>
  </si>
  <si>
    <t>Chung ruột HH4075</t>
  </si>
  <si>
    <t>02CC0002V2</t>
  </si>
  <si>
    <t>ATP14112503</t>
  </si>
  <si>
    <t>GC - IV - 4278 - CTY CAPY GLOBAL - DR.H2 (Nước nâu đen) - 1L - 20</t>
  </si>
  <si>
    <t>ATP14112504</t>
  </si>
  <si>
    <t>HH4374</t>
  </si>
  <si>
    <t>GC - IV - 4374 - KIM NGỌC - AGAMA-CANXI BO (Nước trắng sữa) - 500ml - 40</t>
  </si>
  <si>
    <t>ITP.14112504</t>
  </si>
  <si>
    <t>HH4375</t>
  </si>
  <si>
    <t>BAMBOO - VI - 4375 - BAMBOO CANXI BO MASTER (Nước trắng sữa) - 1L - 20</t>
  </si>
  <si>
    <t>Chung ruột HH3790</t>
  </si>
  <si>
    <t>ATP15112501</t>
  </si>
  <si>
    <t>HH4342</t>
  </si>
  <si>
    <t>GC - IV - 4342 - CTY LÂM THÀNH - LÊN CƠM (Bột trắng) - 10kg - 1</t>
  </si>
  <si>
    <t>Hỗn hợp NPK GNC 102</t>
  </si>
  <si>
    <t>bổ sung mã NL sau</t>
  </si>
  <si>
    <t>Chưa có công thức từ KD</t>
  </si>
  <si>
    <t>ATP15112503</t>
  </si>
  <si>
    <t>HH4379</t>
  </si>
  <si>
    <t>GC - IV - 4379 - THÀNH CÔNG AGRI - MT STOP (Nước nâu đen) - 1L - 20</t>
  </si>
  <si>
    <t>ATP15112504</t>
  </si>
  <si>
    <t>HH4291</t>
  </si>
  <si>
    <t>GC - IV - 4291 - NHP GROUP - pH++ (Gel nâu đen) - 1L - 20</t>
  </si>
  <si>
    <t>Hữu Cơ ABA Organic Fertilizer 20</t>
  </si>
  <si>
    <t>A01090625 cùng ruột 3801 TAK09</t>
  </si>
  <si>
    <t>ATP15112505</t>
  </si>
  <si>
    <t>HH4338</t>
  </si>
  <si>
    <t>GC - IV - 4338 - NHP Group - BUD P02 (Gel màu tím) - 500ml - 40</t>
  </si>
  <si>
    <t>Cùng ruột HH3160, 4179</t>
  </si>
  <si>
    <t>Gel màu tím</t>
  </si>
  <si>
    <t>ATP15112506</t>
  </si>
  <si>
    <t>HH4380</t>
  </si>
  <si>
    <t>GC - IV - 4380 - Cty Thành Công Agri - MASTER STOP (nước nâu đen V2) - 1L - 20</t>
  </si>
  <si>
    <t>ATP15112507</t>
  </si>
  <si>
    <t>HH4376</t>
  </si>
  <si>
    <t>GC - IV - 4376 - Japan Crop Science - CỨNG HƠN TRỤ THÉP (gel nâu đen) - 500ml - 30</t>
  </si>
  <si>
    <t xml:space="preserve">Dòng phụ gia thấp V1 cùng ruột 1907
</t>
  </si>
  <si>
    <t>ATP17112501</t>
  </si>
  <si>
    <t>HH4383</t>
  </si>
  <si>
    <t>GC - IV - 4383 - Cty Sen Hồng (A.Diễn) - CỨNG CÂY 4.0 (Nước nâu đen) - 400ml - 30</t>
  </si>
  <si>
    <t>Cùng ruột HH2231</t>
  </si>
  <si>
    <t>02CC0004V1</t>
  </si>
  <si>
    <t>ATP17112504</t>
  </si>
  <si>
    <t>ATP17112505</t>
  </si>
  <si>
    <t>GC - IV - 4125 - Cty Quang Đăng Agriculture - ĐL LÂM THANH TRÍ - QĐ-PHOSKA (Nước xanh dương nhạt) - 500ml - 40</t>
  </si>
  <si>
    <t>Nước xanh dương nhạt</t>
  </si>
  <si>
    <t>ATP17112510</t>
  </si>
  <si>
    <t>HH4350</t>
  </si>
  <si>
    <t>GC ABA - CTY NAUY - Hỗn Hợp NP AGAMA-AP - TỐT RỄ - 500ml - 40</t>
  </si>
  <si>
    <t>A20280225 cùng ruột 4213</t>
  </si>
  <si>
    <t>ATP17112511</t>
  </si>
  <si>
    <t>HH4351</t>
  </si>
  <si>
    <t>GC ABA - CTY NAUY - Vi Lượng G.A 05 - PHÁO ĐÀI - 500ml - 40</t>
  </si>
  <si>
    <t>bổ sung NL sau</t>
  </si>
  <si>
    <t>Chưa có công thức từ kd</t>
  </si>
  <si>
    <t>ATP17112512</t>
  </si>
  <si>
    <t>HH4352</t>
  </si>
  <si>
    <t>GC ABA - CTY NAUY - Hữu Cơ PBHC Cabozinc A.B.A - THẦN ĐÒNG - 500ml - 40</t>
  </si>
  <si>
    <t>ATP17112513</t>
  </si>
  <si>
    <t>HH4354</t>
  </si>
  <si>
    <t>GC ABA - CTY NAUY - Hữu Cơ Organic ĐGP 01 - KALI NAUY - 500ml - 40</t>
  </si>
  <si>
    <t>ATP17112514</t>
  </si>
  <si>
    <t>HH4207</t>
  </si>
  <si>
    <t>GC - IV - 4207 - Cty Quang Đăng Agriculture - NUÔI ĐÒNG TRỔ THOÁT + (Nước nâu đen) - 1L - 20</t>
  </si>
  <si>
    <t>vi lượng HELP FARMER_3</t>
  </si>
  <si>
    <t>A06230425</t>
  </si>
  <si>
    <t>03DD0008V1</t>
  </si>
  <si>
    <t>ATP17112515</t>
  </si>
  <si>
    <t>HH4208</t>
  </si>
  <si>
    <t>GC - IV - 4208 - Cty Quang Đăng Agriculture - SUPER VÔ GẠO + (Nước vàng cam) - 1L - 20</t>
  </si>
  <si>
    <t>Cùng ruột 2882</t>
  </si>
  <si>
    <t>Nước vàng cam</t>
  </si>
  <si>
    <t>04VG0019</t>
  </si>
  <si>
    <t>ATP18112501</t>
  </si>
  <si>
    <t>ATP18112505</t>
  </si>
  <si>
    <t>HH4390</t>
  </si>
  <si>
    <t>GC - II - 4390 - GC.NANOFISH - STOP 25 (nước nâu đen) - 1L - 20</t>
  </si>
  <si>
    <t>ATP18112506</t>
  </si>
  <si>
    <t>HH4318</t>
  </si>
  <si>
    <t>GC - IV - 4318 - CTY QUANG ĐĂNG AGRICULTURE - ROOTS GROW+ QĐ.SOLID (Nước nâu đen) - 500ml</t>
  </si>
  <si>
    <t>A04161024
Cùng ruột 3375</t>
  </si>
  <si>
    <t>19DD0024</t>
  </si>
  <si>
    <t>AYC18112501</t>
  </si>
  <si>
    <t xml:space="preserve">
Xử lý dán nhãn 4318 
Hàng HH3375 THU VỀ KHO DR.XANH</t>
  </si>
  <si>
    <t>XYC.18112501</t>
  </si>
  <si>
    <t>Xử lý lại độ nhớt 
Lô 241025 
Date 13/10/2027</t>
  </si>
  <si>
    <t>XYC.18112502</t>
  </si>
  <si>
    <t>Xử lý lại độ nhớt 
Lô 410924 
Date 15/9/2027</t>
  </si>
  <si>
    <t>XYC.18112503</t>
  </si>
  <si>
    <t>Xử lý lại độ nhớt 
Lô 511025
Date 24/10/27</t>
  </si>
  <si>
    <t>XYC.18112504</t>
  </si>
  <si>
    <t>Xử lý lại độ nhớt 
Lô 511025
Date 30/10/27</t>
  </si>
  <si>
    <t>XYC.18112505</t>
  </si>
  <si>
    <t>HH4034</t>
  </si>
  <si>
    <t>DR.XANH - VIII - 4034 - ROBUST EXTRA (Gel nâu đen) - 500ml - 40</t>
  </si>
  <si>
    <t>Xử lý lại độ nhớt 
Lô 180825
Date 20/08/2027</t>
  </si>
  <si>
    <t>XYC.18112506</t>
  </si>
  <si>
    <t>HH4033</t>
  </si>
  <si>
    <t>DR.XANH - VIII - 4033 - ROBUST EXTRA (Gel nâu đen) - 250ml - 40</t>
  </si>
  <si>
    <t>Xử lý lại độ nhớt 
Lô 420825
Date 21/08/2027</t>
  </si>
  <si>
    <t>ATP19112501</t>
  </si>
  <si>
    <t>HH4389</t>
  </si>
  <si>
    <t>GC - IV - 4389 - GNH - Siêu Bung Đọt (nước nâu đen) - 5L - 4</t>
  </si>
  <si>
    <t>A06260225</t>
  </si>
  <si>
    <t>01RR0045</t>
  </si>
  <si>
    <t>ATP19112504</t>
  </si>
  <si>
    <t>19DD0014V2</t>
  </si>
  <si>
    <t>ATP19112505</t>
  </si>
  <si>
    <t>HH4398</t>
  </si>
  <si>
    <t>GC ABA - MASTER WIN - Hữu cơ WIN STALK - SUPER F1 - 500ml - 40</t>
  </si>
  <si>
    <t>Hữu cơ WIN STALK</t>
  </si>
  <si>
    <t>A03080325
Cùng ruột 3283</t>
  </si>
  <si>
    <t>05KC0013</t>
  </si>
  <si>
    <t>ATP20112505</t>
  </si>
  <si>
    <t>HH4367</t>
  </si>
  <si>
    <t>CTY HẠT GIỐNG C.P VN - VII - 4367 - AGRI FOS AB (Nước hồng) - 50ml - 250</t>
  </si>
  <si>
    <t>CP_0.38.7: Dạng lỏng</t>
  </si>
  <si>
    <t>Nước hồng</t>
  </si>
  <si>
    <t>ATP20112506</t>
  </si>
  <si>
    <t>HH4368</t>
  </si>
  <si>
    <t>CTY HẠT GIỐNG C.P VN - VII - 4368 - 30-10-10 (Bột trắng) - 50gr - 250</t>
  </si>
  <si>
    <t>Hỗn hợp NPK SIAMB 16</t>
  </si>
  <si>
    <t>CP_30.10.10: Dạng bột</t>
  </si>
  <si>
    <t>ITP.20112502</t>
  </si>
  <si>
    <t>HH4333</t>
  </si>
  <si>
    <t>IDA Global - I - 4333 - ĐL PHƯỚC THẠNH - WINNER X2 (Nước đỏ cam) - 500ml - 40</t>
  </si>
  <si>
    <t>Chung ruột HH3905</t>
  </si>
  <si>
    <t>ITP.20112503</t>
  </si>
  <si>
    <t>HH4388</t>
  </si>
  <si>
    <t>IDA (ĐL PHƯỚC THẠNH) - Vi lượng AGAMA-CANXI BO - CANXI BO LIQUID - 250ml - 40</t>
  </si>
  <si>
    <t>Chung ruột HH4003</t>
  </si>
  <si>
    <t>ATP20112508</t>
  </si>
  <si>
    <t>HH4391</t>
  </si>
  <si>
    <t>GC ABA - CTY NEWTEX - Vi lượng AGAMA-CANXI BO - CANXI BO KẼM T8 - 1L - 20</t>
  </si>
  <si>
    <t>ATP21112501</t>
  </si>
  <si>
    <t>GC - IV - 4351 - CTY NAUY - PHÁO ĐÀI (Nước nâu đen) - 500ml - 40</t>
  </si>
  <si>
    <t>A05301025
Cùng ruột 4297</t>
  </si>
  <si>
    <t>02CC0013</t>
  </si>
  <si>
    <t>ATP21112502</t>
  </si>
  <si>
    <t>ATP21112503</t>
  </si>
  <si>
    <t>ATP21112506</t>
  </si>
  <si>
    <t>ATP22112504</t>
  </si>
  <si>
    <t>HH4001</t>
  </si>
  <si>
    <t>GC - IV - 4001 - CTY NAUY - NANO PROMAX (Vô gạo) (Nước nâu đen) - 500ml - 40</t>
  </si>
  <si>
    <t>A05190825</t>
  </si>
  <si>
    <t>ATP22112505</t>
  </si>
  <si>
    <t>HH4378</t>
  </si>
  <si>
    <t>GC ABA - HÓA NÔNG SHINO - Vi lượng Quantity New - TRỢ LỰC D1 - 60ml - 100</t>
  </si>
  <si>
    <t>Cùng ruột 2576</t>
  </si>
  <si>
    <t>ATP22112507</t>
  </si>
  <si>
    <t>HH4411</t>
  </si>
  <si>
    <t>GC - IV - 4411 - CTY HƯƠNG NÔNG - FRESH UP (Nước nâu đen) - 250ml - 40</t>
  </si>
  <si>
    <t>A01200225-02
Cùng ruột 3922, 4126</t>
  </si>
  <si>
    <t>10CR0019</t>
  </si>
  <si>
    <t>ATP24112506</t>
  </si>
  <si>
    <t>HH4417</t>
  </si>
  <si>
    <t>GC - IV - 4417 - AGRITECH HÀ LAN - Phân bón hữu cơ AGRITECH HL NUÔI TRÁI (Nước nâu đen) - 500ml - 40</t>
  </si>
  <si>
    <t>Hữu cơ AGRITECH HL NUÔI TRÁI</t>
  </si>
  <si>
    <t>A01011025</t>
  </si>
  <si>
    <t>AYC24112501</t>
  </si>
  <si>
    <t>HH4418</t>
  </si>
  <si>
    <t>GC - IV - 4418 - CTY QUANG ĐĂNG AGRICULTURE - ROOTS GROW+ QĐ.SOLID (Nước nâu đen) - 500ml - 40</t>
  </si>
  <si>
    <t>ATP25112501</t>
  </si>
  <si>
    <t>HH4421</t>
  </si>
  <si>
    <t>GC - IV - 4421 - CTY NAUY - THẦN ĐÒNG (Nước nâu đen) - 500ml - 40</t>
  </si>
  <si>
    <t>03DD0009 Cùng ruột 3567</t>
  </si>
  <si>
    <t>03DD0009</t>
  </si>
  <si>
    <t>ATP26112501</t>
  </si>
  <si>
    <t>ATP27112501</t>
  </si>
  <si>
    <t>HH2550</t>
  </si>
  <si>
    <t>GC - II - 2550 - CSSX An Khang (A.Dinh) - T-AK 02 (Gel nâu đen) - 500ml - 40</t>
  </si>
  <si>
    <t>STP27112501</t>
  </si>
  <si>
    <t>HH4012</t>
  </si>
  <si>
    <t>GC - V - 4012 - N2SBIO - N2 PHYTO PLUS (Nước nâu đen) - 500ml - 40</t>
  </si>
  <si>
    <t>N02090925</t>
  </si>
  <si>
    <t>ITP.27112502</t>
  </si>
  <si>
    <t xml:space="preserve">ATP27112505
</t>
  </si>
  <si>
    <t>HH4433</t>
  </si>
  <si>
    <t>AGRITECH - ANH TRƯƠNG - Hỗn Hợp NP AGAMA-AP - NUTI ROOTS 02 - 1L - 20</t>
  </si>
  <si>
    <t>Cùng ruột 
HH4052</t>
  </si>
  <si>
    <t>ATP28112501</t>
  </si>
  <si>
    <t>HH4434</t>
  </si>
  <si>
    <t>GC - IV - 4434 - AGRITECH - NUTI RICE MAX (Gel vàng cam) - 1L - 20</t>
  </si>
  <si>
    <t>Cùng ruột 
HH2881</t>
  </si>
  <si>
    <t>Gel vàng cam</t>
  </si>
  <si>
    <t>04VG0018</t>
  </si>
  <si>
    <t>ATP28112504</t>
  </si>
  <si>
    <t>HH4443</t>
  </si>
  <si>
    <t>GC ABA - NHP GROUP - Hữu cơ SH Agro Organic Fertilizer 20 - pH++ - 1L - 20</t>
  </si>
  <si>
    <t>Cùng ruột 3801
TAK09</t>
  </si>
  <si>
    <t>ATP29112501</t>
  </si>
  <si>
    <t>HH4446</t>
  </si>
  <si>
    <t>GC - IV - 4446 - CTY NAUY - ZN++ GOLD (Nước xanh lá sữa) - 250ml - 40</t>
  </si>
  <si>
    <t>Cùng ruột 
HH3709</t>
  </si>
  <si>
    <t>13XL0011</t>
  </si>
  <si>
    <t>ATP29112502</t>
  </si>
  <si>
    <t>HH4432</t>
  </si>
  <si>
    <t>GC ABA - CTY NAUY - Lá PK Vi lượng SV 5-18 - SUPER GOLD - 250ml - 40</t>
  </si>
  <si>
    <t>Cùng ruột 
HH4001</t>
  </si>
  <si>
    <t>ATP29112504</t>
  </si>
  <si>
    <t>HH4422</t>
  </si>
  <si>
    <t>GC - IV - 4422 - CTY JAPAN CROPS SCIENCE - DƯỠNG ĐÒNG (Dạng SC - Xanh dương) - 500ml - 40</t>
  </si>
  <si>
    <t>A01041025
SC Hồng</t>
  </si>
  <si>
    <t>Dạng SC - Hồng nhạt</t>
  </si>
  <si>
    <t>ATP29112505</t>
  </si>
  <si>
    <t>HH4423</t>
  </si>
  <si>
    <t>GC - IV - 4423 - CTY JAPAN CROPS SCIENCE - VÔ GẠO (Dạng SC - Vàng) - 500ml - 40</t>
  </si>
  <si>
    <t>A10260925
SC vàng</t>
  </si>
  <si>
    <t>ATP29112507</t>
  </si>
  <si>
    <t>HH4436</t>
  </si>
  <si>
    <t>AGRITECH - ANH TRƯƠNG - Vi lượng AGAMA-SUPPORT - NUTI FLOWER - 500ml - 40</t>
  </si>
  <si>
    <t>Cùng ruột 
HH3500</t>
  </si>
  <si>
    <t>03D0007</t>
  </si>
  <si>
    <t>ITP.01122501</t>
  </si>
  <si>
    <t>ITP.01122502</t>
  </si>
  <si>
    <t>ATP01122501</t>
  </si>
  <si>
    <t>HH4451</t>
  </si>
  <si>
    <t>GC ABA - CSSX AN KHANG (A. DINH) - Vi lượng Run Fast - T-AK 02 - 500ml - 40</t>
  </si>
  <si>
    <t>ATP01122502</t>
  </si>
  <si>
    <t>Cùng ruột 
HH3960</t>
  </si>
  <si>
    <t>ATP01122503</t>
  </si>
  <si>
    <t>CHẶN ĐỌT 
DÒNG V2</t>
  </si>
  <si>
    <t>06CD0009V2</t>
  </si>
  <si>
    <t>ATP01122504</t>
  </si>
  <si>
    <t>HH4449</t>
  </si>
  <si>
    <t>GC - IV - 4449 - CTY CAPY GLOBAL - POWER X20 (Nước vàng) - 90ml - 50</t>
  </si>
  <si>
    <t>Cùng ruột 
HH2941</t>
  </si>
  <si>
    <t>18TL0004V1</t>
  </si>
  <si>
    <t>ATP02122502</t>
  </si>
  <si>
    <t>HH4448</t>
  </si>
  <si>
    <t>GC - IV - 4448 - Cty Newtex - VÔ GẠO T9 (Dạng SC - Xanh lá) - 500ml - 40</t>
  </si>
  <si>
    <t>04VG0040V1</t>
  </si>
  <si>
    <t>ATP02122505</t>
  </si>
  <si>
    <t>HH4453</t>
  </si>
  <si>
    <t>GC - IV - 4453 - CTY NGỌC BẢO LONG AGRI - SIÊU RA RỄ (Nước nâu đen) - 500ml - 30</t>
  </si>
  <si>
    <t>Cùng ruột 
HH3178</t>
  </si>
  <si>
    <t>ATP02122508</t>
  </si>
  <si>
    <t xml:space="preserve">01RR0076 </t>
  </si>
  <si>
    <t>ITP.02122501</t>
  </si>
  <si>
    <t>ITP.02122502</t>
  </si>
  <si>
    <t>ITP.02122503</t>
  </si>
  <si>
    <t>ITP.02122506</t>
  </si>
  <si>
    <t>HH3923</t>
  </si>
  <si>
    <t>BAMBOO - VI - 3923 - BAMBOO MAGIE FULVIC (nước nâu đen) - 1L - 20</t>
  </si>
  <si>
    <t>Hữu cơ FUSEMIN COMBI+</t>
  </si>
  <si>
    <t>01RR0064</t>
  </si>
  <si>
    <t>ITP.02122507</t>
  </si>
  <si>
    <t>HH3966</t>
  </si>
  <si>
    <t>BAMBOO - VI - 3966 - BAMBOO 5.10.8 TE (chưa xác định) - 500ml - 40</t>
  </si>
  <si>
    <t>Hỗn hợp NPK GBUMPER 02</t>
  </si>
  <si>
    <t>Nước xanh lơ</t>
  </si>
  <si>
    <t>03DĐ0016</t>
  </si>
  <si>
    <t>ITP.02122508</t>
  </si>
  <si>
    <t>HH3967</t>
  </si>
  <si>
    <t>BAMBOO - VI - 3967 - BAMBOO 10.10.20 TE (chưa xác định) - 500ml - 40</t>
  </si>
  <si>
    <t>04VG0038</t>
  </si>
  <si>
    <t>ATP02122510</t>
  </si>
  <si>
    <t>Cùng ruột 
HH2666</t>
  </si>
  <si>
    <t>ITP.03122503</t>
  </si>
  <si>
    <t>01RR0044V3</t>
  </si>
  <si>
    <t>ATP04122505</t>
  </si>
  <si>
    <t>HH4320</t>
  </si>
  <si>
    <t>GC - IV - 4320 - CTY GNH - FLOWER+ (nước nâu đen) - 1L - 20</t>
  </si>
  <si>
    <t>A02311025</t>
  </si>
  <si>
    <t>ATP04122506</t>
  </si>
  <si>
    <t>HH4447</t>
  </si>
  <si>
    <t>GC - IV - 4447 - CTY ACE VN - SIÊU LÚA 1-2 (Nước nâu đen) - 50ml - 200</t>
  </si>
  <si>
    <t>ATP04122510</t>
  </si>
  <si>
    <t>HH4345</t>
  </si>
  <si>
    <t>GC ABA - CTY NAUY - Lá PK Vi lượng SV 5-18 - SUPER NANO - 500ml - 40</t>
  </si>
  <si>
    <t>Cùng ruột
4432</t>
  </si>
  <si>
    <t>04VG0045</t>
  </si>
  <si>
    <t>ATP04122511</t>
  </si>
  <si>
    <t>GC - IV - 4262 - CTY HƯƠNG NÔNG - BIO HỮU CƠ (Nước nâu đen) - 10L - 1</t>
  </si>
  <si>
    <t>Cùng ruột 
HH3948</t>
  </si>
  <si>
    <t>STP05122502</t>
  </si>
  <si>
    <t>06CD0016V1</t>
  </si>
  <si>
    <t>STP05122503</t>
  </si>
  <si>
    <t>HH3889</t>
  </si>
  <si>
    <t>GC - V - 3889 - N2SBIO - ROOTS + (Nước nâu đen) - 100ML - 50</t>
  </si>
  <si>
    <t>N01210725</t>
  </si>
  <si>
    <t>01RR0057</t>
  </si>
  <si>
    <t>ATP06122501</t>
  </si>
  <si>
    <t>HH4470</t>
  </si>
  <si>
    <t>GC - IV - 4470 - CTY R3 - R3 TANK  (Nước nâu vàng) - 300ml - 40</t>
  </si>
  <si>
    <t>A01200825
Cùng ruột 4231</t>
  </si>
  <si>
    <t>02CC0012</t>
  </si>
  <si>
    <t>ITP.08122501</t>
  </si>
  <si>
    <t>Ruột 3790</t>
  </si>
  <si>
    <t>ITP.08122502</t>
  </si>
  <si>
    <t>ITP.08122503</t>
  </si>
  <si>
    <t>Chưa có công thức KD</t>
  </si>
  <si>
    <t>ITP.08122510</t>
  </si>
  <si>
    <t>HH4478</t>
  </si>
  <si>
    <t>IDA GLOBAL - Vi lượng AGAMA-CANXI BO - CANXI BO LIQUID (LÚA) - 500ml - 40</t>
  </si>
  <si>
    <t>ITP.09122502</t>
  </si>
  <si>
    <t>HH4455</t>
  </si>
  <si>
    <t>IDA Global - I - 4455 - CỨNG CÂY 304 (Nước nâu đen) - 500ml - 40</t>
  </si>
  <si>
    <t>Cùng ruột HH4075</t>
  </si>
  <si>
    <t>ATP09122502</t>
  </si>
  <si>
    <t>08TM0027</t>
  </si>
  <si>
    <t>ATP09122509</t>
  </si>
  <si>
    <t>HH4410</t>
  </si>
  <si>
    <t>GC - IV - 4410 - NHP Group - CANXI BO BIO PLUS (Dạng SC - Trắng sữa) - 500ml - 40</t>
  </si>
  <si>
    <t>ATP09122510</t>
  </si>
  <si>
    <t>GC ABA - QUANG ĐĂNG AGRICULTURE - vi lượng Phú Sĩ FJ-09 Kẽm Mg - COMBI GREEN - 250ml - 40</t>
  </si>
  <si>
    <t>ATP09122511</t>
  </si>
  <si>
    <t>HH4440</t>
  </si>
  <si>
    <t>GC - IV - 4440 - CTY QUANG ĐĂNG AGRICULTURE - COMBI.QĐ KẼM MG (Nước trắng sữa) - 250ml - 40</t>
  </si>
  <si>
    <t>ATP10122508</t>
  </si>
  <si>
    <t>HH4328</t>
  </si>
  <si>
    <t>GC - IV - 4328 - Hóa Nông Shino - KALI SỮA (Nước hồng sữa) - 500ml - 30</t>
  </si>
  <si>
    <t>Cùng ruột HH3951</t>
  </si>
  <si>
    <t>Nước hồng sữa</t>
  </si>
  <si>
    <t>04VG0026V1</t>
  </si>
  <si>
    <t>ATP11122505</t>
  </si>
  <si>
    <t>HH4492</t>
  </si>
  <si>
    <t>GC ABA - DONA VINA - Hữu cơ SH Agro Organic Fertilizer 20 - DONA SOIL pH - 5L - 4</t>
  </si>
  <si>
    <t>Cùng ruột 2055</t>
  </si>
  <si>
    <t>ATP11122507</t>
  </si>
  <si>
    <t>HH4490</t>
  </si>
  <si>
    <t>GC - CTY NAUY - Vi lượng AGAMA-SUPPORT -  NAUY DƯỠNG ĐÒNG - 500ml - 40</t>
  </si>
  <si>
    <t>03DD0009
Cùng ruột 3567</t>
  </si>
  <si>
    <t>ITP.11122504</t>
  </si>
  <si>
    <t>ITP.15122502</t>
  </si>
  <si>
    <t>ITP.15122503</t>
  </si>
  <si>
    <t>HH4507</t>
  </si>
  <si>
    <t>IDA Global - I - 4507 - KG - ORGANIC X2 (Nước nâu đen) - 1L - 20</t>
  </si>
  <si>
    <t>Chung ruột HH4091</t>
  </si>
  <si>
    <t>ITP.15122504</t>
  </si>
  <si>
    <t>ATP15122501</t>
  </si>
  <si>
    <t>HH4495</t>
  </si>
  <si>
    <t>GC NANOFISH - Hữu cơ SH Agro Organic Fertilizer 20 - Ari pH - 1L - 20</t>
  </si>
  <si>
    <t>Cùng ruột 2055, 4183</t>
  </si>
  <si>
    <t>ATP15122502</t>
  </si>
  <si>
    <t>HH3928</t>
  </si>
  <si>
    <t>GC - IV - 3928 - CTY GNH - ROOT UP (Nước nâu đen) - 250ml - 40</t>
  </si>
  <si>
    <t>A06050325</t>
  </si>
  <si>
    <t>01RR0046</t>
  </si>
  <si>
    <t>ATP15122503</t>
  </si>
  <si>
    <t>HH3927</t>
  </si>
  <si>
    <t>GC ABA - CTY GNH - A THỜI - Hữu cơ SH Agro Organic Fertilizer 20 - ROOT UP - 100ml - 100</t>
  </si>
  <si>
    <t>ATP15122505</t>
  </si>
  <si>
    <t>HH4491</t>
  </si>
  <si>
    <t>GC - IV - 4491 - Cty Hóa Nông Shino - KALI SỮA (Nước hồng sữa) - 500ml - 30</t>
  </si>
  <si>
    <t>Cùng ruột 3951</t>
  </si>
  <si>
    <t>STP13122502</t>
  </si>
  <si>
    <t>HH4442</t>
  </si>
  <si>
    <t>GC - IX - 4442 - N2SBIO - N2 MG ZN-70 (Nước xanh lá) - 500ml - 40</t>
  </si>
  <si>
    <t>ATP16122501</t>
  </si>
  <si>
    <t>HH4289</t>
  </si>
  <si>
    <t>GC - IV - 4289 - NEWTECH CROP SCIENCE - NEW ZINC (Nước vàng sữa) - 500ml - 30</t>
  </si>
  <si>
    <t>CÙNG RUỘT HH3089</t>
  </si>
  <si>
    <t>ITP.23122501</t>
  </si>
  <si>
    <t>HH3168</t>
  </si>
  <si>
    <t xml:space="preserve">IDA Global - I - 3168 - IDA ORGANIC X2 (Nước nâu đen) - 5L - 4
</t>
  </si>
  <si>
    <t>Ruột HH4090</t>
  </si>
  <si>
    <t>ATP22122502</t>
  </si>
  <si>
    <t>HH4304</t>
  </si>
  <si>
    <t>GC - IV - 4304 - CSSX An Khang (A.Dinh) - TAK09 (Nước nâu đen) - 500ml - 40</t>
  </si>
  <si>
    <t>ATP22122505</t>
  </si>
  <si>
    <t>HH4524</t>
  </si>
  <si>
    <t>GC ABA - THÀNH CÔNG AGRI - Vi lượng AGAMA-SUPPORT - KING ROOT - 20L - 1</t>
  </si>
  <si>
    <t>Cùng ruột</t>
  </si>
  <si>
    <t>ATP24122503</t>
  </si>
  <si>
    <t>HH4353</t>
  </si>
  <si>
    <t>GC - IV - 4353 - CTY NAUY - VÔ GẠO 2T (Nước nâu đen) - 500ml - 40</t>
  </si>
  <si>
    <t>ATP24122504</t>
  </si>
  <si>
    <t>HH4556</t>
  </si>
  <si>
    <t>GC ABA - CTY NAUY - Vi lượng MICKEY - ZN++ GOLD - 250ml - 40</t>
  </si>
  <si>
    <t>ATP24122505</t>
  </si>
  <si>
    <t>HH4557</t>
  </si>
  <si>
    <t>ATP26122504</t>
  </si>
  <si>
    <t>HH4529</t>
  </si>
  <si>
    <t>GC ABA - USA FARM - Hữu cơ SH Agro Organic Fertilizer 20 - ROOT 90 - 500ml - 40</t>
  </si>
  <si>
    <t>Cùng ruột 2050 cũ</t>
  </si>
  <si>
    <t>01RR0021</t>
  </si>
  <si>
    <t>ATP26122505</t>
  </si>
  <si>
    <t>HH4530</t>
  </si>
  <si>
    <t>GC ABA - USA FARM - Hữu cơ SH Agro Organic Fertilizer 20 - LEAF GROW - 500ml - 40</t>
  </si>
  <si>
    <t>ATP29122503</t>
  </si>
  <si>
    <t>HH4534</t>
  </si>
  <si>
    <t>GC - V - 4534 - CSSX An Khang (A.Dinh) - TAK06 (Gel nâu đen) - 20L - 1</t>
  </si>
  <si>
    <t>A01091225</t>
  </si>
  <si>
    <t>19DD0014V3</t>
  </si>
  <si>
    <t>ATP31122513</t>
  </si>
  <si>
    <t>HH4537</t>
  </si>
  <si>
    <t>GC - V - 4537 - TAGO - ĐÒNG TO VÔ GẠO (Gel màu tím) - 300ml - 40</t>
  </si>
  <si>
    <t>A01181025</t>
  </si>
  <si>
    <t>04VG0047</t>
  </si>
  <si>
    <t>STP02012602</t>
  </si>
  <si>
    <t>10CR0027V1</t>
  </si>
  <si>
    <t>ATP03012605</t>
  </si>
  <si>
    <t>GC - V - 4277 - CTY HIỆP PHÁT ABC - HP.02 (Gel nâu đen) - 5L - 4</t>
  </si>
  <si>
    <t>ITP03012603</t>
  </si>
  <si>
    <t>HH4586</t>
  </si>
  <si>
    <t>LOTUS AGROCHEM - vi lượng Phú Sĩ FJ-09 Kẽm Mg - LOTUS DIỆP LỤC - 500ml - 40</t>
  </si>
  <si>
    <t>Ruột HH3933</t>
  </si>
  <si>
    <t>13XL0017V2</t>
  </si>
  <si>
    <t>SL mẫu kinh doanh cần</t>
  </si>
  <si>
    <t>Yêu cầu khác</t>
  </si>
  <si>
    <t>Vật tư khác (Ngoài chai, túi, nhãn, thùng, NDT)</t>
  </si>
  <si>
    <t>NVL khách mang qua (ghi rõ chi tiết)</t>
  </si>
  <si>
    <t>Số ngày sản xuất</t>
  </si>
  <si>
    <t>Thông tin khách hàng</t>
  </si>
  <si>
    <t>NCC sản xuất thực tế</t>
  </si>
  <si>
    <t>Trạng thái đơn</t>
  </si>
  <si>
    <t>Ngày NCC xác nhận đủ NVL</t>
  </si>
  <si>
    <t>Diễn giải biến động kế hoạch sản xuất</t>
  </si>
  <si>
    <t>số lượng chưa sx
đơn vị chai/gói/can</t>
  </si>
  <si>
    <t>Số lượng thành phẩm đủ nvl sản xuất</t>
  </si>
  <si>
    <t>Ngày sẵn kho NCC</t>
  </si>
  <si>
    <t>Lệnh sx</t>
  </si>
  <si>
    <t>Ngày lần 1</t>
  </si>
  <si>
    <t>Sl lần 1</t>
  </si>
  <si>
    <t>Ngày lần 2</t>
  </si>
  <si>
    <t>Sl lần 2</t>
  </si>
  <si>
    <t>Ngày lần 3</t>
  </si>
  <si>
    <t>Sl lần 3</t>
  </si>
  <si>
    <t xml:space="preserve">Thành phẩm sẵn kho NCC chưa nhận </t>
  </si>
  <si>
    <t>Kế hoạch 
 số lượng nhận</t>
  </si>
  <si>
    <t>Kế hoạch 
 ngày nhận</t>
  </si>
  <si>
    <t>Xe + tài xế nhận</t>
  </si>
  <si>
    <t>Số lô</t>
  </si>
  <si>
    <t>Date</t>
  </si>
  <si>
    <t>Phiếu xuất kho</t>
  </si>
  <si>
    <t>Sl đã nhận</t>
  </si>
  <si>
    <t>Lịch sử nhận hàng</t>
  </si>
  <si>
    <t>SL còn lại sẵn kho ncc/ thùng = Tổng sl đã SX của NM - SL đã nhận</t>
  </si>
  <si>
    <t>Ghi chú nhận hàng của điều phối</t>
  </si>
  <si>
    <t>Lab kiểm mẫu trước khi giao hàng</t>
  </si>
  <si>
    <t>Đủ điều kiện gửi đơn NCC</t>
  </si>
  <si>
    <t>VTBB
Yến Ly</t>
  </si>
  <si>
    <t xml:space="preserve">Ngày duyệt </t>
  </si>
  <si>
    <t>QLSX
Ngân</t>
  </si>
  <si>
    <t>Xử lí giá vốn
Hương</t>
  </si>
  <si>
    <t>Niềm Tin Việt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</si>
</sst>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0.0"/>
    <numFmt numFmtId="166" formatCode="dd/mm/yyyy"/>
    <numFmt numFmtId="167" formatCode="d/m/yyyy"/>
    <numFmt numFmtId="168" formatCode="dd/mm"/>
    <numFmt numFmtId="169" formatCode="d/m"/>
  </numFmts>
  <fonts count="14">
    <font>
      <sz val="10.0"/>
      <color rgb="FF000000"/>
      <name val="Arial"/>
      <scheme val="minor"/>
    </font>
    <font>
      <b/>
      <sz val="12.0"/>
      <color theme="1"/>
      <name val="Times New Roman"/>
    </font>
    <font>
      <sz val="12.0"/>
      <color theme="1"/>
      <name val="Times New Roman"/>
    </font>
    <font>
      <u/>
      <sz val="12.0"/>
      <color theme="1"/>
      <name val="Times New Roman"/>
    </font>
    <font>
      <u/>
      <sz val="12.0"/>
      <color theme="1"/>
      <name val="Times New Roman"/>
    </font>
    <font/>
    <font>
      <i/>
      <sz val="12.0"/>
      <color theme="1"/>
      <name val="Times New Roman"/>
    </font>
    <font>
      <b/>
      <sz val="12.0"/>
      <color rgb="FF980000"/>
      <name val="Times New Roman"/>
    </font>
    <font>
      <b/>
      <sz val="12.0"/>
      <color rgb="FF000000"/>
      <name val="Times New Roman"/>
    </font>
    <font>
      <sz val="12.0"/>
      <color rgb="FFFF0000"/>
      <name val="Times New Roman"/>
    </font>
    <font>
      <b/>
      <i/>
      <sz val="12.0"/>
      <color rgb="FFFF0000"/>
      <name val="Times New Roman"/>
    </font>
    <font>
      <b/>
      <sz val="12.0"/>
      <color rgb="FFFF0000"/>
      <name val="Times New Roman"/>
    </font>
    <font>
      <sz val="12.0"/>
      <color rgb="FF000000"/>
      <name val="Times New Roman"/>
    </font>
    <font>
      <b/>
      <sz val="10.0"/>
      <color theme="1"/>
      <name val="Times New Roman"/>
    </font>
  </fonts>
  <fills count="12">
    <fill>
      <patternFill patternType="none"/>
    </fill>
    <fill>
      <patternFill patternType="lightGray"/>
    </fill>
    <fill>
      <patternFill patternType="solid">
        <fgColor rgb="FFF3F3F3"/>
        <bgColor rgb="FFF3F3F3"/>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00FFFF"/>
        <bgColor rgb="FF00FFFF"/>
      </patternFill>
    </fill>
    <fill>
      <patternFill patternType="solid">
        <fgColor rgb="FFC9DAF8"/>
        <bgColor rgb="FFC9DAF8"/>
      </patternFill>
    </fill>
    <fill>
      <patternFill patternType="solid">
        <fgColor rgb="FFEFEFEF"/>
        <bgColor rgb="FFEFEFEF"/>
      </patternFill>
    </fill>
    <fill>
      <patternFill patternType="solid">
        <fgColor rgb="FFCFE2F3"/>
        <bgColor rgb="FFCFE2F3"/>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vertical="center" wrapText="1"/>
    </xf>
    <xf borderId="0" fillId="2" fontId="1" numFmtId="0" xfId="0" applyAlignment="1" applyFill="1" applyFont="1">
      <alignment horizontal="center" readingOrder="0" shrinkToFit="0" vertical="center" wrapText="1"/>
    </xf>
    <xf borderId="0" fillId="2" fontId="1" numFmtId="0" xfId="0" applyAlignment="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shrinkToFit="0" vertical="center" wrapText="1"/>
    </xf>
    <xf borderId="1" fillId="3" fontId="1" numFmtId="0" xfId="0" applyAlignment="1" applyBorder="1" applyFill="1" applyFont="1">
      <alignment horizontal="center" readingOrder="0" shrinkToFit="0" vertical="center" wrapText="1"/>
    </xf>
    <xf borderId="1" fillId="3" fontId="1" numFmtId="0" xfId="0" applyAlignment="1" applyBorder="1" applyFont="1">
      <alignment horizontal="left" readingOrder="0" shrinkToFit="0" vertical="center" wrapText="1"/>
    </xf>
    <xf borderId="1" fillId="3" fontId="1"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2" fontId="2" numFmtId="0" xfId="0" applyAlignment="1" applyBorder="1" applyFont="1">
      <alignment readingOrder="0" shrinkToFit="0" vertical="center" wrapText="1"/>
    </xf>
    <xf borderId="1" fillId="2" fontId="2" numFmtId="0" xfId="0" applyAlignment="1" applyBorder="1" applyFont="1">
      <alignment shrinkToFit="0" vertical="center" wrapText="1"/>
    </xf>
    <xf borderId="2" fillId="0" fontId="2" numFmtId="0" xfId="0" applyAlignment="1" applyBorder="1" applyFont="1">
      <alignment horizontal="center" readingOrder="0" shrinkToFit="0" vertical="center" wrapText="1"/>
    </xf>
    <xf borderId="2" fillId="0" fontId="1"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2" fontId="2" numFmtId="0" xfId="0" applyAlignment="1" applyBorder="1" applyFont="1">
      <alignment readingOrder="0" shrinkToFit="0" vertical="center" wrapText="1"/>
    </xf>
    <xf borderId="2" fillId="2" fontId="2" numFmtId="0" xfId="0" applyAlignment="1" applyBorder="1" applyFont="1">
      <alignment shrinkToFit="0" vertical="center" wrapText="1"/>
    </xf>
    <xf borderId="3" fillId="0" fontId="5" numFmtId="0" xfId="0" applyBorder="1" applyFont="1"/>
    <xf borderId="4" fillId="0" fontId="5" numFmtId="0" xfId="0" applyBorder="1" applyFont="1"/>
    <xf borderId="2" fillId="0" fontId="2" numFmtId="0" xfId="0" applyAlignment="1" applyBorder="1" applyFont="1">
      <alignment horizontal="left"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shrinkToFit="0" vertical="center" wrapText="1"/>
    </xf>
    <xf borderId="1" fillId="0" fontId="2" numFmtId="0" xfId="0" applyAlignment="1" applyBorder="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0" xfId="0" applyAlignment="1" applyFont="1">
      <alignment shrinkToFit="0" vertical="center" wrapText="1"/>
    </xf>
    <xf borderId="0" fillId="0" fontId="6" numFmtId="164" xfId="0" applyAlignment="1" applyFont="1" applyNumberFormat="1">
      <alignment horizontal="center" shrinkToFit="0" vertical="center" wrapText="1"/>
    </xf>
    <xf borderId="0" fillId="0" fontId="6" numFmtId="164" xfId="0" applyAlignment="1" applyFont="1" applyNumberFormat="1">
      <alignment shrinkToFit="0" vertical="center" wrapText="1"/>
    </xf>
    <xf borderId="0" fillId="4" fontId="1" numFmtId="0" xfId="0" applyAlignment="1" applyFill="1" applyFont="1">
      <alignment horizontal="center" shrinkToFit="0" vertical="center" wrapText="1"/>
    </xf>
    <xf borderId="0" fillId="0" fontId="2" numFmtId="164" xfId="0" applyAlignment="1" applyFont="1" applyNumberFormat="1">
      <alignment shrinkToFit="0" vertical="center" wrapText="1"/>
    </xf>
    <xf borderId="0" fillId="5" fontId="2" numFmtId="164" xfId="0" applyAlignment="1" applyFill="1" applyFont="1" applyNumberFormat="1">
      <alignment shrinkToFit="0" vertical="center" wrapText="1"/>
    </xf>
    <xf borderId="0" fillId="5" fontId="2" numFmtId="0" xfId="0" applyAlignment="1" applyFont="1">
      <alignment horizontal="center" shrinkToFit="0" vertical="center" wrapText="1"/>
    </xf>
    <xf borderId="0" fillId="5" fontId="2" numFmtId="0" xfId="0" applyAlignment="1" applyFont="1">
      <alignment shrinkToFit="0" vertical="center" wrapText="1"/>
    </xf>
    <xf borderId="0" fillId="6" fontId="2" numFmtId="0" xfId="0" applyAlignment="1" applyFill="1" applyFont="1">
      <alignment horizontal="center" shrinkToFit="0" vertical="center" wrapText="1"/>
    </xf>
    <xf borderId="0" fillId="6" fontId="2" numFmtId="164" xfId="0" applyAlignment="1" applyFont="1" applyNumberFormat="1">
      <alignment shrinkToFit="0" vertical="center" wrapText="1"/>
    </xf>
    <xf borderId="0" fillId="6" fontId="2" numFmtId="0" xfId="0" applyAlignment="1" applyFont="1">
      <alignment shrinkToFit="0" vertical="center" wrapText="1"/>
    </xf>
    <xf borderId="0" fillId="0" fontId="2" numFmtId="164" xfId="0" applyAlignment="1" applyFont="1" applyNumberFormat="1">
      <alignment horizontal="center" shrinkToFit="0" vertical="center" wrapText="1"/>
    </xf>
    <xf borderId="0" fillId="0" fontId="2" numFmtId="0" xfId="0" applyAlignment="1" applyFont="1">
      <alignment vertical="center"/>
    </xf>
    <xf borderId="0" fillId="0" fontId="7" numFmtId="0" xfId="0" applyAlignment="1" applyFont="1">
      <alignment horizontal="center" vertical="center"/>
    </xf>
    <xf borderId="0" fillId="0" fontId="8" numFmtId="0" xfId="0" applyAlignment="1" applyFont="1">
      <alignment horizontal="center" vertical="center"/>
    </xf>
    <xf borderId="0" fillId="0" fontId="2" numFmtId="0" xfId="0" applyAlignment="1" applyFont="1">
      <alignment horizontal="center" vertical="center"/>
    </xf>
    <xf borderId="0" fillId="0" fontId="2" numFmtId="0" xfId="0" applyAlignment="1" applyFont="1">
      <alignment readingOrder="0" vertical="center"/>
    </xf>
    <xf borderId="0" fillId="0" fontId="9" numFmtId="0" xfId="0" applyAlignment="1" applyFont="1">
      <alignment horizontal="center" vertical="center"/>
    </xf>
    <xf borderId="0" fillId="0" fontId="2" numFmtId="0" xfId="0" applyAlignment="1" applyFont="1">
      <alignment horizontal="left" vertical="center"/>
    </xf>
    <xf borderId="0" fillId="0" fontId="2" numFmtId="164" xfId="0" applyAlignment="1" applyFont="1" applyNumberFormat="1">
      <alignment horizontal="center" vertical="center"/>
    </xf>
    <xf borderId="0" fillId="7" fontId="10" numFmtId="0" xfId="0" applyAlignment="1" applyFill="1" applyFont="1">
      <alignment vertical="center"/>
    </xf>
    <xf borderId="1" fillId="4" fontId="8" numFmtId="0" xfId="0" applyAlignment="1" applyBorder="1" applyFont="1">
      <alignment horizontal="center" shrinkToFit="0" vertical="center" wrapText="1"/>
    </xf>
    <xf borderId="1" fillId="4" fontId="8" numFmtId="164" xfId="0" applyAlignment="1" applyBorder="1" applyFont="1" applyNumberFormat="1">
      <alignment horizontal="center" shrinkToFit="0" vertical="center" wrapText="1"/>
    </xf>
    <xf borderId="1" fillId="4" fontId="8" numFmtId="3" xfId="0" applyAlignment="1" applyBorder="1" applyFont="1" applyNumberFormat="1">
      <alignment horizontal="center" shrinkToFit="0" vertical="center" wrapText="1"/>
    </xf>
    <xf borderId="1" fillId="4" fontId="8" numFmtId="165" xfId="0" applyAlignment="1" applyBorder="1" applyFont="1" applyNumberFormat="1">
      <alignment horizontal="center" shrinkToFit="0" vertical="center" wrapText="1"/>
    </xf>
    <xf borderId="1" fillId="8" fontId="8" numFmtId="0" xfId="0" applyAlignment="1" applyBorder="1" applyFill="1" applyFont="1">
      <alignment horizontal="center" readingOrder="0" shrinkToFit="0" vertical="center" wrapText="1"/>
    </xf>
    <xf borderId="1" fillId="8" fontId="8" numFmtId="164" xfId="0" applyAlignment="1" applyBorder="1" applyFont="1" applyNumberFormat="1">
      <alignment horizontal="center" readingOrder="0" shrinkToFit="0" vertical="center" wrapText="1"/>
    </xf>
    <xf borderId="1" fillId="6" fontId="8" numFmtId="0" xfId="0" applyAlignment="1" applyBorder="1" applyFont="1">
      <alignment horizontal="center" readingOrder="0" shrinkToFit="0" vertical="center" wrapText="1"/>
    </xf>
    <xf borderId="1" fillId="7" fontId="10" numFmtId="0" xfId="0" applyAlignment="1" applyBorder="1" applyFont="1">
      <alignment horizontal="center" readingOrder="0" shrinkToFit="0" vertical="center" wrapText="1"/>
    </xf>
    <xf borderId="1" fillId="2" fontId="8" numFmtId="0" xfId="0" applyAlignment="1" applyBorder="1" applyFont="1">
      <alignment horizontal="center" shrinkToFit="0" vertical="center" wrapText="1"/>
    </xf>
    <xf borderId="1" fillId="2" fontId="7" numFmtId="0" xfId="0" applyAlignment="1" applyBorder="1" applyFont="1">
      <alignment horizontal="center" readingOrder="0" shrinkToFit="0" vertical="center" wrapText="1"/>
    </xf>
    <xf borderId="1" fillId="2" fontId="8" numFmtId="0" xfId="0" applyAlignment="1" applyBorder="1" applyFont="1">
      <alignment horizontal="center" readingOrder="0" shrinkToFit="0" vertical="center" wrapText="1"/>
    </xf>
    <xf borderId="1" fillId="2" fontId="2" numFmtId="166" xfId="0" applyAlignment="1" applyBorder="1" applyFont="1" applyNumberFormat="1">
      <alignment readingOrder="0" shrinkToFit="0" vertical="center" wrapText="1"/>
    </xf>
    <xf borderId="1" fillId="2" fontId="2" numFmtId="0" xfId="0" applyAlignment="1" applyBorder="1" applyFont="1">
      <alignment horizontal="center" readingOrder="0" shrinkToFit="0" vertical="center" wrapText="1"/>
    </xf>
    <xf borderId="1" fillId="2" fontId="1" numFmtId="0" xfId="0" applyAlignment="1" applyBorder="1" applyFont="1">
      <alignment readingOrder="0" shrinkToFit="0" vertical="center" wrapText="1"/>
    </xf>
    <xf borderId="1" fillId="2" fontId="2" numFmtId="3" xfId="0" applyAlignment="1" applyBorder="1" applyFont="1" applyNumberFormat="1">
      <alignment horizontal="center" readingOrder="0" shrinkToFit="0" vertical="center" wrapText="1"/>
    </xf>
    <xf borderId="1" fillId="9" fontId="11" numFmtId="166" xfId="0" applyAlignment="1" applyBorder="1" applyFill="1" applyFont="1" applyNumberFormat="1">
      <alignment horizontal="center" readingOrder="0" shrinkToFit="0" vertical="center" wrapText="1"/>
    </xf>
    <xf borderId="1" fillId="2" fontId="2" numFmtId="0" xfId="0" applyAlignment="1" applyBorder="1" applyFont="1">
      <alignment horizontal="left" readingOrder="0" shrinkToFit="0" vertical="center" wrapText="1"/>
    </xf>
    <xf borderId="1" fillId="2" fontId="2" numFmtId="166" xfId="0" applyAlignment="1" applyBorder="1" applyFont="1" applyNumberFormat="1">
      <alignment horizontal="center" readingOrder="0" shrinkToFit="0" vertical="center" wrapText="1"/>
    </xf>
    <xf borderId="1" fillId="2" fontId="2" numFmtId="0" xfId="0" applyAlignment="1" applyBorder="1" applyFont="1">
      <alignment readingOrder="0" shrinkToFit="0" vertical="center" wrapText="1"/>
    </xf>
    <xf borderId="1" fillId="7" fontId="10" numFmtId="0" xfId="0" applyAlignment="1" applyBorder="1" applyFont="1">
      <alignment readingOrder="0" shrinkToFit="0" vertical="center" wrapText="1"/>
    </xf>
    <xf borderId="1" fillId="5" fontId="8" numFmtId="0" xfId="0" applyAlignment="1" applyBorder="1" applyFont="1">
      <alignment horizontal="center" shrinkToFit="0" vertical="center" wrapText="1"/>
    </xf>
    <xf borderId="1" fillId="5" fontId="7" numFmtId="0" xfId="0" applyAlignment="1" applyBorder="1" applyFont="1">
      <alignment horizontal="center" readingOrder="0" shrinkToFit="0" vertical="center" wrapText="1"/>
    </xf>
    <xf borderId="1" fillId="5" fontId="8" numFmtId="0" xfId="0" applyAlignment="1" applyBorder="1" applyFont="1">
      <alignment horizontal="center" readingOrder="0" shrinkToFit="0" vertical="center" wrapText="1"/>
    </xf>
    <xf borderId="1" fillId="5" fontId="2" numFmtId="166" xfId="0" applyAlignment="1" applyBorder="1" applyFont="1" applyNumberFormat="1">
      <alignment readingOrder="0" shrinkToFit="0" vertical="center" wrapText="1"/>
    </xf>
    <xf borderId="1" fillId="5" fontId="2" numFmtId="0" xfId="0" applyAlignment="1" applyBorder="1" applyFont="1">
      <alignment readingOrder="0" shrinkToFit="0" vertical="center" wrapText="1"/>
    </xf>
    <xf borderId="1" fillId="5" fontId="2" numFmtId="0" xfId="0" applyAlignment="1" applyBorder="1" applyFont="1">
      <alignment horizontal="center" readingOrder="0" shrinkToFit="0" vertical="center" wrapText="1"/>
    </xf>
    <xf borderId="1" fillId="5" fontId="1" numFmtId="0" xfId="0" applyAlignment="1" applyBorder="1" applyFont="1">
      <alignment readingOrder="0" shrinkToFit="0" vertical="center" wrapText="1"/>
    </xf>
    <xf borderId="1" fillId="5" fontId="2" numFmtId="0" xfId="0" applyAlignment="1" applyBorder="1" applyFont="1">
      <alignment horizontal="left" readingOrder="0" shrinkToFit="0" vertical="center" wrapText="1"/>
    </xf>
    <xf borderId="1" fillId="5" fontId="2" numFmtId="166" xfId="0" applyAlignment="1" applyBorder="1" applyFont="1" applyNumberFormat="1">
      <alignment horizontal="center" readingOrder="0" shrinkToFit="0" vertical="center" wrapText="1"/>
    </xf>
    <xf borderId="1" fillId="5" fontId="2" numFmtId="0" xfId="0" applyAlignment="1" applyBorder="1" applyFont="1">
      <alignment readingOrder="0" shrinkToFit="0" vertical="center" wrapText="1"/>
    </xf>
    <xf borderId="1" fillId="5" fontId="2" numFmtId="0" xfId="0" applyAlignment="1" applyBorder="1" applyFont="1">
      <alignment shrinkToFit="0" vertical="center" wrapText="1"/>
    </xf>
    <xf borderId="1" fillId="5" fontId="2" numFmtId="3" xfId="0" applyAlignment="1" applyBorder="1" applyFont="1" applyNumberFormat="1">
      <alignment horizontal="center" readingOrder="0" shrinkToFit="0" vertical="center" wrapText="1"/>
    </xf>
    <xf borderId="1" fillId="5" fontId="7" numFmtId="0" xfId="0" applyAlignment="1" applyBorder="1" applyFont="1">
      <alignment horizontal="center" shrinkToFit="0" vertical="center" wrapText="1"/>
    </xf>
    <xf borderId="1" fillId="5" fontId="2" numFmtId="164" xfId="0" applyAlignment="1" applyBorder="1" applyFont="1" applyNumberFormat="1">
      <alignment shrinkToFit="0" vertical="center" wrapText="1"/>
    </xf>
    <xf borderId="1" fillId="5" fontId="2" numFmtId="0" xfId="0" applyAlignment="1" applyBorder="1" applyFont="1">
      <alignment horizontal="center" shrinkToFit="0" vertical="center" wrapText="1"/>
    </xf>
    <xf borderId="1" fillId="5" fontId="1" numFmtId="0" xfId="0" applyAlignment="1" applyBorder="1" applyFont="1">
      <alignment shrinkToFit="0" vertical="center" wrapText="1"/>
    </xf>
    <xf borderId="1" fillId="5" fontId="2" numFmtId="3" xfId="0" applyAlignment="1" applyBorder="1" applyFont="1" applyNumberFormat="1">
      <alignment shrinkToFit="0" vertical="center" wrapText="1"/>
    </xf>
    <xf borderId="1" fillId="5" fontId="2" numFmtId="3" xfId="0" applyAlignment="1" applyBorder="1" applyFont="1" applyNumberFormat="1">
      <alignment horizontal="center" shrinkToFit="0" vertical="center" wrapText="1"/>
    </xf>
    <xf borderId="1" fillId="9" fontId="11" numFmtId="166" xfId="0" applyAlignment="1" applyBorder="1" applyFont="1" applyNumberFormat="1">
      <alignment horizontal="center" shrinkToFit="0" vertical="center" wrapText="1"/>
    </xf>
    <xf borderId="1" fillId="5" fontId="2" numFmtId="0" xfId="0" applyAlignment="1" applyBorder="1" applyFont="1">
      <alignment horizontal="left" readingOrder="0" shrinkToFit="0" vertical="center" wrapText="1"/>
    </xf>
    <xf borderId="1" fillId="5" fontId="2" numFmtId="164" xfId="0" applyAlignment="1" applyBorder="1" applyFont="1" applyNumberFormat="1">
      <alignment horizontal="center" readingOrder="0" shrinkToFit="0" vertical="center" wrapText="1"/>
    </xf>
    <xf borderId="1" fillId="5" fontId="2" numFmtId="0" xfId="0" applyAlignment="1" applyBorder="1" applyFont="1">
      <alignment horizontal="center" readingOrder="0" shrinkToFit="0" vertical="center" wrapText="1"/>
    </xf>
    <xf borderId="1" fillId="2" fontId="7" numFmtId="0" xfId="0" applyAlignment="1" applyBorder="1" applyFont="1">
      <alignment horizontal="center" shrinkToFit="0" vertical="center" wrapText="1"/>
    </xf>
    <xf borderId="1" fillId="2" fontId="2" numFmtId="164" xfId="0" applyAlignment="1" applyBorder="1" applyFont="1" applyNumberFormat="1">
      <alignment shrinkToFit="0" vertical="center" wrapText="1"/>
    </xf>
    <xf borderId="1" fillId="2" fontId="2" numFmtId="0" xfId="0" applyAlignment="1" applyBorder="1" applyFont="1">
      <alignment horizontal="center" shrinkToFit="0" vertical="center" wrapText="1"/>
    </xf>
    <xf borderId="1" fillId="2" fontId="1" numFmtId="0" xfId="0" applyAlignment="1" applyBorder="1" applyFont="1">
      <alignment shrinkToFit="0" vertical="center" wrapText="1"/>
    </xf>
    <xf borderId="1" fillId="2" fontId="2" numFmtId="3" xfId="0" applyAlignment="1" applyBorder="1" applyFont="1" applyNumberFormat="1">
      <alignment shrinkToFit="0" vertical="center" wrapText="1"/>
    </xf>
    <xf borderId="1" fillId="2" fontId="2" numFmtId="3" xfId="0" applyAlignment="1" applyBorder="1" applyFont="1" applyNumberFormat="1">
      <alignment horizontal="center" shrinkToFit="0" vertical="center" wrapText="1"/>
    </xf>
    <xf borderId="1" fillId="2" fontId="2" numFmtId="164" xfId="0" applyAlignment="1" applyBorder="1" applyFont="1" applyNumberFormat="1">
      <alignment horizontal="center" readingOrder="0" shrinkToFit="0" vertical="center" wrapText="1"/>
    </xf>
    <xf borderId="1" fillId="2" fontId="2" numFmtId="167" xfId="0" applyAlignment="1" applyBorder="1" applyFont="1" applyNumberFormat="1">
      <alignment readingOrder="0" shrinkToFit="0" vertical="center" wrapText="1"/>
    </xf>
    <xf borderId="1" fillId="9" fontId="11" numFmtId="0" xfId="0" applyAlignment="1" applyBorder="1" applyFont="1">
      <alignment horizontal="center" shrinkToFit="0" vertical="center" wrapText="1"/>
    </xf>
    <xf borderId="1" fillId="2" fontId="2" numFmtId="0" xfId="0" applyAlignment="1" applyBorder="1" applyFont="1">
      <alignment horizontal="left" readingOrder="0" shrinkToFit="0" vertical="center" wrapText="1"/>
    </xf>
    <xf borderId="1" fillId="2" fontId="2" numFmtId="0" xfId="0" applyAlignment="1" applyBorder="1" applyFont="1">
      <alignment horizontal="center" readingOrder="0" shrinkToFit="0" vertical="center" wrapText="1"/>
    </xf>
    <xf borderId="1" fillId="10" fontId="8" numFmtId="0" xfId="0" applyAlignment="1" applyBorder="1" applyFill="1" applyFont="1">
      <alignment horizontal="center" readingOrder="0" shrinkToFit="0" vertical="center" wrapText="1"/>
    </xf>
    <xf borderId="1" fillId="2" fontId="2" numFmtId="166" xfId="0" applyAlignment="1" applyBorder="1" applyFont="1" applyNumberFormat="1">
      <alignment shrinkToFit="0" vertical="center" wrapText="1"/>
    </xf>
    <xf borderId="1" fillId="2" fontId="2" numFmtId="167" xfId="0" applyAlignment="1" applyBorder="1" applyFont="1" applyNumberFormat="1">
      <alignment horizontal="center" readingOrder="0" shrinkToFit="0" vertical="center" wrapText="1"/>
    </xf>
    <xf borderId="1" fillId="5" fontId="2" numFmtId="167" xfId="0" applyAlignment="1" applyBorder="1" applyFont="1" applyNumberFormat="1">
      <alignment horizontal="center" readingOrder="0" shrinkToFit="0" vertical="center" wrapText="1"/>
    </xf>
    <xf borderId="1" fillId="2" fontId="2" numFmtId="14" xfId="0" applyAlignment="1" applyBorder="1" applyFont="1" applyNumberFormat="1">
      <alignment shrinkToFit="0" vertical="center" wrapText="1"/>
    </xf>
    <xf borderId="1" fillId="5" fontId="2" numFmtId="166" xfId="0" applyAlignment="1" applyBorder="1" applyFont="1" applyNumberFormat="1">
      <alignment shrinkToFit="0" vertical="center" wrapText="1"/>
    </xf>
    <xf borderId="1" fillId="5" fontId="2" numFmtId="14" xfId="0" applyAlignment="1" applyBorder="1" applyFont="1" applyNumberFormat="1">
      <alignment shrinkToFit="0" vertical="center" wrapText="1"/>
    </xf>
    <xf borderId="1" fillId="7" fontId="10" numFmtId="0" xfId="0" applyAlignment="1" applyBorder="1" applyFont="1">
      <alignment shrinkToFit="0" vertical="center" wrapText="1"/>
    </xf>
    <xf borderId="1" fillId="5" fontId="2" numFmtId="167" xfId="0" applyAlignment="1" applyBorder="1" applyFont="1" applyNumberFormat="1">
      <alignment readingOrder="0" shrinkToFit="0" vertical="center" wrapText="1"/>
    </xf>
    <xf borderId="1" fillId="7" fontId="10" numFmtId="0" xfId="0" applyAlignment="1" applyBorder="1" applyFont="1">
      <alignment readingOrder="0" shrinkToFit="0" vertical="center" wrapText="1"/>
    </xf>
    <xf borderId="1" fillId="2" fontId="10" numFmtId="0" xfId="0" applyAlignment="1" applyBorder="1" applyFont="1">
      <alignment horizontal="left" readingOrder="0" shrinkToFit="0" vertical="center" wrapText="1"/>
    </xf>
    <xf borderId="1" fillId="5" fontId="10" numFmtId="0" xfId="0" applyAlignment="1" applyBorder="1" applyFont="1">
      <alignment horizontal="left" readingOrder="0" shrinkToFit="0" vertical="center" wrapText="1"/>
    </xf>
    <xf borderId="1" fillId="6" fontId="1" numFmtId="0" xfId="0" applyAlignment="1" applyBorder="1" applyFont="1">
      <alignment readingOrder="0" shrinkToFit="0" vertical="center" wrapText="1"/>
    </xf>
    <xf borderId="1" fillId="9" fontId="11" numFmtId="167" xfId="0" applyAlignment="1" applyBorder="1" applyFont="1" applyNumberFormat="1">
      <alignment horizontal="center" readingOrder="0" shrinkToFit="0" vertical="center" wrapText="1"/>
    </xf>
    <xf borderId="1" fillId="2" fontId="11" numFmtId="166" xfId="0" applyAlignment="1" applyBorder="1" applyFont="1" applyNumberFormat="1">
      <alignment horizontal="center" shrinkToFit="0" vertical="center" wrapText="1"/>
    </xf>
    <xf borderId="0" fillId="10" fontId="2" numFmtId="0" xfId="0" applyAlignment="1" applyFont="1">
      <alignment horizontal="left" shrinkToFit="0" vertical="center" wrapText="1"/>
    </xf>
    <xf borderId="0" fillId="5" fontId="2" numFmtId="0" xfId="0" applyAlignment="1" applyFont="1">
      <alignment readingOrder="0" vertical="center"/>
    </xf>
    <xf borderId="1" fillId="7" fontId="1" numFmtId="0" xfId="0" applyAlignment="1" applyBorder="1" applyFont="1">
      <alignment readingOrder="0" shrinkToFit="0" vertical="center" wrapText="1"/>
    </xf>
    <xf borderId="1" fillId="11" fontId="1" numFmtId="0" xfId="0" applyAlignment="1" applyBorder="1" applyFill="1" applyFont="1">
      <alignment readingOrder="0" shrinkToFit="0" vertical="center" wrapText="1"/>
    </xf>
    <xf borderId="0" fillId="10" fontId="12" numFmtId="0" xfId="0" applyAlignment="1" applyFont="1">
      <alignment horizontal="center" shrinkToFit="0" vertical="center" wrapText="1"/>
    </xf>
    <xf borderId="1" fillId="2" fontId="2" numFmtId="0" xfId="0" applyAlignment="1" applyBorder="1" applyFont="1">
      <alignment horizontal="left" shrinkToFit="0" vertical="center" wrapText="1"/>
    </xf>
    <xf borderId="1" fillId="5" fontId="2" numFmtId="0" xfId="0" applyAlignment="1" applyBorder="1" applyFont="1">
      <alignment horizontal="left" shrinkToFit="0" vertical="center" wrapText="1"/>
    </xf>
    <xf borderId="0" fillId="10" fontId="12" numFmtId="0" xfId="0" applyAlignment="1" applyFont="1">
      <alignment horizontal="left" readingOrder="0" shrinkToFit="0" vertical="center" wrapText="1"/>
    </xf>
    <xf borderId="1" fillId="5" fontId="11" numFmtId="166" xfId="0" applyAlignment="1" applyBorder="1" applyFont="1" applyNumberFormat="1">
      <alignment horizontal="center" shrinkToFit="0" vertical="center" wrapText="1"/>
    </xf>
    <xf borderId="5" fillId="0" fontId="2" numFmtId="0" xfId="0" applyAlignment="1" applyBorder="1" applyFont="1">
      <alignment shrinkToFit="0" vertical="center" wrapText="1"/>
    </xf>
    <xf borderId="0" fillId="5" fontId="13" numFmtId="0" xfId="0" applyAlignment="1" applyFont="1">
      <alignment horizontal="center" readingOrder="0" shrinkToFit="0" vertical="center" wrapText="1"/>
    </xf>
    <xf borderId="6" fillId="0" fontId="2" numFmtId="0" xfId="0" applyAlignment="1" applyBorder="1" applyFont="1">
      <alignment shrinkToFit="0" vertical="center" wrapText="1"/>
    </xf>
    <xf borderId="0" fillId="4" fontId="1" numFmtId="0" xfId="0" applyAlignment="1" applyFont="1">
      <alignment shrinkToFit="0" vertical="center" wrapText="1"/>
    </xf>
    <xf borderId="0" fillId="4" fontId="1" numFmtId="164" xfId="0" applyAlignment="1" applyFont="1" applyNumberFormat="1">
      <alignment shrinkToFit="0" vertical="center" wrapText="1"/>
    </xf>
    <xf borderId="0" fillId="4" fontId="1" numFmtId="3" xfId="0" applyAlignment="1" applyFont="1" applyNumberFormat="1">
      <alignment shrinkToFit="0" vertical="center" wrapText="1"/>
    </xf>
    <xf borderId="0" fillId="4" fontId="1" numFmtId="165" xfId="0" applyAlignment="1" applyFont="1" applyNumberFormat="1">
      <alignment shrinkToFit="0" vertical="center" wrapText="1"/>
    </xf>
    <xf borderId="0" fillId="6" fontId="1" numFmtId="3" xfId="0" applyAlignment="1" applyFont="1" applyNumberFormat="1">
      <alignment shrinkToFit="0" vertical="center" wrapText="1"/>
    </xf>
    <xf borderId="0" fillId="4" fontId="1" numFmtId="49" xfId="0" applyAlignment="1" applyFont="1" applyNumberFormat="1">
      <alignment shrinkToFit="0" vertical="center" wrapText="1"/>
    </xf>
    <xf borderId="0" fillId="0" fontId="2" numFmtId="3" xfId="0" applyAlignment="1" applyFont="1" applyNumberFormat="1">
      <alignment shrinkToFit="0" vertical="center" wrapText="1"/>
    </xf>
    <xf borderId="0" fillId="0" fontId="2" numFmtId="166" xfId="0" applyAlignment="1" applyFont="1" applyNumberFormat="1">
      <alignment shrinkToFit="0" vertical="center" wrapText="1"/>
    </xf>
    <xf borderId="0" fillId="0" fontId="2" numFmtId="165" xfId="0" applyAlignment="1" applyFont="1" applyNumberFormat="1">
      <alignment shrinkToFit="0" vertical="center" wrapText="1"/>
    </xf>
    <xf borderId="0" fillId="6" fontId="2" numFmtId="166" xfId="0" applyAlignment="1" applyFont="1" applyNumberFormat="1">
      <alignment shrinkToFit="0" vertical="center" wrapText="1"/>
    </xf>
    <xf borderId="0" fillId="0" fontId="2" numFmtId="49" xfId="0" applyAlignment="1" applyFont="1" applyNumberFormat="1">
      <alignment shrinkToFit="0" vertical="center" wrapText="1"/>
    </xf>
    <xf borderId="0" fillId="0" fontId="2" numFmtId="167" xfId="0" applyAlignment="1" applyFont="1" applyNumberFormat="1">
      <alignment shrinkToFit="0" vertical="center" wrapText="1"/>
    </xf>
    <xf borderId="0" fillId="0" fontId="2" numFmtId="168" xfId="0" applyAlignment="1" applyFont="1" applyNumberFormat="1">
      <alignment shrinkToFit="0" vertical="center" wrapText="1"/>
    </xf>
    <xf borderId="0" fillId="0" fontId="2" numFmtId="169" xfId="0" applyAlignment="1" applyFont="1" applyNumberFormat="1">
      <alignment shrinkToFit="0" vertical="center" wrapText="1"/>
    </xf>
    <xf borderId="7" fillId="0" fontId="2" numFmtId="0" xfId="0" applyAlignment="1" applyBorder="1" applyFont="1">
      <alignment readingOrder="0" shrinkToFit="0" vertical="center" wrapText="1"/>
    </xf>
    <xf borderId="0" fillId="6" fontId="1" numFmtId="0" xfId="0" applyAlignment="1" applyFont="1">
      <alignment shrinkToFit="0" vertical="center" wrapText="1"/>
    </xf>
    <xf borderId="0" fillId="0" fontId="2" numFmtId="4" xfId="0" applyAlignment="1" applyFont="1" applyNumberFormat="1">
      <alignment shrinkToFit="0" vertical="center" wrapText="1"/>
    </xf>
    <xf borderId="0" fillId="0" fontId="2" numFmtId="164" xfId="0" applyAlignment="1" applyFont="1" applyNumberFormat="1">
      <alignmen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6</xdr:row>
      <xdr:rowOff>0</xdr:rowOff>
    </xdr:from>
    <xdr:ext cx="2809875" cy="13430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7</xdr:row>
      <xdr:rowOff>0</xdr:rowOff>
    </xdr:from>
    <xdr:ext cx="1600200" cy="7715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7</xdr:row>
      <xdr:rowOff>0</xdr:rowOff>
    </xdr:from>
    <xdr:ext cx="1609725" cy="771525"/>
    <xdr:pic>
      <xdr:nvPicPr>
        <xdr:cNvPr id="0" name="image2.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19</xdr:row>
      <xdr:rowOff>0</xdr:rowOff>
    </xdr:from>
    <xdr:ext cx="2809875" cy="1400175"/>
    <xdr:pic>
      <xdr:nvPicPr>
        <xdr:cNvPr id="0" name="image3.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DFFqKZghtZyuJjH-LtYOZUccsfSwBp3OcDq08qEACtw/edit?gid=321253936" TargetMode="External"/><Relationship Id="rId2" Type="http://schemas.openxmlformats.org/officeDocument/2006/relationships/hyperlink" Target="https://docs.google.com/spreadsheets/d/1DFFqKZghtZyuJjH-LtYOZUccsfSwBp3OcDq08qEACtw/edit?gid=321253936" TargetMode="External"/><Relationship Id="rId3" Type="http://schemas.openxmlformats.org/officeDocument/2006/relationships/hyperlink" Target="https://docs.google.com/spreadsheets/d/1DFFqKZghtZyuJjH-LtYOZUccsfSwBp3OcDq08qEACtw/edit?gid=321253936" TargetMode="External"/><Relationship Id="rId4" Type="http://schemas.openxmlformats.org/officeDocument/2006/relationships/hyperlink" Target="https://docs.google.com/spreadsheets/d/1sE5bj3ckig_PFFnMxCxezYbt9ji-6wfHtZY4TSJD5Fk/edit?gid=896232203" TargetMode="External"/><Relationship Id="rId10" Type="http://schemas.openxmlformats.org/officeDocument/2006/relationships/drawing" Target="../drawings/drawing1.xml"/><Relationship Id="rId9" Type="http://schemas.openxmlformats.org/officeDocument/2006/relationships/hyperlink" Target="https://docs.google.com/spreadsheets/d/1DFFqKZghtZyuJjH-LtYOZUccsfSwBp3OcDq08qEACtw/edit?gid=321253936" TargetMode="External"/><Relationship Id="rId5" Type="http://schemas.openxmlformats.org/officeDocument/2006/relationships/hyperlink" Target="https://docs.google.com/spreadsheets/d/1sE5bj3ckig_PFFnMxCxezYbt9ji-6wfHtZY4TSJD5Fk/edit?gid=896232203" TargetMode="External"/><Relationship Id="rId6" Type="http://schemas.openxmlformats.org/officeDocument/2006/relationships/hyperlink" Target="https://docs.google.com/spreadsheets/d/1Wqob5SijKtKJXwySUh40pZUso9iaDFfB_ZMT0WrGO1E/edit?gid=2041715732" TargetMode="External"/><Relationship Id="rId7" Type="http://schemas.openxmlformats.org/officeDocument/2006/relationships/hyperlink" Target="https://docs.google.com/spreadsheets/d/1Wqob5SijKtKJXwySUh40pZUso9iaDFfB_ZMT0WrGO1E/edit?gid=2041715732" TargetMode="External"/><Relationship Id="rId8" Type="http://schemas.openxmlformats.org/officeDocument/2006/relationships/hyperlink" Target="https://docs.google.com/spreadsheets/d/1sE5bj3ckig_PFFnMxCxezYbt9ji-6wfHtZY4TSJD5Fk/edit?gid=89623220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7.5"/>
    <col customWidth="1" min="2" max="2" width="14.75"/>
    <col customWidth="1" min="3" max="3" width="56.88"/>
    <col customWidth="1" min="4" max="4" width="30.75"/>
    <col customWidth="1" min="5" max="5" width="22.5"/>
    <col customWidth="1" min="6" max="6" width="24.13"/>
    <col customWidth="1" min="7" max="7" width="36.63"/>
    <col customWidth="1" min="8" max="8" width="36.88"/>
    <col customWidth="1" min="9" max="10" width="34.5"/>
  </cols>
  <sheetData>
    <row r="1" ht="47.25" customHeight="1">
      <c r="A1" s="1" t="s">
        <v>0</v>
      </c>
      <c r="I1" s="2"/>
      <c r="J1" s="2"/>
      <c r="K1" s="2"/>
    </row>
    <row r="2" hidden="1">
      <c r="A2" s="3"/>
      <c r="B2" s="4"/>
      <c r="C2" s="3"/>
      <c r="D2" s="4"/>
      <c r="E2" s="3"/>
      <c r="F2" s="5"/>
      <c r="G2" s="5"/>
      <c r="H2" s="5"/>
      <c r="I2" s="6"/>
      <c r="J2" s="6"/>
      <c r="K2" s="6"/>
    </row>
    <row r="3" hidden="1">
      <c r="A3" s="3" t="s">
        <v>1</v>
      </c>
      <c r="B3" s="4"/>
      <c r="C3" s="3"/>
      <c r="D3" s="4"/>
      <c r="E3" s="3"/>
      <c r="F3" s="5"/>
      <c r="G3" s="5"/>
      <c r="H3" s="5"/>
      <c r="I3" s="6"/>
      <c r="J3" s="6"/>
      <c r="K3" s="6"/>
    </row>
    <row r="4" ht="69.0" hidden="1" customHeight="1">
      <c r="A4" s="3" t="s">
        <v>2</v>
      </c>
      <c r="I4" s="6"/>
      <c r="J4" s="6"/>
      <c r="K4" s="6"/>
    </row>
    <row r="5">
      <c r="A5" s="3"/>
      <c r="B5" s="4"/>
      <c r="C5" s="3"/>
      <c r="D5" s="4"/>
      <c r="E5" s="3"/>
      <c r="F5" s="5"/>
      <c r="G5" s="5"/>
      <c r="H5" s="5"/>
      <c r="I5" s="6"/>
      <c r="J5" s="6"/>
      <c r="K5" s="6"/>
    </row>
    <row r="6">
      <c r="A6" s="7" t="s">
        <v>3</v>
      </c>
      <c r="B6" s="8" t="s">
        <v>4</v>
      </c>
      <c r="C6" s="7" t="s">
        <v>5</v>
      </c>
      <c r="D6" s="8" t="s">
        <v>6</v>
      </c>
      <c r="E6" s="7" t="s">
        <v>7</v>
      </c>
      <c r="F6" s="9" t="s">
        <v>8</v>
      </c>
      <c r="G6" s="9" t="s">
        <v>9</v>
      </c>
      <c r="H6" s="9" t="s">
        <v>10</v>
      </c>
      <c r="I6" s="9" t="s">
        <v>11</v>
      </c>
      <c r="J6" s="9" t="s">
        <v>12</v>
      </c>
      <c r="K6" s="2"/>
    </row>
    <row r="7" ht="132.75" customHeight="1">
      <c r="A7" s="10">
        <v>1.0</v>
      </c>
      <c r="B7" s="11" t="s">
        <v>13</v>
      </c>
      <c r="C7" s="12" t="s">
        <v>14</v>
      </c>
      <c r="D7" s="11" t="s">
        <v>15</v>
      </c>
      <c r="E7" s="13" t="s">
        <v>16</v>
      </c>
      <c r="F7" s="14" t="s">
        <v>17</v>
      </c>
      <c r="G7" s="15" t="s">
        <v>18</v>
      </c>
      <c r="H7" s="15"/>
      <c r="I7" s="16"/>
      <c r="J7" s="16"/>
      <c r="K7" s="6"/>
    </row>
    <row r="8" ht="60.75" customHeight="1">
      <c r="A8" s="17">
        <v>2.0</v>
      </c>
      <c r="B8" s="18" t="s">
        <v>19</v>
      </c>
      <c r="C8" s="12" t="s">
        <v>20</v>
      </c>
      <c r="D8" s="19" t="s">
        <v>21</v>
      </c>
      <c r="E8" s="20" t="s">
        <v>22</v>
      </c>
      <c r="F8" s="21" t="s">
        <v>17</v>
      </c>
      <c r="G8" s="22" t="s">
        <v>23</v>
      </c>
      <c r="H8" s="23"/>
      <c r="I8" s="23"/>
      <c r="J8" s="23"/>
      <c r="K8" s="6"/>
    </row>
    <row r="9" ht="162.75" customHeight="1">
      <c r="A9" s="24"/>
      <c r="B9" s="24"/>
      <c r="C9" s="12" t="s">
        <v>24</v>
      </c>
      <c r="D9" s="19" t="s">
        <v>25</v>
      </c>
      <c r="E9" s="24"/>
      <c r="F9" s="24"/>
      <c r="G9" s="24"/>
      <c r="H9" s="24"/>
      <c r="I9" s="24"/>
      <c r="J9" s="24"/>
      <c r="K9" s="6"/>
    </row>
    <row r="10" ht="96.0" customHeight="1">
      <c r="A10" s="25"/>
      <c r="B10" s="25"/>
      <c r="C10" s="12" t="s">
        <v>26</v>
      </c>
      <c r="D10" s="19" t="s">
        <v>27</v>
      </c>
      <c r="E10" s="25"/>
      <c r="F10" s="25"/>
      <c r="G10" s="25"/>
      <c r="H10" s="25"/>
      <c r="I10" s="25"/>
      <c r="J10" s="25"/>
      <c r="K10" s="6"/>
    </row>
    <row r="11" ht="70.5" customHeight="1">
      <c r="A11" s="17">
        <v>3.0</v>
      </c>
      <c r="B11" s="18" t="s">
        <v>28</v>
      </c>
      <c r="C11" s="12" t="s">
        <v>29</v>
      </c>
      <c r="D11" s="26" t="s">
        <v>30</v>
      </c>
      <c r="E11" s="20" t="s">
        <v>31</v>
      </c>
      <c r="F11" s="14" t="s">
        <v>17</v>
      </c>
      <c r="G11" s="27"/>
      <c r="H11" s="28"/>
      <c r="I11" s="28"/>
      <c r="J11" s="28"/>
      <c r="K11" s="2"/>
    </row>
    <row r="12" ht="53.25" customHeight="1">
      <c r="A12" s="24"/>
      <c r="B12" s="24"/>
      <c r="C12" s="12" t="s">
        <v>32</v>
      </c>
      <c r="D12" s="24"/>
      <c r="E12" s="24"/>
      <c r="F12" s="14" t="s">
        <v>33</v>
      </c>
      <c r="G12" s="24"/>
      <c r="H12" s="24"/>
      <c r="I12" s="24"/>
      <c r="J12" s="24"/>
      <c r="K12" s="2"/>
    </row>
    <row r="13" ht="263.25" customHeight="1">
      <c r="A13" s="24"/>
      <c r="B13" s="24"/>
      <c r="C13" s="12" t="s">
        <v>34</v>
      </c>
      <c r="D13" s="24"/>
      <c r="E13" s="24"/>
      <c r="F13" s="14" t="s">
        <v>33</v>
      </c>
      <c r="G13" s="24"/>
      <c r="H13" s="24"/>
      <c r="I13" s="24"/>
      <c r="J13" s="24"/>
      <c r="K13" s="2"/>
    </row>
    <row r="14" ht="48.75" customHeight="1">
      <c r="A14" s="24"/>
      <c r="B14" s="24"/>
      <c r="C14" s="12" t="s">
        <v>35</v>
      </c>
      <c r="D14" s="24"/>
      <c r="E14" s="24"/>
      <c r="F14" s="14" t="s">
        <v>36</v>
      </c>
      <c r="G14" s="24"/>
      <c r="H14" s="24"/>
      <c r="I14" s="24"/>
      <c r="J14" s="24"/>
      <c r="K14" s="2"/>
    </row>
    <row r="15" ht="85.5" customHeight="1">
      <c r="A15" s="25"/>
      <c r="B15" s="25"/>
      <c r="C15" s="12" t="s">
        <v>37</v>
      </c>
      <c r="D15" s="25"/>
      <c r="E15" s="25"/>
      <c r="F15" s="14" t="s">
        <v>36</v>
      </c>
      <c r="G15" s="25"/>
      <c r="H15" s="25"/>
      <c r="I15" s="25"/>
      <c r="J15" s="25"/>
      <c r="K15" s="2"/>
    </row>
    <row r="16" ht="70.5" customHeight="1">
      <c r="A16" s="17">
        <v>4.0</v>
      </c>
      <c r="B16" s="18" t="s">
        <v>38</v>
      </c>
      <c r="C16" s="12" t="s">
        <v>39</v>
      </c>
      <c r="D16" s="26" t="s">
        <v>40</v>
      </c>
      <c r="E16" s="20" t="s">
        <v>31</v>
      </c>
      <c r="F16" s="21" t="s">
        <v>33</v>
      </c>
      <c r="G16" s="27"/>
      <c r="H16" s="27"/>
      <c r="I16" s="27"/>
      <c r="J16" s="27"/>
      <c r="K16" s="2"/>
    </row>
    <row r="17" ht="150.75" customHeight="1">
      <c r="A17" s="24"/>
      <c r="B17" s="24"/>
      <c r="C17" s="12" t="s">
        <v>41</v>
      </c>
      <c r="D17" s="24"/>
      <c r="E17" s="24"/>
      <c r="F17" s="24"/>
      <c r="G17" s="24"/>
      <c r="H17" s="24"/>
      <c r="I17" s="24"/>
      <c r="J17" s="24"/>
      <c r="K17" s="2"/>
    </row>
    <row r="18" ht="156.75" customHeight="1">
      <c r="A18" s="24"/>
      <c r="B18" s="24"/>
      <c r="C18" s="12" t="s">
        <v>42</v>
      </c>
      <c r="D18" s="24"/>
      <c r="E18" s="24"/>
      <c r="F18" s="24"/>
      <c r="G18" s="24"/>
      <c r="H18" s="24"/>
      <c r="I18" s="24"/>
      <c r="J18" s="24"/>
      <c r="K18" s="2"/>
    </row>
    <row r="19" ht="103.5" customHeight="1">
      <c r="A19" s="25"/>
      <c r="B19" s="25"/>
      <c r="C19" s="12" t="s">
        <v>43</v>
      </c>
      <c r="D19" s="25"/>
      <c r="E19" s="25"/>
      <c r="F19" s="25"/>
      <c r="G19" s="25"/>
      <c r="H19" s="25"/>
      <c r="I19" s="25"/>
      <c r="J19" s="25"/>
      <c r="K19" s="2"/>
    </row>
    <row r="20" ht="153.0" customHeight="1">
      <c r="A20" s="10">
        <v>5.0</v>
      </c>
      <c r="B20" s="11" t="s">
        <v>44</v>
      </c>
      <c r="C20" s="12" t="s">
        <v>45</v>
      </c>
      <c r="D20" s="12" t="s">
        <v>46</v>
      </c>
      <c r="E20" s="13" t="s">
        <v>22</v>
      </c>
      <c r="F20" s="14" t="s">
        <v>17</v>
      </c>
      <c r="G20" s="12" t="s">
        <v>47</v>
      </c>
      <c r="H20" s="29"/>
      <c r="I20" s="29"/>
      <c r="J20" s="29"/>
      <c r="K20" s="2"/>
    </row>
    <row r="21">
      <c r="A21" s="30"/>
      <c r="B21" s="31"/>
      <c r="C21" s="2"/>
      <c r="D21" s="32"/>
      <c r="E21" s="30"/>
      <c r="F21" s="2"/>
      <c r="G21" s="2"/>
      <c r="H21" s="2"/>
      <c r="I21" s="2"/>
      <c r="J21" s="2"/>
      <c r="K21" s="2"/>
    </row>
    <row r="22">
      <c r="A22" s="30"/>
      <c r="B22" s="31"/>
      <c r="C22" s="2"/>
      <c r="D22" s="32"/>
      <c r="E22" s="30"/>
      <c r="F22" s="2"/>
      <c r="G22" s="2"/>
      <c r="H22" s="2"/>
      <c r="I22" s="2"/>
      <c r="J22" s="2"/>
      <c r="K22" s="2"/>
    </row>
    <row r="23">
      <c r="A23" s="30"/>
      <c r="B23" s="31"/>
      <c r="C23" s="2"/>
      <c r="D23" s="32"/>
      <c r="E23" s="30"/>
      <c r="F23" s="2"/>
      <c r="G23" s="2"/>
      <c r="H23" s="2"/>
      <c r="I23" s="2"/>
      <c r="J23" s="2"/>
      <c r="K23" s="2"/>
    </row>
    <row r="24">
      <c r="A24" s="30"/>
      <c r="B24" s="31"/>
      <c r="C24" s="2"/>
      <c r="D24" s="31"/>
      <c r="E24" s="30"/>
      <c r="F24" s="2"/>
      <c r="G24" s="2"/>
      <c r="H24" s="2"/>
      <c r="I24" s="2"/>
      <c r="J24" s="2"/>
      <c r="K24" s="2"/>
    </row>
    <row r="25">
      <c r="A25" s="30"/>
      <c r="B25" s="31"/>
      <c r="C25" s="2"/>
      <c r="D25" s="31"/>
      <c r="E25" s="30"/>
      <c r="F25" s="2"/>
      <c r="G25" s="2"/>
      <c r="H25" s="2"/>
      <c r="I25" s="2"/>
      <c r="J25" s="2"/>
      <c r="K25" s="2"/>
    </row>
  </sheetData>
  <mergeCells count="27">
    <mergeCell ref="H8:H10"/>
    <mergeCell ref="I8:I10"/>
    <mergeCell ref="J8:J10"/>
    <mergeCell ref="A1:H1"/>
    <mergeCell ref="A4:H4"/>
    <mergeCell ref="A8:A10"/>
    <mergeCell ref="B8:B10"/>
    <mergeCell ref="E8:E10"/>
    <mergeCell ref="F8:F10"/>
    <mergeCell ref="G8:G10"/>
    <mergeCell ref="B11:B15"/>
    <mergeCell ref="D11:D15"/>
    <mergeCell ref="E11:E15"/>
    <mergeCell ref="G11:G15"/>
    <mergeCell ref="H11:H15"/>
    <mergeCell ref="I11:I15"/>
    <mergeCell ref="J11:J15"/>
    <mergeCell ref="H16:H19"/>
    <mergeCell ref="I16:I19"/>
    <mergeCell ref="J16:J19"/>
    <mergeCell ref="A11:A15"/>
    <mergeCell ref="A16:A19"/>
    <mergeCell ref="B16:B19"/>
    <mergeCell ref="D16:D19"/>
    <mergeCell ref="E16:E19"/>
    <mergeCell ref="F16:F19"/>
    <mergeCell ref="G16:G19"/>
  </mergeCells>
  <hyperlinks>
    <hyperlink r:id="rId1" location="gid=321253936&amp;fvid=440681755" ref="F7"/>
    <hyperlink r:id="rId2" location="gid=321253936&amp;fvid=440681755" ref="F8"/>
    <hyperlink r:id="rId3" location="gid=321253936&amp;fvid=440681755" ref="F11"/>
    <hyperlink r:id="rId4" location="gid=896232203" ref="F12"/>
    <hyperlink r:id="rId5" location="gid=896232203" ref="F13"/>
    <hyperlink r:id="rId6" location="gid=2041715732" ref="F14"/>
    <hyperlink r:id="rId7" location="gid=2041715732" ref="F15"/>
    <hyperlink r:id="rId8" location="gid=896232203" ref="F16"/>
    <hyperlink r:id="rId9" location="gid=321253936&amp;fvid=440681755" ref="F20"/>
  </hyperlinks>
  <printOptions gridLines="1" horizontalCentered="1"/>
  <pageMargins bottom="0.75" footer="0.0" header="0.0" left="0.7" right="0.7" top="0.75"/>
  <pageSetup fitToHeight="0" paperSize="9" cellComments="atEnd" orientation="landscape" pageOrder="overThenDown"/>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0"/>
    <col hidden="1" min="5" max="5" width="12.63"/>
    <col customWidth="1" min="6" max="6" width="17.63"/>
    <col customWidth="1" min="7" max="7" width="12.5"/>
    <col customWidth="1" min="8" max="8" width="33.88"/>
    <col customWidth="1" min="9" max="9" width="22.88"/>
    <col customWidth="1" min="10" max="10" width="14.38"/>
    <col customWidth="1" hidden="1" min="11" max="11" width="17.88"/>
    <col customWidth="1" min="12" max="12" width="16.0"/>
    <col customWidth="1" min="13" max="14" width="22.63"/>
    <col customWidth="1" min="15" max="15" width="22.5"/>
    <col customWidth="1" min="16" max="16" width="22.63"/>
    <col customWidth="1" min="17" max="17" width="15.0"/>
    <col customWidth="1" min="18" max="25" width="22.63"/>
  </cols>
  <sheetData>
    <row r="1">
      <c r="A1" s="33"/>
      <c r="B1" s="2"/>
      <c r="C1" s="30"/>
      <c r="D1" s="30"/>
      <c r="E1" s="30"/>
      <c r="F1" s="2"/>
      <c r="G1" s="2"/>
      <c r="H1" s="2"/>
      <c r="I1" s="2"/>
      <c r="J1" s="2"/>
      <c r="K1" s="2"/>
      <c r="L1" s="2"/>
      <c r="M1" s="2"/>
      <c r="N1" s="2"/>
      <c r="O1" s="2"/>
      <c r="P1" s="2"/>
      <c r="Q1" s="30"/>
      <c r="R1" s="2"/>
      <c r="S1" s="2"/>
      <c r="T1" s="2"/>
      <c r="U1" s="2"/>
      <c r="V1" s="2"/>
      <c r="W1" s="2"/>
      <c r="X1" s="2"/>
      <c r="Y1" s="2"/>
    </row>
    <row r="2">
      <c r="A2" s="34" t="str">
        <f>IFERROR(__xludf.DUMMYFUNCTION("IMPORTRANGE(""https://docs.google.com/spreadsheets/d/1JLA1lPRqgRUG4HROAt93tplO_kWfItwG1V1S9I1AmOc/edit?gid=312821278#gid=312821278"",""DATA LIÊN KẾT MÃ CT - MÃ HÀNG!A2:R"")"),"Công thức")</f>
        <v>Công thức</v>
      </c>
      <c r="B2" s="35" t="str">
        <f>IFERROR(__xludf.DUMMYFUNCTION("""COMPUTED_VALUE"""),"Công thức")</f>
        <v>Công thức</v>
      </c>
      <c r="C2" s="34" t="str">
        <f>IFERROR(__xludf.DUMMYFUNCTION("""COMPUTED_VALUE"""),"Công thức")</f>
        <v>Công thức</v>
      </c>
      <c r="D2" s="34" t="str">
        <f>IFERROR(__xludf.DUMMYFUNCTION("""COMPUTED_VALUE"""),"Click chọn")</f>
        <v>Click chọn</v>
      </c>
      <c r="E2" s="36" t="str">
        <f>IFERROR(__xludf.DUMMYFUNCTION("""COMPUTED_VALUE"""),"Công thức")</f>
        <v>Công thức</v>
      </c>
      <c r="F2" s="35" t="str">
        <f>IFERROR(__xludf.DUMMYFUNCTION("""COMPUTED_VALUE"""),"Nhập")</f>
        <v>Nhập</v>
      </c>
      <c r="G2" s="35" t="str">
        <f>IFERROR(__xludf.DUMMYFUNCTION("""COMPUTED_VALUE"""),"Công thức")</f>
        <v>Công thức</v>
      </c>
      <c r="H2" s="35" t="str">
        <f>IFERROR(__xludf.DUMMYFUNCTION("""COMPUTED_VALUE"""),"Công thức")</f>
        <v>Công thức</v>
      </c>
      <c r="I2" s="35" t="str">
        <f>IFERROR(__xludf.DUMMYFUNCTION("""COMPUTED_VALUE"""),"Công thức")</f>
        <v>Công thức</v>
      </c>
      <c r="J2" s="35" t="str">
        <f>IFERROR(__xludf.DUMMYFUNCTION("""COMPUTED_VALUE"""),"Công thức")</f>
        <v>Công thức</v>
      </c>
      <c r="K2" s="37" t="str">
        <f>IFERROR(__xludf.DUMMYFUNCTION("""COMPUTED_VALUE"""),"Công thức")</f>
        <v>Công thức</v>
      </c>
      <c r="L2" s="35" t="str">
        <f>IFERROR(__xludf.DUMMYFUNCTION("""COMPUTED_VALUE"""),"Công thức")</f>
        <v>Công thức</v>
      </c>
      <c r="M2" s="35" t="str">
        <f>IFERROR(__xludf.DUMMYFUNCTION("""COMPUTED_VALUE"""),"Công thức")</f>
        <v>Công thức</v>
      </c>
      <c r="N2" s="35" t="str">
        <f>IFERROR(__xludf.DUMMYFUNCTION("""COMPUTED_VALUE"""),"Click chọn")</f>
        <v>Click chọn</v>
      </c>
      <c r="O2" s="35" t="str">
        <f>IFERROR(__xludf.DUMMYFUNCTION("""COMPUTED_VALUE"""),"Công thức")</f>
        <v>Công thức</v>
      </c>
      <c r="P2" s="35" t="str">
        <f>IFERROR(__xludf.DUMMYFUNCTION("""COMPUTED_VALUE"""),"Công thức")</f>
        <v>Công thức</v>
      </c>
      <c r="Q2" s="34" t="str">
        <f>IFERROR(__xludf.DUMMYFUNCTION("""COMPUTED_VALUE"""),"Công thức")</f>
        <v>Công thức</v>
      </c>
      <c r="R2" s="35" t="str">
        <f>IFERROR(__xludf.DUMMYFUNCTION("""COMPUTED_VALUE"""),"Nhập")</f>
        <v>Nhập</v>
      </c>
      <c r="S2" s="35"/>
      <c r="T2" s="35"/>
      <c r="U2" s="35"/>
      <c r="V2" s="35"/>
      <c r="W2" s="35"/>
      <c r="X2" s="35"/>
      <c r="Y2" s="35"/>
    </row>
    <row r="3">
      <c r="A3" s="38" t="str">
        <f>IFERROR(__xludf.DUMMYFUNCTION("""COMPUTED_VALUE"""),"STT")</f>
        <v>STT</v>
      </c>
      <c r="B3" s="38" t="str">
        <f>IFERROR(__xludf.DUMMYFUNCTION("""COMPUTED_VALUE"""),"Ngày nhập BĐM")</f>
        <v>Ngày nhập BĐM</v>
      </c>
      <c r="C3" s="38" t="str">
        <f>IFERROR(__xludf.DUMMYFUNCTION("""COMPUTED_VALUE"""),"Số lần cập nhật CT cho HH")</f>
        <v>Số lần cập nhật CT cho HH</v>
      </c>
      <c r="D3" s="38" t="str">
        <f>IFERROR(__xludf.DUMMYFUNCTION("""COMPUTED_VALUE"""),"Phân loại")</f>
        <v>Phân loại</v>
      </c>
      <c r="E3" s="38" t="str">
        <f>IFERROR(__xludf.DUMMYFUNCTION("""COMPUTED_VALUE"""),"Ngày yêu cầu
(KD)")</f>
        <v>Ngày yêu cầu
(KD)</v>
      </c>
      <c r="F3" s="38" t="str">
        <f>IFERROR(__xludf.DUMMYFUNCTION("""COMPUTED_VALUE"""),"Mã đơn đặt hàng
(KD)")</f>
        <v>Mã đơn đặt hàng
(KD)</v>
      </c>
      <c r="G3" s="38" t="str">
        <f>IFERROR(__xludf.DUMMYFUNCTION("""COMPUTED_VALUE"""),"Mã HH
(KD)")</f>
        <v>Mã HH
(KD)</v>
      </c>
      <c r="H3" s="38" t="str">
        <f>IFERROR(__xludf.DUMMYFUNCTION("""COMPUTED_VALUE"""),"Tên sản phẩm
(KD)")</f>
        <v>Tên sản phẩm
(KD)</v>
      </c>
      <c r="I3" s="38" t="str">
        <f>IFERROR(__xludf.DUMMYFUNCTION("""COMPUTED_VALUE"""),"CTPL
(KD)")</f>
        <v>CTPL
(KD)</v>
      </c>
      <c r="J3" s="38" t="str">
        <f>IFERROR(__xludf.DUMMYFUNCTION("""COMPUTED_VALUE"""),"Mã CT KD yêu cầu
(KD)")</f>
        <v>Mã CT KD yêu cầu
(KD)</v>
      </c>
      <c r="K3" s="38" t="str">
        <f>IFERROR(__xludf.DUMMYFUNCTION("""COMPUTED_VALUE"""),"Ngày yêu cầu sẵn kho
(KD)")</f>
        <v>Ngày yêu cầu sẵn kho
(KD)</v>
      </c>
      <c r="L3" s="38" t="str">
        <f>IFERROR(__xludf.DUMMYFUNCTION("""COMPUTED_VALUE"""),"Mã yêu cầu
(LAB)")</f>
        <v>Mã yêu cầu
(LAB)</v>
      </c>
      <c r="M3" s="38" t="str">
        <f>IFERROR(__xludf.DUMMYFUNCTION("""COMPUTED_VALUE"""),"Tên mẫu
(LAB)")</f>
        <v>Tên mẫu
(LAB)</v>
      </c>
      <c r="N3" s="38" t="str">
        <f>IFERROR(__xludf.DUMMYFUNCTION("""COMPUTED_VALUE"""),"Mã công thức
(LAB)")</f>
        <v>Mã công thức
(LAB)</v>
      </c>
      <c r="O3" s="38" t="str">
        <f>IFERROR(__xludf.DUMMYFUNCTION("""COMPUTED_VALUE"""),"CTPL
(LAB)")</f>
        <v>CTPL
(LAB)</v>
      </c>
      <c r="P3" s="38" t="str">
        <f>IFERROR(__xludf.DUMMYFUNCTION("""COMPUTED_VALUE"""),"CTPL
(KD)")</f>
        <v>CTPL
(KD)</v>
      </c>
      <c r="Q3" s="38" t="str">
        <f>IFERROR(__xludf.DUMMYFUNCTION("""COMPUTED_VALUE"""),"Kiểm tra pháp lý
(O:P)")</f>
        <v>Kiểm tra pháp lý
(O:P)</v>
      </c>
      <c r="R3" s="38" t="str">
        <f>IFERROR(__xludf.DUMMYFUNCTION("""COMPUTED_VALUE"""),"Tiến độ xử lý công thức (nguyên nhân chưa có công thức, thời gian dự kiến có công thức")</f>
        <v>Tiến độ xử lý công thức (nguyên nhân chưa có công thức, thời gian dự kiến có công thức</v>
      </c>
      <c r="S3" s="38"/>
      <c r="T3" s="38"/>
      <c r="U3" s="38"/>
      <c r="V3" s="38"/>
      <c r="W3" s="38"/>
      <c r="X3" s="38"/>
      <c r="Y3" s="38"/>
    </row>
    <row r="4">
      <c r="A4" s="30">
        <f>IFERROR(__xludf.DUMMYFUNCTION("""COMPUTED_VALUE"""),1.0)</f>
        <v>1</v>
      </c>
      <c r="B4" s="39">
        <f>IFERROR(__xludf.DUMMYFUNCTION("""COMPUTED_VALUE"""),45885.0)</f>
        <v>45885</v>
      </c>
      <c r="C4" s="30">
        <f>IFERROR(__xludf.DUMMYFUNCTION("""COMPUTED_VALUE"""),1.0)</f>
        <v>1</v>
      </c>
      <c r="D4" s="30" t="str">
        <f>IFERROR(__xludf.DUMMYFUNCTION("""COMPUTED_VALUE"""),"CT MỚI")</f>
        <v>CT MỚI</v>
      </c>
      <c r="E4" s="30"/>
      <c r="F4" s="2"/>
      <c r="G4" s="2" t="str">
        <f>IFERROR(__xludf.DUMMYFUNCTION("""COMPUTED_VALUE"""),"HH3887")</f>
        <v>HH3887</v>
      </c>
      <c r="H4" s="2" t="str">
        <f>IFERROR(__xludf.DUMMYFUNCTION("""COMPUTED_VALUE"""),"IDA Global - I - 3887 - VG RICE 01 - 500ml - 40")</f>
        <v>IDA Global - I - 3887 - VG RICE 01 - 500ml - 40</v>
      </c>
      <c r="I4" s="2" t="str">
        <f>IFERROR(__xludf.DUMMYFUNCTION("""COMPUTED_VALUE"""),"#N/A")</f>
        <v>#N/A</v>
      </c>
      <c r="J4" s="2"/>
      <c r="K4" s="2"/>
      <c r="L4" s="2" t="str">
        <f>IFERROR(__xludf.DUMMYFUNCTION("""COMPUTED_VALUE"""),"I01180225-01")</f>
        <v>I01180225-01</v>
      </c>
      <c r="M4" s="2" t="str">
        <f>IFERROR(__xludf.DUMMYFUNCTION("""COMPUTED_VALUE"""),"VG RICE 01")</f>
        <v>VG RICE 01</v>
      </c>
      <c r="N4" s="2" t="str">
        <f>IFERROR(__xludf.DUMMYFUNCTION("""COMPUTED_VALUE"""),"13XL0014")</f>
        <v>13XL0014</v>
      </c>
      <c r="O4" s="2" t="str">
        <f>IFERROR(__xludf.DUMMYFUNCTION("""COMPUTED_VALUE"""),"Phân bón Vi lượng AGAMA-SUPPORT")</f>
        <v>Phân bón Vi lượng AGAMA-SUPPORT</v>
      </c>
      <c r="P4" s="2" t="str">
        <f>IFERROR(__xludf.DUMMYFUNCTION("""COMPUTED_VALUE"""),"#N/A")</f>
        <v>#N/A</v>
      </c>
      <c r="Q4" s="30" t="str">
        <f>IFERROR(__xludf.DUMMYFUNCTION("""COMPUTED_VALUE"""),"KHÔNG KHỚP")</f>
        <v>KHÔNG KHỚP</v>
      </c>
      <c r="R4" s="2"/>
      <c r="S4" s="2"/>
      <c r="T4" s="2"/>
      <c r="U4" s="2"/>
      <c r="V4" s="2"/>
      <c r="W4" s="2"/>
      <c r="X4" s="2"/>
      <c r="Y4" s="2"/>
    </row>
    <row r="5">
      <c r="A5" s="30">
        <f>IFERROR(__xludf.DUMMYFUNCTION("""COMPUTED_VALUE"""),2.0)</f>
        <v>2</v>
      </c>
      <c r="B5" s="39">
        <f>IFERROR(__xludf.DUMMYFUNCTION("""COMPUTED_VALUE"""),45890.0)</f>
        <v>45890</v>
      </c>
      <c r="C5" s="30">
        <f>IFERROR(__xludf.DUMMYFUNCTION("""COMPUTED_VALUE"""),1.0)</f>
        <v>1</v>
      </c>
      <c r="D5" s="30" t="str">
        <f>IFERROR(__xludf.DUMMYFUNCTION("""COMPUTED_VALUE"""),"CT MỚI")</f>
        <v>CT MỚI</v>
      </c>
      <c r="E5" s="30"/>
      <c r="F5" s="2"/>
      <c r="G5" s="2" t="str">
        <f>IFERROR(__xludf.DUMMYFUNCTION("""COMPUTED_VALUE"""),"HH3924")</f>
        <v>HH3924</v>
      </c>
      <c r="H5" s="2" t="str">
        <f>IFERROR(__xludf.DUMMYFUNCTION("""COMPUTED_VALUE"""),"BAMBOO MG KẼM")</f>
        <v>BAMBOO MG KẼM</v>
      </c>
      <c r="I5" s="2" t="str">
        <f>IFERROR(__xludf.DUMMYFUNCTION("""COMPUTED_VALUE"""),"#N/A")</f>
        <v>#N/A</v>
      </c>
      <c r="J5" s="2"/>
      <c r="K5" s="2"/>
      <c r="L5" s="2" t="str">
        <f>IFERROR(__xludf.DUMMYFUNCTION("""COMPUTED_VALUE"""),"BB26040725")</f>
        <v>BB26040725</v>
      </c>
      <c r="M5" s="2" t="str">
        <f>IFERROR(__xludf.DUMMYFUNCTION("""COMPUTED_VALUE"""),"BAMBOO MG KẼM
LOTUS DIỆP LỤC")</f>
        <v>BAMBOO MG KẼM
LOTUS DIỆP LỤC</v>
      </c>
      <c r="N5" s="2" t="str">
        <f>IFERROR(__xludf.DUMMYFUNCTION("""COMPUTED_VALUE"""),"13XL0017")</f>
        <v>13XL0017</v>
      </c>
      <c r="O5" s="2" t="str">
        <f>IFERROR(__xludf.DUMMYFUNCTION("""COMPUTED_VALUE"""),"Phân bón vi lượng Phú Sĩ FJ-09 Kẽm Mg")</f>
        <v>Phân bón vi lượng Phú Sĩ FJ-09 Kẽm Mg</v>
      </c>
      <c r="P5" s="2" t="str">
        <f>IFERROR(__xludf.DUMMYFUNCTION("""COMPUTED_VALUE"""),"#N/A")</f>
        <v>#N/A</v>
      </c>
      <c r="Q5" s="30" t="str">
        <f>IFERROR(__xludf.DUMMYFUNCTION("""COMPUTED_VALUE"""),"KHÔNG KHỚP")</f>
        <v>KHÔNG KHỚP</v>
      </c>
      <c r="R5" s="2"/>
      <c r="S5" s="2"/>
      <c r="T5" s="2"/>
      <c r="U5" s="2"/>
      <c r="V5" s="2"/>
      <c r="W5" s="2"/>
      <c r="X5" s="2"/>
      <c r="Y5" s="2"/>
    </row>
    <row r="6">
      <c r="A6" s="30">
        <f>IFERROR(__xludf.DUMMYFUNCTION("""COMPUTED_VALUE"""),3.0)</f>
        <v>3</v>
      </c>
      <c r="B6" s="39">
        <f>IFERROR(__xludf.DUMMYFUNCTION("""COMPUTED_VALUE"""),45890.0)</f>
        <v>45890</v>
      </c>
      <c r="C6" s="30">
        <f>IFERROR(__xludf.DUMMYFUNCTION("""COMPUTED_VALUE"""),1.0)</f>
        <v>1</v>
      </c>
      <c r="D6" s="30" t="str">
        <f>IFERROR(__xludf.DUMMYFUNCTION("""COMPUTED_VALUE"""),"CT MỚI")</f>
        <v>CT MỚI</v>
      </c>
      <c r="E6" s="30"/>
      <c r="F6" s="2"/>
      <c r="G6" s="2" t="str">
        <f>IFERROR(__xludf.DUMMYFUNCTION("""COMPUTED_VALUE"""),"HH3933")</f>
        <v>HH3933</v>
      </c>
      <c r="H6" s="2" t="str">
        <f>IFERROR(__xludf.DUMMYFUNCTION("""COMPUTED_VALUE"""),"LOTUS AGROCHEM - VII - 3933 - LOTUS DIỆP LỤC (Nước trắng sữa) - 500ml - 40")</f>
        <v>LOTUS AGROCHEM - VII - 3933 - LOTUS DIỆP LỤC (Nước trắng sữa) - 500ml - 40</v>
      </c>
      <c r="I6" s="2" t="str">
        <f>IFERROR(__xludf.DUMMYFUNCTION("""COMPUTED_VALUE"""),"#N/A")</f>
        <v>#N/A</v>
      </c>
      <c r="J6" s="2"/>
      <c r="K6" s="2"/>
      <c r="L6" s="2" t="str">
        <f>IFERROR(__xludf.DUMMYFUNCTION("""COMPUTED_VALUE"""),"BB26040725")</f>
        <v>BB26040725</v>
      </c>
      <c r="M6" s="2" t="str">
        <f>IFERROR(__xludf.DUMMYFUNCTION("""COMPUTED_VALUE"""),"BAMBOO MG KẼM
LOTUS DIỆP LỤC")</f>
        <v>BAMBOO MG KẼM
LOTUS DIỆP LỤC</v>
      </c>
      <c r="N6" s="2" t="str">
        <f>IFERROR(__xludf.DUMMYFUNCTION("""COMPUTED_VALUE"""),"13XL0017")</f>
        <v>13XL0017</v>
      </c>
      <c r="O6" s="2" t="str">
        <f>IFERROR(__xludf.DUMMYFUNCTION("""COMPUTED_VALUE"""),"Phân bón vi lượng Phú Sĩ FJ-09 Kẽm Mg")</f>
        <v>Phân bón vi lượng Phú Sĩ FJ-09 Kẽm Mg</v>
      </c>
      <c r="P6" s="2" t="str">
        <f>IFERROR(__xludf.DUMMYFUNCTION("""COMPUTED_VALUE"""),"#N/A")</f>
        <v>#N/A</v>
      </c>
      <c r="Q6" s="30" t="str">
        <f>IFERROR(__xludf.DUMMYFUNCTION("""COMPUTED_VALUE"""),"KHÔNG KHỚP")</f>
        <v>KHÔNG KHỚP</v>
      </c>
      <c r="R6" s="2"/>
      <c r="S6" s="2"/>
      <c r="T6" s="2"/>
      <c r="U6" s="2"/>
      <c r="V6" s="2"/>
      <c r="W6" s="2"/>
      <c r="X6" s="2"/>
      <c r="Y6" s="2"/>
    </row>
    <row r="7">
      <c r="A7" s="30">
        <f>IFERROR(__xludf.DUMMYFUNCTION("""COMPUTED_VALUE"""),4.0)</f>
        <v>4</v>
      </c>
      <c r="B7" s="39">
        <f>IFERROR(__xludf.DUMMYFUNCTION("""COMPUTED_VALUE"""),45887.0)</f>
        <v>45887</v>
      </c>
      <c r="C7" s="30">
        <f>IFERROR(__xludf.DUMMYFUNCTION("""COMPUTED_VALUE"""),1.0)</f>
        <v>1</v>
      </c>
      <c r="D7" s="30" t="str">
        <f>IFERROR(__xludf.DUMMYFUNCTION("""COMPUTED_VALUE"""),"CT MỚI")</f>
        <v>CT MỚI</v>
      </c>
      <c r="E7" s="30"/>
      <c r="F7" s="2"/>
      <c r="G7" s="2" t="str">
        <f>IFERROR(__xludf.DUMMYFUNCTION("""COMPUTED_VALUE"""),"HH3790")</f>
        <v>HH3790</v>
      </c>
      <c r="H7" s="2" t="str">
        <f>IFERROR(__xludf.DUMMYFUNCTION("""COMPUTED_VALUE"""),"CANXI BO MASTER")</f>
        <v>CANXI BO MASTER</v>
      </c>
      <c r="I7" s="2" t="str">
        <f>IFERROR(__xludf.DUMMYFUNCTION("""COMPUTED_VALUE"""),"#N/A")</f>
        <v>#N/A</v>
      </c>
      <c r="J7" s="2"/>
      <c r="K7" s="2"/>
      <c r="L7" s="2"/>
      <c r="M7" s="2" t="str">
        <f>IFERROR(__xludf.DUMMYFUNCTION("""COMPUTED_VALUE"""),"CANXI BO MASTER")</f>
        <v>CANXI BO MASTER</v>
      </c>
      <c r="N7" s="2" t="str">
        <f>IFERROR(__xludf.DUMMYFUNCTION("""COMPUTED_VALUE"""),"10CR0015")</f>
        <v>10CR0015</v>
      </c>
      <c r="O7" s="2" t="str">
        <f>IFERROR(__xludf.DUMMYFUNCTION("""COMPUTED_VALUE"""),"Phân bón Vi lượng AGAMA-CANXI BO")</f>
        <v>Phân bón Vi lượng AGAMA-CANXI BO</v>
      </c>
      <c r="P7" s="2" t="str">
        <f>IFERROR(__xludf.DUMMYFUNCTION("""COMPUTED_VALUE"""),"#N/A")</f>
        <v>#N/A</v>
      </c>
      <c r="Q7" s="30" t="str">
        <f>IFERROR(__xludf.DUMMYFUNCTION("""COMPUTED_VALUE"""),"KHÔNG KHỚP")</f>
        <v>KHÔNG KHỚP</v>
      </c>
      <c r="R7" s="2"/>
      <c r="S7" s="2"/>
      <c r="T7" s="2"/>
      <c r="U7" s="2"/>
      <c r="V7" s="2"/>
      <c r="W7" s="2"/>
      <c r="X7" s="2"/>
      <c r="Y7" s="2"/>
    </row>
    <row r="8">
      <c r="A8" s="30">
        <f>IFERROR(__xludf.DUMMYFUNCTION("""COMPUTED_VALUE"""),5.0)</f>
        <v>5</v>
      </c>
      <c r="B8" s="39">
        <f>IFERROR(__xludf.DUMMYFUNCTION("""COMPUTED_VALUE"""),45889.0)</f>
        <v>45889</v>
      </c>
      <c r="C8" s="30">
        <f>IFERROR(__xludf.DUMMYFUNCTION("""COMPUTED_VALUE"""),1.0)</f>
        <v>1</v>
      </c>
      <c r="D8" s="30" t="str">
        <f>IFERROR(__xludf.DUMMYFUNCTION("""COMPUTED_VALUE"""),"CT MỚI")</f>
        <v>CT MỚI</v>
      </c>
      <c r="E8" s="30"/>
      <c r="F8" s="2"/>
      <c r="G8" s="2" t="str">
        <f>IFERROR(__xludf.DUMMYFUNCTION("""COMPUTED_VALUE"""),"HH3986")</f>
        <v>HH3986</v>
      </c>
      <c r="H8" s="2" t="str">
        <f>IFERROR(__xludf.DUMMYFUNCTION("""COMPUTED_VALUE"""),"STOP UP IDA")</f>
        <v>STOP UP IDA</v>
      </c>
      <c r="I8" s="2" t="str">
        <f>IFERROR(__xludf.DUMMYFUNCTION("""COMPUTED_VALUE"""),"#N/A")</f>
        <v>#N/A</v>
      </c>
      <c r="J8" s="2"/>
      <c r="K8" s="2"/>
      <c r="L8" s="2" t="str">
        <f>IFERROR(__xludf.DUMMYFUNCTION("""COMPUTED_VALUE"""),"CHẶN ĐỌT DÒNG V2")</f>
        <v>CHẶN ĐỌT DÒNG V2</v>
      </c>
      <c r="M8" s="2" t="str">
        <f>IFERROR(__xludf.DUMMYFUNCTION("""COMPUTED_VALUE"""),"STOP UP
MT STOP
AGRI STOP
STOP ĐỌT
SIÊU CHẶN ĐỌT
MASTER STOP
UNI STOP ONE
BAMBOO DOUBLE STOP")</f>
        <v>STOP UP
MT STOP
AGRI STOP
STOP ĐỌT
SIÊU CHẶN ĐỌT
MASTER STOP
UNI STOP ONE
BAMBOO DOUBLE STOP</v>
      </c>
      <c r="N8" s="2" t="str">
        <f>IFERROR(__xludf.DUMMYFUNCTION("""COMPUTED_VALUE"""),"06CD0009V1")</f>
        <v>06CD0009V1</v>
      </c>
      <c r="O8" s="2" t="str">
        <f>IFERROR(__xludf.DUMMYFUNCTION("""COMPUTED_VALUE"""),"Phân bón Vi lượng Quantity New")</f>
        <v>Phân bón Vi lượng Quantity New</v>
      </c>
      <c r="P8" s="2" t="str">
        <f>IFERROR(__xludf.DUMMYFUNCTION("""COMPUTED_VALUE"""),"#N/A")</f>
        <v>#N/A</v>
      </c>
      <c r="Q8" s="30" t="str">
        <f>IFERROR(__xludf.DUMMYFUNCTION("""COMPUTED_VALUE"""),"KHÔNG KHỚP")</f>
        <v>KHÔNG KHỚP</v>
      </c>
      <c r="R8" s="2"/>
      <c r="S8" s="2"/>
      <c r="T8" s="2"/>
      <c r="U8" s="2"/>
      <c r="V8" s="2"/>
      <c r="W8" s="2"/>
      <c r="X8" s="2"/>
      <c r="Y8" s="2"/>
    </row>
    <row r="9">
      <c r="A9" s="30">
        <f>IFERROR(__xludf.DUMMYFUNCTION("""COMPUTED_VALUE"""),6.0)</f>
        <v>6</v>
      </c>
      <c r="B9" s="39" t="str">
        <f>IFERROR(__xludf.DUMMYFUNCTION("""COMPUTED_VALUE"""),"")</f>
        <v/>
      </c>
      <c r="C9" s="30">
        <f>IFERROR(__xludf.DUMMYFUNCTION("""COMPUTED_VALUE"""),1.0)</f>
        <v>1</v>
      </c>
      <c r="D9" s="30" t="str">
        <f>IFERROR(__xludf.DUMMYFUNCTION("""COMPUTED_VALUE"""),"CT MỚI")</f>
        <v>CT MỚI</v>
      </c>
      <c r="E9" s="30"/>
      <c r="F9" s="2"/>
      <c r="G9" s="2" t="str">
        <f>IFERROR(__xludf.DUMMYFUNCTION("""COMPUTED_VALUE"""),"04VG0021V1-160825")</f>
        <v>04VG0021V1-160825</v>
      </c>
      <c r="H9" s="2" t="str">
        <f>IFERROR(__xludf.DUMMYFUNCTION("""COMPUTED_VALUE"""),"SUPER NANO")</f>
        <v>SUPER NANO</v>
      </c>
      <c r="I9" s="2" t="str">
        <f>IFERROR(__xludf.DUMMYFUNCTION("""COMPUTED_VALUE"""),"#N/A")</f>
        <v>#N/A</v>
      </c>
      <c r="J9" s="2"/>
      <c r="K9" s="2"/>
      <c r="L9" s="2" t="str">
        <f>IFERROR(__xludf.DUMMYFUNCTION("""COMPUTED_VALUE"""),"")</f>
        <v/>
      </c>
      <c r="M9" s="2" t="str">
        <f>IFERROR(__xludf.DUMMYFUNCTION("""COMPUTED_VALUE"""),"")</f>
        <v/>
      </c>
      <c r="N9" s="2" t="str">
        <f>IFERROR(__xludf.DUMMYFUNCTION("""COMPUTED_VALUE"""),"04VG0021V1")</f>
        <v>04VG0021V1</v>
      </c>
      <c r="O9" s="2" t="str">
        <f>IFERROR(__xludf.DUMMYFUNCTION("""COMPUTED_VALUE"""),"")</f>
        <v/>
      </c>
      <c r="P9" s="2" t="str">
        <f>IFERROR(__xludf.DUMMYFUNCTION("""COMPUTED_VALUE"""),"#N/A")</f>
        <v>#N/A</v>
      </c>
      <c r="Q9" s="30" t="str">
        <f>IFERROR(__xludf.DUMMYFUNCTION("""COMPUTED_VALUE"""),"KHÔNG KHỚP")</f>
        <v>KHÔNG KHỚP</v>
      </c>
      <c r="R9" s="2"/>
      <c r="S9" s="2"/>
      <c r="T9" s="2"/>
      <c r="U9" s="2"/>
      <c r="V9" s="2"/>
      <c r="W9" s="2"/>
      <c r="X9" s="2"/>
      <c r="Y9" s="2"/>
    </row>
    <row r="10">
      <c r="A10" s="30">
        <f>IFERROR(__xludf.DUMMYFUNCTION("""COMPUTED_VALUE"""),7.0)</f>
        <v>7</v>
      </c>
      <c r="B10" s="39">
        <f>IFERROR(__xludf.DUMMYFUNCTION("""COMPUTED_VALUE"""),45885.0)</f>
        <v>45885</v>
      </c>
      <c r="C10" s="30">
        <f>IFERROR(__xludf.DUMMYFUNCTION("""COMPUTED_VALUE"""),1.0)</f>
        <v>1</v>
      </c>
      <c r="D10" s="30" t="str">
        <f>IFERROR(__xludf.DUMMYFUNCTION("""COMPUTED_VALUE"""),"CT MỚI")</f>
        <v>CT MỚI</v>
      </c>
      <c r="E10" s="30"/>
      <c r="F10" s="2"/>
      <c r="G10" s="2" t="str">
        <f>IFERROR(__xludf.DUMMYFUNCTION("""COMPUTED_VALUE"""),"HH3588")</f>
        <v>HH3588</v>
      </c>
      <c r="H10" s="2" t="str">
        <f>IFERROR(__xludf.DUMMYFUNCTION("""COMPUTED_VALUE"""),"IDA Global - I - 3888 - VG RICE 02 - 500ml - 40")</f>
        <v>IDA Global - I - 3888 - VG RICE 02 - 500ml - 40</v>
      </c>
      <c r="I10" s="2" t="str">
        <f>IFERROR(__xludf.DUMMYFUNCTION("""COMPUTED_VALUE"""),"#N/A")</f>
        <v>#N/A</v>
      </c>
      <c r="J10" s="2"/>
      <c r="K10" s="2"/>
      <c r="L10" s="2" t="str">
        <f>IFERROR(__xludf.DUMMYFUNCTION("""COMPUTED_VALUE"""),"I02180225")</f>
        <v>I02180225</v>
      </c>
      <c r="M10" s="2" t="str">
        <f>IFERROR(__xludf.DUMMYFUNCTION("""COMPUTED_VALUE"""),"VG RICE 02")</f>
        <v>VG RICE 02</v>
      </c>
      <c r="N10" s="2" t="str">
        <f>IFERROR(__xludf.DUMMYFUNCTION("""COMPUTED_VALUE"""),"04VG0033")</f>
        <v>04VG0033</v>
      </c>
      <c r="O10" s="2" t="str">
        <f>IFERROR(__xludf.DUMMYFUNCTION("""COMPUTED_VALUE"""),"Phân bón NPK-Vi lượng HC CAN")</f>
        <v>Phân bón NPK-Vi lượng HC CAN</v>
      </c>
      <c r="P10" s="2" t="str">
        <f>IFERROR(__xludf.DUMMYFUNCTION("""COMPUTED_VALUE"""),"#N/A")</f>
        <v>#N/A</v>
      </c>
      <c r="Q10" s="30" t="str">
        <f>IFERROR(__xludf.DUMMYFUNCTION("""COMPUTED_VALUE"""),"KHÔNG KHỚP")</f>
        <v>KHÔNG KHỚP</v>
      </c>
      <c r="R10" s="2"/>
      <c r="S10" s="2"/>
      <c r="T10" s="2"/>
      <c r="U10" s="2"/>
      <c r="V10" s="2"/>
      <c r="W10" s="2"/>
      <c r="X10" s="2"/>
      <c r="Y10" s="2"/>
    </row>
    <row r="11">
      <c r="A11" s="30">
        <f>IFERROR(__xludf.DUMMYFUNCTION("""COMPUTED_VALUE"""),8.0)</f>
        <v>8</v>
      </c>
      <c r="B11" s="39">
        <f>IFERROR(__xludf.DUMMYFUNCTION("""COMPUTED_VALUE"""),45885.0)</f>
        <v>45885</v>
      </c>
      <c r="C11" s="30">
        <f>IFERROR(__xludf.DUMMYFUNCTION("""COMPUTED_VALUE"""),1.0)</f>
        <v>1</v>
      </c>
      <c r="D11" s="30" t="str">
        <f>IFERROR(__xludf.DUMMYFUNCTION("""COMPUTED_VALUE"""),"CT MỚI")</f>
        <v>CT MỚI</v>
      </c>
      <c r="E11" s="30"/>
      <c r="F11" s="2"/>
      <c r="G11" s="2" t="str">
        <f>IFERROR(__xludf.DUMMYFUNCTION("""COMPUTED_VALUE"""),"HH3860")</f>
        <v>HH3860</v>
      </c>
      <c r="H11" s="2" t="str">
        <f>IFERROR(__xludf.DUMMYFUNCTION("""COMPUTED_VALUE"""),"IDA Global - I - 3860 - CỨNG CÂY 304 (Nước nâu đen) - 500ml - 40")</f>
        <v>IDA Global - I - 3860 - CỨNG CÂY 304 (Nước nâu đen) - 500ml - 40</v>
      </c>
      <c r="I11" s="2" t="str">
        <f>IFERROR(__xludf.DUMMYFUNCTION("""COMPUTED_VALUE"""),"#N/A")</f>
        <v>#N/A</v>
      </c>
      <c r="J11" s="2"/>
      <c r="K11" s="2"/>
      <c r="L11" s="2" t="str">
        <f>IFERROR(__xludf.DUMMYFUNCTION("""COMPUTED_VALUE"""),"L01261124")</f>
        <v>L01261124</v>
      </c>
      <c r="M11" s="2" t="str">
        <f>IFERROR(__xludf.DUMMYFUNCTION("""COMPUTED_VALUE"""),"CỨNG CÂY 304")</f>
        <v>CỨNG CÂY 304</v>
      </c>
      <c r="N11" s="2" t="str">
        <f>IFERROR(__xludf.DUMMYFUNCTION("""COMPUTED_VALUE"""),"02CC0002V1")</f>
        <v>02CC0002V1</v>
      </c>
      <c r="O11" s="2" t="str">
        <f>IFERROR(__xludf.DUMMYFUNCTION("""COMPUTED_VALUE"""),"Phân bón Hữu cơ SH Agro Organic Fertilizer 20")</f>
        <v>Phân bón Hữu cơ SH Agro Organic Fertilizer 20</v>
      </c>
      <c r="P11" s="2" t="str">
        <f>IFERROR(__xludf.DUMMYFUNCTION("""COMPUTED_VALUE"""),"#N/A")</f>
        <v>#N/A</v>
      </c>
      <c r="Q11" s="30" t="str">
        <f>IFERROR(__xludf.DUMMYFUNCTION("""COMPUTED_VALUE"""),"KHÔNG KHỚP")</f>
        <v>KHÔNG KHỚP</v>
      </c>
      <c r="R11" s="2"/>
      <c r="S11" s="2"/>
      <c r="T11" s="2"/>
      <c r="U11" s="2"/>
      <c r="V11" s="2"/>
      <c r="W11" s="2"/>
      <c r="X11" s="2"/>
      <c r="Y11" s="2"/>
    </row>
    <row r="12">
      <c r="A12" s="30">
        <f>IFERROR(__xludf.DUMMYFUNCTION("""COMPUTED_VALUE"""),9.0)</f>
        <v>9</v>
      </c>
      <c r="B12" s="39">
        <f>IFERROR(__xludf.DUMMYFUNCTION("""COMPUTED_VALUE"""),45889.0)</f>
        <v>45889</v>
      </c>
      <c r="C12" s="30">
        <f>IFERROR(__xludf.DUMMYFUNCTION("""COMPUTED_VALUE"""),1.0)</f>
        <v>1</v>
      </c>
      <c r="D12" s="30" t="str">
        <f>IFERROR(__xludf.DUMMYFUNCTION("""COMPUTED_VALUE"""),"CT MỚI")</f>
        <v>CT MỚI</v>
      </c>
      <c r="E12" s="30"/>
      <c r="F12" s="2"/>
      <c r="G12" s="2" t="str">
        <f>IFERROR(__xludf.DUMMYFUNCTION("""COMPUTED_VALUE"""),"HH3971")</f>
        <v>HH3971</v>
      </c>
      <c r="H12" s="2" t="str">
        <f>IFERROR(__xludf.DUMMYFUNCTION("""COMPUTED_VALUE"""),"GC - IV - 3971 - Cty Thành Công Agri - MASTER STOP (nước nâu đen V2) - 1L - 20")</f>
        <v>GC - IV - 3971 - Cty Thành Công Agri - MASTER STOP (nước nâu đen V2) - 1L - 20</v>
      </c>
      <c r="I12" s="2" t="str">
        <f>IFERROR(__xludf.DUMMYFUNCTION("""COMPUTED_VALUE"""),"#N/A")</f>
        <v>#N/A</v>
      </c>
      <c r="J12" s="2"/>
      <c r="K12" s="2"/>
      <c r="L12" s="2" t="str">
        <f>IFERROR(__xludf.DUMMYFUNCTION("""COMPUTED_VALUE"""),"CHẶN ĐỌT DÒNG V2")</f>
        <v>CHẶN ĐỌT DÒNG V2</v>
      </c>
      <c r="M12" s="2" t="str">
        <f>IFERROR(__xludf.DUMMYFUNCTION("""COMPUTED_VALUE"""),"STOP UP
MT STOP
AGRI STOP
STOP ĐỌT
SIÊU CHẶN ĐỌT
MASTER STOP
UNI STOP ONE
BAMBOO DOUBLE STOP")</f>
        <v>STOP UP
MT STOP
AGRI STOP
STOP ĐỌT
SIÊU CHẶN ĐỌT
MASTER STOP
UNI STOP ONE
BAMBOO DOUBLE STOP</v>
      </c>
      <c r="N12" s="2" t="str">
        <f>IFERROR(__xludf.DUMMYFUNCTION("""COMPUTED_VALUE"""),"06CD0009V1")</f>
        <v>06CD0009V1</v>
      </c>
      <c r="O12" s="2" t="str">
        <f>IFERROR(__xludf.DUMMYFUNCTION("""COMPUTED_VALUE"""),"Phân bón Vi lượng Quantity New")</f>
        <v>Phân bón Vi lượng Quantity New</v>
      </c>
      <c r="P12" s="2" t="str">
        <f>IFERROR(__xludf.DUMMYFUNCTION("""COMPUTED_VALUE"""),"#N/A")</f>
        <v>#N/A</v>
      </c>
      <c r="Q12" s="30" t="str">
        <f>IFERROR(__xludf.DUMMYFUNCTION("""COMPUTED_VALUE"""),"KHÔNG KHỚP")</f>
        <v>KHÔNG KHỚP</v>
      </c>
      <c r="R12" s="2"/>
      <c r="S12" s="2"/>
      <c r="T12" s="2"/>
      <c r="U12" s="2"/>
      <c r="V12" s="2"/>
      <c r="W12" s="2"/>
      <c r="X12" s="2"/>
      <c r="Y12" s="2"/>
    </row>
    <row r="13">
      <c r="A13" s="30">
        <f>IFERROR(__xludf.DUMMYFUNCTION("""COMPUTED_VALUE"""),10.0)</f>
        <v>10</v>
      </c>
      <c r="B13" s="39">
        <f>IFERROR(__xludf.DUMMYFUNCTION("""COMPUTED_VALUE"""),45889.0)</f>
        <v>45889</v>
      </c>
      <c r="C13" s="30">
        <f>IFERROR(__xludf.DUMMYFUNCTION("""COMPUTED_VALUE"""),1.0)</f>
        <v>1</v>
      </c>
      <c r="D13" s="30" t="str">
        <f>IFERROR(__xludf.DUMMYFUNCTION("""COMPUTED_VALUE"""),"CT MỚI")</f>
        <v>CT MỚI</v>
      </c>
      <c r="E13" s="30"/>
      <c r="F13" s="2"/>
      <c r="G13" s="2" t="str">
        <f>IFERROR(__xludf.DUMMYFUNCTION("""COMPUTED_VALUE"""),"HH3845")</f>
        <v>HH3845</v>
      </c>
      <c r="H13" s="2" t="str">
        <f>IFERROR(__xludf.DUMMYFUNCTION("""COMPUTED_VALUE"""),"BAMBOO - VI - 3845 - BAMBOO DOUBLE STOP (nước nâu đen) - 1L - 20")</f>
        <v>BAMBOO - VI - 3845 - BAMBOO DOUBLE STOP (nước nâu đen) - 1L - 20</v>
      </c>
      <c r="I13" s="2" t="str">
        <f>IFERROR(__xludf.DUMMYFUNCTION("""COMPUTED_VALUE"""),"#N/A")</f>
        <v>#N/A</v>
      </c>
      <c r="J13" s="2"/>
      <c r="K13" s="2"/>
      <c r="L13" s="2" t="str">
        <f>IFERROR(__xludf.DUMMYFUNCTION("""COMPUTED_VALUE"""),"CHẶN ĐỌT DÒNG V2")</f>
        <v>CHẶN ĐỌT DÒNG V2</v>
      </c>
      <c r="M13" s="2" t="str">
        <f>IFERROR(__xludf.DUMMYFUNCTION("""COMPUTED_VALUE"""),"STOP UP
MT STOP
AGRI STOP
STOP ĐỌT
SIÊU CHẶN ĐỌT
MASTER STOP
UNI STOP ONE
BAMBOO DOUBLE STOP")</f>
        <v>STOP UP
MT STOP
AGRI STOP
STOP ĐỌT
SIÊU CHẶN ĐỌT
MASTER STOP
UNI STOP ONE
BAMBOO DOUBLE STOP</v>
      </c>
      <c r="N13" s="2" t="str">
        <f>IFERROR(__xludf.DUMMYFUNCTION("""COMPUTED_VALUE"""),"06CD0009V1")</f>
        <v>06CD0009V1</v>
      </c>
      <c r="O13" s="2" t="str">
        <f>IFERROR(__xludf.DUMMYFUNCTION("""COMPUTED_VALUE"""),"Phân bón Vi lượng Quantity New")</f>
        <v>Phân bón Vi lượng Quantity New</v>
      </c>
      <c r="P13" s="2" t="str">
        <f>IFERROR(__xludf.DUMMYFUNCTION("""COMPUTED_VALUE"""),"#N/A")</f>
        <v>#N/A</v>
      </c>
      <c r="Q13" s="30" t="str">
        <f>IFERROR(__xludf.DUMMYFUNCTION("""COMPUTED_VALUE"""),"KHÔNG KHỚP")</f>
        <v>KHÔNG KHỚP</v>
      </c>
      <c r="R13" s="2"/>
      <c r="S13" s="2"/>
      <c r="T13" s="2"/>
      <c r="U13" s="2"/>
      <c r="V13" s="2"/>
      <c r="W13" s="2"/>
      <c r="X13" s="2"/>
      <c r="Y13" s="2"/>
    </row>
    <row r="14">
      <c r="A14" s="30">
        <f>IFERROR(__xludf.DUMMYFUNCTION("""COMPUTED_VALUE"""),11.0)</f>
        <v>11</v>
      </c>
      <c r="B14" s="39">
        <f>IFERROR(__xludf.DUMMYFUNCTION("""COMPUTED_VALUE"""),45889.0)</f>
        <v>45889</v>
      </c>
      <c r="C14" s="30">
        <f>IFERROR(__xludf.DUMMYFUNCTION("""COMPUTED_VALUE"""),1.0)</f>
        <v>1</v>
      </c>
      <c r="D14" s="30" t="str">
        <f>IFERROR(__xludf.DUMMYFUNCTION("""COMPUTED_VALUE"""),"CT MỚI")</f>
        <v>CT MỚI</v>
      </c>
      <c r="E14" s="30"/>
      <c r="F14" s="2"/>
      <c r="G14" s="2" t="str">
        <f>IFERROR(__xludf.DUMMYFUNCTION("""COMPUTED_VALUE"""),"HH3991")</f>
        <v>HH3991</v>
      </c>
      <c r="H14" s="2" t="str">
        <f>IFERROR(__xludf.DUMMYFUNCTION("""COMPUTED_VALUE"""),"GC - IV - 3991 - Cty Thành Công Agri - MASTER STOP (nước nâu đen V2) - 1L - 20")</f>
        <v>GC - IV - 3991 - Cty Thành Công Agri - MASTER STOP (nước nâu đen V2) - 1L - 20</v>
      </c>
      <c r="I14" s="2" t="str">
        <f>IFERROR(__xludf.DUMMYFUNCTION("""COMPUTED_VALUE"""),"#N/A")</f>
        <v>#N/A</v>
      </c>
      <c r="J14" s="2"/>
      <c r="K14" s="2"/>
      <c r="L14" s="2" t="str">
        <f>IFERROR(__xludf.DUMMYFUNCTION("""COMPUTED_VALUE"""),"CHẶN ĐỌT DÒNG V2")</f>
        <v>CHẶN ĐỌT DÒNG V2</v>
      </c>
      <c r="M14" s="2" t="str">
        <f>IFERROR(__xludf.DUMMYFUNCTION("""COMPUTED_VALUE"""),"STOP UP
MT STOP
AGRI STOP
STOP ĐỌT
SIÊU CHẶN ĐỌT
MASTER STOP
UNI STOP ONE
BAMBOO DOUBLE STOP")</f>
        <v>STOP UP
MT STOP
AGRI STOP
STOP ĐỌT
SIÊU CHẶN ĐỌT
MASTER STOP
UNI STOP ONE
BAMBOO DOUBLE STOP</v>
      </c>
      <c r="N14" s="2" t="str">
        <f>IFERROR(__xludf.DUMMYFUNCTION("""COMPUTED_VALUE"""),"06CD0009V1")</f>
        <v>06CD0009V1</v>
      </c>
      <c r="O14" s="2" t="str">
        <f>IFERROR(__xludf.DUMMYFUNCTION("""COMPUTED_VALUE"""),"Phân bón Vi lượng Quantity New")</f>
        <v>Phân bón Vi lượng Quantity New</v>
      </c>
      <c r="P14" s="2" t="str">
        <f>IFERROR(__xludf.DUMMYFUNCTION("""COMPUTED_VALUE"""),"#N/A")</f>
        <v>#N/A</v>
      </c>
      <c r="Q14" s="30" t="str">
        <f>IFERROR(__xludf.DUMMYFUNCTION("""COMPUTED_VALUE"""),"KHÔNG KHỚP")</f>
        <v>KHÔNG KHỚP</v>
      </c>
      <c r="R14" s="2"/>
      <c r="S14" s="2"/>
      <c r="T14" s="2"/>
      <c r="U14" s="2"/>
      <c r="V14" s="2"/>
      <c r="W14" s="2"/>
      <c r="X14" s="2"/>
      <c r="Y14" s="2"/>
    </row>
    <row r="15">
      <c r="A15" s="30">
        <f>IFERROR(__xludf.DUMMYFUNCTION("""COMPUTED_VALUE"""),12.0)</f>
        <v>12</v>
      </c>
      <c r="B15" s="39">
        <f>IFERROR(__xludf.DUMMYFUNCTION("""COMPUTED_VALUE"""),45889.0)</f>
        <v>45889</v>
      </c>
      <c r="C15" s="30">
        <f>IFERROR(__xludf.DUMMYFUNCTION("""COMPUTED_VALUE"""),1.0)</f>
        <v>1</v>
      </c>
      <c r="D15" s="30" t="str">
        <f>IFERROR(__xludf.DUMMYFUNCTION("""COMPUTED_VALUE"""),"CT MỚI")</f>
        <v>CT MỚI</v>
      </c>
      <c r="E15" s="30"/>
      <c r="F15" s="2"/>
      <c r="G15" s="2" t="str">
        <f>IFERROR(__xludf.DUMMYFUNCTION("""COMPUTED_VALUE"""),"HH3996")</f>
        <v>HH3996</v>
      </c>
      <c r="H15" s="2" t="str">
        <f>IFERROR(__xludf.DUMMYFUNCTION("""COMPUTED_VALUE"""),"GC - IV - 3996 - CTY DONA VINA - UNI-STOP ONE (Nước nâu đen) - 1L - 20")</f>
        <v>GC - IV - 3996 - CTY DONA VINA - UNI-STOP ONE (Nước nâu đen) - 1L - 20</v>
      </c>
      <c r="I15" s="2" t="str">
        <f>IFERROR(__xludf.DUMMYFUNCTION("""COMPUTED_VALUE"""),"#N/A")</f>
        <v>#N/A</v>
      </c>
      <c r="J15" s="2"/>
      <c r="K15" s="2"/>
      <c r="L15" s="2" t="str">
        <f>IFERROR(__xludf.DUMMYFUNCTION("""COMPUTED_VALUE"""),"CHẶN ĐỌT DÒNG V2")</f>
        <v>CHẶN ĐỌT DÒNG V2</v>
      </c>
      <c r="M15" s="2" t="str">
        <f>IFERROR(__xludf.DUMMYFUNCTION("""COMPUTED_VALUE"""),"STOP UP
MT STOP
AGRI STOP
STOP ĐỌT
SIÊU CHẶN ĐỌT
MASTER STOP
UNI STOP ONE
BAMBOO DOUBLE STOP")</f>
        <v>STOP UP
MT STOP
AGRI STOP
STOP ĐỌT
SIÊU CHẶN ĐỌT
MASTER STOP
UNI STOP ONE
BAMBOO DOUBLE STOP</v>
      </c>
      <c r="N15" s="2" t="str">
        <f>IFERROR(__xludf.DUMMYFUNCTION("""COMPUTED_VALUE"""),"06CD0009V1")</f>
        <v>06CD0009V1</v>
      </c>
      <c r="O15" s="2" t="str">
        <f>IFERROR(__xludf.DUMMYFUNCTION("""COMPUTED_VALUE"""),"Phân bón Vi lượng Quantity New")</f>
        <v>Phân bón Vi lượng Quantity New</v>
      </c>
      <c r="P15" s="2" t="str">
        <f>IFERROR(__xludf.DUMMYFUNCTION("""COMPUTED_VALUE"""),"#N/A")</f>
        <v>#N/A</v>
      </c>
      <c r="Q15" s="30" t="str">
        <f>IFERROR(__xludf.DUMMYFUNCTION("""COMPUTED_VALUE"""),"KHÔNG KHỚP")</f>
        <v>KHÔNG KHỚP</v>
      </c>
      <c r="R15" s="2"/>
      <c r="S15" s="2"/>
      <c r="T15" s="2"/>
      <c r="U15" s="2"/>
      <c r="V15" s="2"/>
      <c r="W15" s="2"/>
      <c r="X15" s="2"/>
      <c r="Y15" s="2"/>
    </row>
    <row r="16">
      <c r="A16" s="30">
        <f>IFERROR(__xludf.DUMMYFUNCTION("""COMPUTED_VALUE"""),13.0)</f>
        <v>13</v>
      </c>
      <c r="B16" s="39">
        <f>IFERROR(__xludf.DUMMYFUNCTION("""COMPUTED_VALUE"""),45890.0)</f>
        <v>45890</v>
      </c>
      <c r="C16" s="30">
        <f>IFERROR(__xludf.DUMMYFUNCTION("""COMPUTED_VALUE"""),1.0)</f>
        <v>1</v>
      </c>
      <c r="D16" s="30" t="str">
        <f>IFERROR(__xludf.DUMMYFUNCTION("""COMPUTED_VALUE"""),"CT MỚI")</f>
        <v>CT MỚI</v>
      </c>
      <c r="E16" s="30"/>
      <c r="F16" s="2"/>
      <c r="G16" s="2" t="str">
        <f>IFERROR(__xludf.DUMMYFUNCTION("""COMPUTED_VALUE"""),"HH4011")</f>
        <v>HH4011</v>
      </c>
      <c r="H16" s="2" t="str">
        <f>IFERROR(__xludf.DUMMYFUNCTION("""COMPUTED_VALUE"""),"10th Kodo Stop")</f>
        <v>10th Kodo Stop</v>
      </c>
      <c r="I16" s="2" t="str">
        <f>IFERROR(__xludf.DUMMYFUNCTION("""COMPUTED_VALUE"""),"#N/A")</f>
        <v>#N/A</v>
      </c>
      <c r="J16" s="2"/>
      <c r="K16" s="2"/>
      <c r="L16" s="2" t="str">
        <f>IFERROR(__xludf.DUMMYFUNCTION("""COMPUTED_VALUE"""),"CHẶN ĐỌT DÒNG V1")</f>
        <v>CHẶN ĐỌT DÒNG V1</v>
      </c>
      <c r="M16" s="2" t="str">
        <f>IFERROR(__xludf.DUMMYFUNCTION("""COMPUTED_VALUE"""),"KODO STOP")</f>
        <v>KODO STOP</v>
      </c>
      <c r="N16" s="2" t="str">
        <f>IFERROR(__xludf.DUMMYFUNCTION("""COMPUTED_VALUE"""),"06CD0006")</f>
        <v>06CD0006</v>
      </c>
      <c r="O16" s="2" t="str">
        <f>IFERROR(__xludf.DUMMYFUNCTION("""COMPUTED_VALUE"""),"Phân bón Vi lượng Quantity New")</f>
        <v>Phân bón Vi lượng Quantity New</v>
      </c>
      <c r="P16" s="2" t="str">
        <f>IFERROR(__xludf.DUMMYFUNCTION("""COMPUTED_VALUE"""),"#N/A")</f>
        <v>#N/A</v>
      </c>
      <c r="Q16" s="30" t="str">
        <f>IFERROR(__xludf.DUMMYFUNCTION("""COMPUTED_VALUE"""),"KHÔNG KHỚP")</f>
        <v>KHÔNG KHỚP</v>
      </c>
      <c r="R16" s="2"/>
      <c r="S16" s="2"/>
      <c r="T16" s="2"/>
      <c r="U16" s="2"/>
      <c r="V16" s="2"/>
      <c r="W16" s="2"/>
      <c r="X16" s="2"/>
      <c r="Y16" s="2"/>
    </row>
    <row r="17">
      <c r="A17" s="30">
        <f>IFERROR(__xludf.DUMMYFUNCTION("""COMPUTED_VALUE"""),14.0)</f>
        <v>14</v>
      </c>
      <c r="B17" s="39">
        <f>IFERROR(__xludf.DUMMYFUNCTION("""COMPUTED_VALUE"""),45887.0)</f>
        <v>45887</v>
      </c>
      <c r="C17" s="30">
        <f>IFERROR(__xludf.DUMMYFUNCTION("""COMPUTED_VALUE"""),1.0)</f>
        <v>1</v>
      </c>
      <c r="D17" s="30" t="str">
        <f>IFERROR(__xludf.DUMMYFUNCTION("""COMPUTED_VALUE"""),"CT MỚI")</f>
        <v>CT MỚI</v>
      </c>
      <c r="E17" s="30"/>
      <c r="F17" s="2"/>
      <c r="G17" s="2" t="str">
        <f>IFERROR(__xludf.DUMMYFUNCTION("""COMPUTED_VALUE"""),"HH3975")</f>
        <v>HH3975</v>
      </c>
      <c r="H17" s="2" t="str">
        <f>IFERROR(__xludf.DUMMYFUNCTION("""COMPUTED_VALUE"""),"15th Chuyên gia to trái")</f>
        <v>15th Chuyên gia to trái</v>
      </c>
      <c r="I17" s="2" t="str">
        <f>IFERROR(__xludf.DUMMYFUNCTION("""COMPUTED_VALUE"""),"#N/A")</f>
        <v>#N/A</v>
      </c>
      <c r="J17" s="2"/>
      <c r="K17" s="2"/>
      <c r="L17" s="2" t="str">
        <f>IFERROR(__xludf.DUMMYFUNCTION("""COMPUTED_VALUE"""),"A09070825")</f>
        <v>A09070825</v>
      </c>
      <c r="M17" s="2" t="str">
        <f>IFERROR(__xludf.DUMMYFUNCTION("""COMPUTED_VALUE"""),"TO TRÁI")</f>
        <v>TO TRÁI</v>
      </c>
      <c r="N17" s="2" t="str">
        <f>IFERROR(__xludf.DUMMYFUNCTION("""COMPUTED_VALUE"""),"11TT0017")</f>
        <v>11TT0017</v>
      </c>
      <c r="O17" s="2" t="str">
        <f>IFERROR(__xludf.DUMMYFUNCTION("""COMPUTED_VALUE"""),"Phân bón Vi lượng Quantity New")</f>
        <v>Phân bón Vi lượng Quantity New</v>
      </c>
      <c r="P17" s="2" t="str">
        <f>IFERROR(__xludf.DUMMYFUNCTION("""COMPUTED_VALUE"""),"#N/A")</f>
        <v>#N/A</v>
      </c>
      <c r="Q17" s="30" t="str">
        <f>IFERROR(__xludf.DUMMYFUNCTION("""COMPUTED_VALUE"""),"KHÔNG KHỚP")</f>
        <v>KHÔNG KHỚP</v>
      </c>
      <c r="R17" s="2"/>
      <c r="S17" s="2"/>
      <c r="T17" s="2"/>
      <c r="U17" s="2"/>
      <c r="V17" s="2"/>
      <c r="W17" s="2"/>
      <c r="X17" s="2"/>
      <c r="Y17" s="2"/>
    </row>
    <row r="18">
      <c r="A18" s="30">
        <f>IFERROR(__xludf.DUMMYFUNCTION("""COMPUTED_VALUE"""),15.0)</f>
        <v>15</v>
      </c>
      <c r="B18" s="39">
        <f>IFERROR(__xludf.DUMMYFUNCTION("""COMPUTED_VALUE"""),45888.0)</f>
        <v>45888</v>
      </c>
      <c r="C18" s="30">
        <f>IFERROR(__xludf.DUMMYFUNCTION("""COMPUTED_VALUE"""),1.0)</f>
        <v>1</v>
      </c>
      <c r="D18" s="30" t="str">
        <f>IFERROR(__xludf.DUMMYFUNCTION("""COMPUTED_VALUE"""),"CT MỚI")</f>
        <v>CT MỚI</v>
      </c>
      <c r="E18" s="30"/>
      <c r="F18" s="2"/>
      <c r="G18" s="2" t="str">
        <f>IFERROR(__xludf.DUMMYFUNCTION("""COMPUTED_VALUE"""),"NA0012V2")</f>
        <v>NA0012V2</v>
      </c>
      <c r="H18" s="2" t="str">
        <f>IFERROR(__xludf.DUMMYFUNCTION("""COMPUTED_VALUE"""),"Phụ gia NA0012V2")</f>
        <v>Phụ gia NA0012V2</v>
      </c>
      <c r="I18" s="2" t="str">
        <f>IFERROR(__xludf.DUMMYFUNCTION("""COMPUTED_VALUE"""),"#N/A")</f>
        <v>#N/A</v>
      </c>
      <c r="J18" s="2"/>
      <c r="K18" s="2"/>
      <c r="L18" s="2"/>
      <c r="M18" s="2" t="str">
        <f>IFERROR(__xludf.DUMMYFUNCTION("""COMPUTED_VALUE"""),"PHỤ GIA NA0012V2")</f>
        <v>PHỤ GIA NA0012V2</v>
      </c>
      <c r="N18" s="2" t="str">
        <f>IFERROR(__xludf.DUMMYFUNCTION("""COMPUTED_VALUE"""),"NA0012V2")</f>
        <v>NA0012V2</v>
      </c>
      <c r="O18" s="2"/>
      <c r="P18" s="2" t="str">
        <f>IFERROR(__xludf.DUMMYFUNCTION("""COMPUTED_VALUE"""),"#N/A")</f>
        <v>#N/A</v>
      </c>
      <c r="Q18" s="30" t="str">
        <f>IFERROR(__xludf.DUMMYFUNCTION("""COMPUTED_VALUE"""),"KHÔNG KHỚP")</f>
        <v>KHÔNG KHỚP</v>
      </c>
      <c r="R18" s="2"/>
      <c r="S18" s="2"/>
      <c r="T18" s="2"/>
      <c r="U18" s="2"/>
      <c r="V18" s="2"/>
      <c r="W18" s="2"/>
      <c r="X18" s="2"/>
      <c r="Y18" s="2"/>
    </row>
    <row r="19">
      <c r="A19" s="30">
        <f>IFERROR(__xludf.DUMMYFUNCTION("""COMPUTED_VALUE"""),16.0)</f>
        <v>16</v>
      </c>
      <c r="B19" s="39">
        <f>IFERROR(__xludf.DUMMYFUNCTION("""COMPUTED_VALUE"""),45888.0)</f>
        <v>45888</v>
      </c>
      <c r="C19" s="30">
        <f>IFERROR(__xludf.DUMMYFUNCTION("""COMPUTED_VALUE"""),1.0)</f>
        <v>1</v>
      </c>
      <c r="D19" s="30" t="str">
        <f>IFERROR(__xludf.DUMMYFUNCTION("""COMPUTED_VALUE"""),"CT MỚI")</f>
        <v>CT MỚI</v>
      </c>
      <c r="E19" s="30"/>
      <c r="F19" s="2"/>
      <c r="G19" s="2" t="str">
        <f>IFERROR(__xludf.DUMMYFUNCTION("""COMPUTED_VALUE"""),"HH3925")</f>
        <v>HH3925</v>
      </c>
      <c r="H19" s="2" t="str">
        <f>IFERROR(__xludf.DUMMYFUNCTION("""COMPUTED_VALUE"""),"GC - IV - 3925 - Cty Newtex - ĐÒNG TO BÔNG KẸO T7 (Dạng SC màu vàng nhạt) - 500ml - 40")</f>
        <v>GC - IV - 3925 - Cty Newtex - ĐÒNG TO BÔNG KẸO T7 (Dạng SC màu vàng nhạt) - 500ml - 40</v>
      </c>
      <c r="I19" s="2" t="str">
        <f>IFERROR(__xludf.DUMMYFUNCTION("""COMPUTED_VALUE"""),"#N/A")</f>
        <v>#N/A</v>
      </c>
      <c r="J19" s="2"/>
      <c r="K19" s="2"/>
      <c r="L19" s="2" t="str">
        <f>IFERROR(__xludf.DUMMYFUNCTION("""COMPUTED_VALUE"""),"A03260525")</f>
        <v>A03260525</v>
      </c>
      <c r="M19" s="2" t="str">
        <f>IFERROR(__xludf.DUMMYFUNCTION("""COMPUTED_VALUE"""),"TO ĐỒNG")</f>
        <v>TO ĐỒNG</v>
      </c>
      <c r="N19" s="2" t="str">
        <f>IFERROR(__xludf.DUMMYFUNCTION("""COMPUTED_VALUE"""),"03DD0017")</f>
        <v>03DD0017</v>
      </c>
      <c r="O19" s="2" t="str">
        <f>IFERROR(__xludf.DUMMYFUNCTION("""COMPUTED_VALUE"""),"Phân bón lá NPK-Vi lượng GNC 19")</f>
        <v>Phân bón lá NPK-Vi lượng GNC 19</v>
      </c>
      <c r="P19" s="2" t="str">
        <f>IFERROR(__xludf.DUMMYFUNCTION("""COMPUTED_VALUE"""),"#N/A")</f>
        <v>#N/A</v>
      </c>
      <c r="Q19" s="30" t="str">
        <f>IFERROR(__xludf.DUMMYFUNCTION("""COMPUTED_VALUE"""),"KHÔNG KHỚP")</f>
        <v>KHÔNG KHỚP</v>
      </c>
      <c r="R19" s="2"/>
      <c r="S19" s="2"/>
      <c r="T19" s="2"/>
      <c r="U19" s="2"/>
      <c r="V19" s="2"/>
      <c r="W19" s="2"/>
      <c r="X19" s="2"/>
      <c r="Y19" s="2"/>
    </row>
    <row r="20">
      <c r="A20" s="30">
        <f>IFERROR(__xludf.DUMMYFUNCTION("""COMPUTED_VALUE"""),17.0)</f>
        <v>17</v>
      </c>
      <c r="B20" s="39">
        <f>IFERROR(__xludf.DUMMYFUNCTION("""COMPUTED_VALUE"""),45887.0)</f>
        <v>45887</v>
      </c>
      <c r="C20" s="30">
        <f>IFERROR(__xludf.DUMMYFUNCTION("""COMPUTED_VALUE"""),1.0)</f>
        <v>1</v>
      </c>
      <c r="D20" s="30" t="str">
        <f>IFERROR(__xludf.DUMMYFUNCTION("""COMPUTED_VALUE"""),"CT MỚI")</f>
        <v>CT MỚI</v>
      </c>
      <c r="E20" s="30"/>
      <c r="F20" s="2"/>
      <c r="G20" s="2" t="str">
        <f>IFERROR(__xludf.DUMMYFUNCTION("""COMPUTED_VALUE"""),"HH3905")</f>
        <v>HH3905</v>
      </c>
      <c r="H20" s="2" t="str">
        <f>IFERROR(__xludf.DUMMYFUNCTION("""COMPUTED_VALUE"""),"IDA Global - I - 3905 - WINNER X2 (Nước đỏ cam) - 500ml - 40")</f>
        <v>IDA Global - I - 3905 - WINNER X2 (Nước đỏ cam) - 500ml - 40</v>
      </c>
      <c r="I20" s="2" t="str">
        <f>IFERROR(__xludf.DUMMYFUNCTION("""COMPUTED_VALUE"""),"#N/A")</f>
        <v>#N/A</v>
      </c>
      <c r="J20" s="2"/>
      <c r="K20" s="2"/>
      <c r="L20" s="2"/>
      <c r="M20" s="2" t="str">
        <f>IFERROR(__xludf.DUMMYFUNCTION("""COMPUTED_VALUE"""),"WINNER X2")</f>
        <v>WINNER X2</v>
      </c>
      <c r="N20" s="2" t="str">
        <f>IFERROR(__xludf.DUMMYFUNCTION("""COMPUTED_VALUE"""),"04VG0015")</f>
        <v>04VG0015</v>
      </c>
      <c r="O20" s="2" t="str">
        <f>IFERROR(__xludf.DUMMYFUNCTION("""COMPUTED_VALUE"""),"Phân bón NPK-Vi lượng MASSIVE-BLUE")</f>
        <v>Phân bón NPK-Vi lượng MASSIVE-BLUE</v>
      </c>
      <c r="P20" s="2" t="str">
        <f>IFERROR(__xludf.DUMMYFUNCTION("""COMPUTED_VALUE"""),"#N/A")</f>
        <v>#N/A</v>
      </c>
      <c r="Q20" s="30" t="str">
        <f>IFERROR(__xludf.DUMMYFUNCTION("""COMPUTED_VALUE"""),"KHÔNG KHỚP")</f>
        <v>KHÔNG KHỚP</v>
      </c>
      <c r="R20" s="2"/>
      <c r="S20" s="2"/>
      <c r="T20" s="2"/>
      <c r="U20" s="2"/>
      <c r="V20" s="2"/>
      <c r="W20" s="2"/>
      <c r="X20" s="2"/>
      <c r="Y20" s="2"/>
    </row>
    <row r="21">
      <c r="A21" s="30">
        <f>IFERROR(__xludf.DUMMYFUNCTION("""COMPUTED_VALUE"""),18.0)</f>
        <v>18</v>
      </c>
      <c r="B21" s="39">
        <f>IFERROR(__xludf.DUMMYFUNCTION("""COMPUTED_VALUE"""),45892.0)</f>
        <v>45892</v>
      </c>
      <c r="C21" s="30">
        <f>IFERROR(__xludf.DUMMYFUNCTION("""COMPUTED_VALUE"""),1.0)</f>
        <v>1</v>
      </c>
      <c r="D21" s="30" t="str">
        <f>IFERROR(__xludf.DUMMYFUNCTION("""COMPUTED_VALUE"""),"CT MỚI")</f>
        <v>CT MỚI</v>
      </c>
      <c r="E21" s="30"/>
      <c r="F21" s="2"/>
      <c r="G21" s="2" t="str">
        <f>IFERROR(__xludf.DUMMYFUNCTION("""COMPUTED_VALUE"""),"HH4012")</f>
        <v>HH4012</v>
      </c>
      <c r="H21" s="2" t="str">
        <f>IFERROR(__xludf.DUMMYFUNCTION("""COMPUTED_VALUE"""),"GC - V - 4012 - N2SBIO - N2 PHYTO PLUS (Nước nâu đen) - 500ml - 40")</f>
        <v>GC - V - 4012 - N2SBIO - N2 PHYTO PLUS (Nước nâu đen) - 500ml - 40</v>
      </c>
      <c r="I21" s="2" t="str">
        <f>IFERROR(__xludf.DUMMYFUNCTION("""COMPUTED_VALUE"""),"#N/A")</f>
        <v>#N/A</v>
      </c>
      <c r="J21" s="2"/>
      <c r="K21" s="2"/>
      <c r="L21" s="2" t="str">
        <f>IFERROR(__xludf.DUMMYFUNCTION("""COMPUTED_VALUE"""),"N05181224
X06121224")</f>
        <v>N05181224
X06121224</v>
      </c>
      <c r="M21" s="2" t="str">
        <f>IFERROR(__xludf.DUMMYFUNCTION("""COMPUTED_VALUE"""),"N2 PHYTO PLUS
DR.AB MAGSI")</f>
        <v>N2 PHYTO PLUS
DR.AB MAGSI</v>
      </c>
      <c r="N21" s="2" t="str">
        <f>IFERROR(__xludf.DUMMYFUNCTION("""COMPUTED_VALUE"""),"02CC0009V1")</f>
        <v>02CC0009V1</v>
      </c>
      <c r="O21" s="2" t="str">
        <f>IFERROR(__xludf.DUMMYFUNCTION("""COMPUTED_VALUE"""),"Phân bón Hữu cơ SH Agro Organic Fertilizer 20")</f>
        <v>Phân bón Hữu cơ SH Agro Organic Fertilizer 20</v>
      </c>
      <c r="P21" s="2" t="str">
        <f>IFERROR(__xludf.DUMMYFUNCTION("""COMPUTED_VALUE"""),"#N/A")</f>
        <v>#N/A</v>
      </c>
      <c r="Q21" s="30" t="str">
        <f>IFERROR(__xludf.DUMMYFUNCTION("""COMPUTED_VALUE"""),"KHÔNG KHỚP")</f>
        <v>KHÔNG KHỚP</v>
      </c>
      <c r="R21" s="2"/>
      <c r="S21" s="2"/>
      <c r="T21" s="2"/>
      <c r="U21" s="2"/>
      <c r="V21" s="2"/>
      <c r="W21" s="2"/>
      <c r="X21" s="2"/>
      <c r="Y21" s="2"/>
    </row>
    <row r="22">
      <c r="A22" s="30">
        <f>IFERROR(__xludf.DUMMYFUNCTION("""COMPUTED_VALUE"""),19.0)</f>
        <v>19</v>
      </c>
      <c r="B22" s="39">
        <f>IFERROR(__xludf.DUMMYFUNCTION("""COMPUTED_VALUE"""),45891.0)</f>
        <v>45891</v>
      </c>
      <c r="C22" s="30">
        <f>IFERROR(__xludf.DUMMYFUNCTION("""COMPUTED_VALUE"""),1.0)</f>
        <v>1</v>
      </c>
      <c r="D22" s="30" t="str">
        <f>IFERROR(__xludf.DUMMYFUNCTION("""COMPUTED_VALUE"""),"CT MỚI")</f>
        <v>CT MỚI</v>
      </c>
      <c r="E22" s="30"/>
      <c r="F22" s="2"/>
      <c r="G22" s="2" t="str">
        <f>IFERROR(__xludf.DUMMYFUNCTION("""COMPUTED_VALUE"""),"NA0012V1")</f>
        <v>NA0012V1</v>
      </c>
      <c r="H22" s="2" t="str">
        <f>IFERROR(__xludf.DUMMYFUNCTION("""COMPUTED_VALUE"""),"PHỤ GIA NA0012V1")</f>
        <v>PHỤ GIA NA0012V1</v>
      </c>
      <c r="I22" s="2" t="str">
        <f>IFERROR(__xludf.DUMMYFUNCTION("""COMPUTED_VALUE"""),"#N/A")</f>
        <v>#N/A</v>
      </c>
      <c r="J22" s="2"/>
      <c r="K22" s="2"/>
      <c r="L22" s="2"/>
      <c r="M22" s="2" t="str">
        <f>IFERROR(__xludf.DUMMYFUNCTION("""COMPUTED_VALUE"""),"PHỤ GIA NA0012V1")</f>
        <v>PHỤ GIA NA0012V1</v>
      </c>
      <c r="N22" s="2" t="str">
        <f>IFERROR(__xludf.DUMMYFUNCTION("""COMPUTED_VALUE"""),"NA0012V1")</f>
        <v>NA0012V1</v>
      </c>
      <c r="O22" s="2"/>
      <c r="P22" s="2" t="str">
        <f>IFERROR(__xludf.DUMMYFUNCTION("""COMPUTED_VALUE"""),"#N/A")</f>
        <v>#N/A</v>
      </c>
      <c r="Q22" s="30" t="str">
        <f>IFERROR(__xludf.DUMMYFUNCTION("""COMPUTED_VALUE"""),"KHÔNG KHỚP")</f>
        <v>KHÔNG KHỚP</v>
      </c>
      <c r="R22" s="2"/>
      <c r="S22" s="2"/>
      <c r="T22" s="2"/>
      <c r="U22" s="2"/>
      <c r="V22" s="2"/>
      <c r="W22" s="2"/>
      <c r="X22" s="2"/>
      <c r="Y22" s="2"/>
    </row>
    <row r="23">
      <c r="A23" s="30">
        <f>IFERROR(__xludf.DUMMYFUNCTION("""COMPUTED_VALUE"""),20.0)</f>
        <v>20</v>
      </c>
      <c r="B23" s="39">
        <f>IFERROR(__xludf.DUMMYFUNCTION("""COMPUTED_VALUE"""),45892.0)</f>
        <v>45892</v>
      </c>
      <c r="C23" s="30">
        <f>IFERROR(__xludf.DUMMYFUNCTION("""COMPUTED_VALUE"""),1.0)</f>
        <v>1</v>
      </c>
      <c r="D23" s="30" t="str">
        <f>IFERROR(__xludf.DUMMYFUNCTION("""COMPUTED_VALUE"""),"CT MỚI")</f>
        <v>CT MỚI</v>
      </c>
      <c r="E23" s="30"/>
      <c r="F23" s="2"/>
      <c r="G23" s="2" t="str">
        <f>IFERROR(__xludf.DUMMYFUNCTION("""COMPUTED_VALUE"""),"HH3850")</f>
        <v>HH3850</v>
      </c>
      <c r="H23" s="2" t="str">
        <f>IFERROR(__xludf.DUMMYFUNCTION("""COMPUTED_VALUE"""),"GC - IV - 3850 - NHP GROUP - ULTRA KEO GROW (Nước nâu đen) - 200ml - 40")</f>
        <v>GC - IV - 3850 - NHP GROUP - ULTRA KEO GROW (Nước nâu đen) - 200ml - 40</v>
      </c>
      <c r="I23" s="2" t="str">
        <f>IFERROR(__xludf.DUMMYFUNCTION("""COMPUTED_VALUE"""),"#N/A")</f>
        <v>#N/A</v>
      </c>
      <c r="J23" s="2"/>
      <c r="K23" s="2"/>
      <c r="L23" s="2" t="str">
        <f>IFERROR(__xludf.DUMMYFUNCTION("""COMPUTED_VALUE"""),"A04071024")</f>
        <v>A04071024</v>
      </c>
      <c r="M23" s="2" t="str">
        <f>IFERROR(__xludf.DUMMYFUNCTION("""COMPUTED_VALUE"""),"ULTRA KEO GROW")</f>
        <v>ULTRA KEO GROW</v>
      </c>
      <c r="N23" s="2" t="str">
        <f>IFERROR(__xludf.DUMMYFUNCTION("""COMPUTED_VALUE"""),"01RR0037V1")</f>
        <v>01RR0037V1</v>
      </c>
      <c r="O23" s="2" t="str">
        <f>IFERROR(__xludf.DUMMYFUNCTION("""COMPUTED_VALUE"""),"Phân bón Hữu cơ SH Agro Organic Fertilizer 20")</f>
        <v>Phân bón Hữu cơ SH Agro Organic Fertilizer 20</v>
      </c>
      <c r="P23" s="2" t="str">
        <f>IFERROR(__xludf.DUMMYFUNCTION("""COMPUTED_VALUE"""),"#N/A")</f>
        <v>#N/A</v>
      </c>
      <c r="Q23" s="30" t="str">
        <f>IFERROR(__xludf.DUMMYFUNCTION("""COMPUTED_VALUE"""),"KHÔNG KHỚP")</f>
        <v>KHÔNG KHỚP</v>
      </c>
      <c r="R23" s="2"/>
      <c r="S23" s="2"/>
      <c r="T23" s="2"/>
      <c r="U23" s="2"/>
      <c r="V23" s="2"/>
      <c r="W23" s="2"/>
      <c r="X23" s="2"/>
      <c r="Y23" s="2"/>
    </row>
    <row r="24">
      <c r="A24" s="30">
        <f>IFERROR(__xludf.DUMMYFUNCTION("""COMPUTED_VALUE"""),21.0)</f>
        <v>21</v>
      </c>
      <c r="B24" s="39">
        <f>IFERROR(__xludf.DUMMYFUNCTION("""COMPUTED_VALUE"""),45890.0)</f>
        <v>45890</v>
      </c>
      <c r="C24" s="30">
        <f>IFERROR(__xludf.DUMMYFUNCTION("""COMPUTED_VALUE"""),1.0)</f>
        <v>1</v>
      </c>
      <c r="D24" s="30" t="str">
        <f>IFERROR(__xludf.DUMMYFUNCTION("""COMPUTED_VALUE"""),"CT MỚI")</f>
        <v>CT MỚI</v>
      </c>
      <c r="E24" s="30"/>
      <c r="F24" s="2"/>
      <c r="G24" s="2" t="str">
        <f>IFERROR(__xludf.DUMMYFUNCTION("""COMPUTED_VALUE"""),"HH3968")</f>
        <v>HH3968</v>
      </c>
      <c r="H24" s="2" t="str">
        <f>IFERROR(__xludf.DUMMYFUNCTION("""COMPUTED_VALUE"""),"BAMBOO - VI - 3968 - BAMBOO 777 TE (chưa xác định) - 1L - 20")</f>
        <v>BAMBOO - VI - 3968 - BAMBOO 777 TE (chưa xác định) - 1L - 20</v>
      </c>
      <c r="I24" s="2" t="str">
        <f>IFERROR(__xludf.DUMMYFUNCTION("""COMPUTED_VALUE"""),"#N/A")</f>
        <v>#N/A</v>
      </c>
      <c r="J24" s="2"/>
      <c r="K24" s="2"/>
      <c r="L24" s="2" t="str">
        <f>IFERROR(__xludf.DUMMYFUNCTION("""COMPUTED_VALUE"""),"BB25040725")</f>
        <v>BB25040725</v>
      </c>
      <c r="M24" s="2" t="str">
        <f>IFERROR(__xludf.DUMMYFUNCTION("""COMPUTED_VALUE"""),"BAMBOO 777 TE")</f>
        <v>BAMBOO 777 TE</v>
      </c>
      <c r="N24" s="2" t="str">
        <f>IFERROR(__xludf.DUMMYFUNCTION("""COMPUTED_VALUE"""),"03DD0015")</f>
        <v>03DD0015</v>
      </c>
      <c r="O24" s="2" t="str">
        <f>IFERROR(__xludf.DUMMYFUNCTION("""COMPUTED_VALUE"""),"Phân bón lá NPK-Vi lượng GNC 19")</f>
        <v>Phân bón lá NPK-Vi lượng GNC 19</v>
      </c>
      <c r="P24" s="2" t="str">
        <f>IFERROR(__xludf.DUMMYFUNCTION("""COMPUTED_VALUE"""),"#N/A")</f>
        <v>#N/A</v>
      </c>
      <c r="Q24" s="30" t="str">
        <f>IFERROR(__xludf.DUMMYFUNCTION("""COMPUTED_VALUE"""),"KHÔNG KHỚP")</f>
        <v>KHÔNG KHỚP</v>
      </c>
      <c r="R24" s="2"/>
      <c r="S24" s="2"/>
      <c r="T24" s="2"/>
      <c r="U24" s="2"/>
      <c r="V24" s="2"/>
      <c r="W24" s="2"/>
      <c r="X24" s="2"/>
      <c r="Y24" s="2"/>
    </row>
    <row r="25">
      <c r="A25" s="30">
        <f>IFERROR(__xludf.DUMMYFUNCTION("""COMPUTED_VALUE"""),22.0)</f>
        <v>22</v>
      </c>
      <c r="B25" s="39">
        <f>IFERROR(__xludf.DUMMYFUNCTION("""COMPUTED_VALUE"""),45890.0)</f>
        <v>45890</v>
      </c>
      <c r="C25" s="30">
        <f>IFERROR(__xludf.DUMMYFUNCTION("""COMPUTED_VALUE"""),1.0)</f>
        <v>1</v>
      </c>
      <c r="D25" s="30" t="str">
        <f>IFERROR(__xludf.DUMMYFUNCTION("""COMPUTED_VALUE"""),"CT MỚI")</f>
        <v>CT MỚI</v>
      </c>
      <c r="E25" s="30"/>
      <c r="F25" s="2"/>
      <c r="G25" s="2" t="str">
        <f>IFERROR(__xludf.DUMMYFUNCTION("""COMPUTED_VALUE"""),"HH3966")</f>
        <v>HH3966</v>
      </c>
      <c r="H25" s="2" t="str">
        <f>IFERROR(__xludf.DUMMYFUNCTION("""COMPUTED_VALUE"""),"BAMBOO - VI - 3966 - BAMBOO 5.10.8 TE (chưa xác định) - 500ml - 40")</f>
        <v>BAMBOO - VI - 3966 - BAMBOO 5.10.8 TE (chưa xác định) - 500ml - 40</v>
      </c>
      <c r="I25" s="2" t="str">
        <f>IFERROR(__xludf.DUMMYFUNCTION("""COMPUTED_VALUE"""),"#N/A")</f>
        <v>#N/A</v>
      </c>
      <c r="J25" s="2"/>
      <c r="K25" s="2"/>
      <c r="L25" s="2" t="str">
        <f>IFERROR(__xludf.DUMMYFUNCTION("""COMPUTED_VALUE"""),"BB27040725")</f>
        <v>BB27040725</v>
      </c>
      <c r="M25" s="2" t="str">
        <f>IFERROR(__xludf.DUMMYFUNCTION("""COMPUTED_VALUE"""),"BAMBOO 5.10.8 TE")</f>
        <v>BAMBOO 5.10.8 TE</v>
      </c>
      <c r="N25" s="2" t="str">
        <f>IFERROR(__xludf.DUMMYFUNCTION("""COMPUTED_VALUE"""),"03DD0016")</f>
        <v>03DD0016</v>
      </c>
      <c r="O25" s="2" t="str">
        <f>IFERROR(__xludf.DUMMYFUNCTION("""COMPUTED_VALUE"""),"Phân bón hỗn hợp NPK GBUMPER 02")</f>
        <v>Phân bón hỗn hợp NPK GBUMPER 02</v>
      </c>
      <c r="P25" s="2" t="str">
        <f>IFERROR(__xludf.DUMMYFUNCTION("""COMPUTED_VALUE"""),"#N/A")</f>
        <v>#N/A</v>
      </c>
      <c r="Q25" s="30" t="str">
        <f>IFERROR(__xludf.DUMMYFUNCTION("""COMPUTED_VALUE"""),"KHÔNG KHỚP")</f>
        <v>KHÔNG KHỚP</v>
      </c>
      <c r="R25" s="2"/>
      <c r="S25" s="2"/>
      <c r="T25" s="2"/>
      <c r="U25" s="2"/>
      <c r="V25" s="2"/>
      <c r="W25" s="2"/>
      <c r="X25" s="2"/>
      <c r="Y25" s="2"/>
    </row>
    <row r="26">
      <c r="A26" s="30">
        <f>IFERROR(__xludf.DUMMYFUNCTION("""COMPUTED_VALUE"""),23.0)</f>
        <v>23</v>
      </c>
      <c r="B26" s="39">
        <f>IFERROR(__xludf.DUMMYFUNCTION("""COMPUTED_VALUE"""),45890.0)</f>
        <v>45890</v>
      </c>
      <c r="C26" s="30">
        <f>IFERROR(__xludf.DUMMYFUNCTION("""COMPUTED_VALUE"""),1.0)</f>
        <v>1</v>
      </c>
      <c r="D26" s="30" t="str">
        <f>IFERROR(__xludf.DUMMYFUNCTION("""COMPUTED_VALUE"""),"CT MỚI")</f>
        <v>CT MỚI</v>
      </c>
      <c r="E26" s="30"/>
      <c r="F26" s="2"/>
      <c r="G26" s="2" t="str">
        <f>IFERROR(__xludf.DUMMYFUNCTION("""COMPUTED_VALUE"""),"HH4017")</f>
        <v>HH4017</v>
      </c>
      <c r="H26" s="2" t="str">
        <f>IFERROR(__xludf.DUMMYFUNCTION("""COMPUTED_VALUE"""),"GC - II - 4017 - LOT AGC - Nguyễn Văn Hiệp - DR.H2 (Nước nâu đen) - 1L - 20")</f>
        <v>GC - II - 4017 - LOT AGC - Nguyễn Văn Hiệp - DR.H2 (Nước nâu đen) - 1L - 20</v>
      </c>
      <c r="I26" s="2" t="str">
        <f>IFERROR(__xludf.DUMMYFUNCTION("""COMPUTED_VALUE"""),"#N/A")</f>
        <v>#N/A</v>
      </c>
      <c r="J26" s="2"/>
      <c r="K26" s="2"/>
      <c r="L26" s="2" t="str">
        <f>IFERROR(__xludf.DUMMYFUNCTION("""COMPUTED_VALUE"""),"CHẶN ĐỌT DÒNG V1")</f>
        <v>CHẶN ĐỌT DÒNG V1</v>
      </c>
      <c r="M26" s="2" t="str">
        <f>IFERROR(__xludf.DUMMYFUNCTION("""COMPUTED_VALUE"""),"KODO STOP")</f>
        <v>KODO STOP</v>
      </c>
      <c r="N26" s="2" t="str">
        <f>IFERROR(__xludf.DUMMYFUNCTION("""COMPUTED_VALUE"""),"06CD0006")</f>
        <v>06CD0006</v>
      </c>
      <c r="O26" s="2" t="str">
        <f>IFERROR(__xludf.DUMMYFUNCTION("""COMPUTED_VALUE"""),"Phân bón Vi lượng Quantity New")</f>
        <v>Phân bón Vi lượng Quantity New</v>
      </c>
      <c r="P26" s="2" t="str">
        <f>IFERROR(__xludf.DUMMYFUNCTION("""COMPUTED_VALUE"""),"#N/A")</f>
        <v>#N/A</v>
      </c>
      <c r="Q26" s="30" t="str">
        <f>IFERROR(__xludf.DUMMYFUNCTION("""COMPUTED_VALUE"""),"KHÔNG KHỚP")</f>
        <v>KHÔNG KHỚP</v>
      </c>
      <c r="R26" s="2"/>
      <c r="S26" s="2"/>
      <c r="T26" s="2"/>
      <c r="U26" s="2"/>
      <c r="V26" s="2"/>
      <c r="W26" s="2"/>
      <c r="X26" s="2"/>
      <c r="Y26" s="2"/>
    </row>
    <row r="27">
      <c r="A27" s="30">
        <f>IFERROR(__xludf.DUMMYFUNCTION("""COMPUTED_VALUE"""),24.0)</f>
        <v>24</v>
      </c>
      <c r="B27" s="39">
        <f>IFERROR(__xludf.DUMMYFUNCTION("""COMPUTED_VALUE"""),45892.0)</f>
        <v>45892</v>
      </c>
      <c r="C27" s="30">
        <f>IFERROR(__xludf.DUMMYFUNCTION("""COMPUTED_VALUE"""),1.0)</f>
        <v>1</v>
      </c>
      <c r="D27" s="30" t="str">
        <f>IFERROR(__xludf.DUMMYFUNCTION("""COMPUTED_VALUE"""),"CT MỚI")</f>
        <v>CT MỚI</v>
      </c>
      <c r="E27" s="30"/>
      <c r="F27" s="2"/>
      <c r="G27" s="2" t="str">
        <f>IFERROR(__xludf.DUMMYFUNCTION("""COMPUTED_VALUE"""),"HH3877")</f>
        <v>HH3877</v>
      </c>
      <c r="H27" s="2" t="str">
        <f>IFERROR(__xludf.DUMMYFUNCTION("""COMPUTED_VALUE"""),"GC - II - 3877 - GC.NANOFISH - STOP 25 (nước nâu đen) - 1L - 20")</f>
        <v>GC - II - 3877 - GC.NANOFISH - STOP 25 (nước nâu đen) - 1L - 20</v>
      </c>
      <c r="I27" s="2" t="str">
        <f>IFERROR(__xludf.DUMMYFUNCTION("""COMPUTED_VALUE"""),"#N/A")</f>
        <v>#N/A</v>
      </c>
      <c r="J27" s="2"/>
      <c r="K27" s="2"/>
      <c r="L27" s="2" t="str">
        <f>IFERROR(__xludf.DUMMYFUNCTION("""COMPUTED_VALUE"""),"CHẶN ĐỌT DÒNG V3")</f>
        <v>CHẶN ĐỌT DÒNG V3</v>
      </c>
      <c r="M27" s="2" t="str">
        <f>IFERROR(__xludf.DUMMYFUNCTION("""COMPUTED_VALUE"""),"KODO STOP
SIÊU CHẶN ĐỌT
STOP 25
UNI STOP
UNI STOP 25")</f>
        <v>KODO STOP
SIÊU CHẶN ĐỌT
STOP 25
UNI STOP
UNI STOP 25</v>
      </c>
      <c r="N27" s="2" t="str">
        <f>IFERROR(__xludf.DUMMYFUNCTION("""COMPUTED_VALUE"""),"06CD0007")</f>
        <v>06CD0007</v>
      </c>
      <c r="O27" s="2" t="str">
        <f>IFERROR(__xludf.DUMMYFUNCTION("""COMPUTED_VALUE"""),"Phân bón Vi lượng Quantity New")</f>
        <v>Phân bón Vi lượng Quantity New</v>
      </c>
      <c r="P27" s="2" t="str">
        <f>IFERROR(__xludf.DUMMYFUNCTION("""COMPUTED_VALUE"""),"#N/A")</f>
        <v>#N/A</v>
      </c>
      <c r="Q27" s="30" t="str">
        <f>IFERROR(__xludf.DUMMYFUNCTION("""COMPUTED_VALUE"""),"KHÔNG KHỚP")</f>
        <v>KHÔNG KHỚP</v>
      </c>
      <c r="R27" s="2"/>
      <c r="S27" s="2"/>
      <c r="T27" s="2"/>
      <c r="U27" s="2"/>
      <c r="V27" s="2"/>
      <c r="W27" s="2"/>
      <c r="X27" s="2"/>
      <c r="Y27" s="2"/>
    </row>
    <row r="28">
      <c r="A28" s="30">
        <f>IFERROR(__xludf.DUMMYFUNCTION("""COMPUTED_VALUE"""),25.0)</f>
        <v>25</v>
      </c>
      <c r="B28" s="39">
        <f>IFERROR(__xludf.DUMMYFUNCTION("""COMPUTED_VALUE"""),45892.0)</f>
        <v>45892</v>
      </c>
      <c r="C28" s="30">
        <f>IFERROR(__xludf.DUMMYFUNCTION("""COMPUTED_VALUE"""),1.0)</f>
        <v>1</v>
      </c>
      <c r="D28" s="30" t="str">
        <f>IFERROR(__xludf.DUMMYFUNCTION("""COMPUTED_VALUE"""),"CT MỚI")</f>
        <v>CT MỚI</v>
      </c>
      <c r="E28" s="30"/>
      <c r="F28" s="2"/>
      <c r="G28" s="2" t="str">
        <f>IFERROR(__xludf.DUMMYFUNCTION("""COMPUTED_VALUE"""),"HH2641")</f>
        <v>HH2641</v>
      </c>
      <c r="H28" s="2" t="str">
        <f>IFERROR(__xludf.DUMMYFUNCTION("""COMPUTED_VALUE"""),"GC - IV - 2641 - GNH - SIÊU TẠO NỤ (Nước nâu đen) - 500ml - 40")</f>
        <v>GC - IV - 2641 - GNH - SIÊU TẠO NỤ (Nước nâu đen) - 500ml - 40</v>
      </c>
      <c r="I28" s="2" t="str">
        <f>IFERROR(__xludf.DUMMYFUNCTION("""COMPUTED_VALUE"""),"#N/A")</f>
        <v>#N/A</v>
      </c>
      <c r="J28" s="2"/>
      <c r="K28" s="2"/>
      <c r="L28" s="2" t="str">
        <f>IFERROR(__xludf.DUMMYFUNCTION("""COMPUTED_VALUE"""),"A05120724")</f>
        <v>A05120724</v>
      </c>
      <c r="M28" s="2" t="str">
        <f>IFERROR(__xludf.DUMMYFUNCTION("""COMPUTED_VALUE"""),"SIÊU TẠO NỤ")</f>
        <v>SIÊU TẠO NỤ</v>
      </c>
      <c r="N28" s="2" t="str">
        <f>IFERROR(__xludf.DUMMYFUNCTION("""COMPUTED_VALUE"""),"08TM0015")</f>
        <v>08TM0015</v>
      </c>
      <c r="O28" s="2" t="str">
        <f>IFERROR(__xludf.DUMMYFUNCTION("""COMPUTED_VALUE"""),"Phân bón Vi lượng AGAMA-SUPPORT")</f>
        <v>Phân bón Vi lượng AGAMA-SUPPORT</v>
      </c>
      <c r="P28" s="2" t="str">
        <f>IFERROR(__xludf.DUMMYFUNCTION("""COMPUTED_VALUE"""),"#N/A")</f>
        <v>#N/A</v>
      </c>
      <c r="Q28" s="30" t="str">
        <f>IFERROR(__xludf.DUMMYFUNCTION("""COMPUTED_VALUE"""),"KHÔNG KHỚP")</f>
        <v>KHÔNG KHỚP</v>
      </c>
      <c r="R28" s="2"/>
      <c r="S28" s="2"/>
      <c r="T28" s="2"/>
      <c r="U28" s="2"/>
      <c r="V28" s="2"/>
      <c r="W28" s="2"/>
      <c r="X28" s="2"/>
      <c r="Y28" s="2"/>
    </row>
    <row r="29">
      <c r="A29" s="30">
        <f>IFERROR(__xludf.DUMMYFUNCTION("""COMPUTED_VALUE"""),26.0)</f>
        <v>26</v>
      </c>
      <c r="B29" s="39">
        <f>IFERROR(__xludf.DUMMYFUNCTION("""COMPUTED_VALUE"""),45892.0)</f>
        <v>45892</v>
      </c>
      <c r="C29" s="30">
        <f>IFERROR(__xludf.DUMMYFUNCTION("""COMPUTED_VALUE"""),1.0)</f>
        <v>1</v>
      </c>
      <c r="D29" s="30" t="str">
        <f>IFERROR(__xludf.DUMMYFUNCTION("""COMPUTED_VALUE"""),"CT MỚI")</f>
        <v>CT MỚI</v>
      </c>
      <c r="E29" s="30"/>
      <c r="F29" s="2"/>
      <c r="G29" s="2" t="str">
        <f>IFERROR(__xludf.DUMMYFUNCTION("""COMPUTED_VALUE"""),"HH2748")</f>
        <v>HH2748</v>
      </c>
      <c r="H29" s="2" t="str">
        <f>IFERROR(__xludf.DUMMYFUNCTION("""COMPUTED_VALUE"""),"GC - II - 2748 - CSSX An Khang (A.Dinh) - TAK20 (Bột màu trắng) - 1kg - 20")</f>
        <v>GC - II - 2748 - CSSX An Khang (A.Dinh) - TAK20 (Bột màu trắng) - 1kg - 20</v>
      </c>
      <c r="I29" s="2" t="str">
        <f>IFERROR(__xludf.DUMMYFUNCTION("""COMPUTED_VALUE"""),"#N/A")</f>
        <v>#N/A</v>
      </c>
      <c r="J29" s="2"/>
      <c r="K29" s="2"/>
      <c r="L29" s="2" t="str">
        <f>IFERROR(__xludf.DUMMYFUNCTION("""COMPUTED_VALUE"""),"A05200824")</f>
        <v>A05200824</v>
      </c>
      <c r="M29" s="2" t="str">
        <f>IFERROR(__xludf.DUMMYFUNCTION("""COMPUTED_VALUE"""),"TAK20
STOP 247")</f>
        <v>TAK20
STOP 247</v>
      </c>
      <c r="N29" s="2" t="str">
        <f>IFERROR(__xludf.DUMMYFUNCTION("""COMPUTED_VALUE"""),"08TM0017")</f>
        <v>08TM0017</v>
      </c>
      <c r="O29" s="2" t="str">
        <f>IFERROR(__xludf.DUMMYFUNCTION("""COMPUTED_VALUE"""),"Phân bón Vi lượng AGAMA-BATFUNG")</f>
        <v>Phân bón Vi lượng AGAMA-BATFUNG</v>
      </c>
      <c r="P29" s="2" t="str">
        <f>IFERROR(__xludf.DUMMYFUNCTION("""COMPUTED_VALUE"""),"#N/A")</f>
        <v>#N/A</v>
      </c>
      <c r="Q29" s="30" t="str">
        <f>IFERROR(__xludf.DUMMYFUNCTION("""COMPUTED_VALUE"""),"KHÔNG KHỚP")</f>
        <v>KHÔNG KHỚP</v>
      </c>
      <c r="R29" s="2"/>
      <c r="S29" s="2"/>
      <c r="T29" s="2"/>
      <c r="U29" s="2"/>
      <c r="V29" s="2"/>
      <c r="W29" s="2"/>
      <c r="X29" s="2"/>
      <c r="Y29" s="2"/>
    </row>
    <row r="30">
      <c r="A30" s="30">
        <f>IFERROR(__xludf.DUMMYFUNCTION("""COMPUTED_VALUE"""),27.0)</f>
        <v>27</v>
      </c>
      <c r="B30" s="39">
        <f>IFERROR(__xludf.DUMMYFUNCTION("""COMPUTED_VALUE"""),45892.0)</f>
        <v>45892</v>
      </c>
      <c r="C30" s="30">
        <f>IFERROR(__xludf.DUMMYFUNCTION("""COMPUTED_VALUE"""),1.0)</f>
        <v>1</v>
      </c>
      <c r="D30" s="30" t="str">
        <f>IFERROR(__xludf.DUMMYFUNCTION("""COMPUTED_VALUE"""),"CT MỚI")</f>
        <v>CT MỚI</v>
      </c>
      <c r="E30" s="30"/>
      <c r="F30" s="2"/>
      <c r="G30" s="2" t="str">
        <f>IFERROR(__xludf.DUMMYFUNCTION("""COMPUTED_VALUE"""),"HH4006")</f>
        <v>HH4006</v>
      </c>
      <c r="H30" s="2" t="str">
        <f>IFERROR(__xludf.DUMMYFUNCTION("""COMPUTED_VALUE"""),"GC - II - 4006 - CSSX An Khang (A.Dinh) - TAK20 (Bột màu trắng) - 1kg - 20")</f>
        <v>GC - II - 4006 - CSSX An Khang (A.Dinh) - TAK20 (Bột màu trắng) - 1kg - 20</v>
      </c>
      <c r="I30" s="2" t="str">
        <f>IFERROR(__xludf.DUMMYFUNCTION("""COMPUTED_VALUE"""),"#N/A")</f>
        <v>#N/A</v>
      </c>
      <c r="J30" s="2"/>
      <c r="K30" s="2"/>
      <c r="L30" s="2" t="str">
        <f>IFERROR(__xludf.DUMMYFUNCTION("""COMPUTED_VALUE"""),"A05200824")</f>
        <v>A05200824</v>
      </c>
      <c r="M30" s="2" t="str">
        <f>IFERROR(__xludf.DUMMYFUNCTION("""COMPUTED_VALUE"""),"TAK20
STOP 247")</f>
        <v>TAK20
STOP 247</v>
      </c>
      <c r="N30" s="2" t="str">
        <f>IFERROR(__xludf.DUMMYFUNCTION("""COMPUTED_VALUE"""),"08TM0017")</f>
        <v>08TM0017</v>
      </c>
      <c r="O30" s="2" t="str">
        <f>IFERROR(__xludf.DUMMYFUNCTION("""COMPUTED_VALUE"""),"Phân bón Vi lượng AGAMA-BATFUNG")</f>
        <v>Phân bón Vi lượng AGAMA-BATFUNG</v>
      </c>
      <c r="P30" s="2" t="str">
        <f>IFERROR(__xludf.DUMMYFUNCTION("""COMPUTED_VALUE"""),"#N/A")</f>
        <v>#N/A</v>
      </c>
      <c r="Q30" s="30" t="str">
        <f>IFERROR(__xludf.DUMMYFUNCTION("""COMPUTED_VALUE"""),"KHÔNG KHỚP")</f>
        <v>KHÔNG KHỚP</v>
      </c>
      <c r="R30" s="2"/>
      <c r="S30" s="2"/>
      <c r="T30" s="2"/>
      <c r="U30" s="2"/>
      <c r="V30" s="2"/>
      <c r="W30" s="2"/>
      <c r="X30" s="2"/>
      <c r="Y30" s="2"/>
    </row>
    <row r="31">
      <c r="A31" s="30">
        <f>IFERROR(__xludf.DUMMYFUNCTION("""COMPUTED_VALUE"""),28.0)</f>
        <v>28</v>
      </c>
      <c r="B31" s="39">
        <f>IFERROR(__xludf.DUMMYFUNCTION("""COMPUTED_VALUE"""),45892.0)</f>
        <v>45892</v>
      </c>
      <c r="C31" s="30">
        <f>IFERROR(__xludf.DUMMYFUNCTION("""COMPUTED_VALUE"""),1.0)</f>
        <v>1</v>
      </c>
      <c r="D31" s="30" t="str">
        <f>IFERROR(__xludf.DUMMYFUNCTION("""COMPUTED_VALUE"""),"CT MỚI")</f>
        <v>CT MỚI</v>
      </c>
      <c r="E31" s="30"/>
      <c r="F31" s="2"/>
      <c r="G31" s="2" t="str">
        <f>IFERROR(__xludf.DUMMYFUNCTION("""COMPUTED_VALUE"""),"HH3851")</f>
        <v>HH3851</v>
      </c>
      <c r="H31" s="2" t="str">
        <f>IFERROR(__xludf.DUMMYFUNCTION("""COMPUTED_VALUE"""),"GC - IV - 3851 - NHP GROUP - ULTRA KEO CABOR (Nước vàng) - 200ml - 40")</f>
        <v>GC - IV - 3851 - NHP GROUP - ULTRA KEO CABOR (Nước vàng) - 200ml - 40</v>
      </c>
      <c r="I31" s="2" t="str">
        <f>IFERROR(__xludf.DUMMYFUNCTION("""COMPUTED_VALUE"""),"#N/A")</f>
        <v>#N/A</v>
      </c>
      <c r="J31" s="2"/>
      <c r="K31" s="2"/>
      <c r="L31" s="2"/>
      <c r="M31" s="2" t="str">
        <f>IFERROR(__xludf.DUMMYFUNCTION("""COMPUTED_VALUE"""),"ULTRA KEO CABOR
BOCAX
US.BOCAXX")</f>
        <v>ULTRA KEO CABOR
BOCAX
US.BOCAXX</v>
      </c>
      <c r="N31" s="2" t="str">
        <f>IFERROR(__xludf.DUMMYFUNCTION("""COMPUTED_VALUE"""),"10CR0001V1")</f>
        <v>10CR0001V1</v>
      </c>
      <c r="O31" s="2" t="str">
        <f>IFERROR(__xludf.DUMMYFUNCTION("""COMPUTED_VALUE"""),"Phân bón Vi lượng Run Fast")</f>
        <v>Phân bón Vi lượng Run Fast</v>
      </c>
      <c r="P31" s="2" t="str">
        <f>IFERROR(__xludf.DUMMYFUNCTION("""COMPUTED_VALUE"""),"#N/A")</f>
        <v>#N/A</v>
      </c>
      <c r="Q31" s="30" t="str">
        <f>IFERROR(__xludf.DUMMYFUNCTION("""COMPUTED_VALUE"""),"KHÔNG KHỚP")</f>
        <v>KHÔNG KHỚP</v>
      </c>
      <c r="R31" s="2"/>
      <c r="S31" s="2"/>
      <c r="T31" s="2"/>
      <c r="U31" s="2"/>
      <c r="V31" s="2"/>
      <c r="W31" s="2"/>
      <c r="X31" s="2"/>
      <c r="Y31" s="2"/>
    </row>
    <row r="32">
      <c r="A32" s="30">
        <f>IFERROR(__xludf.DUMMYFUNCTION("""COMPUTED_VALUE"""),29.0)</f>
        <v>29</v>
      </c>
      <c r="B32" s="39">
        <f>IFERROR(__xludf.DUMMYFUNCTION("""COMPUTED_VALUE"""),45892.0)</f>
        <v>45892</v>
      </c>
      <c r="C32" s="30">
        <f>IFERROR(__xludf.DUMMYFUNCTION("""COMPUTED_VALUE"""),1.0)</f>
        <v>1</v>
      </c>
      <c r="D32" s="30" t="str">
        <f>IFERROR(__xludf.DUMMYFUNCTION("""COMPUTED_VALUE"""),"CT MỚI")</f>
        <v>CT MỚI</v>
      </c>
      <c r="E32" s="30"/>
      <c r="F32" s="2"/>
      <c r="G32" s="2" t="str">
        <f>IFERROR(__xludf.DUMMYFUNCTION("""COMPUTED_VALUE"""),"HH3972")</f>
        <v>HH3972</v>
      </c>
      <c r="H32" s="2" t="str">
        <f>IFERROR(__xludf.DUMMYFUNCTION("""COMPUTED_VALUE"""),"GC - IV - 3972 - THÀNH CÔNG AGRI - ULTRA FRUIT (Gel nâu đen) - 20L - 1")</f>
        <v>GC - IV - 3972 - THÀNH CÔNG AGRI - ULTRA FRUIT (Gel nâu đen) - 20L - 1</v>
      </c>
      <c r="I32" s="2" t="str">
        <f>IFERROR(__xludf.DUMMYFUNCTION("""COMPUTED_VALUE"""),"#N/A")</f>
        <v>#N/A</v>
      </c>
      <c r="J32" s="2"/>
      <c r="K32" s="2"/>
      <c r="L32" s="2"/>
      <c r="M32" s="2" t="str">
        <f>IFERROR(__xludf.DUMMYFUNCTION("""COMPUTED_VALUE"""),"ULTRA FRUIT")</f>
        <v>ULTRA FRUIT</v>
      </c>
      <c r="N32" s="2" t="str">
        <f>IFERROR(__xludf.DUMMYFUNCTION("""COMPUTED_VALUE"""),"11TT0006V1")</f>
        <v>11TT0006V1</v>
      </c>
      <c r="O32" s="2" t="str">
        <f>IFERROR(__xludf.DUMMYFUNCTION("""COMPUTED_VALUE"""),"Phân bón Vi lượng Quantity New")</f>
        <v>Phân bón Vi lượng Quantity New</v>
      </c>
      <c r="P32" s="2" t="str">
        <f>IFERROR(__xludf.DUMMYFUNCTION("""COMPUTED_VALUE"""),"#N/A")</f>
        <v>#N/A</v>
      </c>
      <c r="Q32" s="30" t="str">
        <f>IFERROR(__xludf.DUMMYFUNCTION("""COMPUTED_VALUE"""),"KHÔNG KHỚP")</f>
        <v>KHÔNG KHỚP</v>
      </c>
      <c r="R32" s="2"/>
      <c r="S32" s="2"/>
      <c r="T32" s="2"/>
      <c r="U32" s="2"/>
      <c r="V32" s="2"/>
      <c r="W32" s="2"/>
      <c r="X32" s="2"/>
      <c r="Y32" s="2"/>
    </row>
    <row r="33">
      <c r="A33" s="30">
        <f>IFERROR(__xludf.DUMMYFUNCTION("""COMPUTED_VALUE"""),30.0)</f>
        <v>30</v>
      </c>
      <c r="B33" s="39">
        <f>IFERROR(__xludf.DUMMYFUNCTION("""COMPUTED_VALUE"""),45892.0)</f>
        <v>45892</v>
      </c>
      <c r="C33" s="30">
        <f>IFERROR(__xludf.DUMMYFUNCTION("""COMPUTED_VALUE"""),1.0)</f>
        <v>1</v>
      </c>
      <c r="D33" s="30" t="str">
        <f>IFERROR(__xludf.DUMMYFUNCTION("""COMPUTED_VALUE"""),"CT MỚI")</f>
        <v>CT MỚI</v>
      </c>
      <c r="E33" s="30"/>
      <c r="F33" s="2"/>
      <c r="G33" s="2" t="str">
        <f>IFERROR(__xludf.DUMMYFUNCTION("""COMPUTED_VALUE"""),"HH3121")</f>
        <v>HH3121</v>
      </c>
      <c r="H33" s="2" t="str">
        <f>IFERROR(__xludf.DUMMYFUNCTION("""COMPUTED_VALUE"""),"GC - IV - 3121 - NHP GROUP - ULTRAKEO ZN+ (Nước trắng sữa) - 200ml - 40")</f>
        <v>GC - IV - 3121 - NHP GROUP - ULTRAKEO ZN+ (Nước trắng sữa) - 200ml - 40</v>
      </c>
      <c r="I33" s="2" t="str">
        <f>IFERROR(__xludf.DUMMYFUNCTION("""COMPUTED_VALUE"""),"#N/A")</f>
        <v>#N/A</v>
      </c>
      <c r="J33" s="2"/>
      <c r="K33" s="2"/>
      <c r="L33" s="2" t="str">
        <f>IFERROR(__xludf.DUMMYFUNCTION("""COMPUTED_VALUE"""),"A02211024")</f>
        <v>A02211024</v>
      </c>
      <c r="M33" s="2" t="str">
        <f>IFERROR(__xludf.DUMMYFUNCTION("""COMPUTED_VALUE"""),"ULTRAKEO ZN+")</f>
        <v>ULTRAKEO ZN+</v>
      </c>
      <c r="N33" s="2" t="str">
        <f>IFERROR(__xludf.DUMMYFUNCTION("""COMPUTED_VALUE"""),"13XL0010")</f>
        <v>13XL0010</v>
      </c>
      <c r="O33" s="2" t="str">
        <f>IFERROR(__xludf.DUMMYFUNCTION("""COMPUTED_VALUE"""),"Phân bón Vi lượng MICKEY")</f>
        <v>Phân bón Vi lượng MICKEY</v>
      </c>
      <c r="P33" s="2" t="str">
        <f>IFERROR(__xludf.DUMMYFUNCTION("""COMPUTED_VALUE"""),"#N/A")</f>
        <v>#N/A</v>
      </c>
      <c r="Q33" s="30" t="str">
        <f>IFERROR(__xludf.DUMMYFUNCTION("""COMPUTED_VALUE"""),"KHÔNG KHỚP")</f>
        <v>KHÔNG KHỚP</v>
      </c>
      <c r="R33" s="2"/>
      <c r="S33" s="2"/>
      <c r="T33" s="2"/>
      <c r="U33" s="2"/>
      <c r="V33" s="2"/>
      <c r="W33" s="2"/>
      <c r="X33" s="2"/>
      <c r="Y33" s="2"/>
    </row>
    <row r="34">
      <c r="A34" s="30">
        <f>IFERROR(__xludf.DUMMYFUNCTION("""COMPUTED_VALUE"""),31.0)</f>
        <v>31</v>
      </c>
      <c r="B34" s="39">
        <f>IFERROR(__xludf.DUMMYFUNCTION("""COMPUTED_VALUE"""),45892.0)</f>
        <v>45892</v>
      </c>
      <c r="C34" s="30">
        <f>IFERROR(__xludf.DUMMYFUNCTION("""COMPUTED_VALUE"""),1.0)</f>
        <v>1</v>
      </c>
      <c r="D34" s="30" t="str">
        <f>IFERROR(__xludf.DUMMYFUNCTION("""COMPUTED_VALUE"""),"CT MỚI")</f>
        <v>CT MỚI</v>
      </c>
      <c r="E34" s="30"/>
      <c r="F34" s="2"/>
      <c r="G34" s="2" t="str">
        <f>IFERROR(__xludf.DUMMYFUNCTION("""COMPUTED_VALUE"""),"HH4005")</f>
        <v>HH4005</v>
      </c>
      <c r="H34" s="2" t="str">
        <f>IFERROR(__xludf.DUMMYFUNCTION("""COMPUTED_VALUE"""),"GC - IV - 4005 - AGRITECH - AGRI NOVA (Nước nâu đen) - 5L - 4")</f>
        <v>GC - IV - 4005 - AGRITECH - AGRI NOVA (Nước nâu đen) - 5L - 4</v>
      </c>
      <c r="I34" s="2" t="str">
        <f>IFERROR(__xludf.DUMMYFUNCTION("""COMPUTED_VALUE"""),"#N/A")</f>
        <v>#N/A</v>
      </c>
      <c r="J34" s="2"/>
      <c r="K34" s="2"/>
      <c r="L34" s="2" t="str">
        <f>IFERROR(__xludf.DUMMYFUNCTION("""COMPUTED_VALUE"""),"A01161024")</f>
        <v>A01161024</v>
      </c>
      <c r="M34" s="2" t="str">
        <f>IFERROR(__xludf.DUMMYFUNCTION("""COMPUTED_VALUE"""),"ORGA STRONG
AGRI BIO FISH
AGRI NOVA")</f>
        <v>ORGA STRONG
AGRI BIO FISH
AGRI NOVA</v>
      </c>
      <c r="N34" s="2" t="str">
        <f>IFERROR(__xludf.DUMMYFUNCTION("""COMPUTED_VALUE"""),"19DD0010V2")</f>
        <v>19DD0010V2</v>
      </c>
      <c r="O34" s="2" t="str">
        <f>IFERROR(__xludf.DUMMYFUNCTION("""COMPUTED_VALUE"""),"Phân bón Hữu cơ SH Agro Organic Fertilizer 20")</f>
        <v>Phân bón Hữu cơ SH Agro Organic Fertilizer 20</v>
      </c>
      <c r="P34" s="2" t="str">
        <f>IFERROR(__xludf.DUMMYFUNCTION("""COMPUTED_VALUE"""),"#N/A")</f>
        <v>#N/A</v>
      </c>
      <c r="Q34" s="30" t="str">
        <f>IFERROR(__xludf.DUMMYFUNCTION("""COMPUTED_VALUE"""),"KHÔNG KHỚP")</f>
        <v>KHÔNG KHỚP</v>
      </c>
      <c r="R34" s="2"/>
      <c r="S34" s="2"/>
      <c r="T34" s="2"/>
      <c r="U34" s="2"/>
      <c r="V34" s="2"/>
      <c r="W34" s="2"/>
      <c r="X34" s="2"/>
      <c r="Y34" s="2"/>
    </row>
    <row r="35">
      <c r="A35" s="30">
        <f>IFERROR(__xludf.DUMMYFUNCTION("""COMPUTED_VALUE"""),32.0)</f>
        <v>32</v>
      </c>
      <c r="B35" s="39">
        <f>IFERROR(__xludf.DUMMYFUNCTION("""COMPUTED_VALUE"""),45897.0)</f>
        <v>45897</v>
      </c>
      <c r="C35" s="30">
        <f>IFERROR(__xludf.DUMMYFUNCTION("""COMPUTED_VALUE"""),1.0)</f>
        <v>1</v>
      </c>
      <c r="D35" s="30" t="str">
        <f>IFERROR(__xludf.DUMMYFUNCTION("""COMPUTED_VALUE"""),"CT MỚI")</f>
        <v>CT MỚI</v>
      </c>
      <c r="E35" s="30"/>
      <c r="F35" s="2"/>
      <c r="G35" s="2" t="str">
        <f>IFERROR(__xludf.DUMMYFUNCTION("""COMPUTED_VALUE"""),"HH3903")</f>
        <v>HH3903</v>
      </c>
      <c r="H35" s="2" t="str">
        <f>IFERROR(__xludf.DUMMYFUNCTION("""COMPUTED_VALUE"""),"GC - V - 3903 - N2SBIO -  N2 MG ZN-70 (Nước xanh lá) - 500ml - 40")</f>
        <v>GC - V - 3903 - N2SBIO -  N2 MG ZN-70 (Nước xanh lá) - 500ml - 40</v>
      </c>
      <c r="I35" s="2" t="str">
        <f>IFERROR(__xludf.DUMMYFUNCTION("""COMPUTED_VALUE"""),"#N/A")</f>
        <v>#N/A</v>
      </c>
      <c r="J35" s="2"/>
      <c r="K35" s="2"/>
      <c r="L35" s="2" t="str">
        <f>IFERROR(__xludf.DUMMYFUNCTION("""COMPUTED_VALUE"""),"N01080825")</f>
        <v>N01080825</v>
      </c>
      <c r="M35" s="2" t="str">
        <f>IFERROR(__xludf.DUMMYFUNCTION("""COMPUTED_VALUE"""),"N2 MgZn-52")</f>
        <v>N2 MgZn-52</v>
      </c>
      <c r="N35" s="2" t="str">
        <f>IFERROR(__xludf.DUMMYFUNCTION("""COMPUTED_VALUE"""),"23GS0002")</f>
        <v>23GS0002</v>
      </c>
      <c r="O35" s="2" t="str">
        <f>IFERROR(__xludf.DUMMYFUNCTION("""COMPUTED_VALUE"""),"Phân bón vi lượng Phú Sĩ FJ-09 Kẽm Mg")</f>
        <v>Phân bón vi lượng Phú Sĩ FJ-09 Kẽm Mg</v>
      </c>
      <c r="P35" s="2" t="str">
        <f>IFERROR(__xludf.DUMMYFUNCTION("""COMPUTED_VALUE"""),"#N/A")</f>
        <v>#N/A</v>
      </c>
      <c r="Q35" s="30" t="str">
        <f>IFERROR(__xludf.DUMMYFUNCTION("""COMPUTED_VALUE"""),"KHÔNG KHỚP")</f>
        <v>KHÔNG KHỚP</v>
      </c>
      <c r="R35" s="2"/>
      <c r="S35" s="2"/>
      <c r="T35" s="2"/>
      <c r="U35" s="2"/>
      <c r="V35" s="2"/>
      <c r="W35" s="2"/>
      <c r="X35" s="2"/>
      <c r="Y35" s="2"/>
    </row>
    <row r="36">
      <c r="A36" s="30">
        <f>IFERROR(__xludf.DUMMYFUNCTION("""COMPUTED_VALUE"""),33.0)</f>
        <v>33</v>
      </c>
      <c r="B36" s="39">
        <f>IFERROR(__xludf.DUMMYFUNCTION("""COMPUTED_VALUE"""),45897.0)</f>
        <v>45897</v>
      </c>
      <c r="C36" s="30">
        <f>IFERROR(__xludf.DUMMYFUNCTION("""COMPUTED_VALUE"""),1.0)</f>
        <v>1</v>
      </c>
      <c r="D36" s="30" t="str">
        <f>IFERROR(__xludf.DUMMYFUNCTION("""COMPUTED_VALUE"""),"CT MỚI")</f>
        <v>CT MỚI</v>
      </c>
      <c r="E36" s="30"/>
      <c r="F36" s="2"/>
      <c r="G36" s="2" t="str">
        <f>IFERROR(__xludf.DUMMYFUNCTION("""COMPUTED_VALUE"""),"HH2899")</f>
        <v>HH2899</v>
      </c>
      <c r="H36" s="2" t="str">
        <f>IFERROR(__xludf.DUMMYFUNCTION("""COMPUTED_VALUE"""),"GC - IV - 2899 - CTY ASAHI NHẬT BẢN - ULTRA BUD (Nước nâu đen) - 22kg - 1")</f>
        <v>GC - IV - 2899 - CTY ASAHI NHẬT BẢN - ULTRA BUD (Nước nâu đen) - 22kg - 1</v>
      </c>
      <c r="I36" s="2" t="str">
        <f>IFERROR(__xludf.DUMMYFUNCTION("""COMPUTED_VALUE"""),"#N/A")</f>
        <v>#N/A</v>
      </c>
      <c r="J36" s="2"/>
      <c r="K36" s="2"/>
      <c r="L36" s="2" t="str">
        <f>IFERROR(__xludf.DUMMYFUNCTION("""COMPUTED_VALUE"""),"A06291024")</f>
        <v>A06291024</v>
      </c>
      <c r="M36" s="2" t="str">
        <f>IFERROR(__xludf.DUMMYFUNCTION("""COMPUTED_VALUE"""),"ULTRA BUD")</f>
        <v>ULTRA BUD</v>
      </c>
      <c r="N36" s="2" t="str">
        <f>IFERROR(__xludf.DUMMYFUNCTION("""COMPUTED_VALUE"""),"01RR0036V1")</f>
        <v>01RR0036V1</v>
      </c>
      <c r="O36" s="2" t="str">
        <f>IFERROR(__xludf.DUMMYFUNCTION("""COMPUTED_VALUE"""),"Phân bón Hữu cơ SH Agro Organic Fertilizer 20")</f>
        <v>Phân bón Hữu cơ SH Agro Organic Fertilizer 20</v>
      </c>
      <c r="P36" s="2" t="str">
        <f>IFERROR(__xludf.DUMMYFUNCTION("""COMPUTED_VALUE"""),"#N/A")</f>
        <v>#N/A</v>
      </c>
      <c r="Q36" s="30" t="str">
        <f>IFERROR(__xludf.DUMMYFUNCTION("""COMPUTED_VALUE"""),"KHÔNG KHỚP")</f>
        <v>KHÔNG KHỚP</v>
      </c>
      <c r="R36" s="2"/>
      <c r="S36" s="2"/>
      <c r="T36" s="2"/>
      <c r="U36" s="2"/>
      <c r="V36" s="2"/>
      <c r="W36" s="2"/>
      <c r="X36" s="2"/>
      <c r="Y36" s="2"/>
    </row>
    <row r="37">
      <c r="A37" s="30">
        <f>IFERROR(__xludf.DUMMYFUNCTION("""COMPUTED_VALUE"""),34.0)</f>
        <v>34</v>
      </c>
      <c r="B37" s="39">
        <f>IFERROR(__xludf.DUMMYFUNCTION("""COMPUTED_VALUE"""),45891.0)</f>
        <v>45891</v>
      </c>
      <c r="C37" s="30">
        <f>IFERROR(__xludf.DUMMYFUNCTION("""COMPUTED_VALUE"""),1.0)</f>
        <v>1</v>
      </c>
      <c r="D37" s="30" t="str">
        <f>IFERROR(__xludf.DUMMYFUNCTION("""COMPUTED_VALUE"""),"CT MỚI")</f>
        <v>CT MỚI</v>
      </c>
      <c r="E37" s="30"/>
      <c r="F37" s="2"/>
      <c r="G37" s="2" t="str">
        <f>IFERROR(__xludf.DUMMYFUNCTION("""COMPUTED_VALUE"""),"HH3912")</f>
        <v>HH3912</v>
      </c>
      <c r="H37" s="2" t="str">
        <f>IFERROR(__xludf.DUMMYFUNCTION("""COMPUTED_VALUE"""),"GC - IV - 3912 - Cty Hóa Nông Shino - SHINO MIX (Nước xanh lơ) - 50ml - 300")</f>
        <v>GC - IV - 3912 - Cty Hóa Nông Shino - SHINO MIX (Nước xanh lơ) - 50ml - 300</v>
      </c>
      <c r="I37" s="2" t="str">
        <f>IFERROR(__xludf.DUMMYFUNCTION("""COMPUTED_VALUE"""),"#N/A")</f>
        <v>#N/A</v>
      </c>
      <c r="J37" s="2"/>
      <c r="K37" s="2"/>
      <c r="L37" s="2" t="str">
        <f>IFERROR(__xludf.DUMMYFUNCTION("""COMPUTED_VALUE"""),"A07290725")</f>
        <v>A07290725</v>
      </c>
      <c r="M37" s="2" t="str">
        <f>IFERROR(__xludf.DUMMYFUNCTION("""COMPUTED_VALUE"""),"SHINOMIX -02")</f>
        <v>SHINOMIX -02</v>
      </c>
      <c r="N37" s="2" t="str">
        <f>IFERROR(__xludf.DUMMYFUNCTION("""COMPUTED_VALUE"""),"01RR0070")</f>
        <v>01RR0070</v>
      </c>
      <c r="O37" s="2" t="str">
        <f>IFERROR(__xludf.DUMMYFUNCTION("""COMPUTED_VALUE"""),"Phân bón lá NPK-Vi lượng GNC 19")</f>
        <v>Phân bón lá NPK-Vi lượng GNC 19</v>
      </c>
      <c r="P37" s="2" t="str">
        <f>IFERROR(__xludf.DUMMYFUNCTION("""COMPUTED_VALUE"""),"#N/A")</f>
        <v>#N/A</v>
      </c>
      <c r="Q37" s="30" t="str">
        <f>IFERROR(__xludf.DUMMYFUNCTION("""COMPUTED_VALUE"""),"KHÔNG KHỚP")</f>
        <v>KHÔNG KHỚP</v>
      </c>
      <c r="R37" s="2"/>
      <c r="S37" s="2"/>
      <c r="T37" s="2"/>
      <c r="U37" s="2"/>
      <c r="V37" s="2"/>
      <c r="W37" s="2"/>
      <c r="X37" s="2"/>
      <c r="Y37" s="2"/>
    </row>
    <row r="38">
      <c r="A38" s="30">
        <f>IFERROR(__xludf.DUMMYFUNCTION("""COMPUTED_VALUE"""),35.0)</f>
        <v>35</v>
      </c>
      <c r="B38" s="39">
        <f>IFERROR(__xludf.DUMMYFUNCTION("""COMPUTED_VALUE"""),45897.0)</f>
        <v>45897</v>
      </c>
      <c r="C38" s="30">
        <f>IFERROR(__xludf.DUMMYFUNCTION("""COMPUTED_VALUE"""),1.0)</f>
        <v>1</v>
      </c>
      <c r="D38" s="30" t="str">
        <f>IFERROR(__xludf.DUMMYFUNCTION("""COMPUTED_VALUE"""),"CT MỚI")</f>
        <v>CT MỚI</v>
      </c>
      <c r="E38" s="30"/>
      <c r="F38" s="2"/>
      <c r="G38" s="2" t="str">
        <f>IFERROR(__xludf.DUMMYFUNCTION("""COMPUTED_VALUE"""),"HH3967")</f>
        <v>HH3967</v>
      </c>
      <c r="H38" s="2" t="str">
        <f>IFERROR(__xludf.DUMMYFUNCTION("""COMPUTED_VALUE"""),"BAMBOO - VI - 3967 - BAMBOO 10.10.20 TE (chưa xác định) - 500ml - 40")</f>
        <v>BAMBOO - VI - 3967 - BAMBOO 10.10.20 TE (chưa xác định) - 500ml - 40</v>
      </c>
      <c r="I38" s="2" t="str">
        <f>IFERROR(__xludf.DUMMYFUNCTION("""COMPUTED_VALUE"""),"#N/A")</f>
        <v>#N/A</v>
      </c>
      <c r="J38" s="2"/>
      <c r="K38" s="2"/>
      <c r="L38" s="2" t="str">
        <f>IFERROR(__xludf.DUMMYFUNCTION("""COMPUTED_VALUE"""),"BB28040725")</f>
        <v>BB28040725</v>
      </c>
      <c r="M38" s="2" t="str">
        <f>IFERROR(__xludf.DUMMYFUNCTION("""COMPUTED_VALUE"""),"BB 10 - 10 - 20 TE")</f>
        <v>BB 10 - 10 - 20 TE</v>
      </c>
      <c r="N38" s="2" t="str">
        <f>IFERROR(__xludf.DUMMYFUNCTION("""COMPUTED_VALUE"""),"04VG0038")</f>
        <v>04VG0038</v>
      </c>
      <c r="O38" s="2" t="str">
        <f>IFERROR(__xludf.DUMMYFUNCTION("""COMPUTED_VALUE"""),"Phân bón hỗn hợp NPK GNC 102")</f>
        <v>Phân bón hỗn hợp NPK GNC 102</v>
      </c>
      <c r="P38" s="2" t="str">
        <f>IFERROR(__xludf.DUMMYFUNCTION("""COMPUTED_VALUE"""),"#N/A")</f>
        <v>#N/A</v>
      </c>
      <c r="Q38" s="30" t="str">
        <f>IFERROR(__xludf.DUMMYFUNCTION("""COMPUTED_VALUE"""),"KHÔNG KHỚP")</f>
        <v>KHÔNG KHỚP</v>
      </c>
      <c r="R38" s="2"/>
      <c r="S38" s="2"/>
      <c r="T38" s="2"/>
      <c r="U38" s="2"/>
      <c r="V38" s="2"/>
      <c r="W38" s="2"/>
      <c r="X38" s="2"/>
      <c r="Y38" s="2"/>
    </row>
    <row r="39">
      <c r="A39" s="30">
        <f>IFERROR(__xludf.DUMMYFUNCTION("""COMPUTED_VALUE"""),36.0)</f>
        <v>36</v>
      </c>
      <c r="B39" s="39">
        <f>IFERROR(__xludf.DUMMYFUNCTION("""COMPUTED_VALUE"""),45892.0)</f>
        <v>45892</v>
      </c>
      <c r="C39" s="30">
        <f>IFERROR(__xludf.DUMMYFUNCTION("""COMPUTED_VALUE"""),1.0)</f>
        <v>1</v>
      </c>
      <c r="D39" s="30" t="str">
        <f>IFERROR(__xludf.DUMMYFUNCTION("""COMPUTED_VALUE"""),"CT MỚI")</f>
        <v>CT MỚI</v>
      </c>
      <c r="E39" s="30"/>
      <c r="F39" s="2"/>
      <c r="G39" s="2" t="str">
        <f>IFERROR(__xludf.DUMMYFUNCTION("""COMPUTED_VALUE"""),"HH3926")</f>
        <v>HH3926</v>
      </c>
      <c r="H39" s="2" t="str">
        <f>IFERROR(__xludf.DUMMYFUNCTION("""COMPUTED_VALUE"""),"GC - IV - 3926 - Cty Newtex - KẼM XANH T5 (Dạng SC Xanh dương) - 500ml - 40")</f>
        <v>GC - IV - 3926 - Cty Newtex - KẼM XANH T5 (Dạng SC Xanh dương) - 500ml - 40</v>
      </c>
      <c r="I39" s="2" t="str">
        <f>IFERROR(__xludf.DUMMYFUNCTION("""COMPUTED_VALUE"""),"#N/A")</f>
        <v>#N/A</v>
      </c>
      <c r="J39" s="2"/>
      <c r="K39" s="2"/>
      <c r="L39" s="2" t="str">
        <f>IFERROR(__xludf.DUMMYFUNCTION("""COMPUTED_VALUE"""),"A06200825")</f>
        <v>A06200825</v>
      </c>
      <c r="M39" s="2" t="str">
        <f>IFERROR(__xludf.DUMMYFUNCTION("""COMPUTED_VALUE"""),"AMINO MAGIE KẼM CAO CẤP 01")</f>
        <v>AMINO MAGIE KẼM CAO CẤP 01</v>
      </c>
      <c r="N39" s="2" t="str">
        <f>IFERROR(__xludf.DUMMYFUNCTION("""COMPUTED_VALUE"""),"23GS0010")</f>
        <v>23GS0010</v>
      </c>
      <c r="O39" s="2" t="str">
        <f>IFERROR(__xludf.DUMMYFUNCTION("""COMPUTED_VALUE"""),"Phân bón vi lượng Phú Sĩ FJ-09 Kẽm Mg")</f>
        <v>Phân bón vi lượng Phú Sĩ FJ-09 Kẽm Mg</v>
      </c>
      <c r="P39" s="2" t="str">
        <f>IFERROR(__xludf.DUMMYFUNCTION("""COMPUTED_VALUE"""),"#N/A")</f>
        <v>#N/A</v>
      </c>
      <c r="Q39" s="30" t="str">
        <f>IFERROR(__xludf.DUMMYFUNCTION("""COMPUTED_VALUE"""),"KHÔNG KHỚP")</f>
        <v>KHÔNG KHỚP</v>
      </c>
      <c r="R39" s="2"/>
      <c r="S39" s="2"/>
      <c r="T39" s="2"/>
      <c r="U39" s="2"/>
      <c r="V39" s="2"/>
      <c r="W39" s="2"/>
      <c r="X39" s="2"/>
      <c r="Y39" s="2"/>
    </row>
    <row r="40">
      <c r="A40" s="30">
        <f>IFERROR(__xludf.DUMMYFUNCTION("""COMPUTED_VALUE"""),37.0)</f>
        <v>37</v>
      </c>
      <c r="B40" s="39">
        <f>IFERROR(__xludf.DUMMYFUNCTION("""COMPUTED_VALUE"""),45892.0)</f>
        <v>45892</v>
      </c>
      <c r="C40" s="30">
        <f>IFERROR(__xludf.DUMMYFUNCTION("""COMPUTED_VALUE"""),1.0)</f>
        <v>1</v>
      </c>
      <c r="D40" s="30" t="str">
        <f>IFERROR(__xludf.DUMMYFUNCTION("""COMPUTED_VALUE"""),"CT MỚI")</f>
        <v>CT MỚI</v>
      </c>
      <c r="E40" s="30"/>
      <c r="F40" s="2"/>
      <c r="G40" s="2" t="str">
        <f>IFERROR(__xludf.DUMMYFUNCTION("""COMPUTED_VALUE"""),"HH4010")</f>
        <v>HH4010</v>
      </c>
      <c r="H40" s="2" t="str">
        <f>IFERROR(__xludf.DUMMYFUNCTION("""COMPUTED_VALUE"""),"GC - IV - 4010 - AGRITECH HÀ LAN - Phân bón hữu cơ AGRITECH HL CANXI BOZN (Dạng SC - Xanh dương) - 500ml - 40")</f>
        <v>GC - IV - 4010 - AGRITECH HÀ LAN - Phân bón hữu cơ AGRITECH HL CANXI BOZN (Dạng SC - Xanh dương) - 500ml - 40</v>
      </c>
      <c r="I40" s="2" t="str">
        <f>IFERROR(__xludf.DUMMYFUNCTION("""COMPUTED_VALUE"""),"#N/A")</f>
        <v>#N/A</v>
      </c>
      <c r="J40" s="2"/>
      <c r="K40" s="2"/>
      <c r="L40" s="2" t="str">
        <f>IFERROR(__xludf.DUMMYFUNCTION("""COMPUTED_VALUE"""),"A01140725")</f>
        <v>A01140725</v>
      </c>
      <c r="M40" s="2" t="str">
        <f>IFERROR(__xludf.DUMMYFUNCTION("""COMPUTED_VALUE"""),"Canxibo Agritech Hà Lan")</f>
        <v>Canxibo Agritech Hà Lan</v>
      </c>
      <c r="N40" s="2" t="str">
        <f>IFERROR(__xludf.DUMMYFUNCTION("""COMPUTED_VALUE"""),"10CR0025V2")</f>
        <v>10CR0025V2</v>
      </c>
      <c r="O40" s="2" t="str">
        <f>IFERROR(__xludf.DUMMYFUNCTION("""COMPUTED_VALUE"""),"Phân bón Hữu cơ AGRITECH HL CANXI BOZN")</f>
        <v>Phân bón Hữu cơ AGRITECH HL CANXI BOZN</v>
      </c>
      <c r="P40" s="2" t="str">
        <f>IFERROR(__xludf.DUMMYFUNCTION("""COMPUTED_VALUE"""),"#N/A")</f>
        <v>#N/A</v>
      </c>
      <c r="Q40" s="30" t="str">
        <f>IFERROR(__xludf.DUMMYFUNCTION("""COMPUTED_VALUE"""),"KHÔNG KHỚP")</f>
        <v>KHÔNG KHỚP</v>
      </c>
      <c r="R40" s="2"/>
      <c r="S40" s="2"/>
      <c r="T40" s="2"/>
      <c r="U40" s="2"/>
      <c r="V40" s="2"/>
      <c r="W40" s="2"/>
      <c r="X40" s="2"/>
      <c r="Y40" s="2"/>
    </row>
    <row r="41">
      <c r="A41" s="30">
        <f>IFERROR(__xludf.DUMMYFUNCTION("""COMPUTED_VALUE"""),38.0)</f>
        <v>38</v>
      </c>
      <c r="B41" s="39">
        <f>IFERROR(__xludf.DUMMYFUNCTION("""COMPUTED_VALUE"""),45894.0)</f>
        <v>45894</v>
      </c>
      <c r="C41" s="30">
        <f>IFERROR(__xludf.DUMMYFUNCTION("""COMPUTED_VALUE"""),1.0)</f>
        <v>1</v>
      </c>
      <c r="D41" s="30" t="str">
        <f>IFERROR(__xludf.DUMMYFUNCTION("""COMPUTED_VALUE"""),"CT MỚI")</f>
        <v>CT MỚI</v>
      </c>
      <c r="E41" s="30"/>
      <c r="F41" s="2"/>
      <c r="G41" s="2" t="str">
        <f>IFERROR(__xludf.DUMMYFUNCTION("""COMPUTED_VALUE"""),"HH3031")</f>
        <v>HH3031</v>
      </c>
      <c r="H41" s="2" t="str">
        <f>IFERROR(__xludf.DUMMYFUNCTION("""COMPUTED_VALUE"""),"GC - IV - 3031 - AGRITECH - NUTI ROOTS 2 USA  - 10kg - 1")</f>
        <v>GC - IV - 3031 - AGRITECH - NUTI ROOTS 2 USA  - 10kg - 1</v>
      </c>
      <c r="I41" s="2" t="str">
        <f>IFERROR(__xludf.DUMMYFUNCTION("""COMPUTED_VALUE"""),"#N/A")</f>
        <v>#N/A</v>
      </c>
      <c r="J41" s="2"/>
      <c r="K41" s="2"/>
      <c r="L41" s="2" t="str">
        <f>IFERROR(__xludf.DUMMYFUNCTION("""COMPUTED_VALUE"""),"A05101224")</f>
        <v>A05101224</v>
      </c>
      <c r="M41" s="2" t="str">
        <f>IFERROR(__xludf.DUMMYFUNCTION("""COMPUTED_VALUE"""),"NUTI ROOTS 2 USA")</f>
        <v>NUTI ROOTS 2 USA</v>
      </c>
      <c r="N41" s="2" t="str">
        <f>IFERROR(__xludf.DUMMYFUNCTION("""COMPUTED_VALUE"""),"01RR0059V1")</f>
        <v>01RR0059V1</v>
      </c>
      <c r="O41" s="2" t="str">
        <f>IFERROR(__xludf.DUMMYFUNCTION("""COMPUTED_VALUE"""),"Phân bón Hữu cơ sinh học Nam Kinh 02")</f>
        <v>Phân bón Hữu cơ sinh học Nam Kinh 02</v>
      </c>
      <c r="P41" s="2" t="str">
        <f>IFERROR(__xludf.DUMMYFUNCTION("""COMPUTED_VALUE"""),"#N/A")</f>
        <v>#N/A</v>
      </c>
      <c r="Q41" s="30" t="str">
        <f>IFERROR(__xludf.DUMMYFUNCTION("""COMPUTED_VALUE"""),"KHÔNG KHỚP")</f>
        <v>KHÔNG KHỚP</v>
      </c>
      <c r="R41" s="2"/>
      <c r="S41" s="2"/>
      <c r="T41" s="2"/>
      <c r="U41" s="2"/>
      <c r="V41" s="2"/>
      <c r="W41" s="2"/>
      <c r="X41" s="2"/>
      <c r="Y41" s="2"/>
    </row>
    <row r="42">
      <c r="A42" s="30">
        <f>IFERROR(__xludf.DUMMYFUNCTION("""COMPUTED_VALUE"""),39.0)</f>
        <v>39</v>
      </c>
      <c r="B42" s="39" t="str">
        <f>IFERROR(__xludf.DUMMYFUNCTION("""COMPUTED_VALUE"""),"")</f>
        <v/>
      </c>
      <c r="C42" s="30">
        <f>IFERROR(__xludf.DUMMYFUNCTION("""COMPUTED_VALUE"""),2.0)</f>
        <v>2</v>
      </c>
      <c r="D42" s="30" t="str">
        <f>IFERROR(__xludf.DUMMYFUNCTION("""COMPUTED_VALUE"""),"CT XỬ LÝ LỖI")</f>
        <v>CT XỬ LÝ LỖI</v>
      </c>
      <c r="E42" s="30"/>
      <c r="F42" s="2"/>
      <c r="G42" s="2" t="str">
        <f>IFERROR(__xludf.DUMMYFUNCTION("""COMPUTED_VALUE"""),"HH3925")</f>
        <v>HH3925</v>
      </c>
      <c r="H42" s="2" t="str">
        <f>IFERROR(__xludf.DUMMYFUNCTION("""COMPUTED_VALUE"""),"GC - IV - 3925 - Cty Newtex - ĐÒNG TO BÔNG KẸO T7 (Dạng SC màu vàng nhạt) - 500ml - 40")</f>
        <v>GC - IV - 3925 - Cty Newtex - ĐÒNG TO BÔNG KẸO T7 (Dạng SC màu vàng nhạt) - 500ml - 40</v>
      </c>
      <c r="I42" s="2" t="str">
        <f>IFERROR(__xludf.DUMMYFUNCTION("""COMPUTED_VALUE"""),"#N/A")</f>
        <v>#N/A</v>
      </c>
      <c r="J42" s="2"/>
      <c r="K42" s="2"/>
      <c r="L42" s="2" t="str">
        <f>IFERROR(__xludf.DUMMYFUNCTION("""COMPUTED_VALUE"""),"")</f>
        <v/>
      </c>
      <c r="M42" s="2" t="str">
        <f>IFERROR(__xludf.DUMMYFUNCTION("""COMPUTED_VALUE"""),"")</f>
        <v/>
      </c>
      <c r="N42" s="2" t="str">
        <f>IFERROR(__xludf.DUMMYFUNCTION("""COMPUTED_VALUE"""),"03DD0017-56082501")</f>
        <v>03DD0017-56082501</v>
      </c>
      <c r="O42" s="2" t="str">
        <f>IFERROR(__xludf.DUMMYFUNCTION("""COMPUTED_VALUE"""),"")</f>
        <v/>
      </c>
      <c r="P42" s="2" t="str">
        <f>IFERROR(__xludf.DUMMYFUNCTION("""COMPUTED_VALUE"""),"#N/A")</f>
        <v>#N/A</v>
      </c>
      <c r="Q42" s="30" t="str">
        <f>IFERROR(__xludf.DUMMYFUNCTION("""COMPUTED_VALUE"""),"KHÔNG KHỚP")</f>
        <v>KHÔNG KHỚP</v>
      </c>
      <c r="R42" s="2"/>
      <c r="S42" s="2"/>
      <c r="T42" s="2"/>
      <c r="U42" s="2"/>
      <c r="V42" s="2"/>
      <c r="W42" s="2"/>
      <c r="X42" s="2"/>
      <c r="Y42" s="2"/>
    </row>
    <row r="43">
      <c r="A43" s="30">
        <f>IFERROR(__xludf.DUMMYFUNCTION("""COMPUTED_VALUE"""),40.0)</f>
        <v>40</v>
      </c>
      <c r="B43" s="39" t="str">
        <f>IFERROR(__xludf.DUMMYFUNCTION("""COMPUTED_VALUE"""),"")</f>
        <v/>
      </c>
      <c r="C43" s="30">
        <f>IFERROR(__xludf.DUMMYFUNCTION("""COMPUTED_VALUE"""),2.0)</f>
        <v>2</v>
      </c>
      <c r="D43" s="30" t="str">
        <f>IFERROR(__xludf.DUMMYFUNCTION("""COMPUTED_VALUE"""),"CT XỬ LÝ LỖI")</f>
        <v>CT XỬ LÝ LỖI</v>
      </c>
      <c r="E43" s="30"/>
      <c r="F43" s="2"/>
      <c r="G43" s="2" t="str">
        <f>IFERROR(__xludf.DUMMYFUNCTION("""COMPUTED_VALUE"""),"HH3924")</f>
        <v>HH3924</v>
      </c>
      <c r="H43" s="2" t="str">
        <f>IFERROR(__xludf.DUMMYFUNCTION("""COMPUTED_VALUE"""),"BAMBOO MG KẼM")</f>
        <v>BAMBOO MG KẼM</v>
      </c>
      <c r="I43" s="2" t="str">
        <f>IFERROR(__xludf.DUMMYFUNCTION("""COMPUTED_VALUE"""),"#N/A")</f>
        <v>#N/A</v>
      </c>
      <c r="J43" s="2"/>
      <c r="K43" s="2"/>
      <c r="L43" s="2" t="str">
        <f>IFERROR(__xludf.DUMMYFUNCTION("""COMPUTED_VALUE"""),"")</f>
        <v/>
      </c>
      <c r="M43" s="2" t="str">
        <f>IFERROR(__xludf.DUMMYFUNCTION("""COMPUTED_VALUE"""),"")</f>
        <v/>
      </c>
      <c r="N43" s="2" t="str">
        <f>IFERROR(__xludf.DUMMYFUNCTION("""COMPUTED_VALUE"""),"13XL0017-430825")</f>
        <v>13XL0017-430825</v>
      </c>
      <c r="O43" s="2" t="str">
        <f>IFERROR(__xludf.DUMMYFUNCTION("""COMPUTED_VALUE"""),"")</f>
        <v/>
      </c>
      <c r="P43" s="2" t="str">
        <f>IFERROR(__xludf.DUMMYFUNCTION("""COMPUTED_VALUE"""),"#N/A")</f>
        <v>#N/A</v>
      </c>
      <c r="Q43" s="30" t="str">
        <f>IFERROR(__xludf.DUMMYFUNCTION("""COMPUTED_VALUE"""),"KHÔNG KHỚP")</f>
        <v>KHÔNG KHỚP</v>
      </c>
      <c r="R43" s="2"/>
      <c r="S43" s="2"/>
      <c r="T43" s="2"/>
      <c r="U43" s="2"/>
      <c r="V43" s="2"/>
      <c r="W43" s="2"/>
      <c r="X43" s="2"/>
      <c r="Y43" s="2"/>
    </row>
    <row r="44">
      <c r="A44" s="30">
        <f>IFERROR(__xludf.DUMMYFUNCTION("""COMPUTED_VALUE"""),41.0)</f>
        <v>41</v>
      </c>
      <c r="B44" s="39">
        <f>IFERROR(__xludf.DUMMYFUNCTION("""COMPUTED_VALUE"""),45895.0)</f>
        <v>45895</v>
      </c>
      <c r="C44" s="30">
        <f>IFERROR(__xludf.DUMMYFUNCTION("""COMPUTED_VALUE"""),2.0)</f>
        <v>2</v>
      </c>
      <c r="D44" s="30" t="str">
        <f>IFERROR(__xludf.DUMMYFUNCTION("""COMPUTED_VALUE"""),"CT XỬ LÝ LỖI")</f>
        <v>CT XỬ LÝ LỖI</v>
      </c>
      <c r="E44" s="30"/>
      <c r="F44" s="2"/>
      <c r="G44" s="2" t="str">
        <f>IFERROR(__xludf.DUMMYFUNCTION("""COMPUTED_VALUE"""),"HH3933")</f>
        <v>HH3933</v>
      </c>
      <c r="H44" s="2" t="str">
        <f>IFERROR(__xludf.DUMMYFUNCTION("""COMPUTED_VALUE"""),"LOTUS AGROCHEM - VII - 3933 - LOTUS DIỆP LỤC (Nước trắng sữa) - 500ml - 40")</f>
        <v>LOTUS AGROCHEM - VII - 3933 - LOTUS DIỆP LỤC (Nước trắng sữa) - 500ml - 40</v>
      </c>
      <c r="I44" s="2" t="str">
        <f>IFERROR(__xludf.DUMMYFUNCTION("""COMPUTED_VALUE"""),"#N/A")</f>
        <v>#N/A</v>
      </c>
      <c r="J44" s="2"/>
      <c r="K44" s="2"/>
      <c r="L44" s="2" t="str">
        <f>IFERROR(__xludf.DUMMYFUNCTION("""COMPUTED_VALUE"""),"BB26040725")</f>
        <v>BB26040725</v>
      </c>
      <c r="M44" s="2" t="str">
        <f>IFERROR(__xludf.DUMMYFUNCTION("""COMPUTED_VALUE"""),"BB MAGIE KẼM")</f>
        <v>BB MAGIE KẼM</v>
      </c>
      <c r="N44" s="2" t="str">
        <f>IFERROR(__xludf.DUMMYFUNCTION("""COMPUTED_VALUE"""),"13XL0017 - XL01")</f>
        <v>13XL0017 - XL01</v>
      </c>
      <c r="O44" s="2" t="str">
        <f>IFERROR(__xludf.DUMMYFUNCTION("""COMPUTED_VALUE"""),"Phân bón vi lượng Phú Sĩ FJ-09 Kẽm Mg")</f>
        <v>Phân bón vi lượng Phú Sĩ FJ-09 Kẽm Mg</v>
      </c>
      <c r="P44" s="2" t="str">
        <f>IFERROR(__xludf.DUMMYFUNCTION("""COMPUTED_VALUE"""),"#N/A")</f>
        <v>#N/A</v>
      </c>
      <c r="Q44" s="30" t="str">
        <f>IFERROR(__xludf.DUMMYFUNCTION("""COMPUTED_VALUE"""),"KHÔNG KHỚP")</f>
        <v>KHÔNG KHỚP</v>
      </c>
      <c r="R44" s="2"/>
      <c r="S44" s="2"/>
      <c r="T44" s="2"/>
      <c r="U44" s="2"/>
      <c r="V44" s="2"/>
      <c r="W44" s="2"/>
      <c r="X44" s="2"/>
      <c r="Y44" s="2"/>
    </row>
    <row r="45">
      <c r="A45" s="30">
        <f>IFERROR(__xludf.DUMMYFUNCTION("""COMPUTED_VALUE"""),42.0)</f>
        <v>42</v>
      </c>
      <c r="B45" s="39">
        <f>IFERROR(__xludf.DUMMYFUNCTION("""COMPUTED_VALUE"""),45896.0)</f>
        <v>45896</v>
      </c>
      <c r="C45" s="30">
        <f>IFERROR(__xludf.DUMMYFUNCTION("""COMPUTED_VALUE"""),1.0)</f>
        <v>1</v>
      </c>
      <c r="D45" s="30" t="str">
        <f>IFERROR(__xludf.DUMMYFUNCTION("""COMPUTED_VALUE"""),"CT MỚI")</f>
        <v>CT MỚI</v>
      </c>
      <c r="E45" s="30"/>
      <c r="F45" s="2"/>
      <c r="G45" s="2" t="str">
        <f>IFERROR(__xludf.DUMMYFUNCTION("""COMPUTED_VALUE"""),"HH3982")</f>
        <v>HH3982</v>
      </c>
      <c r="H45" s="2" t="str">
        <f>IFERROR(__xludf.DUMMYFUNCTION("""COMPUTED_VALUE"""),"DR.XANH - VIII - 3982 - ROBUST EXTRA (Gel nâu đen) - 500ml - 40")</f>
        <v>DR.XANH - VIII - 3982 - ROBUST EXTRA (Gel nâu đen) - 500ml - 40</v>
      </c>
      <c r="I45" s="2" t="str">
        <f>IFERROR(__xludf.DUMMYFUNCTION("""COMPUTED_VALUE"""),"#N/A")</f>
        <v>#N/A</v>
      </c>
      <c r="J45" s="2"/>
      <c r="K45" s="2"/>
      <c r="L45" s="2" t="str">
        <f>IFERROR(__xludf.DUMMYFUNCTION("""COMPUTED_VALUE"""),"X01180825")</f>
        <v>X01180825</v>
      </c>
      <c r="M45" s="2" t="str">
        <f>IFERROR(__xludf.DUMMYFUNCTION("""COMPUTED_VALUE"""),"ROBUST EXTRA")</f>
        <v>ROBUST EXTRA</v>
      </c>
      <c r="N45" s="2" t="str">
        <f>IFERROR(__xludf.DUMMYFUNCTION("""COMPUTED_VALUE"""),"01RR0071")</f>
        <v>01RR0071</v>
      </c>
      <c r="O45" s="2" t="str">
        <f>IFERROR(__xludf.DUMMYFUNCTION("""COMPUTED_VALUE"""),"Phân bón hữu cơ ROOTS US90")</f>
        <v>Phân bón hữu cơ ROOTS US90</v>
      </c>
      <c r="P45" s="2" t="str">
        <f>IFERROR(__xludf.DUMMYFUNCTION("""COMPUTED_VALUE"""),"#N/A")</f>
        <v>#N/A</v>
      </c>
      <c r="Q45" s="30" t="str">
        <f>IFERROR(__xludf.DUMMYFUNCTION("""COMPUTED_VALUE"""),"KHÔNG KHỚP")</f>
        <v>KHÔNG KHỚP</v>
      </c>
      <c r="R45" s="2"/>
      <c r="S45" s="2"/>
      <c r="T45" s="2"/>
      <c r="U45" s="2"/>
      <c r="V45" s="2"/>
      <c r="W45" s="2"/>
      <c r="X45" s="2"/>
      <c r="Y45" s="2"/>
    </row>
    <row r="46">
      <c r="A46" s="30">
        <f>IFERROR(__xludf.DUMMYFUNCTION("""COMPUTED_VALUE"""),43.0)</f>
        <v>43</v>
      </c>
      <c r="B46" s="39">
        <f>IFERROR(__xludf.DUMMYFUNCTION("""COMPUTED_VALUE"""),45896.0)</f>
        <v>45896</v>
      </c>
      <c r="C46" s="30">
        <f>IFERROR(__xludf.DUMMYFUNCTION("""COMPUTED_VALUE"""),1.0)</f>
        <v>1</v>
      </c>
      <c r="D46" s="30" t="str">
        <f>IFERROR(__xludf.DUMMYFUNCTION("""COMPUTED_VALUE"""),"CT MỚI")</f>
        <v>CT MỚI</v>
      </c>
      <c r="E46" s="30"/>
      <c r="F46" s="2"/>
      <c r="G46" s="2" t="str">
        <f>IFERROR(__xludf.DUMMYFUNCTION("""COMPUTED_VALUE"""),"HH3983")</f>
        <v>HH3983</v>
      </c>
      <c r="H46" s="2" t="str">
        <f>IFERROR(__xludf.DUMMYFUNCTION("""COMPUTED_VALUE"""),"DR.XANH - VIII - 3983 - ROBUST EXTRA (Gel nâu đen) - 250ml - 40")</f>
        <v>DR.XANH - VIII - 3983 - ROBUST EXTRA (Gel nâu đen) - 250ml - 40</v>
      </c>
      <c r="I46" s="2" t="str">
        <f>IFERROR(__xludf.DUMMYFUNCTION("""COMPUTED_VALUE"""),"#N/A")</f>
        <v>#N/A</v>
      </c>
      <c r="J46" s="2"/>
      <c r="K46" s="2"/>
      <c r="L46" s="2" t="str">
        <f>IFERROR(__xludf.DUMMYFUNCTION("""COMPUTED_VALUE"""),"X01180825")</f>
        <v>X01180825</v>
      </c>
      <c r="M46" s="2" t="str">
        <f>IFERROR(__xludf.DUMMYFUNCTION("""COMPUTED_VALUE"""),"ROBUST EXTRA")</f>
        <v>ROBUST EXTRA</v>
      </c>
      <c r="N46" s="2" t="str">
        <f>IFERROR(__xludf.DUMMYFUNCTION("""COMPUTED_VALUE"""),"01RR0071")</f>
        <v>01RR0071</v>
      </c>
      <c r="O46" s="2" t="str">
        <f>IFERROR(__xludf.DUMMYFUNCTION("""COMPUTED_VALUE"""),"Phân bón hữu cơ ROOTS US90")</f>
        <v>Phân bón hữu cơ ROOTS US90</v>
      </c>
      <c r="P46" s="2" t="str">
        <f>IFERROR(__xludf.DUMMYFUNCTION("""COMPUTED_VALUE"""),"#N/A")</f>
        <v>#N/A</v>
      </c>
      <c r="Q46" s="30" t="str">
        <f>IFERROR(__xludf.DUMMYFUNCTION("""COMPUTED_VALUE"""),"KHÔNG KHỚP")</f>
        <v>KHÔNG KHỚP</v>
      </c>
      <c r="R46" s="2"/>
      <c r="S46" s="2"/>
      <c r="T46" s="2"/>
      <c r="U46" s="2"/>
      <c r="V46" s="2"/>
      <c r="W46" s="2"/>
      <c r="X46" s="2"/>
      <c r="Y46" s="2"/>
    </row>
    <row r="47">
      <c r="A47" s="30">
        <f>IFERROR(__xludf.DUMMYFUNCTION("""COMPUTED_VALUE"""),44.0)</f>
        <v>44</v>
      </c>
      <c r="B47" s="39">
        <f>IFERROR(__xludf.DUMMYFUNCTION("""COMPUTED_VALUE"""),45897.0)</f>
        <v>45897</v>
      </c>
      <c r="C47" s="30">
        <f>IFERROR(__xludf.DUMMYFUNCTION("""COMPUTED_VALUE"""),1.0)</f>
        <v>1</v>
      </c>
      <c r="D47" s="30" t="str">
        <f>IFERROR(__xludf.DUMMYFUNCTION("""COMPUTED_VALUE"""),"CT MỚI")</f>
        <v>CT MỚI</v>
      </c>
      <c r="E47" s="30"/>
      <c r="F47" s="2"/>
      <c r="G47" s="2" t="str">
        <f>IFERROR(__xludf.DUMMYFUNCTION("""COMPUTED_VALUE"""),"NA0020")</f>
        <v>NA0020</v>
      </c>
      <c r="H47" s="2" t="str">
        <f>IFERROR(__xludf.DUMMYFUNCTION("""COMPUTED_VALUE"""),"NA0020")</f>
        <v>NA0020</v>
      </c>
      <c r="I47" s="2" t="str">
        <f>IFERROR(__xludf.DUMMYFUNCTION("""COMPUTED_VALUE"""),"#N/A")</f>
        <v>#N/A</v>
      </c>
      <c r="J47" s="2"/>
      <c r="K47" s="2"/>
      <c r="L47" s="2"/>
      <c r="M47" s="2" t="str">
        <f>IFERROR(__xludf.DUMMYFUNCTION("""COMPUTED_VALUE"""),"PHỤ GIA NA0020")</f>
        <v>PHỤ GIA NA0020</v>
      </c>
      <c r="N47" s="2" t="str">
        <f>IFERROR(__xludf.DUMMYFUNCTION("""COMPUTED_VALUE"""),"NA0020")</f>
        <v>NA0020</v>
      </c>
      <c r="O47" s="2"/>
      <c r="P47" s="2" t="str">
        <f>IFERROR(__xludf.DUMMYFUNCTION("""COMPUTED_VALUE"""),"#N/A")</f>
        <v>#N/A</v>
      </c>
      <c r="Q47" s="30" t="str">
        <f>IFERROR(__xludf.DUMMYFUNCTION("""COMPUTED_VALUE"""),"KHÔNG KHỚP")</f>
        <v>KHÔNG KHỚP</v>
      </c>
      <c r="R47" s="2"/>
      <c r="S47" s="2"/>
      <c r="T47" s="2"/>
      <c r="U47" s="2"/>
      <c r="V47" s="2"/>
      <c r="W47" s="2"/>
      <c r="X47" s="2"/>
      <c r="Y47" s="2"/>
    </row>
    <row r="48">
      <c r="A48" s="30">
        <f>IFERROR(__xludf.DUMMYFUNCTION("""COMPUTED_VALUE"""),45.0)</f>
        <v>45</v>
      </c>
      <c r="B48" s="39">
        <f>IFERROR(__xludf.DUMMYFUNCTION("""COMPUTED_VALUE"""),45905.0)</f>
        <v>45905</v>
      </c>
      <c r="C48" s="30">
        <f>IFERROR(__xludf.DUMMYFUNCTION("""COMPUTED_VALUE"""),1.0)</f>
        <v>1</v>
      </c>
      <c r="D48" s="30" t="str">
        <f>IFERROR(__xludf.DUMMYFUNCTION("""COMPUTED_VALUE"""),"CT MỚI")</f>
        <v>CT MỚI</v>
      </c>
      <c r="E48" s="30"/>
      <c r="F48" s="2"/>
      <c r="G48" s="2" t="str">
        <f>IFERROR(__xludf.DUMMYFUNCTION("""COMPUTED_VALUE"""),"HH3960")</f>
        <v>HH3960</v>
      </c>
      <c r="H48" s="2" t="str">
        <f>IFERROR(__xludf.DUMMYFUNCTION("""COMPUTED_VALUE"""),"GC - IV - 3960 - Cty Hương Nông - HN-pH++ (Nước nâu đen) - 5L - 4")</f>
        <v>GC - IV - 3960 - Cty Hương Nông - HN-pH++ (Nước nâu đen) - 5L - 4</v>
      </c>
      <c r="I48" s="2" t="str">
        <f>IFERROR(__xludf.DUMMYFUNCTION("""COMPUTED_VALUE"""),"#N/A")</f>
        <v>#N/A</v>
      </c>
      <c r="J48" s="2"/>
      <c r="K48" s="2"/>
      <c r="L48" s="2"/>
      <c r="M48" s="2" t="str">
        <f>IFERROR(__xludf.DUMMYFUNCTION("""COMPUTED_VALUE"""),"HN-pH++")</f>
        <v>HN-pH++</v>
      </c>
      <c r="N48" s="2" t="str">
        <f>IFERROR(__xludf.DUMMYFUNCTION("""COMPUTED_VALUE"""),"01RR0014V4")</f>
        <v>01RR0014V4</v>
      </c>
      <c r="O48" s="2" t="str">
        <f>IFERROR(__xludf.DUMMYFUNCTION("""COMPUTED_VALUE"""),"Phân bón Hữu cơ SH Agro Organic Fertilizer 20")</f>
        <v>Phân bón Hữu cơ SH Agro Organic Fertilizer 20</v>
      </c>
      <c r="P48" s="2" t="str">
        <f>IFERROR(__xludf.DUMMYFUNCTION("""COMPUTED_VALUE"""),"#N/A")</f>
        <v>#N/A</v>
      </c>
      <c r="Q48" s="30" t="str">
        <f>IFERROR(__xludf.DUMMYFUNCTION("""COMPUTED_VALUE"""),"KHÔNG KHỚP")</f>
        <v>KHÔNG KHỚP</v>
      </c>
      <c r="R48" s="2"/>
      <c r="S48" s="2"/>
      <c r="T48" s="2"/>
      <c r="U48" s="2"/>
      <c r="V48" s="2"/>
      <c r="W48" s="2"/>
      <c r="X48" s="2"/>
      <c r="Y48" s="2"/>
    </row>
    <row r="49">
      <c r="A49" s="30">
        <f>IFERROR(__xludf.DUMMYFUNCTION("""COMPUTED_VALUE"""),46.0)</f>
        <v>46</v>
      </c>
      <c r="B49" s="39">
        <f>IFERROR(__xludf.DUMMYFUNCTION("""COMPUTED_VALUE"""),45904.0)</f>
        <v>45904</v>
      </c>
      <c r="C49" s="30">
        <f>IFERROR(__xludf.DUMMYFUNCTION("""COMPUTED_VALUE"""),1.0)</f>
        <v>1</v>
      </c>
      <c r="D49" s="30" t="str">
        <f>IFERROR(__xludf.DUMMYFUNCTION("""COMPUTED_VALUE"""),"CT MỚI")</f>
        <v>CT MỚI</v>
      </c>
      <c r="E49" s="30"/>
      <c r="F49" s="2"/>
      <c r="G49" s="2" t="str">
        <f>IFERROR(__xludf.DUMMYFUNCTION("""COMPUTED_VALUE"""),"HH3750")</f>
        <v>HH3750</v>
      </c>
      <c r="H49" s="2" t="str">
        <f>IFERROR(__xludf.DUMMYFUNCTION("""COMPUTED_VALUE"""),"BAMBOO - VI - 3750 - BAMBOO ORGANIC (nước nâu đen) - 1L - 20")</f>
        <v>BAMBOO - VI - 3750 - BAMBOO ORGANIC (nước nâu đen) - 1L - 20</v>
      </c>
      <c r="I49" s="2" t="str">
        <f>IFERROR(__xludf.DUMMYFUNCTION("""COMPUTED_VALUE"""),"#N/A")</f>
        <v>#N/A</v>
      </c>
      <c r="J49" s="2"/>
      <c r="K49" s="2"/>
      <c r="L49" s="2"/>
      <c r="M49" s="2" t="str">
        <f>IFERROR(__xludf.DUMMYFUNCTION("""COMPUTED_VALUE"""),"BAMBOO ORGANIC
IDA ORGANIC FEED")</f>
        <v>BAMBOO ORGANIC
IDA ORGANIC FEED</v>
      </c>
      <c r="N49" s="2" t="str">
        <f>IFERROR(__xludf.DUMMYFUNCTION("""COMPUTED_VALUE"""),"01RR0025V3")</f>
        <v>01RR0025V3</v>
      </c>
      <c r="O49" s="2" t="str">
        <f>IFERROR(__xludf.DUMMYFUNCTION("""COMPUTED_VALUE"""),"Phân bón Hữu cơ SH Agro Organic Fertilizer 20")</f>
        <v>Phân bón Hữu cơ SH Agro Organic Fertilizer 20</v>
      </c>
      <c r="P49" s="2" t="str">
        <f>IFERROR(__xludf.DUMMYFUNCTION("""COMPUTED_VALUE"""),"#N/A")</f>
        <v>#N/A</v>
      </c>
      <c r="Q49" s="30" t="str">
        <f>IFERROR(__xludf.DUMMYFUNCTION("""COMPUTED_VALUE"""),"KHÔNG KHỚP")</f>
        <v>KHÔNG KHỚP</v>
      </c>
      <c r="R49" s="2"/>
      <c r="S49" s="2"/>
      <c r="T49" s="2"/>
      <c r="U49" s="2"/>
      <c r="V49" s="2"/>
      <c r="W49" s="2"/>
      <c r="X49" s="2"/>
      <c r="Y49" s="2"/>
    </row>
    <row r="50">
      <c r="A50" s="30">
        <f>IFERROR(__xludf.DUMMYFUNCTION("""COMPUTED_VALUE"""),47.0)</f>
        <v>47</v>
      </c>
      <c r="B50" s="39">
        <f>IFERROR(__xludf.DUMMYFUNCTION("""COMPUTED_VALUE"""),45905.0)</f>
        <v>45905</v>
      </c>
      <c r="C50" s="30">
        <f>IFERROR(__xludf.DUMMYFUNCTION("""COMPUTED_VALUE"""),1.0)</f>
        <v>1</v>
      </c>
      <c r="D50" s="30" t="str">
        <f>IFERROR(__xludf.DUMMYFUNCTION("""COMPUTED_VALUE"""),"CT MỚI")</f>
        <v>CT MỚI</v>
      </c>
      <c r="E50" s="30"/>
      <c r="F50" s="2"/>
      <c r="G50" s="2" t="str">
        <f>IFERROR(__xludf.DUMMYFUNCTION("""COMPUTED_VALUE"""),"HH3249")</f>
        <v>HH3249</v>
      </c>
      <c r="H50" s="2" t="str">
        <f>IFERROR(__xludf.DUMMYFUNCTION("""COMPUTED_VALUE"""),"IDA Global - I - 3249 - KG - ORGANIC X2 (Nước nâu đen) - 1L - 20")</f>
        <v>IDA Global - I - 3249 - KG - ORGANIC X2 (Nước nâu đen) - 1L - 20</v>
      </c>
      <c r="I50" s="2" t="str">
        <f>IFERROR(__xludf.DUMMYFUNCTION("""COMPUTED_VALUE"""),"#N/A")</f>
        <v>#N/A</v>
      </c>
      <c r="J50" s="2"/>
      <c r="K50" s="2"/>
      <c r="L50" s="2"/>
      <c r="M50" s="2" t="str">
        <f>IFERROR(__xludf.DUMMYFUNCTION("""COMPUTED_VALUE"""),"ORGANIC X2")</f>
        <v>ORGANIC X2</v>
      </c>
      <c r="N50" s="2" t="str">
        <f>IFERROR(__xludf.DUMMYFUNCTION("""COMPUTED_VALUE"""),"01RR0044V2")</f>
        <v>01RR0044V2</v>
      </c>
      <c r="O50" s="2" t="str">
        <f>IFERROR(__xludf.DUMMYFUNCTION("""COMPUTED_VALUE"""),"Phân bón Hữu cơ SH Agro Organic Fertilizer 20")</f>
        <v>Phân bón Hữu cơ SH Agro Organic Fertilizer 20</v>
      </c>
      <c r="P50" s="2" t="str">
        <f>IFERROR(__xludf.DUMMYFUNCTION("""COMPUTED_VALUE"""),"#N/A")</f>
        <v>#N/A</v>
      </c>
      <c r="Q50" s="30" t="str">
        <f>IFERROR(__xludf.DUMMYFUNCTION("""COMPUTED_VALUE"""),"KHÔNG KHỚP")</f>
        <v>KHÔNG KHỚP</v>
      </c>
      <c r="R50" s="2"/>
      <c r="S50" s="2"/>
      <c r="T50" s="2"/>
      <c r="U50" s="2"/>
      <c r="V50" s="2"/>
      <c r="W50" s="2"/>
      <c r="X50" s="2"/>
      <c r="Y50" s="2"/>
    </row>
    <row r="51">
      <c r="A51" s="30">
        <f>IFERROR(__xludf.DUMMYFUNCTION("""COMPUTED_VALUE"""),48.0)</f>
        <v>48</v>
      </c>
      <c r="B51" s="39">
        <f>IFERROR(__xludf.DUMMYFUNCTION("""COMPUTED_VALUE"""),45905.0)</f>
        <v>45905</v>
      </c>
      <c r="C51" s="30">
        <f>IFERROR(__xludf.DUMMYFUNCTION("""COMPUTED_VALUE"""),1.0)</f>
        <v>1</v>
      </c>
      <c r="D51" s="30" t="str">
        <f>IFERROR(__xludf.DUMMYFUNCTION("""COMPUTED_VALUE"""),"CT MỚI")</f>
        <v>CT MỚI</v>
      </c>
      <c r="E51" s="30"/>
      <c r="F51" s="2"/>
      <c r="G51" s="2" t="str">
        <f>IFERROR(__xludf.DUMMYFUNCTION("""COMPUTED_VALUE"""),"HH4091")</f>
        <v>HH4091</v>
      </c>
      <c r="H51" s="2" t="str">
        <f>IFERROR(__xludf.DUMMYFUNCTION("""COMPUTED_VALUE"""),"IDA Global - I - 4091 - KG - ORGANIC X2 (Nước nâu đen) - 1L - 20")</f>
        <v>IDA Global - I - 4091 - KG - ORGANIC X2 (Nước nâu đen) - 1L - 20</v>
      </c>
      <c r="I51" s="2" t="str">
        <f>IFERROR(__xludf.DUMMYFUNCTION("""COMPUTED_VALUE"""),"#N/A")</f>
        <v>#N/A</v>
      </c>
      <c r="J51" s="2"/>
      <c r="K51" s="2"/>
      <c r="L51" s="2"/>
      <c r="M51" s="2" t="str">
        <f>IFERROR(__xludf.DUMMYFUNCTION("""COMPUTED_VALUE"""),"ORGANIC X2")</f>
        <v>ORGANIC X2</v>
      </c>
      <c r="N51" s="2" t="str">
        <f>IFERROR(__xludf.DUMMYFUNCTION("""COMPUTED_VALUE"""),"01RR0044V2")</f>
        <v>01RR0044V2</v>
      </c>
      <c r="O51" s="2" t="str">
        <f>IFERROR(__xludf.DUMMYFUNCTION("""COMPUTED_VALUE"""),"Phân bón Hữu cơ SH Agro Organic Fertilizer 20")</f>
        <v>Phân bón Hữu cơ SH Agro Organic Fertilizer 20</v>
      </c>
      <c r="P51" s="2" t="str">
        <f>IFERROR(__xludf.DUMMYFUNCTION("""COMPUTED_VALUE"""),"#N/A")</f>
        <v>#N/A</v>
      </c>
      <c r="Q51" s="30" t="str">
        <f>IFERROR(__xludf.DUMMYFUNCTION("""COMPUTED_VALUE"""),"KHÔNG KHỚP")</f>
        <v>KHÔNG KHỚP</v>
      </c>
      <c r="R51" s="2"/>
      <c r="S51" s="2"/>
      <c r="T51" s="2"/>
      <c r="U51" s="2"/>
      <c r="V51" s="2"/>
      <c r="W51" s="2"/>
      <c r="X51" s="2"/>
      <c r="Y51" s="2"/>
    </row>
    <row r="52">
      <c r="A52" s="30">
        <f>IFERROR(__xludf.DUMMYFUNCTION("""COMPUTED_VALUE"""),49.0)</f>
        <v>49</v>
      </c>
      <c r="B52" s="39">
        <f>IFERROR(__xludf.DUMMYFUNCTION("""COMPUTED_VALUE"""),45905.0)</f>
        <v>45905</v>
      </c>
      <c r="C52" s="30">
        <f>IFERROR(__xludf.DUMMYFUNCTION("""COMPUTED_VALUE"""),1.0)</f>
        <v>1</v>
      </c>
      <c r="D52" s="30" t="str">
        <f>IFERROR(__xludf.DUMMYFUNCTION("""COMPUTED_VALUE"""),"CT MỚI")</f>
        <v>CT MỚI</v>
      </c>
      <c r="E52" s="30"/>
      <c r="F52" s="2"/>
      <c r="G52" s="2" t="str">
        <f>IFERROR(__xludf.DUMMYFUNCTION("""COMPUTED_VALUE"""),"HH3170")</f>
        <v>HH3170</v>
      </c>
      <c r="H52" s="2" t="str">
        <f>IFERROR(__xludf.DUMMYFUNCTION("""COMPUTED_VALUE"""),"IDA Global - I - 3170 - IDA ORGANIC X2 (Nước nâu đen) - 1L - 20")</f>
        <v>IDA Global - I - 3170 - IDA ORGANIC X2 (Nước nâu đen) - 1L - 20</v>
      </c>
      <c r="I52" s="2" t="str">
        <f>IFERROR(__xludf.DUMMYFUNCTION("""COMPUTED_VALUE"""),"#N/A")</f>
        <v>#N/A</v>
      </c>
      <c r="J52" s="2"/>
      <c r="K52" s="2"/>
      <c r="L52" s="2"/>
      <c r="M52" s="2" t="str">
        <f>IFERROR(__xludf.DUMMYFUNCTION("""COMPUTED_VALUE"""),"ORGANIC X2")</f>
        <v>ORGANIC X2</v>
      </c>
      <c r="N52" s="2" t="str">
        <f>IFERROR(__xludf.DUMMYFUNCTION("""COMPUTED_VALUE"""),"01RR0044V2")</f>
        <v>01RR0044V2</v>
      </c>
      <c r="O52" s="2" t="str">
        <f>IFERROR(__xludf.DUMMYFUNCTION("""COMPUTED_VALUE"""),"Phân bón Hữu cơ SH Agro Organic Fertilizer 20")</f>
        <v>Phân bón Hữu cơ SH Agro Organic Fertilizer 20</v>
      </c>
      <c r="P52" s="2" t="str">
        <f>IFERROR(__xludf.DUMMYFUNCTION("""COMPUTED_VALUE"""),"#N/A")</f>
        <v>#N/A</v>
      </c>
      <c r="Q52" s="30" t="str">
        <f>IFERROR(__xludf.DUMMYFUNCTION("""COMPUTED_VALUE"""),"KHÔNG KHỚP")</f>
        <v>KHÔNG KHỚP</v>
      </c>
      <c r="R52" s="2"/>
      <c r="S52" s="2"/>
      <c r="T52" s="2"/>
      <c r="U52" s="2"/>
      <c r="V52" s="2"/>
      <c r="W52" s="2"/>
      <c r="X52" s="2"/>
      <c r="Y52" s="2"/>
    </row>
    <row r="53">
      <c r="A53" s="30">
        <f>IFERROR(__xludf.DUMMYFUNCTION("""COMPUTED_VALUE"""),50.0)</f>
        <v>50</v>
      </c>
      <c r="B53" s="39">
        <f>IFERROR(__xludf.DUMMYFUNCTION("""COMPUTED_VALUE"""),45910.0)</f>
        <v>45910</v>
      </c>
      <c r="C53" s="30">
        <f>IFERROR(__xludf.DUMMYFUNCTION("""COMPUTED_VALUE"""),1.0)</f>
        <v>1</v>
      </c>
      <c r="D53" s="30" t="str">
        <f>IFERROR(__xludf.DUMMYFUNCTION("""COMPUTED_VALUE"""),"CT MỚI")</f>
        <v>CT MỚI</v>
      </c>
      <c r="E53" s="30"/>
      <c r="F53" s="2"/>
      <c r="G53" s="2" t="str">
        <f>IFERROR(__xludf.DUMMYFUNCTION("""COMPUTED_VALUE"""),"HH4043")</f>
        <v>HH4043</v>
      </c>
      <c r="H53" s="2" t="str">
        <f>IFERROR(__xludf.DUMMYFUNCTION("""COMPUTED_VALUE"""),"DR.XANH - VIII - 4043 - DR.HUCO (Nước nâu đen) - 1L - 20")</f>
        <v>DR.XANH - VIII - 4043 - DR.HUCO (Nước nâu đen) - 1L - 20</v>
      </c>
      <c r="I53" s="2" t="str">
        <f>IFERROR(__xludf.DUMMYFUNCTION("""COMPUTED_VALUE"""),"#N/A")</f>
        <v>#N/A</v>
      </c>
      <c r="J53" s="2"/>
      <c r="K53" s="2"/>
      <c r="L53" s="2" t="str">
        <f>IFERROR(__xludf.DUMMYFUNCTION("""COMPUTED_VALUE"""),"N04181224
X05121224")</f>
        <v>N04181224
X05121224</v>
      </c>
      <c r="M53" s="2" t="str">
        <f>IFERROR(__xludf.DUMMYFUNCTION("""COMPUTED_VALUE"""),"N2 BOOSTER
DR.HUCO")</f>
        <v>N2 BOOSTER
DR.HUCO</v>
      </c>
      <c r="N53" s="2" t="str">
        <f>IFERROR(__xludf.DUMMYFUNCTION("""COMPUTED_VALUE"""),"01RR0041V1")</f>
        <v>01RR0041V1</v>
      </c>
      <c r="O53" s="2" t="str">
        <f>IFERROR(__xludf.DUMMYFUNCTION("""COMPUTED_VALUE"""),"Phân bón Hữu cơ ORGANIC BM GOLD FW")</f>
        <v>Phân bón Hữu cơ ORGANIC BM GOLD FW</v>
      </c>
      <c r="P53" s="2" t="str">
        <f>IFERROR(__xludf.DUMMYFUNCTION("""COMPUTED_VALUE"""),"#N/A")</f>
        <v>#N/A</v>
      </c>
      <c r="Q53" s="30" t="str">
        <f>IFERROR(__xludf.DUMMYFUNCTION("""COMPUTED_VALUE"""),"KHÔNG KHỚP")</f>
        <v>KHÔNG KHỚP</v>
      </c>
      <c r="R53" s="2"/>
      <c r="S53" s="2"/>
      <c r="T53" s="2"/>
      <c r="U53" s="2"/>
      <c r="V53" s="2"/>
      <c r="W53" s="2"/>
      <c r="X53" s="2"/>
      <c r="Y53" s="2"/>
    </row>
    <row r="54">
      <c r="A54" s="30">
        <f>IFERROR(__xludf.DUMMYFUNCTION("""COMPUTED_VALUE"""),51.0)</f>
        <v>51</v>
      </c>
      <c r="B54" s="39">
        <f>IFERROR(__xludf.DUMMYFUNCTION("""COMPUTED_VALUE"""),45885.0)</f>
        <v>45885</v>
      </c>
      <c r="C54" s="30">
        <f>IFERROR(__xludf.DUMMYFUNCTION("""COMPUTED_VALUE"""),1.0)</f>
        <v>1</v>
      </c>
      <c r="D54" s="30" t="str">
        <f>IFERROR(__xludf.DUMMYFUNCTION("""COMPUTED_VALUE"""),"CT MỚI")</f>
        <v>CT MỚI</v>
      </c>
      <c r="E54" s="30"/>
      <c r="F54" s="2"/>
      <c r="G54" s="2" t="str">
        <f>IFERROR(__xludf.DUMMYFUNCTION("""COMPUTED_VALUE"""),"HH3888")</f>
        <v>HH3888</v>
      </c>
      <c r="H54" s="2" t="str">
        <f>IFERROR(__xludf.DUMMYFUNCTION("""COMPUTED_VALUE"""),"IDA Global - I - 3888 - VG RICE 02 - 500ml - 40")</f>
        <v>IDA Global - I - 3888 - VG RICE 02 - 500ml - 40</v>
      </c>
      <c r="I54" s="2" t="str">
        <f>IFERROR(__xludf.DUMMYFUNCTION("""COMPUTED_VALUE"""),"#N/A")</f>
        <v>#N/A</v>
      </c>
      <c r="J54" s="2"/>
      <c r="K54" s="2"/>
      <c r="L54" s="2" t="str">
        <f>IFERROR(__xludf.DUMMYFUNCTION("""COMPUTED_VALUE"""),"I02180225")</f>
        <v>I02180225</v>
      </c>
      <c r="M54" s="2" t="str">
        <f>IFERROR(__xludf.DUMMYFUNCTION("""COMPUTED_VALUE"""),"VG RICE 02")</f>
        <v>VG RICE 02</v>
      </c>
      <c r="N54" s="2" t="str">
        <f>IFERROR(__xludf.DUMMYFUNCTION("""COMPUTED_VALUE"""),"04VG0033")</f>
        <v>04VG0033</v>
      </c>
      <c r="O54" s="2" t="str">
        <f>IFERROR(__xludf.DUMMYFUNCTION("""COMPUTED_VALUE"""),"Phân bón NPK-Vi lượng HC CAN")</f>
        <v>Phân bón NPK-Vi lượng HC CAN</v>
      </c>
      <c r="P54" s="2" t="str">
        <f>IFERROR(__xludf.DUMMYFUNCTION("""COMPUTED_VALUE"""),"#N/A")</f>
        <v>#N/A</v>
      </c>
      <c r="Q54" s="30" t="str">
        <f>IFERROR(__xludf.DUMMYFUNCTION("""COMPUTED_VALUE"""),"KHÔNG KHỚP")</f>
        <v>KHÔNG KHỚP</v>
      </c>
      <c r="R54" s="2"/>
      <c r="S54" s="2"/>
      <c r="T54" s="2"/>
      <c r="U54" s="2"/>
      <c r="V54" s="2"/>
      <c r="W54" s="2"/>
      <c r="X54" s="2"/>
      <c r="Y54" s="2"/>
    </row>
    <row r="55">
      <c r="A55" s="30">
        <f>IFERROR(__xludf.DUMMYFUNCTION("""COMPUTED_VALUE"""),52.0)</f>
        <v>52</v>
      </c>
      <c r="B55" s="39">
        <f>IFERROR(__xludf.DUMMYFUNCTION("""COMPUTED_VALUE"""),45896.0)</f>
        <v>45896</v>
      </c>
      <c r="C55" s="30">
        <f>IFERROR(__xludf.DUMMYFUNCTION("""COMPUTED_VALUE"""),1.0)</f>
        <v>1</v>
      </c>
      <c r="D55" s="30" t="str">
        <f>IFERROR(__xludf.DUMMYFUNCTION("""COMPUTED_VALUE"""),"CT MỚI")</f>
        <v>CT MỚI</v>
      </c>
      <c r="E55" s="30"/>
      <c r="F55" s="2"/>
      <c r="G55" s="2" t="str">
        <f>IFERROR(__xludf.DUMMYFUNCTION("""COMPUTED_VALUE"""),"HH3998")</f>
        <v>HH3998</v>
      </c>
      <c r="H55" s="2" t="str">
        <f>IFERROR(__xludf.DUMMYFUNCTION("""COMPUTED_VALUE"""),"GC - IV - 3998 - CTY NAUY - SUPER NANO (Nước nâu đen) - 500ml - 40")</f>
        <v>GC - IV - 3998 - CTY NAUY - SUPER NANO (Nước nâu đen) - 500ml - 40</v>
      </c>
      <c r="I55" s="2" t="str">
        <f>IFERROR(__xludf.DUMMYFUNCTION("""COMPUTED_VALUE"""),"#N/A")</f>
        <v>#N/A</v>
      </c>
      <c r="J55" s="2"/>
      <c r="K55" s="2"/>
      <c r="L55" s="2" t="str">
        <f>IFERROR(__xludf.DUMMYFUNCTION("""COMPUTED_VALUE"""),"A07190825")</f>
        <v>A07190825</v>
      </c>
      <c r="M55" s="2" t="str">
        <f>IFERROR(__xludf.DUMMYFUNCTION("""COMPUTED_VALUE"""),"VÔ GẠO NAUY")</f>
        <v>VÔ GẠO NAUY</v>
      </c>
      <c r="N55" s="2" t="str">
        <f>IFERROR(__xludf.DUMMYFUNCTION("""COMPUTED_VALUE"""),"04VG0039")</f>
        <v>04VG0039</v>
      </c>
      <c r="O55" s="2" t="str">
        <f>IFERROR(__xludf.DUMMYFUNCTION("""COMPUTED_VALUE"""),"Phân bón Hỗn hợp NPK AGAMA-SRH")</f>
        <v>Phân bón Hỗn hợp NPK AGAMA-SRH</v>
      </c>
      <c r="P55" s="2" t="str">
        <f>IFERROR(__xludf.DUMMYFUNCTION("""COMPUTED_VALUE"""),"#N/A")</f>
        <v>#N/A</v>
      </c>
      <c r="Q55" s="30" t="str">
        <f>IFERROR(__xludf.DUMMYFUNCTION("""COMPUTED_VALUE"""),"KHÔNG KHỚP")</f>
        <v>KHÔNG KHỚP</v>
      </c>
      <c r="R55" s="2"/>
      <c r="S55" s="2"/>
      <c r="T55" s="2"/>
      <c r="U55" s="2"/>
      <c r="V55" s="2"/>
      <c r="W55" s="2"/>
      <c r="X55" s="2"/>
      <c r="Y55" s="2"/>
    </row>
    <row r="56">
      <c r="A56" s="30">
        <f>IFERROR(__xludf.DUMMYFUNCTION("""COMPUTED_VALUE"""),53.0)</f>
        <v>53</v>
      </c>
      <c r="B56" s="39">
        <f>IFERROR(__xludf.DUMMYFUNCTION("""COMPUTED_VALUE"""),45896.0)</f>
        <v>45896</v>
      </c>
      <c r="C56" s="30">
        <f>IFERROR(__xludf.DUMMYFUNCTION("""COMPUTED_VALUE"""),1.0)</f>
        <v>1</v>
      </c>
      <c r="D56" s="30" t="str">
        <f>IFERROR(__xludf.DUMMYFUNCTION("""COMPUTED_VALUE"""),"CT MỚI")</f>
        <v>CT MỚI</v>
      </c>
      <c r="E56" s="30"/>
      <c r="F56" s="2"/>
      <c r="G56" s="2" t="str">
        <f>IFERROR(__xludf.DUMMYFUNCTION("""COMPUTED_VALUE"""),"HH4021")</f>
        <v>HH4021</v>
      </c>
      <c r="H56" s="2" t="str">
        <f>IFERROR(__xludf.DUMMYFUNCTION("""COMPUTED_VALUE"""),"GC - II - 4021 - GC ABA (A. QUYẾT) - GROW FAST (nước nâu đen) - 20L - 1")</f>
        <v>GC - II - 4021 - GC ABA (A. QUYẾT) - GROW FAST (nước nâu đen) - 20L - 1</v>
      </c>
      <c r="I56" s="2" t="str">
        <f>IFERROR(__xludf.DUMMYFUNCTION("""COMPUTED_VALUE"""),"#N/A")</f>
        <v>#N/A</v>
      </c>
      <c r="J56" s="2"/>
      <c r="K56" s="2"/>
      <c r="L56" s="2" t="str">
        <f>IFERROR(__xludf.DUMMYFUNCTION("""COMPUTED_VALUE"""),"A01090825")</f>
        <v>A01090825</v>
      </c>
      <c r="M56" s="2" t="str">
        <f>IFERROR(__xludf.DUMMYFUNCTION("""COMPUTED_VALUE"""),"Kéo đọt dưỡng lá")</f>
        <v>Kéo đọt dưỡng lá</v>
      </c>
      <c r="N56" s="2" t="str">
        <f>IFERROR(__xludf.DUMMYFUNCTION("""COMPUTED_VALUE"""),"05KC0010")</f>
        <v>05KC0010</v>
      </c>
      <c r="O56" s="2" t="str">
        <f>IFERROR(__xludf.DUMMYFUNCTION("""COMPUTED_VALUE"""),"Phân bón Hữu cơ ORGANIC ĐGP 01 ")</f>
        <v>Phân bón Hữu cơ ORGANIC ĐGP 01 </v>
      </c>
      <c r="P56" s="2" t="str">
        <f>IFERROR(__xludf.DUMMYFUNCTION("""COMPUTED_VALUE"""),"#N/A")</f>
        <v>#N/A</v>
      </c>
      <c r="Q56" s="30" t="str">
        <f>IFERROR(__xludf.DUMMYFUNCTION("""COMPUTED_VALUE"""),"KHÔNG KHỚP")</f>
        <v>KHÔNG KHỚP</v>
      </c>
      <c r="R56" s="2"/>
      <c r="S56" s="2"/>
      <c r="T56" s="2"/>
      <c r="U56" s="2"/>
      <c r="V56" s="2"/>
      <c r="W56" s="2"/>
      <c r="X56" s="2"/>
      <c r="Y56" s="2"/>
    </row>
    <row r="57">
      <c r="A57" s="30">
        <f>IFERROR(__xludf.DUMMYFUNCTION("""COMPUTED_VALUE"""),54.0)</f>
        <v>54</v>
      </c>
      <c r="B57" s="39">
        <f>IFERROR(__xludf.DUMMYFUNCTION("""COMPUTED_VALUE"""),45889.0)</f>
        <v>45889</v>
      </c>
      <c r="C57" s="30">
        <f>IFERROR(__xludf.DUMMYFUNCTION("""COMPUTED_VALUE"""),1.0)</f>
        <v>1</v>
      </c>
      <c r="D57" s="30" t="str">
        <f>IFERROR(__xludf.DUMMYFUNCTION("""COMPUTED_VALUE"""),"CT MỚI")</f>
        <v>CT MỚI</v>
      </c>
      <c r="E57" s="30"/>
      <c r="F57" s="2"/>
      <c r="G57" s="2" t="str">
        <f>IFERROR(__xludf.DUMMYFUNCTION("""COMPUTED_VALUE"""),"HH3965")</f>
        <v>HH3965</v>
      </c>
      <c r="H57" s="2" t="str">
        <f>IFERROR(__xludf.DUMMYFUNCTION("""COMPUTED_VALUE"""),"GC - IV - 3965 - THÀNH CÔNG AGRI - STOP ĐỌT (Nước nâu đen V2) - 1L - 20")</f>
        <v>GC - IV - 3965 - THÀNH CÔNG AGRI - STOP ĐỌT (Nước nâu đen V2) - 1L - 20</v>
      </c>
      <c r="I57" s="2" t="str">
        <f>IFERROR(__xludf.DUMMYFUNCTION("""COMPUTED_VALUE"""),"#N/A")</f>
        <v>#N/A</v>
      </c>
      <c r="J57" s="2"/>
      <c r="K57" s="2"/>
      <c r="L57" s="2" t="str">
        <f>IFERROR(__xludf.DUMMYFUNCTION("""COMPUTED_VALUE"""),"CHẶN ĐỌT DÒNG V2")</f>
        <v>CHẶN ĐỌT DÒNG V2</v>
      </c>
      <c r="M57" s="2" t="str">
        <f>IFERROR(__xludf.DUMMYFUNCTION("""COMPUTED_VALUE"""),"STOP UP
MT STOP
AGRI STOP
STOP ĐỌT
SIÊU CHẶN ĐỌT
MASTER STOP
UNI STOP ONE
BAMBOO DOUBLE STOP")</f>
        <v>STOP UP
MT STOP
AGRI STOP
STOP ĐỌT
SIÊU CHẶN ĐỌT
MASTER STOP
UNI STOP ONE
BAMBOO DOUBLE STOP</v>
      </c>
      <c r="N57" s="2" t="str">
        <f>IFERROR(__xludf.DUMMYFUNCTION("""COMPUTED_VALUE"""),"06CD0009V1")</f>
        <v>06CD0009V1</v>
      </c>
      <c r="O57" s="2" t="str">
        <f>IFERROR(__xludf.DUMMYFUNCTION("""COMPUTED_VALUE"""),"Phân bón Vi lượng Quantity New")</f>
        <v>Phân bón Vi lượng Quantity New</v>
      </c>
      <c r="P57" s="2" t="str">
        <f>IFERROR(__xludf.DUMMYFUNCTION("""COMPUTED_VALUE"""),"#N/A")</f>
        <v>#N/A</v>
      </c>
      <c r="Q57" s="30" t="str">
        <f>IFERROR(__xludf.DUMMYFUNCTION("""COMPUTED_VALUE"""),"KHÔNG KHỚP")</f>
        <v>KHÔNG KHỚP</v>
      </c>
      <c r="R57" s="2"/>
      <c r="S57" s="2"/>
      <c r="T57" s="2"/>
      <c r="U57" s="2"/>
      <c r="V57" s="2"/>
      <c r="W57" s="2"/>
      <c r="X57" s="2"/>
      <c r="Y57" s="2"/>
    </row>
    <row r="58">
      <c r="A58" s="30">
        <f>IFERROR(__xludf.DUMMYFUNCTION("""COMPUTED_VALUE"""),55.0)</f>
        <v>55</v>
      </c>
      <c r="B58" s="39">
        <f>IFERROR(__xludf.DUMMYFUNCTION("""COMPUTED_VALUE"""),45889.0)</f>
        <v>45889</v>
      </c>
      <c r="C58" s="30">
        <f>IFERROR(__xludf.DUMMYFUNCTION("""COMPUTED_VALUE"""),1.0)</f>
        <v>1</v>
      </c>
      <c r="D58" s="30" t="str">
        <f>IFERROR(__xludf.DUMMYFUNCTION("""COMPUTED_VALUE"""),"CT MỚI")</f>
        <v>CT MỚI</v>
      </c>
      <c r="E58" s="30"/>
      <c r="F58" s="2"/>
      <c r="G58" s="2" t="str">
        <f>IFERROR(__xludf.DUMMYFUNCTION("""COMPUTED_VALUE"""),"HH4039")</f>
        <v>HH4039</v>
      </c>
      <c r="H58" s="2" t="str">
        <f>IFERROR(__xludf.DUMMYFUNCTION("""COMPUTED_VALUE"""),"GC - IV - 4039 - CTY CROP MAX - CỨNG CÂY (Nước nâu đen) - 500ml - 30")</f>
        <v>GC - IV - 4039 - CTY CROP MAX - CỨNG CÂY (Nước nâu đen) - 500ml - 30</v>
      </c>
      <c r="I58" s="2" t="str">
        <f>IFERROR(__xludf.DUMMYFUNCTION("""COMPUTED_VALUE"""),"#N/A")</f>
        <v>#N/A</v>
      </c>
      <c r="J58" s="2"/>
      <c r="K58" s="2"/>
      <c r="L58" s="2" t="str">
        <f>IFERROR(__xludf.DUMMYFUNCTION("""COMPUTED_VALUE"""),"CHẶN ĐỌT DÒNG V2")</f>
        <v>CHẶN ĐỌT DÒNG V2</v>
      </c>
      <c r="M58" s="2" t="str">
        <f>IFERROR(__xludf.DUMMYFUNCTION("""COMPUTED_VALUE"""),"STOP UP
MT STOP
AGRI STOP
STOP ĐỌT
SIÊU CHẶN ĐỌT
MASTER STOP
UNI STOP ONE
BAMBOO DOUBLE STOP")</f>
        <v>STOP UP
MT STOP
AGRI STOP
STOP ĐỌT
SIÊU CHẶN ĐỌT
MASTER STOP
UNI STOP ONE
BAMBOO DOUBLE STOP</v>
      </c>
      <c r="N58" s="2" t="str">
        <f>IFERROR(__xludf.DUMMYFUNCTION("""COMPUTED_VALUE"""),"06CD0009V1")</f>
        <v>06CD0009V1</v>
      </c>
      <c r="O58" s="2" t="str">
        <f>IFERROR(__xludf.DUMMYFUNCTION("""COMPUTED_VALUE"""),"Phân bón Vi lượng Quantity New")</f>
        <v>Phân bón Vi lượng Quantity New</v>
      </c>
      <c r="P58" s="2" t="str">
        <f>IFERROR(__xludf.DUMMYFUNCTION("""COMPUTED_VALUE"""),"#N/A")</f>
        <v>#N/A</v>
      </c>
      <c r="Q58" s="30" t="str">
        <f>IFERROR(__xludf.DUMMYFUNCTION("""COMPUTED_VALUE"""),"KHÔNG KHỚP")</f>
        <v>KHÔNG KHỚP</v>
      </c>
      <c r="R58" s="2"/>
      <c r="S58" s="2"/>
      <c r="T58" s="2"/>
      <c r="U58" s="2"/>
      <c r="V58" s="2"/>
      <c r="W58" s="2"/>
      <c r="X58" s="2"/>
      <c r="Y58" s="2"/>
    </row>
    <row r="59">
      <c r="A59" s="30">
        <f>IFERROR(__xludf.DUMMYFUNCTION("""COMPUTED_VALUE"""),56.0)</f>
        <v>56</v>
      </c>
      <c r="B59" s="39">
        <f>IFERROR(__xludf.DUMMYFUNCTION("""COMPUTED_VALUE"""),45889.0)</f>
        <v>45889</v>
      </c>
      <c r="C59" s="30">
        <f>IFERROR(__xludf.DUMMYFUNCTION("""COMPUTED_VALUE"""),1.0)</f>
        <v>1</v>
      </c>
      <c r="D59" s="30" t="str">
        <f>IFERROR(__xludf.DUMMYFUNCTION("""COMPUTED_VALUE"""),"CT MỚI")</f>
        <v>CT MỚI</v>
      </c>
      <c r="E59" s="30"/>
      <c r="F59" s="2"/>
      <c r="G59" s="2" t="str">
        <f>IFERROR(__xludf.DUMMYFUNCTION("""COMPUTED_VALUE"""),"HH4040")</f>
        <v>HH4040</v>
      </c>
      <c r="H59" s="2" t="str">
        <f>IFERROR(__xludf.DUMMYFUNCTION("""COMPUTED_VALUE"""),"GC - IV - 4040 - AGRITECH - AGRI STOP (Nước nâu đen) - 1L - 20")</f>
        <v>GC - IV - 4040 - AGRITECH - AGRI STOP (Nước nâu đen) - 1L - 20</v>
      </c>
      <c r="I59" s="39" t="str">
        <f>IFERROR(__xludf.DUMMYFUNCTION("""COMPUTED_VALUE"""),"Vi lượng Quantity New")</f>
        <v>Vi lượng Quantity New</v>
      </c>
      <c r="J59" s="2"/>
      <c r="K59" s="2"/>
      <c r="L59" s="2" t="str">
        <f>IFERROR(__xludf.DUMMYFUNCTION("""COMPUTED_VALUE"""),"CHẶN ĐỌT DÒNG V2")</f>
        <v>CHẶN ĐỌT DÒNG V2</v>
      </c>
      <c r="M59" s="2" t="str">
        <f>IFERROR(__xludf.DUMMYFUNCTION("""COMPUTED_VALUE"""),"STOP UP
MT STOP
AGRI STOP
STOP ĐỌT
SIÊU CHẶN ĐỌT
MASTER STOP
UNI STOP ONE
BAMBOO DOUBLE STOP")</f>
        <v>STOP UP
MT STOP
AGRI STOP
STOP ĐỌT
SIÊU CHẶN ĐỌT
MASTER STOP
UNI STOP ONE
BAMBOO DOUBLE STOP</v>
      </c>
      <c r="N59" s="2" t="str">
        <f>IFERROR(__xludf.DUMMYFUNCTION("""COMPUTED_VALUE"""),"06CD0009V1")</f>
        <v>06CD0009V1</v>
      </c>
      <c r="O59" s="2" t="str">
        <f>IFERROR(__xludf.DUMMYFUNCTION("""COMPUTED_VALUE"""),"Phân bón Vi lượng Quantity New")</f>
        <v>Phân bón Vi lượng Quantity New</v>
      </c>
      <c r="P59" s="2" t="str">
        <f>IFERROR(__xludf.DUMMYFUNCTION("""COMPUTED_VALUE"""),"Phân bón Vi lượng Quantity New")</f>
        <v>Phân bón Vi lượng Quantity New</v>
      </c>
      <c r="Q59" s="30" t="str">
        <f>IFERROR(__xludf.DUMMYFUNCTION("""COMPUTED_VALUE"""),"KHỚP")</f>
        <v>KHỚP</v>
      </c>
      <c r="R59" s="2"/>
      <c r="S59" s="2"/>
      <c r="T59" s="2"/>
      <c r="U59" s="2"/>
      <c r="V59" s="2"/>
      <c r="W59" s="2"/>
      <c r="X59" s="2"/>
      <c r="Y59" s="2"/>
    </row>
    <row r="60">
      <c r="A60" s="30">
        <f>IFERROR(__xludf.DUMMYFUNCTION("""COMPUTED_VALUE"""),57.0)</f>
        <v>57</v>
      </c>
      <c r="B60" s="39">
        <f>IFERROR(__xludf.DUMMYFUNCTION("""COMPUTED_VALUE"""),45905.0)</f>
        <v>45905</v>
      </c>
      <c r="C60" s="30">
        <f>IFERROR(__xludf.DUMMYFUNCTION("""COMPUTED_VALUE"""),1.0)</f>
        <v>1</v>
      </c>
      <c r="D60" s="30" t="str">
        <f>IFERROR(__xludf.DUMMYFUNCTION("""COMPUTED_VALUE"""),"CT MỚI")</f>
        <v>CT MỚI</v>
      </c>
      <c r="E60" s="30"/>
      <c r="F60" s="2"/>
      <c r="G60" s="2" t="str">
        <f>IFERROR(__xludf.DUMMYFUNCTION("""COMPUTED_VALUE"""),"HH2749")</f>
        <v>HH2749</v>
      </c>
      <c r="H60" s="2" t="str">
        <f>IFERROR(__xludf.DUMMYFUNCTION("""COMPUTED_VALUE"""),"GC - II - 2749 - CSSX An Khang (A.Dinh) - TAK12.61 (Dạng tinh thể màu trắng) - 2kg - 10")</f>
        <v>GC - II - 2749 - CSSX An Khang (A.Dinh) - TAK12.61 (Dạng tinh thể màu trắng) - 2kg - 10</v>
      </c>
      <c r="I60" s="2" t="str">
        <f>IFERROR(__xludf.DUMMYFUNCTION("""COMPUTED_VALUE"""),"#N/A")</f>
        <v>#N/A</v>
      </c>
      <c r="J60" s="2"/>
      <c r="K60" s="2"/>
      <c r="L60" s="2" t="str">
        <f>IFERROR(__xludf.DUMMYFUNCTION("""COMPUTED_VALUE"""),"A06200824")</f>
        <v>A06200824</v>
      </c>
      <c r="M60" s="2" t="str">
        <f>IFERROR(__xludf.DUMMYFUNCTION("""COMPUTED_VALUE"""),"SIÊU TẠO MẦM")</f>
        <v>SIÊU TẠO MẦM</v>
      </c>
      <c r="N60" s="2" t="str">
        <f>IFERROR(__xludf.DUMMYFUNCTION("""COMPUTED_VALUE"""),"08TM0016")</f>
        <v>08TM0016</v>
      </c>
      <c r="O60" s="2" t="str">
        <f>IFERROR(__xludf.DUMMYFUNCTION("""COMPUTED_VALUE"""),"Phân bón Vi lượng AGAMA-BATFUNG")</f>
        <v>Phân bón Vi lượng AGAMA-BATFUNG</v>
      </c>
      <c r="P60" s="2" t="str">
        <f>IFERROR(__xludf.DUMMYFUNCTION("""COMPUTED_VALUE"""),"#N/A")</f>
        <v>#N/A</v>
      </c>
      <c r="Q60" s="30" t="str">
        <f>IFERROR(__xludf.DUMMYFUNCTION("""COMPUTED_VALUE"""),"KHÔNG KHỚP")</f>
        <v>KHÔNG KHỚP</v>
      </c>
      <c r="R60" s="2"/>
      <c r="S60" s="2"/>
      <c r="T60" s="2"/>
      <c r="U60" s="2"/>
      <c r="V60" s="2"/>
      <c r="W60" s="2"/>
      <c r="X60" s="2"/>
      <c r="Y60" s="2"/>
    </row>
    <row r="61">
      <c r="A61" s="30">
        <f>IFERROR(__xludf.DUMMYFUNCTION("""COMPUTED_VALUE"""),58.0)</f>
        <v>58</v>
      </c>
      <c r="B61" s="39">
        <f>IFERROR(__xludf.DUMMYFUNCTION("""COMPUTED_VALUE"""),45892.0)</f>
        <v>45892</v>
      </c>
      <c r="C61" s="30">
        <f>IFERROR(__xludf.DUMMYFUNCTION("""COMPUTED_VALUE"""),1.0)</f>
        <v>1</v>
      </c>
      <c r="D61" s="30" t="str">
        <f>IFERROR(__xludf.DUMMYFUNCTION("""COMPUTED_VALUE"""),"CT MỚI")</f>
        <v>CT MỚI</v>
      </c>
      <c r="E61" s="30"/>
      <c r="F61" s="2"/>
      <c r="G61" s="2" t="str">
        <f>IFERROR(__xludf.DUMMYFUNCTION("""COMPUTED_VALUE"""),"HH4029")</f>
        <v>HH4029</v>
      </c>
      <c r="H61" s="2" t="str">
        <f>IFERROR(__xludf.DUMMYFUNCTION("""COMPUTED_VALUE"""),"GC - IV - 4029 - Cty Hương Nông - Đậu Trái (Nước vàng mật ong) - 500ml - 40")</f>
        <v>GC - IV - 4029 - Cty Hương Nông - Đậu Trái (Nước vàng mật ong) - 500ml - 40</v>
      </c>
      <c r="I61" s="2" t="str">
        <f>IFERROR(__xludf.DUMMYFUNCTION("""COMPUTED_VALUE"""),"#N/A")</f>
        <v>#N/A</v>
      </c>
      <c r="J61" s="2"/>
      <c r="K61" s="2"/>
      <c r="L61" s="2"/>
      <c r="M61" s="2" t="str">
        <f>IFERROR(__xludf.DUMMYFUNCTION("""COMPUTED_VALUE"""),"ULTRA KEO CABOR
BOCAX
US.BOCAXX")</f>
        <v>ULTRA KEO CABOR
BOCAX
US.BOCAXX</v>
      </c>
      <c r="N61" s="2" t="str">
        <f>IFERROR(__xludf.DUMMYFUNCTION("""COMPUTED_VALUE"""),"10CR0001V1")</f>
        <v>10CR0001V1</v>
      </c>
      <c r="O61" s="2" t="str">
        <f>IFERROR(__xludf.DUMMYFUNCTION("""COMPUTED_VALUE"""),"Phân bón Vi lượng Run Fast")</f>
        <v>Phân bón Vi lượng Run Fast</v>
      </c>
      <c r="P61" s="2" t="str">
        <f>IFERROR(__xludf.DUMMYFUNCTION("""COMPUTED_VALUE"""),"#N/A")</f>
        <v>#N/A</v>
      </c>
      <c r="Q61" s="30" t="str">
        <f>IFERROR(__xludf.DUMMYFUNCTION("""COMPUTED_VALUE"""),"KHÔNG KHỚP")</f>
        <v>KHÔNG KHỚP</v>
      </c>
      <c r="R61" s="2"/>
      <c r="S61" s="2"/>
      <c r="T61" s="2"/>
      <c r="U61" s="2"/>
      <c r="V61" s="2"/>
      <c r="W61" s="2"/>
      <c r="X61" s="2"/>
      <c r="Y61" s="2"/>
    </row>
    <row r="62">
      <c r="A62" s="30">
        <f>IFERROR(__xludf.DUMMYFUNCTION("""COMPUTED_VALUE"""),59.0)</f>
        <v>59</v>
      </c>
      <c r="B62" s="39">
        <f>IFERROR(__xludf.DUMMYFUNCTION("""COMPUTED_VALUE"""),45892.0)</f>
        <v>45892</v>
      </c>
      <c r="C62" s="30">
        <f>IFERROR(__xludf.DUMMYFUNCTION("""COMPUTED_VALUE"""),1.0)</f>
        <v>1</v>
      </c>
      <c r="D62" s="30" t="str">
        <f>IFERROR(__xludf.DUMMYFUNCTION("""COMPUTED_VALUE"""),"CT MỚI")</f>
        <v>CT MỚI</v>
      </c>
      <c r="E62" s="30"/>
      <c r="F62" s="2"/>
      <c r="G62" s="2" t="str">
        <f>IFERROR(__xludf.DUMMYFUNCTION("""COMPUTED_VALUE"""),"HH1625")</f>
        <v>HH1625</v>
      </c>
      <c r="H62" s="2" t="str">
        <f>IFERROR(__xludf.DUMMYFUNCTION("""COMPUTED_VALUE"""),"GC - II - 1625 - AGC - BOCAX (nước vàng) - 500ml - 40")</f>
        <v>GC - II - 1625 - AGC - BOCAX (nước vàng) - 500ml - 40</v>
      </c>
      <c r="I62" s="2" t="str">
        <f>IFERROR(__xludf.DUMMYFUNCTION("""COMPUTED_VALUE"""),"#N/A")</f>
        <v>#N/A</v>
      </c>
      <c r="J62" s="2"/>
      <c r="K62" s="2"/>
      <c r="L62" s="2"/>
      <c r="M62" s="2" t="str">
        <f>IFERROR(__xludf.DUMMYFUNCTION("""COMPUTED_VALUE"""),"ULTRA KEO CABOR
BOCAX
US.BOCAXX")</f>
        <v>ULTRA KEO CABOR
BOCAX
US.BOCAXX</v>
      </c>
      <c r="N62" s="2" t="str">
        <f>IFERROR(__xludf.DUMMYFUNCTION("""COMPUTED_VALUE"""),"10CR0001V1")</f>
        <v>10CR0001V1</v>
      </c>
      <c r="O62" s="2" t="str">
        <f>IFERROR(__xludf.DUMMYFUNCTION("""COMPUTED_VALUE"""),"Phân bón Vi lượng Run Fast")</f>
        <v>Phân bón Vi lượng Run Fast</v>
      </c>
      <c r="P62" s="2" t="str">
        <f>IFERROR(__xludf.DUMMYFUNCTION("""COMPUTED_VALUE"""),"#N/A")</f>
        <v>#N/A</v>
      </c>
      <c r="Q62" s="30" t="str">
        <f>IFERROR(__xludf.DUMMYFUNCTION("""COMPUTED_VALUE"""),"KHÔNG KHỚP")</f>
        <v>KHÔNG KHỚP</v>
      </c>
      <c r="R62" s="2"/>
      <c r="S62" s="2"/>
      <c r="T62" s="2"/>
      <c r="U62" s="2"/>
      <c r="V62" s="2"/>
      <c r="W62" s="2"/>
      <c r="X62" s="2"/>
      <c r="Y62" s="2"/>
    </row>
    <row r="63">
      <c r="A63" s="30">
        <f>IFERROR(__xludf.DUMMYFUNCTION("""COMPUTED_VALUE"""),60.0)</f>
        <v>60</v>
      </c>
      <c r="B63" s="39">
        <f>IFERROR(__xludf.DUMMYFUNCTION("""COMPUTED_VALUE"""),45896.0)</f>
        <v>45896</v>
      </c>
      <c r="C63" s="30">
        <f>IFERROR(__xludf.DUMMYFUNCTION("""COMPUTED_VALUE"""),1.0)</f>
        <v>1</v>
      </c>
      <c r="D63" s="30" t="str">
        <f>IFERROR(__xludf.DUMMYFUNCTION("""COMPUTED_VALUE"""),"CT MỚI")</f>
        <v>CT MỚI</v>
      </c>
      <c r="E63" s="30"/>
      <c r="F63" s="2"/>
      <c r="G63" s="2" t="str">
        <f>IFERROR(__xludf.DUMMYFUNCTION("""COMPUTED_VALUE"""),"HH3883")</f>
        <v>HH3883</v>
      </c>
      <c r="H63" s="2" t="str">
        <f>IFERROR(__xludf.DUMMYFUNCTION("""COMPUTED_VALUE"""),"GC - IV - 3883 - CTY DONA VINA - CANXIBO MAXI (Nước trắng sữa) - 500ml - 40")</f>
        <v>GC - IV - 3883 - CTY DONA VINA - CANXIBO MAXI (Nước trắng sữa) - 500ml - 40</v>
      </c>
      <c r="I63" s="2" t="str">
        <f>IFERROR(__xludf.DUMMYFUNCTION("""COMPUTED_VALUE"""),"#N/A")</f>
        <v>#N/A</v>
      </c>
      <c r="J63" s="2"/>
      <c r="K63" s="2"/>
      <c r="L63" s="2" t="str">
        <f>IFERROR(__xludf.DUMMYFUNCTION("""COMPUTED_VALUE"""),"A02160725")</f>
        <v>A02160725</v>
      </c>
      <c r="M63" s="2" t="str">
        <f>IFERROR(__xludf.DUMMYFUNCTION("""COMPUTED_VALUE"""),"AGAMA-CANXI BO
(KIM NGỌC)")</f>
        <v>AGAMA-CANXI BO
(KIM NGỌC)</v>
      </c>
      <c r="N63" s="2" t="str">
        <f>IFERROR(__xludf.DUMMYFUNCTION("""COMPUTED_VALUE"""),"10CR0021")</f>
        <v>10CR0021</v>
      </c>
      <c r="O63" s="2" t="str">
        <f>IFERROR(__xludf.DUMMYFUNCTION("""COMPUTED_VALUE"""),"Phân bón Vi lượng AGAMA-CANXI BO")</f>
        <v>Phân bón Vi lượng AGAMA-CANXI BO</v>
      </c>
      <c r="P63" s="2" t="str">
        <f>IFERROR(__xludf.DUMMYFUNCTION("""COMPUTED_VALUE"""),"#N/A")</f>
        <v>#N/A</v>
      </c>
      <c r="Q63" s="30" t="str">
        <f>IFERROR(__xludf.DUMMYFUNCTION("""COMPUTED_VALUE"""),"KHÔNG KHỚP")</f>
        <v>KHÔNG KHỚP</v>
      </c>
      <c r="R63" s="2"/>
      <c r="S63" s="2"/>
      <c r="T63" s="2"/>
      <c r="U63" s="2"/>
      <c r="V63" s="2"/>
      <c r="W63" s="2"/>
      <c r="X63" s="2"/>
      <c r="Y63" s="2"/>
    </row>
    <row r="64">
      <c r="A64" s="30">
        <f>IFERROR(__xludf.DUMMYFUNCTION("""COMPUTED_VALUE"""),61.0)</f>
        <v>61</v>
      </c>
      <c r="B64" s="39">
        <f>IFERROR(__xludf.DUMMYFUNCTION("""COMPUTED_VALUE"""),45896.0)</f>
        <v>45896</v>
      </c>
      <c r="C64" s="30">
        <f>IFERROR(__xludf.DUMMYFUNCTION("""COMPUTED_VALUE"""),1.0)</f>
        <v>1</v>
      </c>
      <c r="D64" s="30" t="str">
        <f>IFERROR(__xludf.DUMMYFUNCTION("""COMPUTED_VALUE"""),"CT MỚI")</f>
        <v>CT MỚI</v>
      </c>
      <c r="E64" s="30"/>
      <c r="F64" s="2"/>
      <c r="G64" s="2" t="str">
        <f>IFERROR(__xludf.DUMMYFUNCTION("""COMPUTED_VALUE"""),"HH4013")</f>
        <v>HH4013</v>
      </c>
      <c r="H64" s="2" t="str">
        <f>IFERROR(__xludf.DUMMYFUNCTION("""COMPUTED_VALUE"""),"GC - IV - 4013 - BIO FARMS - BIO CANXI BO (Nước trắng sữa) - 250ml - 40")</f>
        <v>GC - IV - 4013 - BIO FARMS - BIO CANXI BO (Nước trắng sữa) - 250ml - 40</v>
      </c>
      <c r="I64" s="2" t="str">
        <f>IFERROR(__xludf.DUMMYFUNCTION("""COMPUTED_VALUE"""),"#N/A")</f>
        <v>#N/A</v>
      </c>
      <c r="J64" s="2"/>
      <c r="K64" s="2"/>
      <c r="L64" s="2" t="str">
        <f>IFERROR(__xludf.DUMMYFUNCTION("""COMPUTED_VALUE"""),"A02160725")</f>
        <v>A02160725</v>
      </c>
      <c r="M64" s="2" t="str">
        <f>IFERROR(__xludf.DUMMYFUNCTION("""COMPUTED_VALUE"""),"AGAMA-CANXI BO
(KIM NGỌC)")</f>
        <v>AGAMA-CANXI BO
(KIM NGỌC)</v>
      </c>
      <c r="N64" s="2" t="str">
        <f>IFERROR(__xludf.DUMMYFUNCTION("""COMPUTED_VALUE"""),"10CR0021")</f>
        <v>10CR0021</v>
      </c>
      <c r="O64" s="2" t="str">
        <f>IFERROR(__xludf.DUMMYFUNCTION("""COMPUTED_VALUE"""),"Phân bón Vi lượng AGAMA-CANXI BO")</f>
        <v>Phân bón Vi lượng AGAMA-CANXI BO</v>
      </c>
      <c r="P64" s="2" t="str">
        <f>IFERROR(__xludf.DUMMYFUNCTION("""COMPUTED_VALUE"""),"#N/A")</f>
        <v>#N/A</v>
      </c>
      <c r="Q64" s="30" t="str">
        <f>IFERROR(__xludf.DUMMYFUNCTION("""COMPUTED_VALUE"""),"KHÔNG KHỚP")</f>
        <v>KHÔNG KHỚP</v>
      </c>
      <c r="R64" s="2"/>
      <c r="S64" s="2"/>
      <c r="T64" s="2"/>
      <c r="U64" s="2"/>
      <c r="V64" s="2"/>
      <c r="W64" s="2"/>
      <c r="X64" s="2"/>
      <c r="Y64" s="2"/>
    </row>
    <row r="65">
      <c r="A65" s="30">
        <f>IFERROR(__xludf.DUMMYFUNCTION("""COMPUTED_VALUE"""),62.0)</f>
        <v>62</v>
      </c>
      <c r="B65" s="39">
        <f>IFERROR(__xludf.DUMMYFUNCTION("""COMPUTED_VALUE"""),45905.0)</f>
        <v>45905</v>
      </c>
      <c r="C65" s="30">
        <f>IFERROR(__xludf.DUMMYFUNCTION("""COMPUTED_VALUE"""),1.0)</f>
        <v>1</v>
      </c>
      <c r="D65" s="30" t="str">
        <f>IFERROR(__xludf.DUMMYFUNCTION("""COMPUTED_VALUE"""),"CT MỚI")</f>
        <v>CT MỚI</v>
      </c>
      <c r="E65" s="30"/>
      <c r="F65" s="2"/>
      <c r="G65" s="2" t="str">
        <f>IFERROR(__xludf.DUMMYFUNCTION("""COMPUTED_VALUE"""),"HH2788")</f>
        <v>HH2788</v>
      </c>
      <c r="H65" s="2" t="str">
        <f>IFERROR(__xludf.DUMMYFUNCTION("""COMPUTED_VALUE"""),"GC - II - 2788 - LOT AGC - AGRICULTURE - NANO CU (Nước xanh dương) - 500ml - 40")</f>
        <v>GC - II - 2788 - LOT AGC - AGRICULTURE - NANO CU (Nước xanh dương) - 500ml - 40</v>
      </c>
      <c r="I65" s="2" t="str">
        <f>IFERROR(__xludf.DUMMYFUNCTION("""COMPUTED_VALUE"""),"#N/A")</f>
        <v>#N/A</v>
      </c>
      <c r="J65" s="2"/>
      <c r="K65" s="2"/>
      <c r="L65" s="2" t="str">
        <f>IFERROR(__xludf.DUMMYFUNCTION("""COMPUTED_VALUE"""),"A02300524")</f>
        <v>A02300524</v>
      </c>
      <c r="M65" s="2" t="str">
        <f>IFERROR(__xludf.DUMMYFUNCTION("""COMPUTED_VALUE"""),"NANO CU ")</f>
        <v>NANO CU </v>
      </c>
      <c r="N65" s="2" t="str">
        <f>IFERROR(__xludf.DUMMYFUNCTION("""COMPUTED_VALUE"""),"17KN0007")</f>
        <v>17KN0007</v>
      </c>
      <c r="O65" s="2" t="str">
        <f>IFERROR(__xludf.DUMMYFUNCTION("""COMPUTED_VALUE"""),"Phân bón Vi lượng Agama-CU")</f>
        <v>Phân bón Vi lượng Agama-CU</v>
      </c>
      <c r="P65" s="2" t="str">
        <f>IFERROR(__xludf.DUMMYFUNCTION("""COMPUTED_VALUE"""),"#N/A")</f>
        <v>#N/A</v>
      </c>
      <c r="Q65" s="30" t="str">
        <f>IFERROR(__xludf.DUMMYFUNCTION("""COMPUTED_VALUE"""),"KHÔNG KHỚP")</f>
        <v>KHÔNG KHỚP</v>
      </c>
      <c r="R65" s="2"/>
      <c r="S65" s="2"/>
      <c r="T65" s="2"/>
      <c r="U65" s="2"/>
      <c r="V65" s="2"/>
      <c r="W65" s="2"/>
      <c r="X65" s="2"/>
      <c r="Y65" s="2"/>
    </row>
    <row r="66">
      <c r="A66" s="30">
        <f>IFERROR(__xludf.DUMMYFUNCTION("""COMPUTED_VALUE"""),63.0)</f>
        <v>63</v>
      </c>
      <c r="B66" s="39">
        <f>IFERROR(__xludf.DUMMYFUNCTION("""COMPUTED_VALUE"""),45905.0)</f>
        <v>45905</v>
      </c>
      <c r="C66" s="30">
        <f>IFERROR(__xludf.DUMMYFUNCTION("""COMPUTED_VALUE"""),1.0)</f>
        <v>1</v>
      </c>
      <c r="D66" s="30" t="str">
        <f>IFERROR(__xludf.DUMMYFUNCTION("""COMPUTED_VALUE"""),"CT MỚI")</f>
        <v>CT MỚI</v>
      </c>
      <c r="E66" s="30"/>
      <c r="F66" s="2"/>
      <c r="G66" s="2" t="str">
        <f>IFERROR(__xludf.DUMMYFUNCTION("""COMPUTED_VALUE"""),"HH3910")</f>
        <v>HH3910</v>
      </c>
      <c r="H66" s="2" t="str">
        <f>IFERROR(__xludf.DUMMYFUNCTION("""COMPUTED_VALUE"""),"IDA Global - I - 3910 - Lưu dẫn thấm sâu mới (Nước xanh dương) - 120ml - 50")</f>
        <v>IDA Global - I - 3910 - Lưu dẫn thấm sâu mới (Nước xanh dương) - 120ml - 50</v>
      </c>
      <c r="I66" s="2" t="str">
        <f>IFERROR(__xludf.DUMMYFUNCTION("""COMPUTED_VALUE"""),"#N/A")</f>
        <v>#N/A</v>
      </c>
      <c r="J66" s="2"/>
      <c r="K66" s="2"/>
      <c r="L66" s="2"/>
      <c r="M66" s="2" t="str">
        <f>IFERROR(__xludf.DUMMYFUNCTION("""COMPUTED_VALUE"""),"LƯU DẪN THẤM SẤU ")</f>
        <v>LƯU DẪN THẤM SẤU </v>
      </c>
      <c r="N66" s="2" t="str">
        <f>IFERROR(__xludf.DUMMYFUNCTION("""COMPUTED_VALUE"""),"18TL0002V1")</f>
        <v>18TL0002V1</v>
      </c>
      <c r="O66" s="2" t="str">
        <f>IFERROR(__xludf.DUMMYFUNCTION("""COMPUTED_VALUE"""),"Phân bón Vi lượng Quantity New")</f>
        <v>Phân bón Vi lượng Quantity New</v>
      </c>
      <c r="P66" s="2" t="str">
        <f>IFERROR(__xludf.DUMMYFUNCTION("""COMPUTED_VALUE"""),"#N/A")</f>
        <v>#N/A</v>
      </c>
      <c r="Q66" s="30" t="str">
        <f>IFERROR(__xludf.DUMMYFUNCTION("""COMPUTED_VALUE"""),"KHÔNG KHỚP")</f>
        <v>KHÔNG KHỚP</v>
      </c>
      <c r="R66" s="2"/>
      <c r="S66" s="2"/>
      <c r="T66" s="2"/>
      <c r="U66" s="2"/>
      <c r="V66" s="2"/>
      <c r="W66" s="2"/>
      <c r="X66" s="2"/>
      <c r="Y66" s="2"/>
    </row>
    <row r="67">
      <c r="A67" s="30">
        <f>IFERROR(__xludf.DUMMYFUNCTION("""COMPUTED_VALUE"""),64.0)</f>
        <v>64</v>
      </c>
      <c r="B67" s="39">
        <f>IFERROR(__xludf.DUMMYFUNCTION("""COMPUTED_VALUE"""),45905.0)</f>
        <v>45905</v>
      </c>
      <c r="C67" s="30">
        <f>IFERROR(__xludf.DUMMYFUNCTION("""COMPUTED_VALUE"""),1.0)</f>
        <v>1</v>
      </c>
      <c r="D67" s="30" t="str">
        <f>IFERROR(__xludf.DUMMYFUNCTION("""COMPUTED_VALUE"""),"CT MỚI")</f>
        <v>CT MỚI</v>
      </c>
      <c r="E67" s="30"/>
      <c r="F67" s="2"/>
      <c r="G67" s="2" t="str">
        <f>IFERROR(__xludf.DUMMYFUNCTION("""COMPUTED_VALUE"""),"HH4054")</f>
        <v>HH4054</v>
      </c>
      <c r="H67" s="2" t="str">
        <f>IFERROR(__xludf.DUMMYFUNCTION("""COMPUTED_VALUE"""),"GC - IV - 4054 - CTY HIỆP PHÁT ABC - HP-03 (Bột trắng) - 100gr - 100")</f>
        <v>GC - IV - 4054 - CTY HIỆP PHÁT ABC - HP-03 (Bột trắng) - 100gr - 100</v>
      </c>
      <c r="I67" s="2" t="str">
        <f>IFERROR(__xludf.DUMMYFUNCTION("""COMPUTED_VALUE"""),"#N/A")</f>
        <v>#N/A</v>
      </c>
      <c r="J67" s="2"/>
      <c r="K67" s="2"/>
      <c r="L67" s="2" t="str">
        <f>IFERROR(__xludf.DUMMYFUNCTION("""COMPUTED_VALUE"""),"A03131224")</f>
        <v>A03131224</v>
      </c>
      <c r="M67" s="2" t="str">
        <f>IFERROR(__xludf.DUMMYFUNCTION("""COMPUTED_VALUE"""),"TAK03")</f>
        <v>TAK03</v>
      </c>
      <c r="N67" s="2" t="str">
        <f>IFERROR(__xludf.DUMMYFUNCTION("""COMPUTED_VALUE"""),"19DD0025")</f>
        <v>19DD0025</v>
      </c>
      <c r="O67" s="2" t="str">
        <f>IFERROR(__xludf.DUMMYFUNCTION("""COMPUTED_VALUE"""),"Phân bón Vi lượng AGAMA-BATFUNG")</f>
        <v>Phân bón Vi lượng AGAMA-BATFUNG</v>
      </c>
      <c r="P67" s="2" t="str">
        <f>IFERROR(__xludf.DUMMYFUNCTION("""COMPUTED_VALUE"""),"#N/A")</f>
        <v>#N/A</v>
      </c>
      <c r="Q67" s="30" t="str">
        <f>IFERROR(__xludf.DUMMYFUNCTION("""COMPUTED_VALUE"""),"KHÔNG KHỚP")</f>
        <v>KHÔNG KHỚP</v>
      </c>
      <c r="R67" s="2"/>
      <c r="S67" s="2"/>
      <c r="T67" s="2"/>
      <c r="U67" s="2"/>
      <c r="V67" s="2"/>
      <c r="W67" s="2"/>
      <c r="X67" s="2"/>
      <c r="Y67" s="2"/>
    </row>
    <row r="68">
      <c r="A68" s="30">
        <f>IFERROR(__xludf.DUMMYFUNCTION("""COMPUTED_VALUE"""),65.0)</f>
        <v>65</v>
      </c>
      <c r="B68" s="39">
        <f>IFERROR(__xludf.DUMMYFUNCTION("""COMPUTED_VALUE"""),45887.0)</f>
        <v>45887</v>
      </c>
      <c r="C68" s="30">
        <f>IFERROR(__xludf.DUMMYFUNCTION("""COMPUTED_VALUE"""),1.0)</f>
        <v>1</v>
      </c>
      <c r="D68" s="30" t="str">
        <f>IFERROR(__xludf.DUMMYFUNCTION("""COMPUTED_VALUE"""),"CT MỚI")</f>
        <v>CT MỚI</v>
      </c>
      <c r="E68" s="30"/>
      <c r="F68" s="2"/>
      <c r="G68" s="2" t="str">
        <f>IFERROR(__xludf.DUMMYFUNCTION("""COMPUTED_VALUE"""),"HH3988")</f>
        <v>HH3988</v>
      </c>
      <c r="H68" s="2" t="str">
        <f>IFERROR(__xludf.DUMMYFUNCTION("""COMPUTED_VALUE"""),"GC - IV - 3988 - CTY USAFARM - MAGIE-KẼM (Gel xanh lá) - 500ml - 40")</f>
        <v>GC - IV - 3988 - CTY USAFARM - MAGIE-KẼM (Gel xanh lá) - 500ml - 40</v>
      </c>
      <c r="I68" s="2" t="str">
        <f>IFERROR(__xludf.DUMMYFUNCTION("""COMPUTED_VALUE"""),"#N/A")</f>
        <v>#N/A</v>
      </c>
      <c r="J68" s="2"/>
      <c r="K68" s="2"/>
      <c r="L68" s="2" t="str">
        <f>IFERROR(__xludf.DUMMYFUNCTION("""COMPUTED_VALUE"""),"A04070825")</f>
        <v>A04070825</v>
      </c>
      <c r="M68" s="2" t="str">
        <f>IFERROR(__xludf.DUMMYFUNCTION("""COMPUTED_VALUE"""),"Amino Magie kẽm 02")</f>
        <v>Amino Magie kẽm 02</v>
      </c>
      <c r="N68" s="2" t="str">
        <f>IFERROR(__xludf.DUMMYFUNCTION("""COMPUTED_VALUE"""),"23GS0004")</f>
        <v>23GS0004</v>
      </c>
      <c r="O68" s="2" t="str">
        <f>IFERROR(__xludf.DUMMYFUNCTION("""COMPUTED_VALUE"""),"Phân bón vi lượng Phú Sĩ FJ-09 Kẽm Mg")</f>
        <v>Phân bón vi lượng Phú Sĩ FJ-09 Kẽm Mg</v>
      </c>
      <c r="P68" s="2" t="str">
        <f>IFERROR(__xludf.DUMMYFUNCTION("""COMPUTED_VALUE"""),"#N/A")</f>
        <v>#N/A</v>
      </c>
      <c r="Q68" s="30" t="str">
        <f>IFERROR(__xludf.DUMMYFUNCTION("""COMPUTED_VALUE"""),"KHÔNG KHỚP")</f>
        <v>KHÔNG KHỚP</v>
      </c>
      <c r="R68" s="2"/>
      <c r="S68" s="2"/>
      <c r="T68" s="2"/>
      <c r="U68" s="2"/>
      <c r="V68" s="2"/>
      <c r="W68" s="2"/>
      <c r="X68" s="2"/>
      <c r="Y68" s="2"/>
    </row>
    <row r="69">
      <c r="A69" s="30">
        <f>IFERROR(__xludf.DUMMYFUNCTION("""COMPUTED_VALUE"""),66.0)</f>
        <v>66</v>
      </c>
      <c r="B69" s="39">
        <f>IFERROR(__xludf.DUMMYFUNCTION("""COMPUTED_VALUE"""),45903.0)</f>
        <v>45903</v>
      </c>
      <c r="C69" s="30">
        <f>IFERROR(__xludf.DUMMYFUNCTION("""COMPUTED_VALUE"""),3.0)</f>
        <v>3</v>
      </c>
      <c r="D69" s="30" t="str">
        <f>IFERROR(__xludf.DUMMYFUNCTION("""COMPUTED_VALUE"""),"CT XỬ LÝ LỖI")</f>
        <v>CT XỬ LÝ LỖI</v>
      </c>
      <c r="E69" s="30"/>
      <c r="F69" s="2"/>
      <c r="G69" s="2" t="str">
        <f>IFERROR(__xludf.DUMMYFUNCTION("""COMPUTED_VALUE"""),"HH3925")</f>
        <v>HH3925</v>
      </c>
      <c r="H69" s="2" t="str">
        <f>IFERROR(__xludf.DUMMYFUNCTION("""COMPUTED_VALUE"""),"GC - IV - 3925 - Cty Newtex - ĐÒNG TO BÔNG KẸO T7 (Dạng SC màu vàng nhạt) - 500ml - 40")</f>
        <v>GC - IV - 3925 - Cty Newtex - ĐÒNG TO BÔNG KẸO T7 (Dạng SC màu vàng nhạt) - 500ml - 40</v>
      </c>
      <c r="I69" s="2" t="str">
        <f>IFERROR(__xludf.DUMMYFUNCTION("""COMPUTED_VALUE"""),"#N/A")</f>
        <v>#N/A</v>
      </c>
      <c r="J69" s="2"/>
      <c r="K69" s="2"/>
      <c r="L69" s="2" t="str">
        <f>IFERROR(__xludf.DUMMYFUNCTION("""COMPUTED_VALUE"""),"XỬ LÝ BTP-02 ")</f>
        <v>XỬ LÝ BTP-02 </v>
      </c>
      <c r="M69" s="2" t="str">
        <f>IFERROR(__xludf.DUMMYFUNCTION("""COMPUTED_VALUE"""),"TO ĐỒNG")</f>
        <v>TO ĐỒNG</v>
      </c>
      <c r="N69" s="2" t="str">
        <f>IFERROR(__xludf.DUMMYFUNCTION("""COMPUTED_VALUE"""),"03DD0017-56082502")</f>
        <v>03DD0017-56082502</v>
      </c>
      <c r="O69" s="2" t="str">
        <f>IFERROR(__xludf.DUMMYFUNCTION("""COMPUTED_VALUE"""),"Phân bón lá NPK-Vi lượng GNC 19")</f>
        <v>Phân bón lá NPK-Vi lượng GNC 19</v>
      </c>
      <c r="P69" s="2" t="str">
        <f>IFERROR(__xludf.DUMMYFUNCTION("""COMPUTED_VALUE"""),"#N/A")</f>
        <v>#N/A</v>
      </c>
      <c r="Q69" s="30" t="str">
        <f>IFERROR(__xludf.DUMMYFUNCTION("""COMPUTED_VALUE"""),"KHÔNG KHỚP")</f>
        <v>KHÔNG KHỚP</v>
      </c>
      <c r="R69" s="2"/>
      <c r="S69" s="2"/>
      <c r="T69" s="2"/>
      <c r="U69" s="2"/>
      <c r="V69" s="2"/>
      <c r="W69" s="2"/>
      <c r="X69" s="2"/>
      <c r="Y69" s="2"/>
    </row>
    <row r="70">
      <c r="A70" s="30">
        <f>IFERROR(__xludf.DUMMYFUNCTION("""COMPUTED_VALUE"""),67.0)</f>
        <v>67</v>
      </c>
      <c r="B70" s="39">
        <f>IFERROR(__xludf.DUMMYFUNCTION("""COMPUTED_VALUE"""),45905.0)</f>
        <v>45905</v>
      </c>
      <c r="C70" s="30">
        <f>IFERROR(__xludf.DUMMYFUNCTION("""COMPUTED_VALUE"""),1.0)</f>
        <v>1</v>
      </c>
      <c r="D70" s="30" t="str">
        <f>IFERROR(__xludf.DUMMYFUNCTION("""COMPUTED_VALUE"""),"CT XỬ LÝ LỖI")</f>
        <v>CT XỬ LÝ LỖI</v>
      </c>
      <c r="E70" s="30"/>
      <c r="F70" s="2"/>
      <c r="G70" s="2" t="str">
        <f>IFERROR(__xludf.DUMMYFUNCTION("""COMPUTED_VALUE"""),"HH4044")</f>
        <v>HH4044</v>
      </c>
      <c r="H70" s="2" t="str">
        <f>IFERROR(__xludf.DUMMYFUNCTION("""COMPUTED_VALUE"""),"GC - IV - 4044 - Cty Sen Hồng - ROOT+ (Gel xanh dương) - 500ml - 40")</f>
        <v>GC - IV - 4044 - Cty Sen Hồng - ROOT+ (Gel xanh dương) - 500ml - 40</v>
      </c>
      <c r="I70" s="2" t="str">
        <f>IFERROR(__xludf.DUMMYFUNCTION("""COMPUTED_VALUE"""),"#N/A")</f>
        <v>#N/A</v>
      </c>
      <c r="J70" s="2"/>
      <c r="K70" s="2"/>
      <c r="L70" s="2" t="str">
        <f>IFERROR(__xludf.DUMMYFUNCTION("""COMPUTED_VALUE"""),"XỬ LÝ BTP LỖI")</f>
        <v>XỬ LÝ BTP LỖI</v>
      </c>
      <c r="M70" s="2" t="str">
        <f>IFERROR(__xludf.DUMMYFUNCTION("""COMPUTED_VALUE"""),"ROOT+")</f>
        <v>ROOT+</v>
      </c>
      <c r="N70" s="2" t="str">
        <f>IFERROR(__xludf.DUMMYFUNCTION("""COMPUTED_VALUE"""),"01RR0039-24042501")</f>
        <v>01RR0039-24042501</v>
      </c>
      <c r="O70" s="2" t="str">
        <f>IFERROR(__xludf.DUMMYFUNCTION("""COMPUTED_VALUE"""),"Phân bón Vi lượng AGAMA-SUPPORT")</f>
        <v>Phân bón Vi lượng AGAMA-SUPPORT</v>
      </c>
      <c r="P70" s="2" t="str">
        <f>IFERROR(__xludf.DUMMYFUNCTION("""COMPUTED_VALUE"""),"#N/A")</f>
        <v>#N/A</v>
      </c>
      <c r="Q70" s="30" t="str">
        <f>IFERROR(__xludf.DUMMYFUNCTION("""COMPUTED_VALUE"""),"KHÔNG KHỚP")</f>
        <v>KHÔNG KHỚP</v>
      </c>
      <c r="R70" s="2"/>
      <c r="S70" s="2"/>
      <c r="T70" s="2"/>
      <c r="U70" s="2"/>
      <c r="V70" s="2"/>
      <c r="W70" s="2"/>
      <c r="X70" s="2"/>
      <c r="Y70" s="2"/>
    </row>
    <row r="71">
      <c r="A71" s="30">
        <f>IFERROR(__xludf.DUMMYFUNCTION("""COMPUTED_VALUE"""),68.0)</f>
        <v>68</v>
      </c>
      <c r="B71" s="39">
        <f>IFERROR(__xludf.DUMMYFUNCTION("""COMPUTED_VALUE"""),45910.0)</f>
        <v>45910</v>
      </c>
      <c r="C71" s="30">
        <f>IFERROR(__xludf.DUMMYFUNCTION("""COMPUTED_VALUE"""),1.0)</f>
        <v>1</v>
      </c>
      <c r="D71" s="30" t="str">
        <f>IFERROR(__xludf.DUMMYFUNCTION("""COMPUTED_VALUE"""),"CT MỚI")</f>
        <v>CT MỚI</v>
      </c>
      <c r="E71" s="30"/>
      <c r="F71" s="2"/>
      <c r="G71" s="2" t="str">
        <f>IFERROR(__xludf.DUMMYFUNCTION("""COMPUTED_VALUE"""),"HH4089")</f>
        <v>HH4089</v>
      </c>
      <c r="H71" s="2" t="str">
        <f>IFERROR(__xludf.DUMMYFUNCTION("""COMPUTED_VALUE"""),"DR.XANH - VIII - 4089 - DR.XTRESS (Nước nâu đen) - 250ml - 40")</f>
        <v>DR.XANH - VIII - 4089 - DR.XTRESS (Nước nâu đen) - 250ml - 40</v>
      </c>
      <c r="I71" s="2" t="str">
        <f>IFERROR(__xludf.DUMMYFUNCTION("""COMPUTED_VALUE"""),"#N/A")</f>
        <v>#N/A</v>
      </c>
      <c r="J71" s="2"/>
      <c r="K71" s="2"/>
      <c r="L71" s="2" t="str">
        <f>IFERROR(__xludf.DUMMYFUNCTION("""COMPUTED_VALUE"""),"N04181224
X05121224")</f>
        <v>N04181224
X05121224</v>
      </c>
      <c r="M71" s="2" t="str">
        <f>IFERROR(__xludf.DUMMYFUNCTION("""COMPUTED_VALUE"""),"N2 BOOSTER
DR.HUCO")</f>
        <v>N2 BOOSTER
DR.HUCO</v>
      </c>
      <c r="N71" s="2" t="str">
        <f>IFERROR(__xludf.DUMMYFUNCTION("""COMPUTED_VALUE"""),"01RR0041V1")</f>
        <v>01RR0041V1</v>
      </c>
      <c r="O71" s="2" t="str">
        <f>IFERROR(__xludf.DUMMYFUNCTION("""COMPUTED_VALUE"""),"Phân bón Hữu cơ ORGANIC BM GOLD FW")</f>
        <v>Phân bón Hữu cơ ORGANIC BM GOLD FW</v>
      </c>
      <c r="P71" s="2" t="str">
        <f>IFERROR(__xludf.DUMMYFUNCTION("""COMPUTED_VALUE"""),"#N/A")</f>
        <v>#N/A</v>
      </c>
      <c r="Q71" s="30" t="str">
        <f>IFERROR(__xludf.DUMMYFUNCTION("""COMPUTED_VALUE"""),"KHÔNG KHỚP")</f>
        <v>KHÔNG KHỚP</v>
      </c>
      <c r="R71" s="2"/>
      <c r="S71" s="2"/>
      <c r="T71" s="2"/>
      <c r="U71" s="2"/>
      <c r="V71" s="2"/>
      <c r="W71" s="2"/>
      <c r="X71" s="2"/>
      <c r="Y71" s="2"/>
    </row>
    <row r="72">
      <c r="A72" s="30">
        <f>IFERROR(__xludf.DUMMYFUNCTION("""COMPUTED_VALUE"""),69.0)</f>
        <v>69</v>
      </c>
      <c r="B72" s="39">
        <f>IFERROR(__xludf.DUMMYFUNCTION("""COMPUTED_VALUE"""),45908.0)</f>
        <v>45908</v>
      </c>
      <c r="C72" s="30">
        <f>IFERROR(__xludf.DUMMYFUNCTION("""COMPUTED_VALUE"""),1.0)</f>
        <v>1</v>
      </c>
      <c r="D72" s="30" t="str">
        <f>IFERROR(__xludf.DUMMYFUNCTION("""COMPUTED_VALUE"""),"CT MỚI")</f>
        <v>CT MỚI</v>
      </c>
      <c r="E72" s="30"/>
      <c r="F72" s="2"/>
      <c r="G72" s="2" t="str">
        <f>IFERROR(__xludf.DUMMYFUNCTION("""COMPUTED_VALUE"""),"HH3994")</f>
        <v>HH3994</v>
      </c>
      <c r="H72" s="2" t="str">
        <f>IFERROR(__xludf.DUMMYFUNCTION("""COMPUTED_VALUE"""),"IDA Global - I - 3994 - RONADO (Nước tím) - 450ml - 40")</f>
        <v>IDA Global - I - 3994 - RONADO (Nước tím) - 450ml - 40</v>
      </c>
      <c r="I72" s="2" t="str">
        <f>IFERROR(__xludf.DUMMYFUNCTION("""COMPUTED_VALUE"""),"#N/A")</f>
        <v>#N/A</v>
      </c>
      <c r="J72" s="2"/>
      <c r="K72" s="2"/>
      <c r="L72" s="2" t="str">
        <f>IFERROR(__xludf.DUMMYFUNCTION("""COMPUTED_VALUE"""),"L03130525")</f>
        <v>L03130525</v>
      </c>
      <c r="M72" s="2" t="str">
        <f>IFERROR(__xludf.DUMMYFUNCTION("""COMPUTED_VALUE"""),"RONADO 
(CẢI TIẾN)")</f>
        <v>RONADO 
(CẢI TIẾN)</v>
      </c>
      <c r="N72" s="2" t="str">
        <f>IFERROR(__xludf.DUMMYFUNCTION("""COMPUTED_VALUE"""),"01RR0072")</f>
        <v>01RR0072</v>
      </c>
      <c r="O72" s="2" t="str">
        <f>IFERROR(__xludf.DUMMYFUNCTION("""COMPUTED_VALUE"""),"Phân bón Hỗn hợp NP AGAMA-AP")</f>
        <v>Phân bón Hỗn hợp NP AGAMA-AP</v>
      </c>
      <c r="P72" s="2" t="str">
        <f>IFERROR(__xludf.DUMMYFUNCTION("""COMPUTED_VALUE"""),"#N/A")</f>
        <v>#N/A</v>
      </c>
      <c r="Q72" s="30" t="str">
        <f>IFERROR(__xludf.DUMMYFUNCTION("""COMPUTED_VALUE"""),"KHÔNG KHỚP")</f>
        <v>KHÔNG KHỚP</v>
      </c>
      <c r="R72" s="2"/>
      <c r="S72" s="2"/>
      <c r="T72" s="2"/>
      <c r="U72" s="2"/>
      <c r="V72" s="2"/>
      <c r="W72" s="2"/>
      <c r="X72" s="2"/>
      <c r="Y72" s="2"/>
    </row>
    <row r="73">
      <c r="A73" s="30">
        <f>IFERROR(__xludf.DUMMYFUNCTION("""COMPUTED_VALUE"""),70.0)</f>
        <v>70</v>
      </c>
      <c r="B73" s="39">
        <f>IFERROR(__xludf.DUMMYFUNCTION("""COMPUTED_VALUE"""),45896.0)</f>
        <v>45896</v>
      </c>
      <c r="C73" s="30">
        <f>IFERROR(__xludf.DUMMYFUNCTION("""COMPUTED_VALUE"""),1.0)</f>
        <v>1</v>
      </c>
      <c r="D73" s="30" t="str">
        <f>IFERROR(__xludf.DUMMYFUNCTION("""COMPUTED_VALUE"""),"CT MỚI")</f>
        <v>CT MỚI</v>
      </c>
      <c r="E73" s="30"/>
      <c r="F73" s="2"/>
      <c r="G73" s="2" t="str">
        <f>IFERROR(__xludf.DUMMYFUNCTION("""COMPUTED_VALUE"""),"HH4049")</f>
        <v>HH4049</v>
      </c>
      <c r="H73" s="2" t="str">
        <f>IFERROR(__xludf.DUMMYFUNCTION("""COMPUTED_VALUE"""),"GC - IV - 4049 - WINDY ALS - CALCIBOZIN (Dạng SC - Trắng sữa) - 500ml - 40")</f>
        <v>GC - IV - 4049 - WINDY ALS - CALCIBOZIN (Dạng SC - Trắng sữa) - 500ml - 40</v>
      </c>
      <c r="I73" s="2" t="str">
        <f>IFERROR(__xludf.DUMMYFUNCTION("""COMPUTED_VALUE"""),"#N/A")</f>
        <v>#N/A</v>
      </c>
      <c r="J73" s="2"/>
      <c r="K73" s="2"/>
      <c r="L73" s="2" t="str">
        <f>IFERROR(__xludf.DUMMYFUNCTION("""COMPUTED_VALUE"""),"A02160725")</f>
        <v>A02160725</v>
      </c>
      <c r="M73" s="2" t="str">
        <f>IFERROR(__xludf.DUMMYFUNCTION("""COMPUTED_VALUE"""),"AGAMA-CANXI BO
(KIM NGỌC)")</f>
        <v>AGAMA-CANXI BO
(KIM NGỌC)</v>
      </c>
      <c r="N73" s="2" t="str">
        <f>IFERROR(__xludf.DUMMYFUNCTION("""COMPUTED_VALUE"""),"10CR0021")</f>
        <v>10CR0021</v>
      </c>
      <c r="O73" s="2" t="str">
        <f>IFERROR(__xludf.DUMMYFUNCTION("""COMPUTED_VALUE"""),"Phân bón Vi lượng AGAMA-CANXI BO")</f>
        <v>Phân bón Vi lượng AGAMA-CANXI BO</v>
      </c>
      <c r="P73" s="2" t="str">
        <f>IFERROR(__xludf.DUMMYFUNCTION("""COMPUTED_VALUE"""),"#N/A")</f>
        <v>#N/A</v>
      </c>
      <c r="Q73" s="30" t="str">
        <f>IFERROR(__xludf.DUMMYFUNCTION("""COMPUTED_VALUE"""),"KHÔNG KHỚP")</f>
        <v>KHÔNG KHỚP</v>
      </c>
      <c r="R73" s="2"/>
      <c r="S73" s="2"/>
      <c r="T73" s="2"/>
      <c r="U73" s="2"/>
      <c r="V73" s="2"/>
      <c r="W73" s="2"/>
      <c r="X73" s="2"/>
      <c r="Y73" s="2"/>
    </row>
    <row r="74">
      <c r="A74" s="30">
        <f>IFERROR(__xludf.DUMMYFUNCTION("""COMPUTED_VALUE"""),71.0)</f>
        <v>71</v>
      </c>
      <c r="B74" s="39">
        <f>IFERROR(__xludf.DUMMYFUNCTION("""COMPUTED_VALUE"""),45896.0)</f>
        <v>45896</v>
      </c>
      <c r="C74" s="30">
        <f>IFERROR(__xludf.DUMMYFUNCTION("""COMPUTED_VALUE"""),1.0)</f>
        <v>1</v>
      </c>
      <c r="D74" s="30" t="str">
        <f>IFERROR(__xludf.DUMMYFUNCTION("""COMPUTED_VALUE"""),"CT MỚI")</f>
        <v>CT MỚI</v>
      </c>
      <c r="E74" s="30"/>
      <c r="F74" s="2"/>
      <c r="G74" s="2" t="str">
        <f>IFERROR(__xludf.DUMMYFUNCTION("""COMPUTED_VALUE"""),"HH3953")</f>
        <v>HH3953</v>
      </c>
      <c r="H74" s="2" t="str">
        <f>IFERROR(__xludf.DUMMYFUNCTION("""COMPUTED_VALUE"""),"GC - IV - 3953 - CTY THIÊN DI - THIDI CANXIBO (Nước trắng sữa) - 500ml - 40")</f>
        <v>GC - IV - 3953 - CTY THIÊN DI - THIDI CANXIBO (Nước trắng sữa) - 500ml - 40</v>
      </c>
      <c r="I74" s="2" t="str">
        <f>IFERROR(__xludf.DUMMYFUNCTION("""COMPUTED_VALUE"""),"#N/A")</f>
        <v>#N/A</v>
      </c>
      <c r="J74" s="2"/>
      <c r="K74" s="2"/>
      <c r="L74" s="2" t="str">
        <f>IFERROR(__xludf.DUMMYFUNCTION("""COMPUTED_VALUE"""),"A02160725")</f>
        <v>A02160725</v>
      </c>
      <c r="M74" s="2" t="str">
        <f>IFERROR(__xludf.DUMMYFUNCTION("""COMPUTED_VALUE"""),"AGAMA-CANXI BO
(KIM NGỌC)")</f>
        <v>AGAMA-CANXI BO
(KIM NGỌC)</v>
      </c>
      <c r="N74" s="2" t="str">
        <f>IFERROR(__xludf.DUMMYFUNCTION("""COMPUTED_VALUE"""),"10CR0021")</f>
        <v>10CR0021</v>
      </c>
      <c r="O74" s="2" t="str">
        <f>IFERROR(__xludf.DUMMYFUNCTION("""COMPUTED_VALUE"""),"Phân bón Vi lượng AGAMA-CANXI BO")</f>
        <v>Phân bón Vi lượng AGAMA-CANXI BO</v>
      </c>
      <c r="P74" s="2" t="str">
        <f>IFERROR(__xludf.DUMMYFUNCTION("""COMPUTED_VALUE"""),"#N/A")</f>
        <v>#N/A</v>
      </c>
      <c r="Q74" s="30" t="str">
        <f>IFERROR(__xludf.DUMMYFUNCTION("""COMPUTED_VALUE"""),"KHÔNG KHỚP")</f>
        <v>KHÔNG KHỚP</v>
      </c>
      <c r="R74" s="2"/>
      <c r="S74" s="2"/>
      <c r="T74" s="2"/>
      <c r="U74" s="2"/>
      <c r="V74" s="2"/>
      <c r="W74" s="2"/>
      <c r="X74" s="2"/>
      <c r="Y74" s="2"/>
    </row>
    <row r="75">
      <c r="A75" s="30">
        <f>IFERROR(__xludf.DUMMYFUNCTION("""COMPUTED_VALUE"""),72.0)</f>
        <v>72</v>
      </c>
      <c r="B75" s="39">
        <f>IFERROR(__xludf.DUMMYFUNCTION("""COMPUTED_VALUE"""),45909.0)</f>
        <v>45909</v>
      </c>
      <c r="C75" s="30">
        <f>IFERROR(__xludf.DUMMYFUNCTION("""COMPUTED_VALUE"""),1.0)</f>
        <v>1</v>
      </c>
      <c r="D75" s="30" t="str">
        <f>IFERROR(__xludf.DUMMYFUNCTION("""COMPUTED_VALUE"""),"CT MỚI")</f>
        <v>CT MỚI</v>
      </c>
      <c r="E75" s="30"/>
      <c r="F75" s="2"/>
      <c r="G75" s="2" t="str">
        <f>IFERROR(__xludf.DUMMYFUNCTION("""COMPUTED_VALUE"""),"HH4050")</f>
        <v>HH4050</v>
      </c>
      <c r="H75" s="2" t="str">
        <f>IFERROR(__xludf.DUMMYFUNCTION("""COMPUTED_VALUE"""),"GC - IV - 4050 - WINDY ALS - ZINC-MAGIE (Dạng SC - Xanh lá) - 450ml - 40")</f>
        <v>GC - IV - 4050 - WINDY ALS - ZINC-MAGIE (Dạng SC - Xanh lá) - 450ml - 40</v>
      </c>
      <c r="I75" s="2" t="str">
        <f>IFERROR(__xludf.DUMMYFUNCTION("""COMPUTED_VALUE"""),"#N/A")</f>
        <v>#N/A</v>
      </c>
      <c r="J75" s="2"/>
      <c r="K75" s="2"/>
      <c r="L75" s="2" t="str">
        <f>IFERROR(__xludf.DUMMYFUNCTION("""COMPUTED_VALUE"""),"A05200825")</f>
        <v>A05200825</v>
      </c>
      <c r="M75" s="2" t="str">
        <f>IFERROR(__xludf.DUMMYFUNCTION("""COMPUTED_VALUE"""),"AMINO MAGIE - KẼM CAO CẤP 02")</f>
        <v>AMINO MAGIE - KẼM CAO CẤP 02</v>
      </c>
      <c r="N75" s="2" t="str">
        <f>IFERROR(__xludf.DUMMYFUNCTION("""COMPUTED_VALUE"""),"23GS0011")</f>
        <v>23GS0011</v>
      </c>
      <c r="O75" s="2" t="str">
        <f>IFERROR(__xludf.DUMMYFUNCTION("""COMPUTED_VALUE"""),"Phân bón vi lượng Phú Sĩ FJ-09 Kẽm Mg")</f>
        <v>Phân bón vi lượng Phú Sĩ FJ-09 Kẽm Mg</v>
      </c>
      <c r="P75" s="2" t="str">
        <f>IFERROR(__xludf.DUMMYFUNCTION("""COMPUTED_VALUE"""),"#N/A")</f>
        <v>#N/A</v>
      </c>
      <c r="Q75" s="30" t="str">
        <f>IFERROR(__xludf.DUMMYFUNCTION("""COMPUTED_VALUE"""),"KHÔNG KHỚP")</f>
        <v>KHÔNG KHỚP</v>
      </c>
      <c r="R75" s="2"/>
      <c r="S75" s="2"/>
      <c r="T75" s="2"/>
      <c r="U75" s="2"/>
      <c r="V75" s="2"/>
      <c r="W75" s="2"/>
      <c r="X75" s="2"/>
      <c r="Y75" s="2"/>
    </row>
    <row r="76">
      <c r="A76" s="30">
        <f>IFERROR(__xludf.DUMMYFUNCTION("""COMPUTED_VALUE"""),73.0)</f>
        <v>73</v>
      </c>
      <c r="B76" s="39">
        <f>IFERROR(__xludf.DUMMYFUNCTION("""COMPUTED_VALUE"""),45908.0)</f>
        <v>45908</v>
      </c>
      <c r="C76" s="30">
        <f>IFERROR(__xludf.DUMMYFUNCTION("""COMPUTED_VALUE"""),1.0)</f>
        <v>1</v>
      </c>
      <c r="D76" s="30" t="str">
        <f>IFERROR(__xludf.DUMMYFUNCTION("""COMPUTED_VALUE"""),"CT MỚI")</f>
        <v>CT MỚI</v>
      </c>
      <c r="E76" s="30"/>
      <c r="F76" s="2"/>
      <c r="G76" s="2" t="str">
        <f>IFERROR(__xludf.DUMMYFUNCTION("""COMPUTED_VALUE"""),"HH1913")</f>
        <v>HH1913</v>
      </c>
      <c r="H76" s="2" t="str">
        <f>IFERROR(__xludf.DUMMYFUNCTION("""COMPUTED_VALUE"""),"GC - IV - 1913 - HÓA NÔNG SHINO - COMBI SHINO PLUS+ (Nước xanh lá) - 250ml - 40")</f>
        <v>GC - IV - 1913 - HÓA NÔNG SHINO - COMBI SHINO PLUS+ (Nước xanh lá) - 250ml - 40</v>
      </c>
      <c r="I76" s="2" t="str">
        <f>IFERROR(__xludf.DUMMYFUNCTION("""COMPUTED_VALUE"""),"#N/A")</f>
        <v>#N/A</v>
      </c>
      <c r="J76" s="2"/>
      <c r="K76" s="2"/>
      <c r="L76" s="2"/>
      <c r="M76" s="2" t="str">
        <f>IFERROR(__xludf.DUMMYFUNCTION("""COMPUTED_VALUE"""),"COMBI SHINO PLUS+")</f>
        <v>COMBI SHINO PLUS+</v>
      </c>
      <c r="N76" s="2" t="str">
        <f>IFERROR(__xludf.DUMMYFUNCTION("""COMPUTED_VALUE"""),"16VL0001V1")</f>
        <v>16VL0001V1</v>
      </c>
      <c r="O76" s="2" t="str">
        <f>IFERROR(__xludf.DUMMYFUNCTION("""COMPUTED_VALUE"""),"Phân bón Vi lượng Quantity New")</f>
        <v>Phân bón Vi lượng Quantity New</v>
      </c>
      <c r="P76" s="2" t="str">
        <f>IFERROR(__xludf.DUMMYFUNCTION("""COMPUTED_VALUE"""),"#N/A")</f>
        <v>#N/A</v>
      </c>
      <c r="Q76" s="30" t="str">
        <f>IFERROR(__xludf.DUMMYFUNCTION("""COMPUTED_VALUE"""),"KHÔNG KHỚP")</f>
        <v>KHÔNG KHỚP</v>
      </c>
      <c r="R76" s="2"/>
      <c r="S76" s="2"/>
      <c r="T76" s="2"/>
      <c r="U76" s="2"/>
      <c r="V76" s="2"/>
      <c r="W76" s="2"/>
      <c r="X76" s="2"/>
      <c r="Y76" s="2"/>
    </row>
    <row r="77">
      <c r="A77" s="30">
        <f>IFERROR(__xludf.DUMMYFUNCTION("""COMPUTED_VALUE"""),74.0)</f>
        <v>74</v>
      </c>
      <c r="B77" s="39">
        <f>IFERROR(__xludf.DUMMYFUNCTION("""COMPUTED_VALUE"""),45897.0)</f>
        <v>45897</v>
      </c>
      <c r="C77" s="30">
        <f>IFERROR(__xludf.DUMMYFUNCTION("""COMPUTED_VALUE"""),1.0)</f>
        <v>1</v>
      </c>
      <c r="D77" s="30" t="str">
        <f>IFERROR(__xludf.DUMMYFUNCTION("""COMPUTED_VALUE"""),"CT MỚI")</f>
        <v>CT MỚI</v>
      </c>
      <c r="E77" s="30"/>
      <c r="F77" s="2"/>
      <c r="G77" s="2" t="str">
        <f>IFERROR(__xludf.DUMMYFUNCTION("""COMPUTED_VALUE"""),"HH2893")</f>
        <v>HH2893</v>
      </c>
      <c r="H77" s="2" t="str">
        <f>IFERROR(__xludf.DUMMYFUNCTION("""COMPUTED_VALUE"""),"GC - IV - 2893 - CTY ASAHI NHẬT BẢN - KINONE KÍCH RỄ (Nước nâu đen) - 22kg - 1")</f>
        <v>GC - IV - 2893 - CTY ASAHI NHẬT BẢN - KINONE KÍCH RỄ (Nước nâu đen) - 22kg - 1</v>
      </c>
      <c r="I77" s="2" t="str">
        <f>IFERROR(__xludf.DUMMYFUNCTION("""COMPUTED_VALUE"""),"#N/A")</f>
        <v>#N/A</v>
      </c>
      <c r="J77" s="2"/>
      <c r="K77" s="2"/>
      <c r="L77" s="2" t="str">
        <f>IFERROR(__xludf.DUMMYFUNCTION("""COMPUTED_VALUE"""),"A06291024")</f>
        <v>A06291024</v>
      </c>
      <c r="M77" s="2" t="str">
        <f>IFERROR(__xludf.DUMMYFUNCTION("""COMPUTED_VALUE"""),"ULTRA BUD")</f>
        <v>ULTRA BUD</v>
      </c>
      <c r="N77" s="2" t="str">
        <f>IFERROR(__xludf.DUMMYFUNCTION("""COMPUTED_VALUE"""),"01RR0036V1")</f>
        <v>01RR0036V1</v>
      </c>
      <c r="O77" s="2" t="str">
        <f>IFERROR(__xludf.DUMMYFUNCTION("""COMPUTED_VALUE"""),"Phân bón Hữu cơ SH Agro Organic Fertilizer 20")</f>
        <v>Phân bón Hữu cơ SH Agro Organic Fertilizer 20</v>
      </c>
      <c r="P77" s="2" t="str">
        <f>IFERROR(__xludf.DUMMYFUNCTION("""COMPUTED_VALUE"""),"#N/A")</f>
        <v>#N/A</v>
      </c>
      <c r="Q77" s="30" t="str">
        <f>IFERROR(__xludf.DUMMYFUNCTION("""COMPUTED_VALUE"""),"KHÔNG KHỚP")</f>
        <v>KHÔNG KHỚP</v>
      </c>
      <c r="R77" s="2"/>
      <c r="S77" s="2"/>
      <c r="T77" s="2"/>
      <c r="U77" s="2"/>
      <c r="V77" s="2"/>
      <c r="W77" s="2"/>
      <c r="X77" s="2"/>
      <c r="Y77" s="2"/>
    </row>
    <row r="78">
      <c r="A78" s="30">
        <f>IFERROR(__xludf.DUMMYFUNCTION("""COMPUTED_VALUE"""),75.0)</f>
        <v>75</v>
      </c>
      <c r="B78" s="39">
        <f>IFERROR(__xludf.DUMMYFUNCTION("""COMPUTED_VALUE"""),45908.0)</f>
        <v>45908</v>
      </c>
      <c r="C78" s="30">
        <f>IFERROR(__xludf.DUMMYFUNCTION("""COMPUTED_VALUE"""),1.0)</f>
        <v>1</v>
      </c>
      <c r="D78" s="30" t="str">
        <f>IFERROR(__xludf.DUMMYFUNCTION("""COMPUTED_VALUE"""),"CT MỚI")</f>
        <v>CT MỚI</v>
      </c>
      <c r="E78" s="30"/>
      <c r="F78" s="2"/>
      <c r="G78" s="2" t="str">
        <f>IFERROR(__xludf.DUMMYFUNCTION("""COMPUTED_VALUE"""),"HH4052")</f>
        <v>HH4052</v>
      </c>
      <c r="H78" s="2" t="str">
        <f>IFERROR(__xludf.DUMMYFUNCTION("""COMPUTED_VALUE"""),"GC - IV - 4052 - AGRITECH - NUTI ROOTS 02 (Nước nâu đen) - 1L - 20")</f>
        <v>GC - IV - 4052 - AGRITECH - NUTI ROOTS 02 (Nước nâu đen) - 1L - 20</v>
      </c>
      <c r="I78" s="2" t="str">
        <f>IFERROR(__xludf.DUMMYFUNCTION("""COMPUTED_VALUE"""),"#N/A")</f>
        <v>#N/A</v>
      </c>
      <c r="J78" s="2"/>
      <c r="K78" s="2"/>
      <c r="L78" s="2" t="str">
        <f>IFERROR(__xludf.DUMMYFUNCTION("""COMPUTED_VALUE"""),"A20280225")</f>
        <v>A20280225</v>
      </c>
      <c r="M78" s="2" t="str">
        <f>IFERROR(__xludf.DUMMYFUNCTION("""COMPUTED_VALUE"""),"BETA VUA RỄ")</f>
        <v>BETA VUA RỄ</v>
      </c>
      <c r="N78" s="2" t="str">
        <f>IFERROR(__xludf.DUMMYFUNCTION("""COMPUTED_VALUE"""),"01RR0050")</f>
        <v>01RR0050</v>
      </c>
      <c r="O78" s="2" t="str">
        <f>IFERROR(__xludf.DUMMYFUNCTION("""COMPUTED_VALUE"""),"Phân bón Hỗn hợp NP AGAMA-AP")</f>
        <v>Phân bón Hỗn hợp NP AGAMA-AP</v>
      </c>
      <c r="P78" s="2" t="str">
        <f>IFERROR(__xludf.DUMMYFUNCTION("""COMPUTED_VALUE"""),"#N/A")</f>
        <v>#N/A</v>
      </c>
      <c r="Q78" s="30" t="str">
        <f>IFERROR(__xludf.DUMMYFUNCTION("""COMPUTED_VALUE"""),"KHÔNG KHỚP")</f>
        <v>KHÔNG KHỚP</v>
      </c>
      <c r="R78" s="2"/>
      <c r="S78" s="2"/>
      <c r="T78" s="2"/>
      <c r="U78" s="2"/>
      <c r="V78" s="2"/>
      <c r="W78" s="2"/>
      <c r="X78" s="2"/>
      <c r="Y78" s="2"/>
    </row>
    <row r="79">
      <c r="A79" s="30">
        <f>IFERROR(__xludf.DUMMYFUNCTION("""COMPUTED_VALUE"""),76.0)</f>
        <v>76</v>
      </c>
      <c r="B79" s="39">
        <f>IFERROR(__xludf.DUMMYFUNCTION("""COMPUTED_VALUE"""),45911.0)</f>
        <v>45911</v>
      </c>
      <c r="C79" s="30">
        <f>IFERROR(__xludf.DUMMYFUNCTION("""COMPUTED_VALUE"""),1.0)</f>
        <v>1</v>
      </c>
      <c r="D79" s="30" t="str">
        <f>IFERROR(__xludf.DUMMYFUNCTION("""COMPUTED_VALUE"""),"CT MỚI")</f>
        <v>CT MỚI</v>
      </c>
      <c r="E79" s="30"/>
      <c r="F79" s="2"/>
      <c r="G79" s="2" t="str">
        <f>IFERROR(__xludf.DUMMYFUNCTION("""COMPUTED_VALUE"""),"HH4086")</f>
        <v>HH4086</v>
      </c>
      <c r="H79" s="2" t="str">
        <f>IFERROR(__xludf.DUMMYFUNCTION("""COMPUTED_VALUE"""),"GC - IV - 4086 - CTY QUANG ĐĂNG AGRICULTURE - GROW BOOST (Nước nâu đen) - 500ml - 40")</f>
        <v>GC - IV - 4086 - CTY QUANG ĐĂNG AGRICULTURE - GROW BOOST (Nước nâu đen) - 500ml - 40</v>
      </c>
      <c r="I79" s="2" t="str">
        <f>IFERROR(__xludf.DUMMYFUNCTION("""COMPUTED_VALUE"""),"#N/A")</f>
        <v>#N/A</v>
      </c>
      <c r="J79" s="2"/>
      <c r="K79" s="2"/>
      <c r="L79" s="2"/>
      <c r="M79" s="2" t="str">
        <f>IFERROR(__xludf.DUMMYFUNCTION("""COMPUTED_VALUE"""),"GROW BOOST")</f>
        <v>GROW BOOST</v>
      </c>
      <c r="N79" s="2" t="str">
        <f>IFERROR(__xludf.DUMMYFUNCTION("""COMPUTED_VALUE"""),"19DD0017V1")</f>
        <v>19DD0017V1</v>
      </c>
      <c r="O79" s="2" t="str">
        <f>IFERROR(__xludf.DUMMYFUNCTION("""COMPUTED_VALUE"""),"Phân bón Hỗn hợp NP AGAMA-AP")</f>
        <v>Phân bón Hỗn hợp NP AGAMA-AP</v>
      </c>
      <c r="P79" s="2" t="str">
        <f>IFERROR(__xludf.DUMMYFUNCTION("""COMPUTED_VALUE"""),"#N/A")</f>
        <v>#N/A</v>
      </c>
      <c r="Q79" s="30" t="str">
        <f>IFERROR(__xludf.DUMMYFUNCTION("""COMPUTED_VALUE"""),"KHÔNG KHỚP")</f>
        <v>KHÔNG KHỚP</v>
      </c>
      <c r="R79" s="2"/>
      <c r="S79" s="2"/>
      <c r="T79" s="2"/>
      <c r="U79" s="2"/>
      <c r="V79" s="2"/>
      <c r="W79" s="2"/>
      <c r="X79" s="2"/>
      <c r="Y79" s="2"/>
    </row>
    <row r="80">
      <c r="A80" s="30">
        <f>IFERROR(__xludf.DUMMYFUNCTION("""COMPUTED_VALUE"""),77.0)</f>
        <v>77</v>
      </c>
      <c r="B80" s="39">
        <f>IFERROR(__xludf.DUMMYFUNCTION("""COMPUTED_VALUE"""),45905.0)</f>
        <v>45905</v>
      </c>
      <c r="C80" s="30">
        <f>IFERROR(__xludf.DUMMYFUNCTION("""COMPUTED_VALUE"""),1.0)</f>
        <v>1</v>
      </c>
      <c r="D80" s="30" t="str">
        <f>IFERROR(__xludf.DUMMYFUNCTION("""COMPUTED_VALUE"""),"CT MỚI")</f>
        <v>CT MỚI</v>
      </c>
      <c r="E80" s="30"/>
      <c r="F80" s="2"/>
      <c r="G80" s="2" t="str">
        <f>IFERROR(__xludf.DUMMYFUNCTION("""COMPUTED_VALUE"""),"HH4090")</f>
        <v>HH4090</v>
      </c>
      <c r="H80" s="2" t="str">
        <f>IFERROR(__xludf.DUMMYFUNCTION("""COMPUTED_VALUE"""),"IDA Global - I - 4090 - IDA ORGANIC X2 (Nước nâu đen) - 1L - 20")</f>
        <v>IDA Global - I - 4090 - IDA ORGANIC X2 (Nước nâu đen) - 1L - 20</v>
      </c>
      <c r="I80" s="2" t="str">
        <f>IFERROR(__xludf.DUMMYFUNCTION("""COMPUTED_VALUE"""),"#N/A")</f>
        <v>#N/A</v>
      </c>
      <c r="J80" s="2"/>
      <c r="K80" s="2"/>
      <c r="L80" s="2"/>
      <c r="M80" s="2" t="str">
        <f>IFERROR(__xludf.DUMMYFUNCTION("""COMPUTED_VALUE"""),"ORGANIC X2")</f>
        <v>ORGANIC X2</v>
      </c>
      <c r="N80" s="2" t="str">
        <f>IFERROR(__xludf.DUMMYFUNCTION("""COMPUTED_VALUE"""),"01RR0044V2")</f>
        <v>01RR0044V2</v>
      </c>
      <c r="O80" s="2" t="str">
        <f>IFERROR(__xludf.DUMMYFUNCTION("""COMPUTED_VALUE"""),"Phân bón Hữu cơ SH Agro Organic Fertilizer 20")</f>
        <v>Phân bón Hữu cơ SH Agro Organic Fertilizer 20</v>
      </c>
      <c r="P80" s="2" t="str">
        <f>IFERROR(__xludf.DUMMYFUNCTION("""COMPUTED_VALUE"""),"#N/A")</f>
        <v>#N/A</v>
      </c>
      <c r="Q80" s="30" t="str">
        <f>IFERROR(__xludf.DUMMYFUNCTION("""COMPUTED_VALUE"""),"KHÔNG KHỚP")</f>
        <v>KHÔNG KHỚP</v>
      </c>
      <c r="R80" s="2"/>
      <c r="S80" s="2"/>
      <c r="T80" s="2"/>
      <c r="U80" s="2"/>
      <c r="V80" s="2"/>
      <c r="W80" s="2"/>
      <c r="X80" s="2"/>
      <c r="Y80" s="2"/>
    </row>
    <row r="81">
      <c r="A81" s="30">
        <f>IFERROR(__xludf.DUMMYFUNCTION("""COMPUTED_VALUE"""),78.0)</f>
        <v>78</v>
      </c>
      <c r="B81" s="39">
        <f>IFERROR(__xludf.DUMMYFUNCTION("""COMPUTED_VALUE"""),45904.0)</f>
        <v>45904</v>
      </c>
      <c r="C81" s="30">
        <f>IFERROR(__xludf.DUMMYFUNCTION("""COMPUTED_VALUE"""),2.0)</f>
        <v>2</v>
      </c>
      <c r="D81" s="30" t="str">
        <f>IFERROR(__xludf.DUMMYFUNCTION("""COMPUTED_VALUE"""),"CT CŨ")</f>
        <v>CT CŨ</v>
      </c>
      <c r="E81" s="30"/>
      <c r="F81" s="2"/>
      <c r="G81" s="2" t="str">
        <f>IFERROR(__xludf.DUMMYFUNCTION("""COMPUTED_VALUE"""),"HH3983")</f>
        <v>HH3983</v>
      </c>
      <c r="H81" s="2" t="str">
        <f>IFERROR(__xludf.DUMMYFUNCTION("""COMPUTED_VALUE"""),"DR.XANH - VIII - 3983 - ROBUST EXTRA (Gel nâu đen) - 250ml - 40")</f>
        <v>DR.XANH - VIII - 3983 - ROBUST EXTRA (Gel nâu đen) - 250ml - 40</v>
      </c>
      <c r="I81" s="2" t="str">
        <f>IFERROR(__xludf.DUMMYFUNCTION("""COMPUTED_VALUE"""),"#N/A")</f>
        <v>#N/A</v>
      </c>
      <c r="J81" s="2"/>
      <c r="K81" s="2"/>
      <c r="L81" s="2" t="str">
        <f>IFERROR(__xludf.DUMMYFUNCTION("""COMPUTED_VALUE"""),"X01180825")</f>
        <v>X01180825</v>
      </c>
      <c r="M81" s="2" t="str">
        <f>IFERROR(__xludf.DUMMYFUNCTION("""COMPUTED_VALUE"""),"ROBUST EXTRA")</f>
        <v>ROBUST EXTRA</v>
      </c>
      <c r="N81" s="2" t="str">
        <f>IFERROR(__xludf.DUMMYFUNCTION("""COMPUTED_VALUE"""),"01RR0071V1")</f>
        <v>01RR0071V1</v>
      </c>
      <c r="O81" s="2" t="str">
        <f>IFERROR(__xludf.DUMMYFUNCTION("""COMPUTED_VALUE"""),"Phân bón hữu cơ ROOTS US90")</f>
        <v>Phân bón hữu cơ ROOTS US90</v>
      </c>
      <c r="P81" s="2" t="str">
        <f>IFERROR(__xludf.DUMMYFUNCTION("""COMPUTED_VALUE"""),"#N/A")</f>
        <v>#N/A</v>
      </c>
      <c r="Q81" s="30" t="str">
        <f>IFERROR(__xludf.DUMMYFUNCTION("""COMPUTED_VALUE"""),"KHÔNG KHỚP")</f>
        <v>KHÔNG KHỚP</v>
      </c>
      <c r="R81" s="2"/>
      <c r="S81" s="2"/>
      <c r="T81" s="2"/>
      <c r="U81" s="2"/>
      <c r="V81" s="2"/>
      <c r="W81" s="2"/>
      <c r="X81" s="2"/>
      <c r="Y81" s="2"/>
    </row>
    <row r="82">
      <c r="A82" s="30">
        <f>IFERROR(__xludf.DUMMYFUNCTION("""COMPUTED_VALUE"""),79.0)</f>
        <v>79</v>
      </c>
      <c r="B82" s="39">
        <f>IFERROR(__xludf.DUMMYFUNCTION("""COMPUTED_VALUE"""),45911.0)</f>
        <v>45911</v>
      </c>
      <c r="C82" s="30">
        <f>IFERROR(__xludf.DUMMYFUNCTION("""COMPUTED_VALUE"""),1.0)</f>
        <v>1</v>
      </c>
      <c r="D82" s="30" t="str">
        <f>IFERROR(__xludf.DUMMYFUNCTION("""COMPUTED_VALUE"""),"CT MỚI")</f>
        <v>CT MỚI</v>
      </c>
      <c r="E82" s="30"/>
      <c r="F82" s="2"/>
      <c r="G82" s="2" t="str">
        <f>IFERROR(__xludf.DUMMYFUNCTION("""COMPUTED_VALUE"""),"HH3801")</f>
        <v>HH3801</v>
      </c>
      <c r="H82" s="2" t="str">
        <f>IFERROR(__xludf.DUMMYFUNCTION("""COMPUTED_VALUE"""),"GC - II - 3801 - CSSX An Khang (A.Dinh) - TAK09 (Nước nâu đen) - 500ml - 40")</f>
        <v>GC - II - 3801 - CSSX An Khang (A.Dinh) - TAK09 (Nước nâu đen) - 500ml - 40</v>
      </c>
      <c r="I82" s="2" t="str">
        <f>IFERROR(__xludf.DUMMYFUNCTION("""COMPUTED_VALUE"""),"#N/A")</f>
        <v>#N/A</v>
      </c>
      <c r="J82" s="2"/>
      <c r="K82" s="2"/>
      <c r="L82" s="2" t="str">
        <f>IFERROR(__xludf.DUMMYFUNCTION("""COMPUTED_VALUE"""),"A01090625")</f>
        <v>A01090625</v>
      </c>
      <c r="M82" s="2" t="str">
        <f>IFERROR(__xludf.DUMMYFUNCTION("""COMPUTED_VALUE"""),"TAK09")</f>
        <v>TAK09</v>
      </c>
      <c r="N82" s="2" t="str">
        <f>IFERROR(__xludf.DUMMYFUNCTION("""COMPUTED_VALUE"""),"01RR0055")</f>
        <v>01RR0055</v>
      </c>
      <c r="O82" s="2" t="str">
        <f>IFERROR(__xludf.DUMMYFUNCTION("""COMPUTED_VALUE"""),"Phân bón Hữu cơ SH Agro Organic Fertilizer 20")</f>
        <v>Phân bón Hữu cơ SH Agro Organic Fertilizer 20</v>
      </c>
      <c r="P82" s="2" t="str">
        <f>IFERROR(__xludf.DUMMYFUNCTION("""COMPUTED_VALUE"""),"#N/A")</f>
        <v>#N/A</v>
      </c>
      <c r="Q82" s="30" t="str">
        <f>IFERROR(__xludf.DUMMYFUNCTION("""COMPUTED_VALUE"""),"KHÔNG KHỚP")</f>
        <v>KHÔNG KHỚP</v>
      </c>
      <c r="R82" s="2"/>
      <c r="S82" s="2"/>
      <c r="T82" s="2"/>
      <c r="U82" s="2"/>
      <c r="V82" s="2"/>
      <c r="W82" s="2"/>
      <c r="X82" s="2"/>
      <c r="Y82" s="2"/>
    </row>
    <row r="83">
      <c r="A83" s="30">
        <f>IFERROR(__xludf.DUMMYFUNCTION("""COMPUTED_VALUE"""),80.0)</f>
        <v>80</v>
      </c>
      <c r="B83" s="39">
        <f>IFERROR(__xludf.DUMMYFUNCTION("""COMPUTED_VALUE"""),45916.0)</f>
        <v>45916</v>
      </c>
      <c r="C83" s="30">
        <f>IFERROR(__xludf.DUMMYFUNCTION("""COMPUTED_VALUE"""),1.0)</f>
        <v>1</v>
      </c>
      <c r="D83" s="30" t="str">
        <f>IFERROR(__xludf.DUMMYFUNCTION("""COMPUTED_VALUE"""),"CT MỚI")</f>
        <v>CT MỚI</v>
      </c>
      <c r="E83" s="30"/>
      <c r="F83" s="2"/>
      <c r="G83" s="2" t="str">
        <f>IFERROR(__xludf.DUMMYFUNCTION("""COMPUTED_VALUE"""),"HH3743")</f>
        <v>HH3743</v>
      </c>
      <c r="H83" s="2" t="str">
        <f>IFERROR(__xludf.DUMMYFUNCTION("""COMPUTED_VALUE"""),"GC - IV - 3743 - CTY QUANG ĐĂNG AGRICULTURE - ĐL LÂM THANH TRÍ - KIM TRỤ (Nước nâu đen) - 500ml - 40")</f>
        <v>GC - IV - 3743 - CTY QUANG ĐĂNG AGRICULTURE - ĐL LÂM THANH TRÍ - KIM TRỤ (Nước nâu đen) - 500ml - 40</v>
      </c>
      <c r="I83" s="2" t="str">
        <f>IFERROR(__xludf.DUMMYFUNCTION("""COMPUTED_VALUE"""),"#N/A")</f>
        <v>#N/A</v>
      </c>
      <c r="J83" s="2"/>
      <c r="K83" s="2"/>
      <c r="L83" s="2" t="str">
        <f>IFERROR(__xludf.DUMMYFUNCTION("""COMPUTED_VALUE"""),"A01180625")</f>
        <v>A01180625</v>
      </c>
      <c r="M83" s="2" t="str">
        <f>IFERROR(__xludf.DUMMYFUNCTION("""COMPUTED_VALUE"""),"CỨNG CÂY - CROPS CARE")</f>
        <v>CỨNG CÂY - CROPS CARE</v>
      </c>
      <c r="N83" s="2" t="str">
        <f>IFERROR(__xludf.DUMMYFUNCTION("""COMPUTED_VALUE"""),"02CC0011V1")</f>
        <v>02CC0011V1</v>
      </c>
      <c r="O83" s="2" t="str">
        <f>IFERROR(__xludf.DUMMYFUNCTION("""COMPUTED_VALUE"""),"Phân bón Hữu cơ CROPS CARE")</f>
        <v>Phân bón Hữu cơ CROPS CARE</v>
      </c>
      <c r="P83" s="2" t="str">
        <f>IFERROR(__xludf.DUMMYFUNCTION("""COMPUTED_VALUE"""),"#N/A")</f>
        <v>#N/A</v>
      </c>
      <c r="Q83" s="30" t="str">
        <f>IFERROR(__xludf.DUMMYFUNCTION("""COMPUTED_VALUE"""),"KHÔNG KHỚP")</f>
        <v>KHÔNG KHỚP</v>
      </c>
      <c r="R83" s="2"/>
      <c r="S83" s="2"/>
      <c r="T83" s="2"/>
      <c r="U83" s="2"/>
      <c r="V83" s="2"/>
      <c r="W83" s="2"/>
      <c r="X83" s="2"/>
      <c r="Y83" s="2"/>
    </row>
    <row r="84">
      <c r="A84" s="30">
        <f>IFERROR(__xludf.DUMMYFUNCTION("""COMPUTED_VALUE"""),81.0)</f>
        <v>81</v>
      </c>
      <c r="B84" s="39">
        <f>IFERROR(__xludf.DUMMYFUNCTION("""COMPUTED_VALUE"""),45913.0)</f>
        <v>45913</v>
      </c>
      <c r="C84" s="30">
        <f>IFERROR(__xludf.DUMMYFUNCTION("""COMPUTED_VALUE"""),1.0)</f>
        <v>1</v>
      </c>
      <c r="D84" s="30" t="str">
        <f>IFERROR(__xludf.DUMMYFUNCTION("""COMPUTED_VALUE"""),"CT MỚI")</f>
        <v>CT MỚI</v>
      </c>
      <c r="E84" s="30"/>
      <c r="F84" s="2"/>
      <c r="G84" s="2" t="str">
        <f>IFERROR(__xludf.DUMMYFUNCTION("""COMPUTED_VALUE"""),"HH3948")</f>
        <v>HH3948</v>
      </c>
      <c r="H84" s="2" t="str">
        <f>IFERROR(__xludf.DUMMYFUNCTION("""COMPUTED_VALUE"""),"GC - IV - 3948 - CTY HƯƠNG NÔNG - BIO HỮU CƠ (Nước nâu đen) - 10L - 1")</f>
        <v>GC - IV - 3948 - CTY HƯƠNG NÔNG - BIO HỮU CƠ (Nước nâu đen) - 10L - 1</v>
      </c>
      <c r="I84" s="2" t="str">
        <f>IFERROR(__xludf.DUMMYFUNCTION("""COMPUTED_VALUE"""),"#N/A")</f>
        <v>#N/A</v>
      </c>
      <c r="J84" s="2"/>
      <c r="K84" s="2"/>
      <c r="L84" s="2" t="str">
        <f>IFERROR(__xludf.DUMMYFUNCTION("""COMPUTED_VALUE"""),"A02281124")</f>
        <v>A02281124</v>
      </c>
      <c r="M84" s="2" t="str">
        <f>IFERROR(__xludf.DUMMYFUNCTION("""COMPUTED_VALUE"""),"BIO HỮU CƠ")</f>
        <v>BIO HỮU CƠ</v>
      </c>
      <c r="N84" s="2" t="str">
        <f>IFERROR(__xludf.DUMMYFUNCTION("""COMPUTED_VALUE"""),"11TT0010")</f>
        <v>11TT0010</v>
      </c>
      <c r="O84" s="2" t="str">
        <f>IFERROR(__xludf.DUMMYFUNCTION("""COMPUTED_VALUE"""),"Phân bón Hữu cơ ORGANIC BM GOLD FW")</f>
        <v>Phân bón Hữu cơ ORGANIC BM GOLD FW</v>
      </c>
      <c r="P84" s="2" t="str">
        <f>IFERROR(__xludf.DUMMYFUNCTION("""COMPUTED_VALUE"""),"#N/A")</f>
        <v>#N/A</v>
      </c>
      <c r="Q84" s="30" t="str">
        <f>IFERROR(__xludf.DUMMYFUNCTION("""COMPUTED_VALUE"""),"KHÔNG KHỚP")</f>
        <v>KHÔNG KHỚP</v>
      </c>
      <c r="R84" s="2"/>
      <c r="S84" s="2"/>
      <c r="T84" s="2"/>
      <c r="U84" s="2"/>
      <c r="V84" s="2"/>
      <c r="W84" s="2"/>
      <c r="X84" s="2"/>
      <c r="Y84" s="2"/>
    </row>
    <row r="85">
      <c r="A85" s="30">
        <f>IFERROR(__xludf.DUMMYFUNCTION("""COMPUTED_VALUE"""),82.0)</f>
        <v>82</v>
      </c>
      <c r="B85" s="39">
        <f>IFERROR(__xludf.DUMMYFUNCTION("""COMPUTED_VALUE"""),45885.0)</f>
        <v>45885</v>
      </c>
      <c r="C85" s="30">
        <f>IFERROR(__xludf.DUMMYFUNCTION("""COMPUTED_VALUE"""),1.0)</f>
        <v>1</v>
      </c>
      <c r="D85" s="30" t="str">
        <f>IFERROR(__xludf.DUMMYFUNCTION("""COMPUTED_VALUE"""),"CT MỚI")</f>
        <v>CT MỚI</v>
      </c>
      <c r="E85" s="30"/>
      <c r="F85" s="2"/>
      <c r="G85" s="2" t="str">
        <f>IFERROR(__xludf.DUMMYFUNCTION("""COMPUTED_VALUE"""),"HH4076")</f>
        <v>HH4076</v>
      </c>
      <c r="H85" s="2" t="str">
        <f>IFERROR(__xludf.DUMMYFUNCTION("""COMPUTED_VALUE"""),"IDA Global - I - 4076 - VG RICE 01 - 500ml - 40")</f>
        <v>IDA Global - I - 4076 - VG RICE 01 - 500ml - 40</v>
      </c>
      <c r="I85" s="2" t="str">
        <f>IFERROR(__xludf.DUMMYFUNCTION("""COMPUTED_VALUE"""),"#N/A")</f>
        <v>#N/A</v>
      </c>
      <c r="J85" s="2"/>
      <c r="K85" s="2"/>
      <c r="L85" s="2" t="str">
        <f>IFERROR(__xludf.DUMMYFUNCTION("""COMPUTED_VALUE"""),"I01180225-01")</f>
        <v>I01180225-01</v>
      </c>
      <c r="M85" s="2" t="str">
        <f>IFERROR(__xludf.DUMMYFUNCTION("""COMPUTED_VALUE"""),"VG RICE 01")</f>
        <v>VG RICE 01</v>
      </c>
      <c r="N85" s="2" t="str">
        <f>IFERROR(__xludf.DUMMYFUNCTION("""COMPUTED_VALUE"""),"13XL0014")</f>
        <v>13XL0014</v>
      </c>
      <c r="O85" s="2" t="str">
        <f>IFERROR(__xludf.DUMMYFUNCTION("""COMPUTED_VALUE"""),"Phân bón Vi lượng AGAMA-SUPPORT")</f>
        <v>Phân bón Vi lượng AGAMA-SUPPORT</v>
      </c>
      <c r="P85" s="2" t="str">
        <f>IFERROR(__xludf.DUMMYFUNCTION("""COMPUTED_VALUE"""),"#N/A")</f>
        <v>#N/A</v>
      </c>
      <c r="Q85" s="30" t="str">
        <f>IFERROR(__xludf.DUMMYFUNCTION("""COMPUTED_VALUE"""),"KHÔNG KHỚP")</f>
        <v>KHÔNG KHỚP</v>
      </c>
      <c r="R85" s="2"/>
      <c r="S85" s="2"/>
      <c r="T85" s="2"/>
      <c r="U85" s="2"/>
      <c r="V85" s="2"/>
      <c r="W85" s="2"/>
      <c r="X85" s="2"/>
      <c r="Y85" s="2"/>
    </row>
    <row r="86">
      <c r="A86" s="30">
        <f>IFERROR(__xludf.DUMMYFUNCTION("""COMPUTED_VALUE"""),83.0)</f>
        <v>83</v>
      </c>
      <c r="B86" s="39">
        <f>IFERROR(__xludf.DUMMYFUNCTION("""COMPUTED_VALUE"""),45887.0)</f>
        <v>45887</v>
      </c>
      <c r="C86" s="30">
        <f>IFERROR(__xludf.DUMMYFUNCTION("""COMPUTED_VALUE"""),1.0)</f>
        <v>1</v>
      </c>
      <c r="D86" s="30" t="str">
        <f>IFERROR(__xludf.DUMMYFUNCTION("""COMPUTED_VALUE"""),"CT MỚI")</f>
        <v>CT MỚI</v>
      </c>
      <c r="E86" s="30"/>
      <c r="F86" s="2"/>
      <c r="G86" s="2" t="str">
        <f>IFERROR(__xludf.DUMMYFUNCTION("""COMPUTED_VALUE"""),"HH4003")</f>
        <v>HH4003</v>
      </c>
      <c r="H86" s="2" t="str">
        <f>IFERROR(__xludf.DUMMYFUNCTION("""COMPUTED_VALUE"""),"IDA Global - I - 4003 - CANXI BO LIQUID (Nước trắng sữa) - 500ml - 40")</f>
        <v>IDA Global - I - 4003 - CANXI BO LIQUID (Nước trắng sữa) - 500ml - 40</v>
      </c>
      <c r="I86" s="2" t="str">
        <f>IFERROR(__xludf.DUMMYFUNCTION("""COMPUTED_VALUE"""),"#N/A")</f>
        <v>#N/A</v>
      </c>
      <c r="J86" s="2"/>
      <c r="K86" s="2"/>
      <c r="L86" s="2"/>
      <c r="M86" s="2" t="str">
        <f>IFERROR(__xludf.DUMMYFUNCTION("""COMPUTED_VALUE"""),"CANXI BO MASTER")</f>
        <v>CANXI BO MASTER</v>
      </c>
      <c r="N86" s="2" t="str">
        <f>IFERROR(__xludf.DUMMYFUNCTION("""COMPUTED_VALUE"""),"10CR0015")</f>
        <v>10CR0015</v>
      </c>
      <c r="O86" s="2" t="str">
        <f>IFERROR(__xludf.DUMMYFUNCTION("""COMPUTED_VALUE"""),"Phân bón Vi lượng AGAMA-CANXI BO")</f>
        <v>Phân bón Vi lượng AGAMA-CANXI BO</v>
      </c>
      <c r="P86" s="2" t="str">
        <f>IFERROR(__xludf.DUMMYFUNCTION("""COMPUTED_VALUE"""),"#N/A")</f>
        <v>#N/A</v>
      </c>
      <c r="Q86" s="30" t="str">
        <f>IFERROR(__xludf.DUMMYFUNCTION("""COMPUTED_VALUE"""),"KHÔNG KHỚP")</f>
        <v>KHÔNG KHỚP</v>
      </c>
      <c r="R86" s="2"/>
      <c r="S86" s="2"/>
      <c r="T86" s="2"/>
      <c r="U86" s="2"/>
      <c r="V86" s="2"/>
      <c r="W86" s="2"/>
      <c r="X86" s="2"/>
      <c r="Y86" s="2"/>
    </row>
    <row r="87">
      <c r="A87" s="30">
        <f>IFERROR(__xludf.DUMMYFUNCTION("""COMPUTED_VALUE"""),84.0)</f>
        <v>84</v>
      </c>
      <c r="B87" s="39">
        <f>IFERROR(__xludf.DUMMYFUNCTION("""COMPUTED_VALUE"""),45916.0)</f>
        <v>45916</v>
      </c>
      <c r="C87" s="30">
        <f>IFERROR(__xludf.DUMMYFUNCTION("""COMPUTED_VALUE"""),2.0)</f>
        <v>2</v>
      </c>
      <c r="D87" s="30" t="str">
        <f>IFERROR(__xludf.DUMMYFUNCTION("""COMPUTED_VALUE"""),"CT XỬ LÝ LỖI")</f>
        <v>CT XỬ LÝ LỖI</v>
      </c>
      <c r="E87" s="30"/>
      <c r="F87" s="2"/>
      <c r="G87" s="2" t="str">
        <f>IFERROR(__xludf.DUMMYFUNCTION("""COMPUTED_VALUE"""),"HH3860")</f>
        <v>HH3860</v>
      </c>
      <c r="H87" s="2" t="str">
        <f>IFERROR(__xludf.DUMMYFUNCTION("""COMPUTED_VALUE"""),"IDA Global - I - 3860 - CỨNG CÂY 304 (Nước nâu đen) - 500ml - 40")</f>
        <v>IDA Global - I - 3860 - CỨNG CÂY 304 (Nước nâu đen) - 500ml - 40</v>
      </c>
      <c r="I87" s="2" t="str">
        <f>IFERROR(__xludf.DUMMYFUNCTION("""COMPUTED_VALUE"""),"#N/A")</f>
        <v>#N/A</v>
      </c>
      <c r="J87" s="2"/>
      <c r="K87" s="2"/>
      <c r="L87" s="2" t="str">
        <f>IFERROR(__xludf.DUMMYFUNCTION("""COMPUTED_VALUE"""),"XỬ LÝ BTP TỒN B1")</f>
        <v>XỬ LÝ BTP TỒN B1</v>
      </c>
      <c r="M87" s="2" t="str">
        <f>IFERROR(__xludf.DUMMYFUNCTION("""COMPUTED_VALUE"""),"CỨNG CÂY 304")</f>
        <v>CỨNG CÂY 304</v>
      </c>
      <c r="N87" s="2" t="str">
        <f>IFERROR(__xludf.DUMMYFUNCTION("""COMPUTED_VALUE"""),"02CC0002V1-1")</f>
        <v>02CC0002V1-1</v>
      </c>
      <c r="O87" s="2" t="str">
        <f>IFERROR(__xludf.DUMMYFUNCTION("""COMPUTED_VALUE"""),"Phân bón Hữu cơ SH Agro Organic Fertilizer 20")</f>
        <v>Phân bón Hữu cơ SH Agro Organic Fertilizer 20</v>
      </c>
      <c r="P87" s="2" t="str">
        <f>IFERROR(__xludf.DUMMYFUNCTION("""COMPUTED_VALUE"""),"#N/A")</f>
        <v>#N/A</v>
      </c>
      <c r="Q87" s="30" t="str">
        <f>IFERROR(__xludf.DUMMYFUNCTION("""COMPUTED_VALUE"""),"KHÔNG KHỚP")</f>
        <v>KHÔNG KHỚP</v>
      </c>
      <c r="R87" s="2"/>
      <c r="S87" s="2"/>
      <c r="T87" s="2"/>
      <c r="U87" s="2"/>
      <c r="V87" s="2"/>
      <c r="W87" s="2"/>
      <c r="X87" s="2"/>
      <c r="Y87" s="2"/>
    </row>
    <row r="88">
      <c r="A88" s="30">
        <f>IFERROR(__xludf.DUMMYFUNCTION("""COMPUTED_VALUE"""),85.0)</f>
        <v>85</v>
      </c>
      <c r="B88" s="39">
        <f>IFERROR(__xludf.DUMMYFUNCTION("""COMPUTED_VALUE"""),45885.0)</f>
        <v>45885</v>
      </c>
      <c r="C88" s="30">
        <f>IFERROR(__xludf.DUMMYFUNCTION("""COMPUTED_VALUE"""),1.0)</f>
        <v>1</v>
      </c>
      <c r="D88" s="30" t="str">
        <f>IFERROR(__xludf.DUMMYFUNCTION("""COMPUTED_VALUE"""),"CT MỚI")</f>
        <v>CT MỚI</v>
      </c>
      <c r="E88" s="30"/>
      <c r="F88" s="2"/>
      <c r="G88" s="2" t="str">
        <f>IFERROR(__xludf.DUMMYFUNCTION("""COMPUTED_VALUE"""),"HH4122")</f>
        <v>HH4122</v>
      </c>
      <c r="H88" s="2" t="str">
        <f>IFERROR(__xludf.DUMMYFUNCTION("""COMPUTED_VALUE"""),"IDA Global - I - 4122 - VG RICE 02 - 500ml - 40")</f>
        <v>IDA Global - I - 4122 - VG RICE 02 - 500ml - 40</v>
      </c>
      <c r="I88" s="2" t="str">
        <f>IFERROR(__xludf.DUMMYFUNCTION("""COMPUTED_VALUE"""),"#N/A")</f>
        <v>#N/A</v>
      </c>
      <c r="J88" s="2"/>
      <c r="K88" s="2"/>
      <c r="L88" s="2" t="str">
        <f>IFERROR(__xludf.DUMMYFUNCTION("""COMPUTED_VALUE"""),"I02180225")</f>
        <v>I02180225</v>
      </c>
      <c r="M88" s="2" t="str">
        <f>IFERROR(__xludf.DUMMYFUNCTION("""COMPUTED_VALUE"""),"VG RICE 02")</f>
        <v>VG RICE 02</v>
      </c>
      <c r="N88" s="2" t="str">
        <f>IFERROR(__xludf.DUMMYFUNCTION("""COMPUTED_VALUE"""),"04VG0033")</f>
        <v>04VG0033</v>
      </c>
      <c r="O88" s="2" t="str">
        <f>IFERROR(__xludf.DUMMYFUNCTION("""COMPUTED_VALUE"""),"Phân bón NPK-Vi lượng HC CAN")</f>
        <v>Phân bón NPK-Vi lượng HC CAN</v>
      </c>
      <c r="P88" s="2" t="str">
        <f>IFERROR(__xludf.DUMMYFUNCTION("""COMPUTED_VALUE"""),"#N/A")</f>
        <v>#N/A</v>
      </c>
      <c r="Q88" s="30" t="str">
        <f>IFERROR(__xludf.DUMMYFUNCTION("""COMPUTED_VALUE"""),"KHÔNG KHỚP")</f>
        <v>KHÔNG KHỚP</v>
      </c>
      <c r="R88" s="2"/>
      <c r="S88" s="2"/>
      <c r="T88" s="2"/>
      <c r="U88" s="2"/>
      <c r="V88" s="2"/>
      <c r="W88" s="2"/>
      <c r="X88" s="2"/>
      <c r="Y88" s="2"/>
    </row>
    <row r="89">
      <c r="A89" s="30">
        <f>IFERROR(__xludf.DUMMYFUNCTION("""COMPUTED_VALUE"""),86.0)</f>
        <v>86</v>
      </c>
      <c r="B89" s="39">
        <f>IFERROR(__xludf.DUMMYFUNCTION("""COMPUTED_VALUE"""),45915.0)</f>
        <v>45915</v>
      </c>
      <c r="C89" s="30">
        <f>IFERROR(__xludf.DUMMYFUNCTION("""COMPUTED_VALUE"""),1.0)</f>
        <v>1</v>
      </c>
      <c r="D89" s="30" t="str">
        <f>IFERROR(__xludf.DUMMYFUNCTION("""COMPUTED_VALUE"""),"CT MỚI")</f>
        <v>CT MỚI</v>
      </c>
      <c r="E89" s="30"/>
      <c r="F89" s="2"/>
      <c r="G89" s="2" t="str">
        <f>IFERROR(__xludf.DUMMYFUNCTION("""COMPUTED_VALUE"""),"HH3237")</f>
        <v>HH3237</v>
      </c>
      <c r="H89" s="2" t="str">
        <f>IFERROR(__xludf.DUMMYFUNCTION("""COMPUTED_VALUE"""),"GC - II - 3237 - Kim Ngọc - Trợ Lực Thấm (nước vàng) (chai HD tròn) - 100ml - 50")</f>
        <v>GC - II - 3237 - Kim Ngọc - Trợ Lực Thấm (nước vàng) (chai HD tròn) - 100ml - 50</v>
      </c>
      <c r="I89" s="2" t="str">
        <f>IFERROR(__xludf.DUMMYFUNCTION("""COMPUTED_VALUE"""),"#N/A")</f>
        <v>#N/A</v>
      </c>
      <c r="J89" s="2"/>
      <c r="K89" s="2"/>
      <c r="L89" s="2"/>
      <c r="M89" s="2" t="str">
        <f>IFERROR(__xludf.DUMMYFUNCTION("""COMPUTED_VALUE"""),"TRỢ LỰC D1")</f>
        <v>TRỢ LỰC D1</v>
      </c>
      <c r="N89" s="2" t="str">
        <f>IFERROR(__xludf.DUMMYFUNCTION("""COMPUTED_VALUE"""),"18TL0004V1")</f>
        <v>18TL0004V1</v>
      </c>
      <c r="O89" s="2" t="str">
        <f>IFERROR(__xludf.DUMMYFUNCTION("""COMPUTED_VALUE"""),"Phân bón Vi lượng Quantity New")</f>
        <v>Phân bón Vi lượng Quantity New</v>
      </c>
      <c r="P89" s="2" t="str">
        <f>IFERROR(__xludf.DUMMYFUNCTION("""COMPUTED_VALUE"""),"#N/A")</f>
        <v>#N/A</v>
      </c>
      <c r="Q89" s="30" t="str">
        <f>IFERROR(__xludf.DUMMYFUNCTION("""COMPUTED_VALUE"""),"KHÔNG KHỚP")</f>
        <v>KHÔNG KHỚP</v>
      </c>
      <c r="R89" s="2"/>
      <c r="S89" s="2"/>
      <c r="T89" s="2"/>
      <c r="U89" s="2"/>
      <c r="V89" s="2"/>
      <c r="W89" s="2"/>
      <c r="X89" s="2"/>
      <c r="Y89" s="2"/>
    </row>
    <row r="90">
      <c r="A90" s="30">
        <f>IFERROR(__xludf.DUMMYFUNCTION("""COMPUTED_VALUE"""),87.0)</f>
        <v>87</v>
      </c>
      <c r="B90" s="39">
        <f>IFERROR(__xludf.DUMMYFUNCTION("""COMPUTED_VALUE"""),45915.0)</f>
        <v>45915</v>
      </c>
      <c r="C90" s="30">
        <f>IFERROR(__xludf.DUMMYFUNCTION("""COMPUTED_VALUE"""),1.0)</f>
        <v>1</v>
      </c>
      <c r="D90" s="30" t="str">
        <f>IFERROR(__xludf.DUMMYFUNCTION("""COMPUTED_VALUE"""),"CT MỚI")</f>
        <v>CT MỚI</v>
      </c>
      <c r="E90" s="30"/>
      <c r="F90" s="2"/>
      <c r="G90" s="2" t="str">
        <f>IFERROR(__xludf.DUMMYFUNCTION("""COMPUTED_VALUE"""),"HH4126")</f>
        <v>HH4126</v>
      </c>
      <c r="H90" s="2" t="str">
        <f>IFERROR(__xludf.DUMMYFUNCTION("""COMPUTED_VALUE"""),"GC - IV - 4126 - AGRITECH -  AGRI BOOST (Nước nâu đen) - 250ml - 40")</f>
        <v>GC - IV - 4126 - AGRITECH -  AGRI BOOST (Nước nâu đen) - 250ml - 40</v>
      </c>
      <c r="I90" s="2" t="str">
        <f>IFERROR(__xludf.DUMMYFUNCTION("""COMPUTED_VALUE"""),"#N/A")</f>
        <v>#N/A</v>
      </c>
      <c r="J90" s="2"/>
      <c r="K90" s="2"/>
      <c r="L90" s="2" t="str">
        <f>IFERROR(__xludf.DUMMYFUNCTION("""COMPUTED_VALUE"""),"A01200225-02")</f>
        <v>A01200225-02</v>
      </c>
      <c r="M90" s="2" t="str">
        <f>IFERROR(__xludf.DUMMYFUNCTION("""COMPUTED_VALUE"""),"BOOMGOLD
AGRI BOOST")</f>
        <v>BOOMGOLD
AGRI BOOST</v>
      </c>
      <c r="N90" s="2" t="str">
        <f>IFERROR(__xludf.DUMMYFUNCTION("""COMPUTED_VALUE"""),"10CR0019")</f>
        <v>10CR0019</v>
      </c>
      <c r="O90" s="2" t="str">
        <f>IFERROR(__xludf.DUMMYFUNCTION("""COMPUTED_VALUE"""),"Phân bón Hữu cơ SH Agro Organic Fertilizer 20")</f>
        <v>Phân bón Hữu cơ SH Agro Organic Fertilizer 20</v>
      </c>
      <c r="P90" s="2" t="str">
        <f>IFERROR(__xludf.DUMMYFUNCTION("""COMPUTED_VALUE"""),"#N/A")</f>
        <v>#N/A</v>
      </c>
      <c r="Q90" s="30" t="str">
        <f>IFERROR(__xludf.DUMMYFUNCTION("""COMPUTED_VALUE"""),"KHÔNG KHỚP")</f>
        <v>KHÔNG KHỚP</v>
      </c>
      <c r="R90" s="2"/>
      <c r="S90" s="2"/>
      <c r="T90" s="2"/>
      <c r="U90" s="2"/>
      <c r="V90" s="2"/>
      <c r="W90" s="2"/>
      <c r="X90" s="2"/>
      <c r="Y90" s="2"/>
    </row>
    <row r="91">
      <c r="A91" s="30">
        <f>IFERROR(__xludf.DUMMYFUNCTION("""COMPUTED_VALUE"""),88.0)</f>
        <v>88</v>
      </c>
      <c r="B91" s="39">
        <f>IFERROR(__xludf.DUMMYFUNCTION("""COMPUTED_VALUE"""),45892.0)</f>
        <v>45892</v>
      </c>
      <c r="C91" s="30">
        <f>IFERROR(__xludf.DUMMYFUNCTION("""COMPUTED_VALUE"""),1.0)</f>
        <v>1</v>
      </c>
      <c r="D91" s="30" t="str">
        <f>IFERROR(__xludf.DUMMYFUNCTION("""COMPUTED_VALUE"""),"CT MỚI")</f>
        <v>CT MỚI</v>
      </c>
      <c r="E91" s="30"/>
      <c r="F91" s="2"/>
      <c r="G91" s="2" t="str">
        <f>IFERROR(__xludf.DUMMYFUNCTION("""COMPUTED_VALUE"""),"HH3605")</f>
        <v>HH3605</v>
      </c>
      <c r="H91" s="2" t="str">
        <f>IFERROR(__xludf.DUMMYFUNCTION("""COMPUTED_VALUE"""),"GC - IV - 3605 - HƯƠNG NÔNG - Siêu Chặn Đọt (nước nâu đen) - 1L - 20")</f>
        <v>GC - IV - 3605 - HƯƠNG NÔNG - Siêu Chặn Đọt (nước nâu đen) - 1L - 20</v>
      </c>
      <c r="I91" s="2" t="str">
        <f>IFERROR(__xludf.DUMMYFUNCTION("""COMPUTED_VALUE"""),"#N/A")</f>
        <v>#N/A</v>
      </c>
      <c r="J91" s="2"/>
      <c r="K91" s="2"/>
      <c r="L91" s="2" t="str">
        <f>IFERROR(__xludf.DUMMYFUNCTION("""COMPUTED_VALUE"""),"CHẶN ĐỌT DÒNG V3")</f>
        <v>CHẶN ĐỌT DÒNG V3</v>
      </c>
      <c r="M91" s="2" t="str">
        <f>IFERROR(__xludf.DUMMYFUNCTION("""COMPUTED_VALUE"""),"KODO STOP
SIÊU CHẶN ĐỌT
STOP 25
UNI STOP
UNI STOP 25")</f>
        <v>KODO STOP
SIÊU CHẶN ĐỌT
STOP 25
UNI STOP
UNI STOP 25</v>
      </c>
      <c r="N91" s="2" t="str">
        <f>IFERROR(__xludf.DUMMYFUNCTION("""COMPUTED_VALUE"""),"06CD0007")</f>
        <v>06CD0007</v>
      </c>
      <c r="O91" s="2" t="str">
        <f>IFERROR(__xludf.DUMMYFUNCTION("""COMPUTED_VALUE"""),"Phân bón Vi lượng Quantity New")</f>
        <v>Phân bón Vi lượng Quantity New</v>
      </c>
      <c r="P91" s="2" t="str">
        <f>IFERROR(__xludf.DUMMYFUNCTION("""COMPUTED_VALUE"""),"#N/A")</f>
        <v>#N/A</v>
      </c>
      <c r="Q91" s="30" t="str">
        <f>IFERROR(__xludf.DUMMYFUNCTION("""COMPUTED_VALUE"""),"KHÔNG KHỚP")</f>
        <v>KHÔNG KHỚP</v>
      </c>
      <c r="R91" s="2"/>
      <c r="S91" s="2"/>
      <c r="T91" s="2"/>
      <c r="U91" s="2"/>
      <c r="V91" s="2"/>
      <c r="W91" s="2"/>
      <c r="X91" s="2"/>
      <c r="Y91" s="2"/>
    </row>
    <row r="92">
      <c r="A92" s="30">
        <f>IFERROR(__xludf.DUMMYFUNCTION("""COMPUTED_VALUE"""),89.0)</f>
        <v>89</v>
      </c>
      <c r="B92" s="39">
        <f>IFERROR(__xludf.DUMMYFUNCTION("""COMPUTED_VALUE"""),45892.0)</f>
        <v>45892</v>
      </c>
      <c r="C92" s="30">
        <f>IFERROR(__xludf.DUMMYFUNCTION("""COMPUTED_VALUE"""),1.0)</f>
        <v>1</v>
      </c>
      <c r="D92" s="30" t="str">
        <f>IFERROR(__xludf.DUMMYFUNCTION("""COMPUTED_VALUE"""),"CT MỚI")</f>
        <v>CT MỚI</v>
      </c>
      <c r="E92" s="30"/>
      <c r="F92" s="2"/>
      <c r="G92" s="2" t="str">
        <f>IFERROR(__xludf.DUMMYFUNCTION("""COMPUTED_VALUE"""),"HH4124")</f>
        <v>HH4124</v>
      </c>
      <c r="H92" s="2" t="str">
        <f>IFERROR(__xludf.DUMMYFUNCTION("""COMPUTED_VALUE"""),"GC - IV - 4124 - Cty Hương Nông - Đậu Trái (nước vàng mật ong) - 500ml - 40")</f>
        <v>GC - IV - 4124 - Cty Hương Nông - Đậu Trái (nước vàng mật ong) - 500ml - 40</v>
      </c>
      <c r="I92" s="2" t="str">
        <f>IFERROR(__xludf.DUMMYFUNCTION("""COMPUTED_VALUE"""),"#N/A")</f>
        <v>#N/A</v>
      </c>
      <c r="J92" s="2"/>
      <c r="K92" s="2"/>
      <c r="L92" s="2"/>
      <c r="M92" s="2" t="str">
        <f>IFERROR(__xludf.DUMMYFUNCTION("""COMPUTED_VALUE"""),"ULTRA KEO CABOR
BOCAX
US.BOCAXX")</f>
        <v>ULTRA KEO CABOR
BOCAX
US.BOCAXX</v>
      </c>
      <c r="N92" s="2" t="str">
        <f>IFERROR(__xludf.DUMMYFUNCTION("""COMPUTED_VALUE"""),"10CR0001V1")</f>
        <v>10CR0001V1</v>
      </c>
      <c r="O92" s="2" t="str">
        <f>IFERROR(__xludf.DUMMYFUNCTION("""COMPUTED_VALUE"""),"Phân bón Vi lượng Run Fast")</f>
        <v>Phân bón Vi lượng Run Fast</v>
      </c>
      <c r="P92" s="2" t="str">
        <f>IFERROR(__xludf.DUMMYFUNCTION("""COMPUTED_VALUE"""),"#N/A")</f>
        <v>#N/A</v>
      </c>
      <c r="Q92" s="30" t="str">
        <f>IFERROR(__xludf.DUMMYFUNCTION("""COMPUTED_VALUE"""),"KHÔNG KHỚP")</f>
        <v>KHÔNG KHỚP</v>
      </c>
      <c r="R92" s="2"/>
      <c r="S92" s="2"/>
      <c r="T92" s="2"/>
      <c r="U92" s="2"/>
      <c r="V92" s="2"/>
      <c r="W92" s="2"/>
      <c r="X92" s="2"/>
      <c r="Y92" s="2"/>
    </row>
    <row r="93">
      <c r="A93" s="30">
        <f>IFERROR(__xludf.DUMMYFUNCTION("""COMPUTED_VALUE"""),90.0)</f>
        <v>90</v>
      </c>
      <c r="B93" s="39">
        <f>IFERROR(__xludf.DUMMYFUNCTION("""COMPUTED_VALUE"""),45908.0)</f>
        <v>45908</v>
      </c>
      <c r="C93" s="30">
        <f>IFERROR(__xludf.DUMMYFUNCTION("""COMPUTED_VALUE"""),1.0)</f>
        <v>1</v>
      </c>
      <c r="D93" s="30" t="str">
        <f>IFERROR(__xludf.DUMMYFUNCTION("""COMPUTED_VALUE"""),"CT MỚI")</f>
        <v>CT MỚI</v>
      </c>
      <c r="E93" s="30"/>
      <c r="F93" s="2"/>
      <c r="G93" s="2" t="str">
        <f>IFERROR(__xludf.DUMMYFUNCTION("""COMPUTED_VALUE"""),"HH4134")</f>
        <v>HH4134</v>
      </c>
      <c r="H93" s="2" t="str">
        <f>IFERROR(__xludf.DUMMYFUNCTION("""COMPUTED_VALUE"""),"GC - IV - 4134 - CTY NAUY - GALAXY (Nước nâu đen) - 500ml - 40")</f>
        <v>GC - IV - 4134 - CTY NAUY - GALAXY (Nước nâu đen) - 500ml - 40</v>
      </c>
      <c r="I93" s="2" t="str">
        <f>IFERROR(__xludf.DUMMYFUNCTION("""COMPUTED_VALUE"""),"#N/A")</f>
        <v>#N/A</v>
      </c>
      <c r="J93" s="2"/>
      <c r="K93" s="2"/>
      <c r="L93" s="2" t="str">
        <f>IFERROR(__xludf.DUMMYFUNCTION("""COMPUTED_VALUE"""),"A20280225")</f>
        <v>A20280225</v>
      </c>
      <c r="M93" s="2" t="str">
        <f>IFERROR(__xludf.DUMMYFUNCTION("""COMPUTED_VALUE"""),"BETA VUA RỄ")</f>
        <v>BETA VUA RỄ</v>
      </c>
      <c r="N93" s="2" t="str">
        <f>IFERROR(__xludf.DUMMYFUNCTION("""COMPUTED_VALUE"""),"01RR0050")</f>
        <v>01RR0050</v>
      </c>
      <c r="O93" s="2" t="str">
        <f>IFERROR(__xludf.DUMMYFUNCTION("""COMPUTED_VALUE"""),"Phân bón Hỗn hợp NP AGAMA-AP")</f>
        <v>Phân bón Hỗn hợp NP AGAMA-AP</v>
      </c>
      <c r="P93" s="2" t="str">
        <f>IFERROR(__xludf.DUMMYFUNCTION("""COMPUTED_VALUE"""),"#N/A")</f>
        <v>#N/A</v>
      </c>
      <c r="Q93" s="30" t="str">
        <f>IFERROR(__xludf.DUMMYFUNCTION("""COMPUTED_VALUE"""),"KHÔNG KHỚP")</f>
        <v>KHÔNG KHỚP</v>
      </c>
      <c r="R93" s="2"/>
      <c r="S93" s="2"/>
      <c r="T93" s="2"/>
      <c r="U93" s="2"/>
      <c r="V93" s="2"/>
      <c r="W93" s="2"/>
      <c r="X93" s="2"/>
      <c r="Y93" s="2"/>
    </row>
    <row r="94">
      <c r="A94" s="30">
        <f>IFERROR(__xludf.DUMMYFUNCTION("""COMPUTED_VALUE"""),91.0)</f>
        <v>91</v>
      </c>
      <c r="B94" s="39">
        <f>IFERROR(__xludf.DUMMYFUNCTION("""COMPUTED_VALUE"""),46070.0)</f>
        <v>46070</v>
      </c>
      <c r="C94" s="30">
        <f>IFERROR(__xludf.DUMMYFUNCTION("""COMPUTED_VALUE"""),1.0)</f>
        <v>1</v>
      </c>
      <c r="D94" s="30" t="str">
        <f>IFERROR(__xludf.DUMMYFUNCTION("""COMPUTED_VALUE"""),"CT MỚI")</f>
        <v>CT MỚI</v>
      </c>
      <c r="E94" s="30"/>
      <c r="F94" s="2"/>
      <c r="G94" s="2" t="str">
        <f>IFERROR(__xludf.DUMMYFUNCTION("""COMPUTED_VALUE"""),"HH3337")</f>
        <v>HH3337</v>
      </c>
      <c r="H94" s="2" t="str">
        <f>IFERROR(__xludf.DUMMYFUNCTION("""COMPUTED_VALUE"""),"GC - IV - 3337 - NHP Group - CALIMIX (Nước nâu đen) - 500ml - 40")</f>
        <v>GC - IV - 3337 - NHP Group - CALIMIX (Nước nâu đen) - 500ml - 40</v>
      </c>
      <c r="I94" s="2" t="str">
        <f>IFERROR(__xludf.DUMMYFUNCTION("""COMPUTED_VALUE"""),"#N/A")</f>
        <v>#N/A</v>
      </c>
      <c r="J94" s="2"/>
      <c r="K94" s="2"/>
      <c r="L94" s="2" t="str">
        <f>IFERROR(__xludf.DUMMYFUNCTION("""COMPUTED_VALUE"""),"A05050325")</f>
        <v>A05050325</v>
      </c>
      <c r="M94" s="2" t="str">
        <f>IFERROR(__xludf.DUMMYFUNCTION("""COMPUTED_VALUE"""),"CALIMIX")</f>
        <v>CALIMIX</v>
      </c>
      <c r="N94" s="2" t="str">
        <f>IFERROR(__xludf.DUMMYFUNCTION("""COMPUTED_VALUE"""),"08TM0019V1")</f>
        <v>08TM0019V1</v>
      </c>
      <c r="O94" s="2" t="str">
        <f>IFERROR(__xludf.DUMMYFUNCTION("""COMPUTED_VALUE"""),"Phân bón Hữu cơ SH Agro Organic Fertilizer 20")</f>
        <v>Phân bón Hữu cơ SH Agro Organic Fertilizer 20</v>
      </c>
      <c r="P94" s="2" t="str">
        <f>IFERROR(__xludf.DUMMYFUNCTION("""COMPUTED_VALUE"""),"#N/A")</f>
        <v>#N/A</v>
      </c>
      <c r="Q94" s="30" t="str">
        <f>IFERROR(__xludf.DUMMYFUNCTION("""COMPUTED_VALUE"""),"KHÔNG KHỚP")</f>
        <v>KHÔNG KHỚP</v>
      </c>
      <c r="R94" s="2"/>
      <c r="S94" s="2"/>
      <c r="T94" s="2"/>
      <c r="U94" s="2"/>
      <c r="V94" s="2"/>
      <c r="W94" s="2"/>
      <c r="X94" s="2"/>
      <c r="Y94" s="2"/>
    </row>
    <row r="95">
      <c r="A95" s="30">
        <f>IFERROR(__xludf.DUMMYFUNCTION("""COMPUTED_VALUE"""),92.0)</f>
        <v>92</v>
      </c>
      <c r="B95" s="39">
        <f>IFERROR(__xludf.DUMMYFUNCTION("""COMPUTED_VALUE"""),45917.0)</f>
        <v>45917</v>
      </c>
      <c r="C95" s="30">
        <f>IFERROR(__xludf.DUMMYFUNCTION("""COMPUTED_VALUE"""),1.0)</f>
        <v>1</v>
      </c>
      <c r="D95" s="30" t="str">
        <f>IFERROR(__xludf.DUMMYFUNCTION("""COMPUTED_VALUE"""),"CT MỚI")</f>
        <v>CT MỚI</v>
      </c>
      <c r="E95" s="30"/>
      <c r="F95" s="2"/>
      <c r="G95" s="2" t="str">
        <f>IFERROR(__xludf.DUMMYFUNCTION("""COMPUTED_VALUE"""),"HH2522")</f>
        <v>HH2522</v>
      </c>
      <c r="H95" s="2" t="str">
        <f>IFERROR(__xludf.DUMMYFUNCTION("""COMPUTED_VALUE"""),"GC - II - 2522 - CSSX An Khang (A.Dinh) - T-AK 01 (Gel nâu đen) - 500ml - 40")</f>
        <v>GC - II - 2522 - CSSX An Khang (A.Dinh) - T-AK 01 (Gel nâu đen) - 500ml - 40</v>
      </c>
      <c r="I95" s="2" t="str">
        <f>IFERROR(__xludf.DUMMYFUNCTION("""COMPUTED_VALUE"""),"#N/A")</f>
        <v>#N/A</v>
      </c>
      <c r="J95" s="2"/>
      <c r="K95" s="2"/>
      <c r="L95" s="2"/>
      <c r="M95" s="2" t="str">
        <f>IFERROR(__xludf.DUMMYFUNCTION("""COMPUTED_VALUE"""),"T-AK 01")</f>
        <v>T-AK 01</v>
      </c>
      <c r="N95" s="2" t="str">
        <f>IFERROR(__xludf.DUMMYFUNCTION("""COMPUTED_VALUE"""),"09KH0007")</f>
        <v>09KH0007</v>
      </c>
      <c r="O95" s="2" t="str">
        <f>IFERROR(__xludf.DUMMYFUNCTION("""COMPUTED_VALUE"""),"Phân bón Vi lượng Quantity New")</f>
        <v>Phân bón Vi lượng Quantity New</v>
      </c>
      <c r="P95" s="2" t="str">
        <f>IFERROR(__xludf.DUMMYFUNCTION("""COMPUTED_VALUE"""),"#N/A")</f>
        <v>#N/A</v>
      </c>
      <c r="Q95" s="30" t="str">
        <f>IFERROR(__xludf.DUMMYFUNCTION("""COMPUTED_VALUE"""),"KHÔNG KHỚP")</f>
        <v>KHÔNG KHỚP</v>
      </c>
      <c r="R95" s="2"/>
      <c r="S95" s="2"/>
      <c r="T95" s="2"/>
      <c r="U95" s="2"/>
      <c r="V95" s="2"/>
      <c r="W95" s="2"/>
      <c r="X95" s="2"/>
      <c r="Y95" s="2"/>
    </row>
    <row r="96">
      <c r="A96" s="30">
        <f>IFERROR(__xludf.DUMMYFUNCTION("""COMPUTED_VALUE"""),93.0)</f>
        <v>93</v>
      </c>
      <c r="B96" s="39">
        <f>IFERROR(__xludf.DUMMYFUNCTION("""COMPUTED_VALUE"""),45917.0)</f>
        <v>45917</v>
      </c>
      <c r="C96" s="30">
        <f>IFERROR(__xludf.DUMMYFUNCTION("""COMPUTED_VALUE"""),1.0)</f>
        <v>1</v>
      </c>
      <c r="D96" s="30" t="str">
        <f>IFERROR(__xludf.DUMMYFUNCTION("""COMPUTED_VALUE"""),"CT MỚI")</f>
        <v>CT MỚI</v>
      </c>
      <c r="E96" s="30"/>
      <c r="F96" s="2"/>
      <c r="G96" s="2" t="str">
        <f>IFERROR(__xludf.DUMMYFUNCTION("""COMPUTED_VALUE"""),"HH4140")</f>
        <v>HH4140</v>
      </c>
      <c r="H96" s="2" t="str">
        <f>IFERROR(__xludf.DUMMYFUNCTION("""COMPUTED_VALUE"""),"GC - IV - 4140 - CTY HIỆP PHÁT ABC - HP 06 (Gel nâu đen) - 330ml - 40")</f>
        <v>GC - IV - 4140 - CTY HIỆP PHÁT ABC - HP 06 (Gel nâu đen) - 330ml - 40</v>
      </c>
      <c r="I96" s="2" t="str">
        <f>IFERROR(__xludf.DUMMYFUNCTION("""COMPUTED_VALUE"""),"#N/A")</f>
        <v>#N/A</v>
      </c>
      <c r="J96" s="2"/>
      <c r="K96" s="2"/>
      <c r="L96" s="2" t="str">
        <f>IFERROR(__xludf.DUMMYFUNCTION("""COMPUTED_VALUE"""),"A04060724")</f>
        <v>A04060724</v>
      </c>
      <c r="M96" s="2" t="str">
        <f>IFERROR(__xludf.DUMMYFUNCTION("""COMPUTED_VALUE"""),"T-AK 02
HP 06")</f>
        <v>T-AK 02
HP 06</v>
      </c>
      <c r="N96" s="2" t="str">
        <f>IFERROR(__xludf.DUMMYFUNCTION("""COMPUTED_VALUE"""),"09KH0010")</f>
        <v>09KH0010</v>
      </c>
      <c r="O96" s="2" t="str">
        <f>IFERROR(__xludf.DUMMYFUNCTION("""COMPUTED_VALUE"""),"Phân bón Vi lượng Run Fast")</f>
        <v>Phân bón Vi lượng Run Fast</v>
      </c>
      <c r="P96" s="2" t="str">
        <f>IFERROR(__xludf.DUMMYFUNCTION("""COMPUTED_VALUE"""),"#N/A")</f>
        <v>#N/A</v>
      </c>
      <c r="Q96" s="30" t="str">
        <f>IFERROR(__xludf.DUMMYFUNCTION("""COMPUTED_VALUE"""),"KHÔNG KHỚP")</f>
        <v>KHÔNG KHỚP</v>
      </c>
      <c r="R96" s="2"/>
      <c r="S96" s="2"/>
      <c r="T96" s="2"/>
      <c r="U96" s="2"/>
      <c r="V96" s="2"/>
      <c r="W96" s="2"/>
      <c r="X96" s="2"/>
      <c r="Y96" s="2"/>
    </row>
    <row r="97">
      <c r="A97" s="30">
        <f>IFERROR(__xludf.DUMMYFUNCTION("""COMPUTED_VALUE"""),94.0)</f>
        <v>94</v>
      </c>
      <c r="B97" s="39">
        <f>IFERROR(__xludf.DUMMYFUNCTION("""COMPUTED_VALUE"""),45923.0)</f>
        <v>45923</v>
      </c>
      <c r="C97" s="30">
        <f>IFERROR(__xludf.DUMMYFUNCTION("""COMPUTED_VALUE"""),1.0)</f>
        <v>1</v>
      </c>
      <c r="D97" s="30" t="str">
        <f>IFERROR(__xludf.DUMMYFUNCTION("""COMPUTED_VALUE"""),"CT MỚI")</f>
        <v>CT MỚI</v>
      </c>
      <c r="E97" s="30"/>
      <c r="F97" s="2"/>
      <c r="G97" s="2" t="str">
        <f>IFERROR(__xludf.DUMMYFUNCTION("""COMPUTED_VALUE"""),"HH4125")</f>
        <v>HH4125</v>
      </c>
      <c r="H97" s="2" t="str">
        <f>IFERROR(__xludf.DUMMYFUNCTION("""COMPUTED_VALUE"""),"GC - IV - 4125 - CTY QUANG ĐĂNG AGRICULTURE - ĐL LÂM THANH TRÍ - QĐ-PHOSKA (Nước nâu đen) - 500ml - 40")</f>
        <v>GC - IV - 4125 - CTY QUANG ĐĂNG AGRICULTURE - ĐL LÂM THANH TRÍ - QĐ-PHOSKA (Nước nâu đen) - 500ml - 40</v>
      </c>
      <c r="I97" s="2" t="str">
        <f>IFERROR(__xludf.DUMMYFUNCTION("""COMPUTED_VALUE"""),"#N/A")</f>
        <v>#N/A</v>
      </c>
      <c r="J97" s="2"/>
      <c r="K97" s="2"/>
      <c r="L97" s="2" t="str">
        <f>IFERROR(__xludf.DUMMYFUNCTION("""COMPUTED_VALUE"""),"A03160925 ")</f>
        <v>A03160925 </v>
      </c>
      <c r="M97" s="2" t="str">
        <f>IFERROR(__xludf.DUMMYFUNCTION("""COMPUTED_VALUE"""),"LÂN 2 CHIỀU  - 01")</f>
        <v>LÂN 2 CHIỀU  - 01</v>
      </c>
      <c r="N97" s="2" t="str">
        <f>IFERROR(__xludf.DUMMYFUNCTION("""COMPUTED_VALUE"""),"08TM0025")</f>
        <v>08TM0025</v>
      </c>
      <c r="O97" s="2" t="str">
        <f>IFERROR(__xludf.DUMMYFUNCTION("""COMPUTED_VALUE"""),"Phân bón lá hỗn hợp PK AGRI FOS AB")</f>
        <v>Phân bón lá hỗn hợp PK AGRI FOS AB</v>
      </c>
      <c r="P97" s="2" t="str">
        <f>IFERROR(__xludf.DUMMYFUNCTION("""COMPUTED_VALUE"""),"#N/A")</f>
        <v>#N/A</v>
      </c>
      <c r="Q97" s="30" t="str">
        <f>IFERROR(__xludf.DUMMYFUNCTION("""COMPUTED_VALUE"""),"KHÔNG KHỚP")</f>
        <v>KHÔNG KHỚP</v>
      </c>
      <c r="R97" s="2"/>
      <c r="S97" s="2"/>
      <c r="T97" s="2"/>
      <c r="U97" s="2"/>
      <c r="V97" s="2"/>
      <c r="W97" s="2"/>
      <c r="X97" s="2"/>
      <c r="Y97" s="2"/>
    </row>
    <row r="98">
      <c r="A98" s="30">
        <f>IFERROR(__xludf.DUMMYFUNCTION("""COMPUTED_VALUE"""),95.0)</f>
        <v>95</v>
      </c>
      <c r="B98" s="39">
        <f>IFERROR(__xludf.DUMMYFUNCTION("""COMPUTED_VALUE"""),45885.0)</f>
        <v>45885</v>
      </c>
      <c r="C98" s="30">
        <f>IFERROR(__xludf.DUMMYFUNCTION("""COMPUTED_VALUE"""),1.0)</f>
        <v>1</v>
      </c>
      <c r="D98" s="30" t="str">
        <f>IFERROR(__xludf.DUMMYFUNCTION("""COMPUTED_VALUE"""),"CT MỚI")</f>
        <v>CT MỚI</v>
      </c>
      <c r="E98" s="30"/>
      <c r="F98" s="2"/>
      <c r="G98" s="2" t="str">
        <f>IFERROR(__xludf.DUMMYFUNCTION("""COMPUTED_VALUE"""),"HH4075")</f>
        <v>HH4075</v>
      </c>
      <c r="H98" s="2" t="str">
        <f>IFERROR(__xludf.DUMMYFUNCTION("""COMPUTED_VALUE"""),"IDA Global - I - 4075 - CỨNG CÂY 304 (Nước nâu đen) - 500ml - 40")</f>
        <v>IDA Global - I - 4075 - CỨNG CÂY 304 (Nước nâu đen) - 500ml - 40</v>
      </c>
      <c r="I98" s="2" t="str">
        <f>IFERROR(__xludf.DUMMYFUNCTION("""COMPUTED_VALUE"""),"#N/A")</f>
        <v>#N/A</v>
      </c>
      <c r="J98" s="2"/>
      <c r="K98" s="2"/>
      <c r="L98" s="2" t="str">
        <f>IFERROR(__xludf.DUMMYFUNCTION("""COMPUTED_VALUE"""),"L01261124")</f>
        <v>L01261124</v>
      </c>
      <c r="M98" s="2" t="str">
        <f>IFERROR(__xludf.DUMMYFUNCTION("""COMPUTED_VALUE"""),"CỨNG CÂY 304")</f>
        <v>CỨNG CÂY 304</v>
      </c>
      <c r="N98" s="2" t="str">
        <f>IFERROR(__xludf.DUMMYFUNCTION("""COMPUTED_VALUE"""),"02CC0002V1")</f>
        <v>02CC0002V1</v>
      </c>
      <c r="O98" s="2" t="str">
        <f>IFERROR(__xludf.DUMMYFUNCTION("""COMPUTED_VALUE"""),"Phân bón Hữu cơ SH Agro Organic Fertilizer 20")</f>
        <v>Phân bón Hữu cơ SH Agro Organic Fertilizer 20</v>
      </c>
      <c r="P98" s="2" t="str">
        <f>IFERROR(__xludf.DUMMYFUNCTION("""COMPUTED_VALUE"""),"#N/A")</f>
        <v>#N/A</v>
      </c>
      <c r="Q98" s="30" t="str">
        <f>IFERROR(__xludf.DUMMYFUNCTION("""COMPUTED_VALUE"""),"KHÔNG KHỚP")</f>
        <v>KHÔNG KHỚP</v>
      </c>
      <c r="R98" s="2"/>
      <c r="S98" s="2"/>
      <c r="T98" s="2"/>
      <c r="U98" s="2"/>
      <c r="V98" s="2"/>
      <c r="W98" s="2"/>
      <c r="X98" s="2"/>
      <c r="Y98" s="2"/>
    </row>
    <row r="99">
      <c r="A99" s="30">
        <f>IFERROR(__xludf.DUMMYFUNCTION("""COMPUTED_VALUE"""),96.0)</f>
        <v>96</v>
      </c>
      <c r="B99" s="39">
        <f>IFERROR(__xludf.DUMMYFUNCTION("""COMPUTED_VALUE"""),45923.0)</f>
        <v>45923</v>
      </c>
      <c r="C99" s="30">
        <f>IFERROR(__xludf.DUMMYFUNCTION("""COMPUTED_VALUE"""),1.0)</f>
        <v>1</v>
      </c>
      <c r="D99" s="30" t="str">
        <f>IFERROR(__xludf.DUMMYFUNCTION("""COMPUTED_VALUE"""),"CT MỚI")</f>
        <v>CT MỚI</v>
      </c>
      <c r="E99" s="30"/>
      <c r="F99" s="2"/>
      <c r="G99" s="2" t="str">
        <f>IFERROR(__xludf.DUMMYFUNCTION("""COMPUTED_VALUE"""),"HH4141")</f>
        <v>HH4141</v>
      </c>
      <c r="H99" s="2" t="str">
        <f>IFERROR(__xludf.DUMMYFUNCTION("""COMPUTED_VALUE"""),"GC - IV - 4141 - NHP Group - SỬA TƯỚNG SẦU RIÊNG (Nước nâu đen) - 500ml - 40")</f>
        <v>GC - IV - 4141 - NHP Group - SỬA TƯỚNG SẦU RIÊNG (Nước nâu đen) - 500ml - 40</v>
      </c>
      <c r="I99" s="2" t="str">
        <f>IFERROR(__xludf.DUMMYFUNCTION("""COMPUTED_VALUE"""),"#N/A")</f>
        <v>#N/A</v>
      </c>
      <c r="J99" s="2"/>
      <c r="K99" s="2"/>
      <c r="L99" s="2" t="str">
        <f>IFERROR(__xludf.DUMMYFUNCTION("""COMPUTED_VALUE"""),"A01170925")</f>
        <v>A01170925</v>
      </c>
      <c r="M99" s="2" t="str">
        <f>IFERROR(__xludf.DUMMYFUNCTION("""COMPUTED_VALUE"""),"SỬA TƯỚNG SẦU RIÊNG - 01")</f>
        <v>SỬA TƯỚNG SẦU RIÊNG - 01</v>
      </c>
      <c r="N99" s="2" t="str">
        <f>IFERROR(__xludf.DUMMYFUNCTION("""COMPUTED_VALUE"""),"21ST0002")</f>
        <v>21ST0002</v>
      </c>
      <c r="O99" s="2" t="str">
        <f>IFERROR(__xludf.DUMMYFUNCTION("""COMPUTED_VALUE"""),"Phân bón Hữu cơ ORGANIC ĐGP 01 ")</f>
        <v>Phân bón Hữu cơ ORGANIC ĐGP 01 </v>
      </c>
      <c r="P99" s="2" t="str">
        <f>IFERROR(__xludf.DUMMYFUNCTION("""COMPUTED_VALUE"""),"#N/A")</f>
        <v>#N/A</v>
      </c>
      <c r="Q99" s="30" t="str">
        <f>IFERROR(__xludf.DUMMYFUNCTION("""COMPUTED_VALUE"""),"KHÔNG KHỚP")</f>
        <v>KHÔNG KHỚP</v>
      </c>
      <c r="R99" s="2"/>
      <c r="S99" s="2"/>
      <c r="T99" s="2"/>
      <c r="U99" s="2"/>
      <c r="V99" s="2"/>
      <c r="W99" s="2"/>
      <c r="X99" s="2"/>
      <c r="Y99" s="2"/>
    </row>
    <row r="100">
      <c r="A100" s="30">
        <f>IFERROR(__xludf.DUMMYFUNCTION("""COMPUTED_VALUE"""),97.0)</f>
        <v>97</v>
      </c>
      <c r="B100" s="39">
        <f>IFERROR(__xludf.DUMMYFUNCTION("""COMPUTED_VALUE"""),45924.0)</f>
        <v>45924</v>
      </c>
      <c r="C100" s="30">
        <f>IFERROR(__xludf.DUMMYFUNCTION("""COMPUTED_VALUE"""),2.0)</f>
        <v>2</v>
      </c>
      <c r="D100" s="30" t="str">
        <f>IFERROR(__xludf.DUMMYFUNCTION("""COMPUTED_VALUE"""),"CT MỚI")</f>
        <v>CT MỚI</v>
      </c>
      <c r="E100" s="30"/>
      <c r="F100" s="2"/>
      <c r="G100" s="2" t="str">
        <f>IFERROR(__xludf.DUMMYFUNCTION("""COMPUTED_VALUE"""),"HH4141")</f>
        <v>HH4141</v>
      </c>
      <c r="H100" s="2" t="str">
        <f>IFERROR(__xludf.DUMMYFUNCTION("""COMPUTED_VALUE"""),"GC - IV - 4141 - NHP Group - SỬA TƯỚNG SẦU RIÊNG (Nước nâu đen) - 500ml - 40")</f>
        <v>GC - IV - 4141 - NHP Group - SỬA TƯỚNG SẦU RIÊNG (Nước nâu đen) - 500ml - 40</v>
      </c>
      <c r="I100" s="2" t="str">
        <f>IFERROR(__xludf.DUMMYFUNCTION("""COMPUTED_VALUE"""),"#N/A")</f>
        <v>#N/A</v>
      </c>
      <c r="J100" s="2"/>
      <c r="K100" s="2"/>
      <c r="L100" s="2" t="str">
        <f>IFERROR(__xludf.DUMMYFUNCTION("""COMPUTED_VALUE"""),"A01230925")</f>
        <v>A01230925</v>
      </c>
      <c r="M100" s="2" t="str">
        <f>IFERROR(__xludf.DUMMYFUNCTION("""COMPUTED_VALUE"""),"SỬA TƯỚNG SẦU RIÊNG - 02")</f>
        <v>SỬA TƯỚNG SẦU RIÊNG - 02</v>
      </c>
      <c r="N100" s="2" t="str">
        <f>IFERROR(__xludf.DUMMYFUNCTION("""COMPUTED_VALUE"""),"21ST0003")</f>
        <v>21ST0003</v>
      </c>
      <c r="O100" s="2" t="str">
        <f>IFERROR(__xludf.DUMMYFUNCTION("""COMPUTED_VALUE"""),"Phân bón Hữu cơ ORGANIC ĐGP 01 ")</f>
        <v>Phân bón Hữu cơ ORGANIC ĐGP 01 </v>
      </c>
      <c r="P100" s="2" t="str">
        <f>IFERROR(__xludf.DUMMYFUNCTION("""COMPUTED_VALUE"""),"#N/A")</f>
        <v>#N/A</v>
      </c>
      <c r="Q100" s="30" t="str">
        <f>IFERROR(__xludf.DUMMYFUNCTION("""COMPUTED_VALUE"""),"KHÔNG KHỚP")</f>
        <v>KHÔNG KHỚP</v>
      </c>
      <c r="R100" s="2"/>
      <c r="S100" s="2"/>
      <c r="T100" s="2"/>
      <c r="U100" s="2"/>
      <c r="V100" s="2"/>
      <c r="W100" s="2"/>
      <c r="X100" s="2"/>
      <c r="Y100" s="2"/>
    </row>
    <row r="101">
      <c r="A101" s="30">
        <f>IFERROR(__xludf.DUMMYFUNCTION("""COMPUTED_VALUE"""),98.0)</f>
        <v>98</v>
      </c>
      <c r="B101" s="39">
        <f>IFERROR(__xludf.DUMMYFUNCTION("""COMPUTED_VALUE"""),45925.0)</f>
        <v>45925</v>
      </c>
      <c r="C101" s="30">
        <f>IFERROR(__xludf.DUMMYFUNCTION("""COMPUTED_VALUE"""),1.0)</f>
        <v>1</v>
      </c>
      <c r="D101" s="30" t="str">
        <f>IFERROR(__xludf.DUMMYFUNCTION("""COMPUTED_VALUE"""),"CT MỚI")</f>
        <v>CT MỚI</v>
      </c>
      <c r="E101" s="30"/>
      <c r="F101" s="2"/>
      <c r="G101" s="2" t="str">
        <f>IFERROR(__xludf.DUMMYFUNCTION("""COMPUTED_VALUE"""),"HH4027")</f>
        <v>HH4027</v>
      </c>
      <c r="H101" s="2" t="str">
        <f>IFERROR(__xludf.DUMMYFUNCTION("""COMPUTED_VALUE"""),"GC - IX - 4027 - N2SBIO - N2 HYPER LOCK (Dạng SC - Trắng sữa) - 1L - 20")</f>
        <v>GC - IX - 4027 - N2SBIO - N2 HYPER LOCK (Dạng SC - Trắng sữa) - 1L - 20</v>
      </c>
      <c r="I101" s="2" t="str">
        <f>IFERROR(__xludf.DUMMYFUNCTION("""COMPUTED_VALUE"""),"#N/A")</f>
        <v>#N/A</v>
      </c>
      <c r="J101" s="2"/>
      <c r="K101" s="2"/>
      <c r="L101" s="2" t="str">
        <f>IFERROR(__xludf.DUMMYFUNCTION("""COMPUTED_VALUE"""),"N04290725")</f>
        <v>N04290725</v>
      </c>
      <c r="M101" s="2" t="str">
        <f>IFERROR(__xludf.DUMMYFUNCTION("""COMPUTED_VALUE"""),"N2 HYPER LOCK")</f>
        <v>N2 HYPER LOCK</v>
      </c>
      <c r="N101" s="2" t="str">
        <f>IFERROR(__xludf.DUMMYFUNCTION("""COMPUTED_VALUE"""),"06CD0016")</f>
        <v>06CD0016</v>
      </c>
      <c r="O101" s="2" t="str">
        <f>IFERROR(__xludf.DUMMYFUNCTION("""COMPUTED_VALUE"""),"Phân bón lá PK-Trung lượng NBC-PHOTPHONATE")</f>
        <v>Phân bón lá PK-Trung lượng NBC-PHOTPHONATE</v>
      </c>
      <c r="P101" s="2" t="str">
        <f>IFERROR(__xludf.DUMMYFUNCTION("""COMPUTED_VALUE"""),"#N/A")</f>
        <v>#N/A</v>
      </c>
      <c r="Q101" s="30" t="str">
        <f>IFERROR(__xludf.DUMMYFUNCTION("""COMPUTED_VALUE"""),"KHÔNG KHỚP")</f>
        <v>KHÔNG KHỚP</v>
      </c>
      <c r="R101" s="2"/>
      <c r="S101" s="2"/>
      <c r="T101" s="2"/>
      <c r="U101" s="2"/>
      <c r="V101" s="2"/>
      <c r="W101" s="2"/>
      <c r="X101" s="2"/>
      <c r="Y101" s="2"/>
    </row>
    <row r="102">
      <c r="A102" s="30">
        <f>IFERROR(__xludf.DUMMYFUNCTION("""COMPUTED_VALUE"""),99.0)</f>
        <v>99</v>
      </c>
      <c r="B102" s="39">
        <f>IFERROR(__xludf.DUMMYFUNCTION("""COMPUTED_VALUE"""),45924.0)</f>
        <v>45924</v>
      </c>
      <c r="C102" s="30">
        <f>IFERROR(__xludf.DUMMYFUNCTION("""COMPUTED_VALUE"""),1.0)</f>
        <v>1</v>
      </c>
      <c r="D102" s="30" t="str">
        <f>IFERROR(__xludf.DUMMYFUNCTION("""COMPUTED_VALUE"""),"CT MỚI")</f>
        <v>CT MỚI</v>
      </c>
      <c r="E102" s="30"/>
      <c r="F102" s="2"/>
      <c r="G102" s="2" t="str">
        <f>IFERROR(__xludf.DUMMYFUNCTION("""COMPUTED_VALUE"""),"HH3520")</f>
        <v>HH3520</v>
      </c>
      <c r="H102" s="2" t="str">
        <f>IFERROR(__xludf.DUMMYFUNCTION("""COMPUTED_VALUE"""),"GC - IV - 3520 - NEWTECH CROP SCIENCE - NEW ZINC (Nước vàng sữa) - 500ml - 30")</f>
        <v>GC - IV - 3520 - NEWTECH CROP SCIENCE - NEW ZINC (Nước vàng sữa) - 500ml - 30</v>
      </c>
      <c r="I102" s="2" t="str">
        <f>IFERROR(__xludf.DUMMYFUNCTION("""COMPUTED_VALUE"""),"#N/A")</f>
        <v>#N/A</v>
      </c>
      <c r="J102" s="2"/>
      <c r="K102" s="2"/>
      <c r="L102" s="2"/>
      <c r="M102" s="2" t="str">
        <f>IFERROR(__xludf.DUMMYFUNCTION("""COMPUTED_VALUE"""),"NEW ZINC")</f>
        <v>NEW ZINC</v>
      </c>
      <c r="N102" s="2" t="str">
        <f>IFERROR(__xludf.DUMMYFUNCTION("""COMPUTED_VALUE"""),"03DD0001V2")</f>
        <v>03DD0001V2</v>
      </c>
      <c r="O102" s="2" t="str">
        <f>IFERROR(__xludf.DUMMYFUNCTION("""COMPUTED_VALUE"""),"Phân bón Vi lượng MICKEY")</f>
        <v>Phân bón Vi lượng MICKEY</v>
      </c>
      <c r="P102" s="2" t="str">
        <f>IFERROR(__xludf.DUMMYFUNCTION("""COMPUTED_VALUE"""),"#N/A")</f>
        <v>#N/A</v>
      </c>
      <c r="Q102" s="30" t="str">
        <f>IFERROR(__xludf.DUMMYFUNCTION("""COMPUTED_VALUE"""),"KHÔNG KHỚP")</f>
        <v>KHÔNG KHỚP</v>
      </c>
      <c r="R102" s="2"/>
      <c r="S102" s="2"/>
      <c r="T102" s="2"/>
      <c r="U102" s="2"/>
      <c r="V102" s="2"/>
      <c r="W102" s="2"/>
      <c r="X102" s="2"/>
      <c r="Y102" s="2"/>
    </row>
    <row r="103">
      <c r="A103" s="30">
        <f>IFERROR(__xludf.DUMMYFUNCTION("""COMPUTED_VALUE"""),100.0)</f>
        <v>100</v>
      </c>
      <c r="B103" s="39">
        <f>IFERROR(__xludf.DUMMYFUNCTION("""COMPUTED_VALUE"""),45924.0)</f>
        <v>45924</v>
      </c>
      <c r="C103" s="30">
        <f>IFERROR(__xludf.DUMMYFUNCTION("""COMPUTED_VALUE"""),1.0)</f>
        <v>1</v>
      </c>
      <c r="D103" s="30" t="str">
        <f>IFERROR(__xludf.DUMMYFUNCTION("""COMPUTED_VALUE"""),"CT MỚI")</f>
        <v>CT MỚI</v>
      </c>
      <c r="E103" s="30"/>
      <c r="F103" s="2"/>
      <c r="G103" s="2" t="str">
        <f>IFERROR(__xludf.DUMMYFUNCTION("""COMPUTED_VALUE"""),"HH4018")</f>
        <v>HH4018</v>
      </c>
      <c r="H103" s="2" t="str">
        <f>IFERROR(__xludf.DUMMYFUNCTION("""COMPUTED_VALUE"""),"GC - II - 4018 - Cty Hương Nông (A.Tùng) - Bung Đọt (nước nâu đen) - 500ml - 40")</f>
        <v>GC - II - 4018 - Cty Hương Nông (A.Tùng) - Bung Đọt (nước nâu đen) - 500ml - 40</v>
      </c>
      <c r="I103" s="2" t="str">
        <f>IFERROR(__xludf.DUMMYFUNCTION("""COMPUTED_VALUE"""),"#N/A")</f>
        <v>#N/A</v>
      </c>
      <c r="J103" s="2"/>
      <c r="K103" s="2"/>
      <c r="L103" s="2"/>
      <c r="M103" s="2" t="str">
        <f>IFERROR(__xludf.DUMMYFUNCTION("""COMPUTED_VALUE"""),"SIÊU BUNG ĐỌT")</f>
        <v>SIÊU BUNG ĐỌT</v>
      </c>
      <c r="N103" s="2" t="str">
        <f>IFERROR(__xludf.DUMMYFUNCTION("""COMPUTED_VALUE"""),"05KC0004V1")</f>
        <v>05KC0004V1</v>
      </c>
      <c r="O103" s="2" t="str">
        <f>IFERROR(__xludf.DUMMYFUNCTION("""COMPUTED_VALUE"""),"Phân bón Vi lượng Quantity New")</f>
        <v>Phân bón Vi lượng Quantity New</v>
      </c>
      <c r="P103" s="2" t="str">
        <f>IFERROR(__xludf.DUMMYFUNCTION("""COMPUTED_VALUE"""),"#N/A")</f>
        <v>#N/A</v>
      </c>
      <c r="Q103" s="30" t="str">
        <f>IFERROR(__xludf.DUMMYFUNCTION("""COMPUTED_VALUE"""),"KHÔNG KHỚP")</f>
        <v>KHÔNG KHỚP</v>
      </c>
      <c r="R103" s="2"/>
      <c r="S103" s="2"/>
      <c r="T103" s="2"/>
      <c r="U103" s="2"/>
      <c r="V103" s="2"/>
      <c r="W103" s="2"/>
      <c r="X103" s="2"/>
      <c r="Y103" s="2"/>
    </row>
    <row r="104">
      <c r="A104" s="30">
        <f>IFERROR(__xludf.DUMMYFUNCTION("""COMPUTED_VALUE"""),101.0)</f>
        <v>101</v>
      </c>
      <c r="B104" s="39">
        <f>IFERROR(__xludf.DUMMYFUNCTION("""COMPUTED_VALUE"""),45922.0)</f>
        <v>45922</v>
      </c>
      <c r="C104" s="30">
        <f>IFERROR(__xludf.DUMMYFUNCTION("""COMPUTED_VALUE"""),1.0)</f>
        <v>1</v>
      </c>
      <c r="D104" s="30" t="str">
        <f>IFERROR(__xludf.DUMMYFUNCTION("""COMPUTED_VALUE"""),"CT MỚI")</f>
        <v>CT MỚI</v>
      </c>
      <c r="E104" s="30"/>
      <c r="F104" s="2"/>
      <c r="G104" s="2" t="str">
        <f>IFERROR(__xludf.DUMMYFUNCTION("""COMPUTED_VALUE"""),"HH4160")</f>
        <v>HH4160</v>
      </c>
      <c r="H104" s="2" t="str">
        <f>IFERROR(__xludf.DUMMYFUNCTION("""COMPUTED_VALUE"""),"GC - IV - 4160 - Japan Crop Science - Sumo Siêu Cứng (gel nâu đen) - 500ml - 30")</f>
        <v>GC - IV - 4160 - Japan Crop Science - Sumo Siêu Cứng (gel nâu đen) - 500ml - 30</v>
      </c>
      <c r="I104" s="39" t="str">
        <f>IFERROR(__xludf.DUMMYFUNCTION("""COMPUTED_VALUE"""),"Vi lượng Quantity New")</f>
        <v>Vi lượng Quantity New</v>
      </c>
      <c r="J104" s="2"/>
      <c r="K104" s="2"/>
      <c r="L104" s="2" t="str">
        <f>IFERROR(__xludf.DUMMYFUNCTION("""COMPUTED_VALUE"""),"DÒNG PHỤ GIA THẤP V1")</f>
        <v>DÒNG PHỤ GIA THẤP V1</v>
      </c>
      <c r="M104" s="2" t="str">
        <f>IFERROR(__xludf.DUMMYFUNCTION("""COMPUTED_VALUE"""),"SUMO SIÊU CỨNG
CỨNG NHƯ ĐẠN
CỨNG HƠN TRỤ THÉP")</f>
        <v>SUMO SIÊU CỨNG
CỨNG NHƯ ĐẠN
CỨNG HƠN TRỤ THÉP</v>
      </c>
      <c r="N104" s="2" t="str">
        <f>IFERROR(__xludf.DUMMYFUNCTION("""COMPUTED_VALUE"""),"02CC0001V2")</f>
        <v>02CC0001V2</v>
      </c>
      <c r="O104" s="2" t="str">
        <f>IFERROR(__xludf.DUMMYFUNCTION("""COMPUTED_VALUE"""),"Phân bón Vi lượng Quantity New")</f>
        <v>Phân bón Vi lượng Quantity New</v>
      </c>
      <c r="P104" s="2" t="str">
        <f>IFERROR(__xludf.DUMMYFUNCTION("""COMPUTED_VALUE"""),"Phân bón Vi lượng Quantity New")</f>
        <v>Phân bón Vi lượng Quantity New</v>
      </c>
      <c r="Q104" s="30" t="str">
        <f>IFERROR(__xludf.DUMMYFUNCTION("""COMPUTED_VALUE"""),"KHỚP")</f>
        <v>KHỚP</v>
      </c>
      <c r="R104" s="2"/>
      <c r="S104" s="2"/>
      <c r="T104" s="2"/>
      <c r="U104" s="2"/>
      <c r="V104" s="2"/>
      <c r="W104" s="2"/>
      <c r="X104" s="2"/>
      <c r="Y104" s="2"/>
    </row>
    <row r="105">
      <c r="A105" s="30">
        <f>IFERROR(__xludf.DUMMYFUNCTION("""COMPUTED_VALUE"""),102.0)</f>
        <v>102</v>
      </c>
      <c r="B105" s="39">
        <f>IFERROR(__xludf.DUMMYFUNCTION("""COMPUTED_VALUE"""),45890.0)</f>
        <v>45890</v>
      </c>
      <c r="C105" s="30">
        <f>IFERROR(__xludf.DUMMYFUNCTION("""COMPUTED_VALUE"""),1.0)</f>
        <v>1</v>
      </c>
      <c r="D105" s="30" t="str">
        <f>IFERROR(__xludf.DUMMYFUNCTION("""COMPUTED_VALUE"""),"CT MỚI")</f>
        <v>CT MỚI</v>
      </c>
      <c r="E105" s="30"/>
      <c r="F105" s="2"/>
      <c r="G105" s="2" t="str">
        <f>IFERROR(__xludf.DUMMYFUNCTION("""COMPUTED_VALUE"""),"HH4155")</f>
        <v>HH4155</v>
      </c>
      <c r="H105" s="2" t="str">
        <f>IFERROR(__xludf.DUMMYFUNCTION("""COMPUTED_VALUE"""),"GC - II - 4155 - LOT AGC (CAPY GLOBAL) - DR.STOP (Nước nâu đen) - 1L - 20")</f>
        <v>GC - II - 4155 - LOT AGC (CAPY GLOBAL) - DR.STOP (Nước nâu đen) - 1L - 20</v>
      </c>
      <c r="I105" s="2" t="str">
        <f>IFERROR(__xludf.DUMMYFUNCTION("""COMPUTED_VALUE"""),"#N/A")</f>
        <v>#N/A</v>
      </c>
      <c r="J105" s="2"/>
      <c r="K105" s="2"/>
      <c r="L105" s="2" t="str">
        <f>IFERROR(__xludf.DUMMYFUNCTION("""COMPUTED_VALUE"""),"CHẶN ĐỌT DÒNG V1")</f>
        <v>CHẶN ĐỌT DÒNG V1</v>
      </c>
      <c r="M105" s="2" t="str">
        <f>IFERROR(__xludf.DUMMYFUNCTION("""COMPUTED_VALUE"""),"KODO STOP")</f>
        <v>KODO STOP</v>
      </c>
      <c r="N105" s="2" t="str">
        <f>IFERROR(__xludf.DUMMYFUNCTION("""COMPUTED_VALUE"""),"06CD0006")</f>
        <v>06CD0006</v>
      </c>
      <c r="O105" s="2" t="str">
        <f>IFERROR(__xludf.DUMMYFUNCTION("""COMPUTED_VALUE"""),"Phân bón Vi lượng Quantity New")</f>
        <v>Phân bón Vi lượng Quantity New</v>
      </c>
      <c r="P105" s="2" t="str">
        <f>IFERROR(__xludf.DUMMYFUNCTION("""COMPUTED_VALUE"""),"#N/A")</f>
        <v>#N/A</v>
      </c>
      <c r="Q105" s="30" t="str">
        <f>IFERROR(__xludf.DUMMYFUNCTION("""COMPUTED_VALUE"""),"KHÔNG KHỚP")</f>
        <v>KHÔNG KHỚP</v>
      </c>
      <c r="R105" s="2"/>
      <c r="S105" s="2"/>
      <c r="T105" s="2"/>
      <c r="U105" s="2"/>
      <c r="V105" s="2"/>
      <c r="W105" s="2"/>
      <c r="X105" s="2"/>
      <c r="Y105" s="2"/>
    </row>
    <row r="106">
      <c r="A106" s="30">
        <f>IFERROR(__xludf.DUMMYFUNCTION("""COMPUTED_VALUE"""),103.0)</f>
        <v>103</v>
      </c>
      <c r="B106" s="39">
        <f>IFERROR(__xludf.DUMMYFUNCTION("""COMPUTED_VALUE"""),45887.0)</f>
        <v>45887</v>
      </c>
      <c r="C106" s="30">
        <f>IFERROR(__xludf.DUMMYFUNCTION("""COMPUTED_VALUE"""),1.0)</f>
        <v>1</v>
      </c>
      <c r="D106" s="30" t="str">
        <f>IFERROR(__xludf.DUMMYFUNCTION("""COMPUTED_VALUE"""),"CT MỚI")</f>
        <v>CT MỚI</v>
      </c>
      <c r="E106" s="30"/>
      <c r="F106" s="2"/>
      <c r="G106" s="2" t="str">
        <f>IFERROR(__xludf.DUMMYFUNCTION("""COMPUTED_VALUE"""),"HH3485")</f>
        <v>HH3485</v>
      </c>
      <c r="H106" s="2" t="str">
        <f>IFERROR(__xludf.DUMMYFUNCTION("""COMPUTED_VALUE"""),"GC - IV - 3485 - Hóa Nông Shino - CANXI BO (Nước trắng sữa) - 500ml - 30")</f>
        <v>GC - IV - 3485 - Hóa Nông Shino - CANXI BO (Nước trắng sữa) - 500ml - 30</v>
      </c>
      <c r="I106" s="2" t="str">
        <f>IFERROR(__xludf.DUMMYFUNCTION("""COMPUTED_VALUE"""),"#N/A")</f>
        <v>#N/A</v>
      </c>
      <c r="J106" s="2"/>
      <c r="K106" s="2"/>
      <c r="L106" s="2"/>
      <c r="M106" s="2" t="str">
        <f>IFERROR(__xludf.DUMMYFUNCTION("""COMPUTED_VALUE"""),"CANXI BO MASTER")</f>
        <v>CANXI BO MASTER</v>
      </c>
      <c r="N106" s="2" t="str">
        <f>IFERROR(__xludf.DUMMYFUNCTION("""COMPUTED_VALUE"""),"10CR0015")</f>
        <v>10CR0015</v>
      </c>
      <c r="O106" s="2" t="str">
        <f>IFERROR(__xludf.DUMMYFUNCTION("""COMPUTED_VALUE"""),"Phân bón Vi lượng AGAMA-CANXI BO")</f>
        <v>Phân bón Vi lượng AGAMA-CANXI BO</v>
      </c>
      <c r="P106" s="2" t="str">
        <f>IFERROR(__xludf.DUMMYFUNCTION("""COMPUTED_VALUE"""),"#N/A")</f>
        <v>#N/A</v>
      </c>
      <c r="Q106" s="30" t="str">
        <f>IFERROR(__xludf.DUMMYFUNCTION("""COMPUTED_VALUE"""),"KHÔNG KHỚP")</f>
        <v>KHÔNG KHỚP</v>
      </c>
      <c r="R106" s="2"/>
      <c r="S106" s="2"/>
      <c r="T106" s="2"/>
      <c r="U106" s="2"/>
      <c r="V106" s="2"/>
      <c r="W106" s="2"/>
      <c r="X106" s="2"/>
      <c r="Y106" s="2"/>
    </row>
    <row r="107">
      <c r="A107" s="30">
        <f>IFERROR(__xludf.DUMMYFUNCTION("""COMPUTED_VALUE"""),104.0)</f>
        <v>104</v>
      </c>
      <c r="B107" s="39">
        <f>IFERROR(__xludf.DUMMYFUNCTION("""COMPUTED_VALUE"""),45922.0)</f>
        <v>45922</v>
      </c>
      <c r="C107" s="30">
        <f>IFERROR(__xludf.DUMMYFUNCTION("""COMPUTED_VALUE"""),2.0)</f>
        <v>2</v>
      </c>
      <c r="D107" s="30" t="str">
        <f>IFERROR(__xludf.DUMMYFUNCTION("""COMPUTED_VALUE"""),"CT CŨ")</f>
        <v>CT CŨ</v>
      </c>
      <c r="E107" s="30"/>
      <c r="F107" s="2"/>
      <c r="G107" s="2" t="str">
        <f>IFERROR(__xludf.DUMMYFUNCTION("""COMPUTED_VALUE"""),"HH3982")</f>
        <v>HH3982</v>
      </c>
      <c r="H107" s="2" t="str">
        <f>IFERROR(__xludf.DUMMYFUNCTION("""COMPUTED_VALUE"""),"DR.XANH - VIII - 3982 - ROBUST EXTRA (Gel nâu đen) - 500ml - 40")</f>
        <v>DR.XANH - VIII - 3982 - ROBUST EXTRA (Gel nâu đen) - 500ml - 40</v>
      </c>
      <c r="I107" s="2" t="str">
        <f>IFERROR(__xludf.DUMMYFUNCTION("""COMPUTED_VALUE"""),"#N/A")</f>
        <v>#N/A</v>
      </c>
      <c r="J107" s="2"/>
      <c r="K107" s="2"/>
      <c r="L107" s="2" t="str">
        <f>IFERROR(__xludf.DUMMYFUNCTION("""COMPUTED_VALUE"""),"X01180825")</f>
        <v>X01180825</v>
      </c>
      <c r="M107" s="2" t="str">
        <f>IFERROR(__xludf.DUMMYFUNCTION("""COMPUTED_VALUE"""),"ROBUST EXTRA")</f>
        <v>ROBUST EXTRA</v>
      </c>
      <c r="N107" s="2" t="str">
        <f>IFERROR(__xludf.DUMMYFUNCTION("""COMPUTED_VALUE"""),"01RR0071V2")</f>
        <v>01RR0071V2</v>
      </c>
      <c r="O107" s="2" t="str">
        <f>IFERROR(__xludf.DUMMYFUNCTION("""COMPUTED_VALUE"""),"Phân bón hữu cơ ROOTS US90")</f>
        <v>Phân bón hữu cơ ROOTS US90</v>
      </c>
      <c r="P107" s="2" t="str">
        <f>IFERROR(__xludf.DUMMYFUNCTION("""COMPUTED_VALUE"""),"#N/A")</f>
        <v>#N/A</v>
      </c>
      <c r="Q107" s="30" t="str">
        <f>IFERROR(__xludf.DUMMYFUNCTION("""COMPUTED_VALUE"""),"KHÔNG KHỚP")</f>
        <v>KHÔNG KHỚP</v>
      </c>
      <c r="R107" s="2"/>
      <c r="S107" s="2"/>
      <c r="T107" s="2"/>
      <c r="U107" s="2"/>
      <c r="V107" s="2"/>
      <c r="W107" s="2"/>
      <c r="X107" s="2"/>
      <c r="Y107" s="2"/>
    </row>
    <row r="108">
      <c r="A108" s="30">
        <f>IFERROR(__xludf.DUMMYFUNCTION("""COMPUTED_VALUE"""),105.0)</f>
        <v>105</v>
      </c>
      <c r="B108" s="39">
        <f>IFERROR(__xludf.DUMMYFUNCTION("""COMPUTED_VALUE"""),45922.0)</f>
        <v>45922</v>
      </c>
      <c r="C108" s="30">
        <f>IFERROR(__xludf.DUMMYFUNCTION("""COMPUTED_VALUE"""),3.0)</f>
        <v>3</v>
      </c>
      <c r="D108" s="30" t="str">
        <f>IFERROR(__xludf.DUMMYFUNCTION("""COMPUTED_VALUE"""),"CT CŨ")</f>
        <v>CT CŨ</v>
      </c>
      <c r="E108" s="30"/>
      <c r="F108" s="2"/>
      <c r="G108" s="2" t="str">
        <f>IFERROR(__xludf.DUMMYFUNCTION("""COMPUTED_VALUE"""),"HH3983")</f>
        <v>HH3983</v>
      </c>
      <c r="H108" s="2" t="str">
        <f>IFERROR(__xludf.DUMMYFUNCTION("""COMPUTED_VALUE"""),"DR.XANH - VIII - 3983 - ROBUST EXTRA (Gel nâu đen) - 250ml - 40")</f>
        <v>DR.XANH - VIII - 3983 - ROBUST EXTRA (Gel nâu đen) - 250ml - 40</v>
      </c>
      <c r="I108" s="2" t="str">
        <f>IFERROR(__xludf.DUMMYFUNCTION("""COMPUTED_VALUE"""),"#N/A")</f>
        <v>#N/A</v>
      </c>
      <c r="J108" s="2"/>
      <c r="K108" s="2"/>
      <c r="L108" s="2" t="str">
        <f>IFERROR(__xludf.DUMMYFUNCTION("""COMPUTED_VALUE"""),"X01180825")</f>
        <v>X01180825</v>
      </c>
      <c r="M108" s="2" t="str">
        <f>IFERROR(__xludf.DUMMYFUNCTION("""COMPUTED_VALUE"""),"ROBUST EXTRA")</f>
        <v>ROBUST EXTRA</v>
      </c>
      <c r="N108" s="2" t="str">
        <f>IFERROR(__xludf.DUMMYFUNCTION("""COMPUTED_VALUE"""),"01RR0071V2")</f>
        <v>01RR0071V2</v>
      </c>
      <c r="O108" s="2" t="str">
        <f>IFERROR(__xludf.DUMMYFUNCTION("""COMPUTED_VALUE"""),"Phân bón hữu cơ ROOTS US90")</f>
        <v>Phân bón hữu cơ ROOTS US90</v>
      </c>
      <c r="P108" s="2" t="str">
        <f>IFERROR(__xludf.DUMMYFUNCTION("""COMPUTED_VALUE"""),"#N/A")</f>
        <v>#N/A</v>
      </c>
      <c r="Q108" s="30" t="str">
        <f>IFERROR(__xludf.DUMMYFUNCTION("""COMPUTED_VALUE"""),"KHÔNG KHỚP")</f>
        <v>KHÔNG KHỚP</v>
      </c>
      <c r="R108" s="2"/>
      <c r="S108" s="2"/>
      <c r="T108" s="2"/>
      <c r="U108" s="2"/>
      <c r="V108" s="2"/>
      <c r="W108" s="2"/>
      <c r="X108" s="2"/>
      <c r="Y108" s="2"/>
    </row>
    <row r="109">
      <c r="A109" s="30">
        <f>IFERROR(__xludf.DUMMYFUNCTION("""COMPUTED_VALUE"""),106.0)</f>
        <v>106</v>
      </c>
      <c r="B109" s="39">
        <f>IFERROR(__xludf.DUMMYFUNCTION("""COMPUTED_VALUE"""),45923.0)</f>
        <v>45923</v>
      </c>
      <c r="C109" s="30">
        <f>IFERROR(__xludf.DUMMYFUNCTION("""COMPUTED_VALUE"""),0.0)</f>
        <v>0</v>
      </c>
      <c r="D109" s="30" t="str">
        <f>IFERROR(__xludf.DUMMYFUNCTION("""COMPUTED_VALUE"""),"CT MỚI")</f>
        <v>CT MỚI</v>
      </c>
      <c r="E109" s="30"/>
      <c r="F109" s="2"/>
      <c r="G109" s="2"/>
      <c r="H109" s="2"/>
      <c r="I109" s="2" t="str">
        <f>IFERROR(__xludf.DUMMYFUNCTION("""COMPUTED_VALUE"""),"#N/A")</f>
        <v>#N/A</v>
      </c>
      <c r="J109" s="2"/>
      <c r="K109" s="2"/>
      <c r="L109" s="2" t="str">
        <f>IFERROR(__xludf.DUMMYFUNCTION("""COMPUTED_VALUE"""),"A03160925")</f>
        <v>A03160925</v>
      </c>
      <c r="M109" s="2" t="str">
        <f>IFERROR(__xludf.DUMMYFUNCTION("""COMPUTED_VALUE"""),"LÂN 2 CHIỀU  - 01")</f>
        <v>LÂN 2 CHIỀU  - 01</v>
      </c>
      <c r="N109" s="2" t="str">
        <f>IFERROR(__xludf.DUMMYFUNCTION("""COMPUTED_VALUE"""),"08TM0025")</f>
        <v>08TM0025</v>
      </c>
      <c r="O109" s="2" t="str">
        <f>IFERROR(__xludf.DUMMYFUNCTION("""COMPUTED_VALUE"""),"Phân bón lá hỗn hợp PK AGRI FOS AB")</f>
        <v>Phân bón lá hỗn hợp PK AGRI FOS AB</v>
      </c>
      <c r="P109" s="2" t="str">
        <f>IFERROR(__xludf.DUMMYFUNCTION("""COMPUTED_VALUE"""),"#N/A")</f>
        <v>#N/A</v>
      </c>
      <c r="Q109" s="30" t="str">
        <f>IFERROR(__xludf.DUMMYFUNCTION("""COMPUTED_VALUE"""),"KHÔNG KHỚP")</f>
        <v>KHÔNG KHỚP</v>
      </c>
      <c r="R109" s="2"/>
      <c r="S109" s="2"/>
      <c r="T109" s="2"/>
      <c r="U109" s="2"/>
      <c r="V109" s="2"/>
      <c r="W109" s="2"/>
      <c r="X109" s="2"/>
      <c r="Y109" s="2"/>
    </row>
    <row r="110">
      <c r="A110" s="30">
        <f>IFERROR(__xludf.DUMMYFUNCTION("""COMPUTED_VALUE"""),107.0)</f>
        <v>107</v>
      </c>
      <c r="B110" s="39">
        <f>IFERROR(__xludf.DUMMYFUNCTION("""COMPUTED_VALUE"""),45923.0)</f>
        <v>45923</v>
      </c>
      <c r="C110" s="30">
        <f>IFERROR(__xludf.DUMMYFUNCTION("""COMPUTED_VALUE"""),0.0)</f>
        <v>0</v>
      </c>
      <c r="D110" s="30" t="str">
        <f>IFERROR(__xludf.DUMMYFUNCTION("""COMPUTED_VALUE"""),"CT MỚI")</f>
        <v>CT MỚI</v>
      </c>
      <c r="E110" s="30"/>
      <c r="F110" s="2"/>
      <c r="G110" s="2"/>
      <c r="H110" s="2"/>
      <c r="I110" s="2" t="str">
        <f>IFERROR(__xludf.DUMMYFUNCTION("""COMPUTED_VALUE"""),"#N/A")</f>
        <v>#N/A</v>
      </c>
      <c r="J110" s="2"/>
      <c r="K110" s="2"/>
      <c r="L110" s="2" t="str">
        <f>IFERROR(__xludf.DUMMYFUNCTION("""COMPUTED_VALUE"""),"A04160925")</f>
        <v>A04160925</v>
      </c>
      <c r="M110" s="2" t="str">
        <f>IFERROR(__xludf.DUMMYFUNCTION("""COMPUTED_VALUE"""),"LÂN 2 CHIỀU  - 02")</f>
        <v>LÂN 2 CHIỀU  - 02</v>
      </c>
      <c r="N110" s="2" t="str">
        <f>IFERROR(__xludf.DUMMYFUNCTION("""COMPUTED_VALUE"""),"08TM0026")</f>
        <v>08TM0026</v>
      </c>
      <c r="O110" s="2" t="str">
        <f>IFERROR(__xludf.DUMMYFUNCTION("""COMPUTED_VALUE"""),"Phân bón lá hỗn hợp PK AGRI FOS AB")</f>
        <v>Phân bón lá hỗn hợp PK AGRI FOS AB</v>
      </c>
      <c r="P110" s="2" t="str">
        <f>IFERROR(__xludf.DUMMYFUNCTION("""COMPUTED_VALUE"""),"#N/A")</f>
        <v>#N/A</v>
      </c>
      <c r="Q110" s="30" t="str">
        <f>IFERROR(__xludf.DUMMYFUNCTION("""COMPUTED_VALUE"""),"KHÔNG KHỚP")</f>
        <v>KHÔNG KHỚP</v>
      </c>
      <c r="R110" s="2"/>
      <c r="S110" s="2"/>
      <c r="T110" s="2"/>
      <c r="U110" s="2"/>
      <c r="V110" s="2"/>
      <c r="W110" s="2"/>
      <c r="X110" s="2"/>
      <c r="Y110" s="2"/>
    </row>
    <row r="111">
      <c r="A111" s="30">
        <f>IFERROR(__xludf.DUMMYFUNCTION("""COMPUTED_VALUE"""),108.0)</f>
        <v>108</v>
      </c>
      <c r="B111" s="39">
        <f>IFERROR(__xludf.DUMMYFUNCTION("""COMPUTED_VALUE"""),45922.0)</f>
        <v>45922</v>
      </c>
      <c r="C111" s="30">
        <f>IFERROR(__xludf.DUMMYFUNCTION("""COMPUTED_VALUE"""),0.0)</f>
        <v>0</v>
      </c>
      <c r="D111" s="30" t="str">
        <f>IFERROR(__xludf.DUMMYFUNCTION("""COMPUTED_VALUE"""),"CT XỬ LÝ LỖI")</f>
        <v>CT XỬ LÝ LỖI</v>
      </c>
      <c r="E111" s="30"/>
      <c r="F111" s="2"/>
      <c r="G111" s="2"/>
      <c r="H111" s="2"/>
      <c r="I111" s="2" t="str">
        <f>IFERROR(__xludf.DUMMYFUNCTION("""COMPUTED_VALUE"""),"#N/A")</f>
        <v>#N/A</v>
      </c>
      <c r="J111" s="2"/>
      <c r="K111" s="2"/>
      <c r="L111" s="2" t="str">
        <f>IFERROR(__xludf.DUMMYFUNCTION("""COMPUTED_VALUE"""),"XỬ LÝ BTP LỖI ")</f>
        <v>XỬ LÝ BTP LỖI </v>
      </c>
      <c r="M111" s="2" t="str">
        <f>IFERROR(__xludf.DUMMYFUNCTION("""COMPUTED_VALUE"""),"KINONE KÍCH RỄ")</f>
        <v>KINONE KÍCH RỄ</v>
      </c>
      <c r="N111" s="2" t="str">
        <f>IFERROR(__xludf.DUMMYFUNCTION("""COMPUTED_VALUE"""),"01RR0036V1-310925-1")</f>
        <v>01RR0036V1-310925-1</v>
      </c>
      <c r="O111" s="2" t="str">
        <f>IFERROR(__xludf.DUMMYFUNCTION("""COMPUTED_VALUE"""),"Phân bón Hữu cơ SH Agro Organic Fertilizer 20")</f>
        <v>Phân bón Hữu cơ SH Agro Organic Fertilizer 20</v>
      </c>
      <c r="P111" s="2" t="str">
        <f>IFERROR(__xludf.DUMMYFUNCTION("""COMPUTED_VALUE"""),"#N/A")</f>
        <v>#N/A</v>
      </c>
      <c r="Q111" s="30" t="str">
        <f>IFERROR(__xludf.DUMMYFUNCTION("""COMPUTED_VALUE"""),"KHÔNG KHỚP")</f>
        <v>KHÔNG KHỚP</v>
      </c>
      <c r="R111" s="2"/>
      <c r="S111" s="2"/>
      <c r="T111" s="2"/>
      <c r="U111" s="2"/>
      <c r="V111" s="2"/>
      <c r="W111" s="2"/>
      <c r="X111" s="2"/>
      <c r="Y111" s="2"/>
    </row>
    <row r="112">
      <c r="A112" s="30">
        <f>IFERROR(__xludf.DUMMYFUNCTION("""COMPUTED_VALUE"""),109.0)</f>
        <v>109</v>
      </c>
      <c r="B112" s="39">
        <f>IFERROR(__xludf.DUMMYFUNCTION("""COMPUTED_VALUE"""),45896.0)</f>
        <v>45896</v>
      </c>
      <c r="C112" s="30">
        <f>IFERROR(__xludf.DUMMYFUNCTION("""COMPUTED_VALUE"""),1.0)</f>
        <v>1</v>
      </c>
      <c r="D112" s="30" t="str">
        <f>IFERROR(__xludf.DUMMYFUNCTION("""COMPUTED_VALUE"""),"CT MỚI")</f>
        <v>CT MỚI</v>
      </c>
      <c r="E112" s="30"/>
      <c r="F112" s="2"/>
      <c r="G112" s="2" t="str">
        <f>IFERROR(__xludf.DUMMYFUNCTION("""COMPUTED_VALUE"""),"HH4162")</f>
        <v>HH4162</v>
      </c>
      <c r="H112" s="2" t="str">
        <f>IFERROR(__xludf.DUMMYFUNCTION("""COMPUTED_VALUE"""),"GC - IV - 4162 - NHP Group - CANXI BO BIO PLUS (Dạng SC - Trắng sữa) - 500ml - 40")</f>
        <v>GC - IV - 4162 - NHP Group - CANXI BO BIO PLUS (Dạng SC - Trắng sữa) - 500ml - 40</v>
      </c>
      <c r="I112" s="2" t="str">
        <f>IFERROR(__xludf.DUMMYFUNCTION("""COMPUTED_VALUE"""),"#N/A")</f>
        <v>#N/A</v>
      </c>
      <c r="J112" s="2"/>
      <c r="K112" s="2"/>
      <c r="L112" s="2" t="str">
        <f>IFERROR(__xludf.DUMMYFUNCTION("""COMPUTED_VALUE"""),"A02160725")</f>
        <v>A02160725</v>
      </c>
      <c r="M112" s="2" t="str">
        <f>IFERROR(__xludf.DUMMYFUNCTION("""COMPUTED_VALUE"""),"AGAMA-CANXI BO
(KIM NGỌC)")</f>
        <v>AGAMA-CANXI BO
(KIM NGỌC)</v>
      </c>
      <c r="N112" s="2" t="str">
        <f>IFERROR(__xludf.DUMMYFUNCTION("""COMPUTED_VALUE"""),"10CR0021")</f>
        <v>10CR0021</v>
      </c>
      <c r="O112" s="2" t="str">
        <f>IFERROR(__xludf.DUMMYFUNCTION("""COMPUTED_VALUE"""),"Phân bón Vi lượng AGAMA-CANXI BO")</f>
        <v>Phân bón Vi lượng AGAMA-CANXI BO</v>
      </c>
      <c r="P112" s="2" t="str">
        <f>IFERROR(__xludf.DUMMYFUNCTION("""COMPUTED_VALUE"""),"#N/A")</f>
        <v>#N/A</v>
      </c>
      <c r="Q112" s="30" t="str">
        <f>IFERROR(__xludf.DUMMYFUNCTION("""COMPUTED_VALUE"""),"KHÔNG KHỚP")</f>
        <v>KHÔNG KHỚP</v>
      </c>
      <c r="R112" s="2"/>
      <c r="S112" s="2"/>
      <c r="T112" s="2"/>
      <c r="U112" s="2"/>
      <c r="V112" s="2"/>
      <c r="W112" s="2"/>
      <c r="X112" s="2"/>
      <c r="Y112" s="2"/>
    </row>
    <row r="113">
      <c r="A113" s="30">
        <f>IFERROR(__xludf.DUMMYFUNCTION("""COMPUTED_VALUE"""),110.0)</f>
        <v>110</v>
      </c>
      <c r="B113" s="39">
        <f>IFERROR(__xludf.DUMMYFUNCTION("""COMPUTED_VALUE"""),45896.0)</f>
        <v>45896</v>
      </c>
      <c r="C113" s="30">
        <f>IFERROR(__xludf.DUMMYFUNCTION("""COMPUTED_VALUE"""),1.0)</f>
        <v>1</v>
      </c>
      <c r="D113" s="30" t="str">
        <f>IFERROR(__xludf.DUMMYFUNCTION("""COMPUTED_VALUE"""),"CT MỚI")</f>
        <v>CT MỚI</v>
      </c>
      <c r="E113" s="30"/>
      <c r="F113" s="2"/>
      <c r="G113" s="2" t="str">
        <f>IFERROR(__xludf.DUMMYFUNCTION("""COMPUTED_VALUE"""),"HH4163")</f>
        <v>HH4163</v>
      </c>
      <c r="H113" s="2" t="str">
        <f>IFERROR(__xludf.DUMMYFUNCTION("""COMPUTED_VALUE"""),"GC - IV - 4163 - CTY QUANG ĐĂNG AGRICULTURE (HTX TÂN THÀNH) - CABO SUPER (Nước trắng sữa) - 500ml - 40")</f>
        <v>GC - IV - 4163 - CTY QUANG ĐĂNG AGRICULTURE (HTX TÂN THÀNH) - CABO SUPER (Nước trắng sữa) - 500ml - 40</v>
      </c>
      <c r="I113" s="2" t="str">
        <f>IFERROR(__xludf.DUMMYFUNCTION("""COMPUTED_VALUE"""),"#N/A")</f>
        <v>#N/A</v>
      </c>
      <c r="J113" s="2"/>
      <c r="K113" s="2"/>
      <c r="L113" s="2" t="str">
        <f>IFERROR(__xludf.DUMMYFUNCTION("""COMPUTED_VALUE"""),"A02160725")</f>
        <v>A02160725</v>
      </c>
      <c r="M113" s="2" t="str">
        <f>IFERROR(__xludf.DUMMYFUNCTION("""COMPUTED_VALUE"""),"AGAMA-CANXI BO
(KIM NGỌC)")</f>
        <v>AGAMA-CANXI BO
(KIM NGỌC)</v>
      </c>
      <c r="N113" s="2" t="str">
        <f>IFERROR(__xludf.DUMMYFUNCTION("""COMPUTED_VALUE"""),"10CR0021")</f>
        <v>10CR0021</v>
      </c>
      <c r="O113" s="2" t="str">
        <f>IFERROR(__xludf.DUMMYFUNCTION("""COMPUTED_VALUE"""),"Phân bón Vi lượng AGAMA-CANXI BO")</f>
        <v>Phân bón Vi lượng AGAMA-CANXI BO</v>
      </c>
      <c r="P113" s="2" t="str">
        <f>IFERROR(__xludf.DUMMYFUNCTION("""COMPUTED_VALUE"""),"#N/A")</f>
        <v>#N/A</v>
      </c>
      <c r="Q113" s="30" t="str">
        <f>IFERROR(__xludf.DUMMYFUNCTION("""COMPUTED_VALUE"""),"KHÔNG KHỚP")</f>
        <v>KHÔNG KHỚP</v>
      </c>
      <c r="R113" s="2"/>
      <c r="S113" s="2"/>
      <c r="T113" s="2"/>
      <c r="U113" s="2"/>
      <c r="V113" s="2"/>
      <c r="W113" s="2"/>
      <c r="X113" s="2"/>
      <c r="Y113" s="2"/>
    </row>
    <row r="114">
      <c r="A114" s="30">
        <f>IFERROR(__xludf.DUMMYFUNCTION("""COMPUTED_VALUE"""),111.0)</f>
        <v>111</v>
      </c>
      <c r="B114" s="39">
        <f>IFERROR(__xludf.DUMMYFUNCTION("""COMPUTED_VALUE"""),45929.0)</f>
        <v>45929</v>
      </c>
      <c r="C114" s="30">
        <f>IFERROR(__xludf.DUMMYFUNCTION("""COMPUTED_VALUE"""),1.0)</f>
        <v>1</v>
      </c>
      <c r="D114" s="30" t="str">
        <f>IFERROR(__xludf.DUMMYFUNCTION("""COMPUTED_VALUE"""),"CT MỚI")</f>
        <v>CT MỚI</v>
      </c>
      <c r="E114" s="30"/>
      <c r="F114" s="2"/>
      <c r="G114" s="2" t="str">
        <f>IFERROR(__xludf.DUMMYFUNCTION("""COMPUTED_VALUE"""),"HH3525")</f>
        <v>HH3525</v>
      </c>
      <c r="H114" s="2" t="str">
        <f>IFERROR(__xludf.DUMMYFUNCTION("""COMPUTED_VALUE"""),"GC - IV - 3525 - Cty Sen Hồng (A.Diễn) - SIÊU VÔ GẠO TE+ (Gel đỏ cam) - 500ml - 40")</f>
        <v>GC - IV - 3525 - Cty Sen Hồng (A.Diễn) - SIÊU VÔ GẠO TE+ (Gel đỏ cam) - 500ml - 40</v>
      </c>
      <c r="I114" s="2" t="str">
        <f>IFERROR(__xludf.DUMMYFUNCTION("""COMPUTED_VALUE"""),"#N/A")</f>
        <v>#N/A</v>
      </c>
      <c r="J114" s="2"/>
      <c r="K114" s="2"/>
      <c r="L114" s="2"/>
      <c r="M114" s="2" t="str">
        <f>IFERROR(__xludf.DUMMYFUNCTION("""COMPUTED_VALUE"""),"SIÊU VÔ GẠO TE+
1 TẤN 4
SHINO 1 TẤN 4
SHINO RICE")</f>
        <v>SIÊU VÔ GẠO TE+
1 TẤN 4
SHINO 1 TẤN 4
SHINO RICE</v>
      </c>
      <c r="N114" s="2" t="str">
        <f>IFERROR(__xludf.DUMMYFUNCTION("""COMPUTED_VALUE"""),"04VG0014V1")</f>
        <v>04VG0014V1</v>
      </c>
      <c r="O114" s="2" t="str">
        <f>IFERROR(__xludf.DUMMYFUNCTION("""COMPUTED_VALUE"""),"Phân bón NPK-Vi lượng MASSIVE-BLUE")</f>
        <v>Phân bón NPK-Vi lượng MASSIVE-BLUE</v>
      </c>
      <c r="P114" s="2" t="str">
        <f>IFERROR(__xludf.DUMMYFUNCTION("""COMPUTED_VALUE"""),"#N/A")</f>
        <v>#N/A</v>
      </c>
      <c r="Q114" s="30" t="str">
        <f>IFERROR(__xludf.DUMMYFUNCTION("""COMPUTED_VALUE"""),"KHÔNG KHỚP")</f>
        <v>KHÔNG KHỚP</v>
      </c>
      <c r="R114" s="2"/>
      <c r="S114" s="2"/>
      <c r="T114" s="2"/>
      <c r="U114" s="2"/>
      <c r="V114" s="2"/>
      <c r="W114" s="2"/>
      <c r="X114" s="2"/>
      <c r="Y114" s="2"/>
    </row>
    <row r="115">
      <c r="A115" s="30">
        <f>IFERROR(__xludf.DUMMYFUNCTION("""COMPUTED_VALUE"""),112.0)</f>
        <v>112</v>
      </c>
      <c r="B115" s="39">
        <f>IFERROR(__xludf.DUMMYFUNCTION("""COMPUTED_VALUE"""),45889.0)</f>
        <v>45889</v>
      </c>
      <c r="C115" s="30">
        <f>IFERROR(__xludf.DUMMYFUNCTION("""COMPUTED_VALUE"""),1.0)</f>
        <v>1</v>
      </c>
      <c r="D115" s="30" t="str">
        <f>IFERROR(__xludf.DUMMYFUNCTION("""COMPUTED_VALUE"""),"CT MỚI")</f>
        <v>CT MỚI</v>
      </c>
      <c r="E115" s="30"/>
      <c r="F115" s="2"/>
      <c r="G115" s="2" t="str">
        <f>IFERROR(__xludf.DUMMYFUNCTION("""COMPUTED_VALUE"""),"HH4174")</f>
        <v>HH4174</v>
      </c>
      <c r="H115" s="2" t="str">
        <f>IFERROR(__xludf.DUMMYFUNCTION("""COMPUTED_VALUE"""),"IDA Global - I - 4174 - STOP UP (Nước nâu đen) - 1L - 20")</f>
        <v>IDA Global - I - 4174 - STOP UP (Nước nâu đen) - 1L - 20</v>
      </c>
      <c r="I115" s="2" t="str">
        <f>IFERROR(__xludf.DUMMYFUNCTION("""COMPUTED_VALUE"""),"#N/A")</f>
        <v>#N/A</v>
      </c>
      <c r="J115" s="2"/>
      <c r="K115" s="2"/>
      <c r="L115" s="2" t="str">
        <f>IFERROR(__xludf.DUMMYFUNCTION("""COMPUTED_VALUE"""),"CHẶN ĐỌT DÒNG V2")</f>
        <v>CHẶN ĐỌT DÒNG V2</v>
      </c>
      <c r="M115" s="2" t="str">
        <f>IFERROR(__xludf.DUMMYFUNCTION("""COMPUTED_VALUE"""),"STOP UP
MT STOP
AGRI STOP
STOP ĐỌT
SIÊU CHẶN ĐỌT
MASTER STOP
UNI STOP ONE
BAMBOO DOUBLE STOP")</f>
        <v>STOP UP
MT STOP
AGRI STOP
STOP ĐỌT
SIÊU CHẶN ĐỌT
MASTER STOP
UNI STOP ONE
BAMBOO DOUBLE STOP</v>
      </c>
      <c r="N115" s="2" t="str">
        <f>IFERROR(__xludf.DUMMYFUNCTION("""COMPUTED_VALUE"""),"06CD0009V1")</f>
        <v>06CD0009V1</v>
      </c>
      <c r="O115" s="2" t="str">
        <f>IFERROR(__xludf.DUMMYFUNCTION("""COMPUTED_VALUE"""),"Phân bón Vi lượng Quantity New")</f>
        <v>Phân bón Vi lượng Quantity New</v>
      </c>
      <c r="P115" s="2" t="str">
        <f>IFERROR(__xludf.DUMMYFUNCTION("""COMPUTED_VALUE"""),"#N/A")</f>
        <v>#N/A</v>
      </c>
      <c r="Q115" s="30" t="str">
        <f>IFERROR(__xludf.DUMMYFUNCTION("""COMPUTED_VALUE"""),"KHÔNG KHỚP")</f>
        <v>KHÔNG KHỚP</v>
      </c>
      <c r="R115" s="2"/>
      <c r="S115" s="2"/>
      <c r="T115" s="2"/>
      <c r="U115" s="2"/>
      <c r="V115" s="2"/>
      <c r="W115" s="2"/>
      <c r="X115" s="2"/>
      <c r="Y115" s="2"/>
    </row>
    <row r="116">
      <c r="A116" s="30">
        <f>IFERROR(__xludf.DUMMYFUNCTION("""COMPUTED_VALUE"""),113.0)</f>
        <v>113</v>
      </c>
      <c r="B116" s="39">
        <f>IFERROR(__xludf.DUMMYFUNCTION("""COMPUTED_VALUE"""),45925.0)</f>
        <v>45925</v>
      </c>
      <c r="C116" s="30">
        <f>IFERROR(__xludf.DUMMYFUNCTION("""COMPUTED_VALUE"""),2.0)</f>
        <v>2</v>
      </c>
      <c r="D116" s="30" t="str">
        <f>IFERROR(__xludf.DUMMYFUNCTION("""COMPUTED_VALUE"""),"CT CŨ")</f>
        <v>CT CŨ</v>
      </c>
      <c r="E116" s="30"/>
      <c r="F116" s="2"/>
      <c r="G116" s="2" t="str">
        <f>IFERROR(__xludf.DUMMYFUNCTION("""COMPUTED_VALUE"""),"HH4027")</f>
        <v>HH4027</v>
      </c>
      <c r="H116" s="2" t="str">
        <f>IFERROR(__xludf.DUMMYFUNCTION("""COMPUTED_VALUE"""),"GC - IX - 4027 - N2SBIO - N2 HYPER LOCK (Dạng SC - Trắng sữa) - 1L - 20")</f>
        <v>GC - IX - 4027 - N2SBIO - N2 HYPER LOCK (Dạng SC - Trắng sữa) - 1L - 20</v>
      </c>
      <c r="I116" s="2" t="str">
        <f>IFERROR(__xludf.DUMMYFUNCTION("""COMPUTED_VALUE"""),"#N/A")</f>
        <v>#N/A</v>
      </c>
      <c r="J116" s="2"/>
      <c r="K116" s="2"/>
      <c r="L116" s="2" t="str">
        <f>IFERROR(__xludf.DUMMYFUNCTION("""COMPUTED_VALUE"""),"N04290725")</f>
        <v>N04290725</v>
      </c>
      <c r="M116" s="2" t="str">
        <f>IFERROR(__xludf.DUMMYFUNCTION("""COMPUTED_VALUE"""),"N2 HYPER LOCK")</f>
        <v>N2 HYPER LOCK</v>
      </c>
      <c r="N116" s="2" t="str">
        <f>IFERROR(__xludf.DUMMYFUNCTION("""COMPUTED_VALUE"""),"06CD0016")</f>
        <v>06CD0016</v>
      </c>
      <c r="O116" s="2" t="str">
        <f>IFERROR(__xludf.DUMMYFUNCTION("""COMPUTED_VALUE"""),"Phân bón lá PK-Trung lượng NBC-PHOTPHONATE")</f>
        <v>Phân bón lá PK-Trung lượng NBC-PHOTPHONATE</v>
      </c>
      <c r="P116" s="2" t="str">
        <f>IFERROR(__xludf.DUMMYFUNCTION("""COMPUTED_VALUE"""),"#N/A")</f>
        <v>#N/A</v>
      </c>
      <c r="Q116" s="30" t="str">
        <f>IFERROR(__xludf.DUMMYFUNCTION("""COMPUTED_VALUE"""),"KHÔNG KHỚP")</f>
        <v>KHÔNG KHỚP</v>
      </c>
      <c r="R116" s="2"/>
      <c r="S116" s="2"/>
      <c r="T116" s="2"/>
      <c r="U116" s="2"/>
      <c r="V116" s="2"/>
      <c r="W116" s="2"/>
      <c r="X116" s="2"/>
      <c r="Y116" s="2"/>
    </row>
    <row r="117">
      <c r="A117" s="30">
        <f>IFERROR(__xludf.DUMMYFUNCTION("""COMPUTED_VALUE"""),114.0)</f>
        <v>114</v>
      </c>
      <c r="B117" s="39">
        <f>IFERROR(__xludf.DUMMYFUNCTION("""COMPUTED_VALUE"""),45929.0)</f>
        <v>45929</v>
      </c>
      <c r="C117" s="30">
        <f>IFERROR(__xludf.DUMMYFUNCTION("""COMPUTED_VALUE"""),1.0)</f>
        <v>1</v>
      </c>
      <c r="D117" s="30" t="str">
        <f>IFERROR(__xludf.DUMMYFUNCTION("""COMPUTED_VALUE"""),"CT MỚI")</f>
        <v>CT MỚI</v>
      </c>
      <c r="E117" s="30"/>
      <c r="F117" s="2"/>
      <c r="G117" s="2" t="str">
        <f>IFERROR(__xludf.DUMMYFUNCTION("""COMPUTED_VALUE"""),"HH4138")</f>
        <v>HH4138</v>
      </c>
      <c r="H117" s="2" t="str">
        <f>IFERROR(__xludf.DUMMYFUNCTION("""COMPUTED_VALUE"""),"GC - IV - 4138 - Cty Newtex - VÔ GẠO T9 (Dạng SC - Xanh lá) - 500ml - 40")</f>
        <v>GC - IV - 4138 - Cty Newtex - VÔ GẠO T9 (Dạng SC - Xanh lá) - 500ml - 40</v>
      </c>
      <c r="I117" s="2" t="str">
        <f>IFERROR(__xludf.DUMMYFUNCTION("""COMPUTED_VALUE"""),"#N/A")</f>
        <v>#N/A</v>
      </c>
      <c r="J117" s="2"/>
      <c r="K117" s="2"/>
      <c r="L117" s="2" t="str">
        <f>IFERROR(__xludf.DUMMYFUNCTION("""COMPUTED_VALUE"""),"A03160725")</f>
        <v>A03160725</v>
      </c>
      <c r="M117" s="2" t="str">
        <f>IFERROR(__xludf.DUMMYFUNCTION("""COMPUTED_VALUE"""),"VÔ GẠO  ")</f>
        <v>VÔ GẠO  </v>
      </c>
      <c r="N117" s="2" t="str">
        <f>IFERROR(__xludf.DUMMYFUNCTION("""COMPUTED_VALUE"""),"04VG0040")</f>
        <v>04VG0040</v>
      </c>
      <c r="O117" s="2" t="str">
        <f>IFERROR(__xludf.DUMMYFUNCTION("""COMPUTED_VALUE"""),"Phân bón hỗn hợp NPK GNC 101")</f>
        <v>Phân bón hỗn hợp NPK GNC 101</v>
      </c>
      <c r="P117" s="2" t="str">
        <f>IFERROR(__xludf.DUMMYFUNCTION("""COMPUTED_VALUE"""),"#N/A")</f>
        <v>#N/A</v>
      </c>
      <c r="Q117" s="30" t="str">
        <f>IFERROR(__xludf.DUMMYFUNCTION("""COMPUTED_VALUE"""),"KHÔNG KHỚP")</f>
        <v>KHÔNG KHỚP</v>
      </c>
      <c r="R117" s="2"/>
      <c r="S117" s="2"/>
      <c r="T117" s="2"/>
      <c r="U117" s="2"/>
      <c r="V117" s="2"/>
      <c r="W117" s="2"/>
      <c r="X117" s="2"/>
      <c r="Y117" s="2"/>
    </row>
    <row r="118">
      <c r="A118" s="30">
        <f>IFERROR(__xludf.DUMMYFUNCTION("""COMPUTED_VALUE"""),115.0)</f>
        <v>115</v>
      </c>
      <c r="B118" s="39">
        <f>IFERROR(__xludf.DUMMYFUNCTION("""COMPUTED_VALUE"""),45924.0)</f>
        <v>45924</v>
      </c>
      <c r="C118" s="30">
        <f>IFERROR(__xludf.DUMMYFUNCTION("""COMPUTED_VALUE"""),2.0)</f>
        <v>2</v>
      </c>
      <c r="D118" s="30" t="str">
        <f>IFERROR(__xludf.DUMMYFUNCTION("""COMPUTED_VALUE"""),"CT CŨ")</f>
        <v>CT CŨ</v>
      </c>
      <c r="E118" s="30"/>
      <c r="F118" s="2"/>
      <c r="G118" s="2" t="str">
        <f>IFERROR(__xludf.DUMMYFUNCTION("""COMPUTED_VALUE"""),"HH3520")</f>
        <v>HH3520</v>
      </c>
      <c r="H118" s="2" t="str">
        <f>IFERROR(__xludf.DUMMYFUNCTION("""COMPUTED_VALUE"""),"GC - IV - 3520 - NEWTECH CROP SCIENCE - NEW ZINC (Nước vàng sữa) - 500ml - 30")</f>
        <v>GC - IV - 3520 - NEWTECH CROP SCIENCE - NEW ZINC (Nước vàng sữa) - 500ml - 30</v>
      </c>
      <c r="I118" s="2" t="str">
        <f>IFERROR(__xludf.DUMMYFUNCTION("""COMPUTED_VALUE"""),"#N/A")</f>
        <v>#N/A</v>
      </c>
      <c r="J118" s="2"/>
      <c r="K118" s="2"/>
      <c r="L118" s="2"/>
      <c r="M118" s="2" t="str">
        <f>IFERROR(__xludf.DUMMYFUNCTION("""COMPUTED_VALUE"""),"NEW ZINC")</f>
        <v>NEW ZINC</v>
      </c>
      <c r="N118" s="2" t="str">
        <f>IFERROR(__xludf.DUMMYFUNCTION("""COMPUTED_VALUE"""),"03DD0001V2")</f>
        <v>03DD0001V2</v>
      </c>
      <c r="O118" s="2" t="str">
        <f>IFERROR(__xludf.DUMMYFUNCTION("""COMPUTED_VALUE"""),"Phân bón Vi lượng MICKEY")</f>
        <v>Phân bón Vi lượng MICKEY</v>
      </c>
      <c r="P118" s="2" t="str">
        <f>IFERROR(__xludf.DUMMYFUNCTION("""COMPUTED_VALUE"""),"#N/A")</f>
        <v>#N/A</v>
      </c>
      <c r="Q118" s="30" t="str">
        <f>IFERROR(__xludf.DUMMYFUNCTION("""COMPUTED_VALUE"""),"KHÔNG KHỚP")</f>
        <v>KHÔNG KHỚP</v>
      </c>
      <c r="R118" s="2"/>
      <c r="S118" s="2"/>
      <c r="T118" s="2"/>
      <c r="U118" s="2"/>
      <c r="V118" s="2"/>
      <c r="W118" s="2"/>
      <c r="X118" s="2"/>
      <c r="Y118" s="2"/>
    </row>
    <row r="119">
      <c r="A119" s="30">
        <f>IFERROR(__xludf.DUMMYFUNCTION("""COMPUTED_VALUE"""),116.0)</f>
        <v>116</v>
      </c>
      <c r="B119" s="39">
        <f>IFERROR(__xludf.DUMMYFUNCTION("""COMPUTED_VALUE"""),45922.0)</f>
        <v>45922</v>
      </c>
      <c r="C119" s="30">
        <f>IFERROR(__xludf.DUMMYFUNCTION("""COMPUTED_VALUE"""),1.0)</f>
        <v>1</v>
      </c>
      <c r="D119" s="30" t="str">
        <f>IFERROR(__xludf.DUMMYFUNCTION("""COMPUTED_VALUE"""),"CT MỚI")</f>
        <v>CT MỚI</v>
      </c>
      <c r="E119" s="30"/>
      <c r="F119" s="2"/>
      <c r="G119" s="2" t="str">
        <f>IFERROR(__xludf.DUMMYFUNCTION("""COMPUTED_VALUE"""),"HH4068")</f>
        <v>HH4068</v>
      </c>
      <c r="H119" s="2" t="str">
        <f>IFERROR(__xludf.DUMMYFUNCTION("""COMPUTED_VALUE"""),"N2AGRO - LÁ NK TRUNG VI LƯỢNG CÓ CHẤT ĐIỀU HÒA SINH TRƯỞNG HALO 26 - N2 HYPER CALBOR - 500ml - 40")</f>
        <v>N2AGRO - LÁ NK TRUNG VI LƯỢNG CÓ CHẤT ĐIỀU HÒA SINH TRƯỞNG HALO 26 - N2 HYPER CALBOR - 500ml - 40</v>
      </c>
      <c r="I119" s="2" t="str">
        <f>IFERROR(__xludf.DUMMYFUNCTION("""COMPUTED_VALUE"""),"#N/A")</f>
        <v>#N/A</v>
      </c>
      <c r="J119" s="2"/>
      <c r="K119" s="2"/>
      <c r="L119" s="2" t="str">
        <f>IFERROR(__xludf.DUMMYFUNCTION("""COMPUTED_VALUE"""),"N01220825")</f>
        <v>N01220825</v>
      </c>
      <c r="M119" s="2" t="str">
        <f>IFERROR(__xludf.DUMMYFUNCTION("""COMPUTED_VALUE"""),"N2 HYPER CALBOR")</f>
        <v>N2 HYPER CALBOR</v>
      </c>
      <c r="N119" s="2" t="str">
        <f>IFERROR(__xludf.DUMMYFUNCTION("""COMPUTED_VALUE"""),"10CR0026")</f>
        <v>10CR0026</v>
      </c>
      <c r="O119" s="2" t="str">
        <f>IFERROR(__xludf.DUMMYFUNCTION("""COMPUTED_VALUE"""),"Phân bón lá NK-Trung-Vi lượng có chất điều hoà sinh trưởng HALO 26")</f>
        <v>Phân bón lá NK-Trung-Vi lượng có chất điều hoà sinh trưởng HALO 26</v>
      </c>
      <c r="P119" s="2" t="str">
        <f>IFERROR(__xludf.DUMMYFUNCTION("""COMPUTED_VALUE"""),"#N/A")</f>
        <v>#N/A</v>
      </c>
      <c r="Q119" s="30" t="str">
        <f>IFERROR(__xludf.DUMMYFUNCTION("""COMPUTED_VALUE"""),"KHÔNG KHỚP")</f>
        <v>KHÔNG KHỚP</v>
      </c>
      <c r="R119" s="2"/>
      <c r="S119" s="2"/>
      <c r="T119" s="2"/>
      <c r="U119" s="2"/>
      <c r="V119" s="2"/>
      <c r="W119" s="2"/>
      <c r="X119" s="2"/>
      <c r="Y119" s="2"/>
    </row>
    <row r="120">
      <c r="A120" s="30">
        <f>IFERROR(__xludf.DUMMYFUNCTION("""COMPUTED_VALUE"""),117.0)</f>
        <v>117</v>
      </c>
      <c r="B120" s="39">
        <f>IFERROR(__xludf.DUMMYFUNCTION("""COMPUTED_VALUE"""),45906.0)</f>
        <v>45906</v>
      </c>
      <c r="C120" s="30">
        <f>IFERROR(__xludf.DUMMYFUNCTION("""COMPUTED_VALUE"""),1.0)</f>
        <v>1</v>
      </c>
      <c r="D120" s="30" t="str">
        <f>IFERROR(__xludf.DUMMYFUNCTION("""COMPUTED_VALUE"""),"CT MỚI")</f>
        <v>CT MỚI</v>
      </c>
      <c r="E120" s="30"/>
      <c r="F120" s="2"/>
      <c r="G120" s="2" t="str">
        <f>IFERROR(__xludf.DUMMYFUNCTION("""COMPUTED_VALUE"""),"HH4058")</f>
        <v>HH4058</v>
      </c>
      <c r="H120" s="2" t="str">
        <f>IFERROR(__xludf.DUMMYFUNCTION("""COMPUTED_VALUE"""),"N2AGRO - LÁ NK TRUNG VI LƯỢNG CÓ CHẤT ĐIỀU HÒA SINH TRƯỞNG HALO 26 - SIÊU BO SỮA - 250ml - 40")</f>
        <v>N2AGRO - LÁ NK TRUNG VI LƯỢNG CÓ CHẤT ĐIỀU HÒA SINH TRƯỞNG HALO 26 - SIÊU BO SỮA - 250ml - 40</v>
      </c>
      <c r="I120" s="2" t="str">
        <f>IFERROR(__xludf.DUMMYFUNCTION("""COMPUTED_VALUE"""),"#N/A")</f>
        <v>#N/A</v>
      </c>
      <c r="J120" s="2"/>
      <c r="K120" s="2"/>
      <c r="L120" s="2" t="str">
        <f>IFERROR(__xludf.DUMMYFUNCTION("""COMPUTED_VALUE"""),"N01190825")</f>
        <v>N01190825</v>
      </c>
      <c r="M120" s="2" t="str">
        <f>IFERROR(__xludf.DUMMYFUNCTION("""COMPUTED_VALUE"""),"N2 Bo - 150")</f>
        <v>N2 Bo - 150</v>
      </c>
      <c r="N120" s="2" t="str">
        <f>IFERROR(__xludf.DUMMYFUNCTION("""COMPUTED_VALUE"""),"10CR0027")</f>
        <v>10CR0027</v>
      </c>
      <c r="O120" s="2" t="str">
        <f>IFERROR(__xludf.DUMMYFUNCTION("""COMPUTED_VALUE"""),"Phân bón lá Vi lượng NBC-BO.15")</f>
        <v>Phân bón lá Vi lượng NBC-BO.15</v>
      </c>
      <c r="P120" s="2" t="str">
        <f>IFERROR(__xludf.DUMMYFUNCTION("""COMPUTED_VALUE"""),"#N/A")</f>
        <v>#N/A</v>
      </c>
      <c r="Q120" s="30" t="str">
        <f>IFERROR(__xludf.DUMMYFUNCTION("""COMPUTED_VALUE"""),"KHÔNG KHỚP")</f>
        <v>KHÔNG KHỚP</v>
      </c>
      <c r="R120" s="2"/>
      <c r="S120" s="2"/>
      <c r="T120" s="2"/>
      <c r="U120" s="2"/>
      <c r="V120" s="2"/>
      <c r="W120" s="2"/>
      <c r="X120" s="2"/>
      <c r="Y120" s="2"/>
    </row>
    <row r="121">
      <c r="A121" s="30">
        <f>IFERROR(__xludf.DUMMYFUNCTION("""COMPUTED_VALUE"""),118.0)</f>
        <v>118</v>
      </c>
      <c r="B121" s="39">
        <f>IFERROR(__xludf.DUMMYFUNCTION("""COMPUTED_VALUE"""),45905.0)</f>
        <v>45905</v>
      </c>
      <c r="C121" s="30">
        <f>IFERROR(__xludf.DUMMYFUNCTION("""COMPUTED_VALUE"""),1.0)</f>
        <v>1</v>
      </c>
      <c r="D121" s="30" t="str">
        <f>IFERROR(__xludf.DUMMYFUNCTION("""COMPUTED_VALUE"""),"CT MỚI")</f>
        <v>CT MỚI</v>
      </c>
      <c r="E121" s="30"/>
      <c r="F121" s="2"/>
      <c r="G121" s="2" t="str">
        <f>IFERROR(__xludf.DUMMYFUNCTION("""COMPUTED_VALUE"""),"HH4067")</f>
        <v>HH4067</v>
      </c>
      <c r="H121" s="2" t="str">
        <f>IFERROR(__xludf.DUMMYFUNCTION("""COMPUTED_VALUE"""),"N2AGRO - LÁ VÔ CƠ NHIỀU THÀNH PHẦN NBC-ALCROP - N2 ANTI STRESS - 500ml - 40")</f>
        <v>N2AGRO - LÁ VÔ CƠ NHIỀU THÀNH PHẦN NBC-ALCROP - N2 ANTI STRESS - 500ml - 40</v>
      </c>
      <c r="I121" s="39" t="str">
        <f>IFERROR(__xludf.DUMMYFUNCTION("""COMPUTED_VALUE"""),"Lá Vô Cơ Nhiều Thành Phần NBC-ALCROP")</f>
        <v>Lá Vô Cơ Nhiều Thành Phần NBC-ALCROP</v>
      </c>
      <c r="J121" s="2"/>
      <c r="K121" s="2"/>
      <c r="L121" s="2" t="str">
        <f>IFERROR(__xludf.DUMMYFUNCTION("""COMPUTED_VALUE"""),"N03220825")</f>
        <v>N03220825</v>
      </c>
      <c r="M121" s="2" t="str">
        <f>IFERROR(__xludf.DUMMYFUNCTION("""COMPUTED_VALUE"""),"N2 Anti Stress ")</f>
        <v>N2 Anti Stress </v>
      </c>
      <c r="N121" s="2" t="str">
        <f>IFERROR(__xludf.DUMMYFUNCTION("""COMPUTED_VALUE"""),"23GS0012")</f>
        <v>23GS0012</v>
      </c>
      <c r="O121" s="2" t="str">
        <f>IFERROR(__xludf.DUMMYFUNCTION("""COMPUTED_VALUE"""),"Phân bón lá NBC-Alcrop")</f>
        <v>Phân bón lá NBC-Alcrop</v>
      </c>
      <c r="P121" s="2" t="str">
        <f>IFERROR(__xludf.DUMMYFUNCTION("""COMPUTED_VALUE"""),"Phân bón Lá Vô Cơ Nhiều Thành Phần NBC-ALCROP")</f>
        <v>Phân bón Lá Vô Cơ Nhiều Thành Phần NBC-ALCROP</v>
      </c>
      <c r="Q121" s="30" t="str">
        <f>IFERROR(__xludf.DUMMYFUNCTION("""COMPUTED_VALUE"""),"KHÔNG KHỚP")</f>
        <v>KHÔNG KHỚP</v>
      </c>
      <c r="R121" s="2"/>
      <c r="S121" s="2"/>
      <c r="T121" s="2"/>
      <c r="U121" s="2"/>
      <c r="V121" s="2"/>
      <c r="W121" s="2"/>
      <c r="X121" s="2"/>
      <c r="Y121" s="2"/>
    </row>
    <row r="122">
      <c r="A122" s="30">
        <f>IFERROR(__xludf.DUMMYFUNCTION("""COMPUTED_VALUE"""),119.0)</f>
        <v>119</v>
      </c>
      <c r="B122" s="39">
        <f>IFERROR(__xludf.DUMMYFUNCTION("""COMPUTED_VALUE"""),45897.0)</f>
        <v>45897</v>
      </c>
      <c r="C122" s="30">
        <f>IFERROR(__xludf.DUMMYFUNCTION("""COMPUTED_VALUE"""),2.0)</f>
        <v>2</v>
      </c>
      <c r="D122" s="30" t="str">
        <f>IFERROR(__xludf.DUMMYFUNCTION("""COMPUTED_VALUE"""),"CT CŨ")</f>
        <v>CT CŨ</v>
      </c>
      <c r="E122" s="30"/>
      <c r="F122" s="2"/>
      <c r="G122" s="2" t="str">
        <f>IFERROR(__xludf.DUMMYFUNCTION("""COMPUTED_VALUE"""),"HH3903")</f>
        <v>HH3903</v>
      </c>
      <c r="H122" s="2" t="str">
        <f>IFERROR(__xludf.DUMMYFUNCTION("""COMPUTED_VALUE"""),"GC - V - 3903 - N2SBIO -  N2 MG ZN-70 (Nước xanh lá) - 500ml - 40")</f>
        <v>GC - V - 3903 - N2SBIO -  N2 MG ZN-70 (Nước xanh lá) - 500ml - 40</v>
      </c>
      <c r="I122" s="2" t="str">
        <f>IFERROR(__xludf.DUMMYFUNCTION("""COMPUTED_VALUE"""),"#N/A")</f>
        <v>#N/A</v>
      </c>
      <c r="J122" s="2"/>
      <c r="K122" s="2"/>
      <c r="L122" s="2" t="str">
        <f>IFERROR(__xludf.DUMMYFUNCTION("""COMPUTED_VALUE"""),"N01080825")</f>
        <v>N01080825</v>
      </c>
      <c r="M122" s="2" t="str">
        <f>IFERROR(__xludf.DUMMYFUNCTION("""COMPUTED_VALUE"""),"N2 MgZn-52")</f>
        <v>N2 MgZn-52</v>
      </c>
      <c r="N122" s="2" t="str">
        <f>IFERROR(__xludf.DUMMYFUNCTION("""COMPUTED_VALUE"""),"23GS0002")</f>
        <v>23GS0002</v>
      </c>
      <c r="O122" s="2" t="str">
        <f>IFERROR(__xludf.DUMMYFUNCTION("""COMPUTED_VALUE"""),"Phân bón vi lượng Phú Sĩ FJ-09 Kẽm Mg")</f>
        <v>Phân bón vi lượng Phú Sĩ FJ-09 Kẽm Mg</v>
      </c>
      <c r="P122" s="2" t="str">
        <f>IFERROR(__xludf.DUMMYFUNCTION("""COMPUTED_VALUE"""),"#N/A")</f>
        <v>#N/A</v>
      </c>
      <c r="Q122" s="30" t="str">
        <f>IFERROR(__xludf.DUMMYFUNCTION("""COMPUTED_VALUE"""),"KHÔNG KHỚP")</f>
        <v>KHÔNG KHỚP</v>
      </c>
      <c r="R122" s="2"/>
      <c r="S122" s="2"/>
      <c r="T122" s="2"/>
      <c r="U122" s="2"/>
      <c r="V122" s="2"/>
      <c r="W122" s="2"/>
      <c r="X122" s="2"/>
      <c r="Y122" s="2"/>
    </row>
    <row r="123">
      <c r="A123" s="30">
        <f>IFERROR(__xludf.DUMMYFUNCTION("""COMPUTED_VALUE"""),120.0)</f>
        <v>120</v>
      </c>
      <c r="B123" s="39">
        <f>IFERROR(__xludf.DUMMYFUNCTION("""COMPUTED_VALUE"""),45892.0)</f>
        <v>45892</v>
      </c>
      <c r="C123" s="30">
        <f>IFERROR(__xludf.DUMMYFUNCTION("""COMPUTED_VALUE"""),1.0)</f>
        <v>1</v>
      </c>
      <c r="D123" s="30" t="str">
        <f>IFERROR(__xludf.DUMMYFUNCTION("""COMPUTED_VALUE"""),"CT MỚI")</f>
        <v>CT MỚI</v>
      </c>
      <c r="E123" s="30"/>
      <c r="F123" s="2"/>
      <c r="G123" s="2" t="str">
        <f>IFERROR(__xludf.DUMMYFUNCTION("""COMPUTED_VALUE"""),"HH4175")</f>
        <v>HH4175</v>
      </c>
      <c r="H123" s="2" t="str">
        <f>IFERROR(__xludf.DUMMYFUNCTION("""COMPUTED_VALUE"""),"GC - IV - 4175 - HƯƠNG NÔNG - HN Stop (Gel nâu đen) - 1L - 20")</f>
        <v>GC - IV - 4175 - HƯƠNG NÔNG - HN Stop (Gel nâu đen) - 1L - 20</v>
      </c>
      <c r="I123" s="2" t="str">
        <f>IFERROR(__xludf.DUMMYFUNCTION("""COMPUTED_VALUE"""),"#N/A")</f>
        <v>#N/A</v>
      </c>
      <c r="J123" s="2"/>
      <c r="K123" s="2"/>
      <c r="L123" s="2" t="str">
        <f>IFERROR(__xludf.DUMMYFUNCTION("""COMPUTED_VALUE"""),"CHẶN ĐỌT DÒNG V3")</f>
        <v>CHẶN ĐỌT DÒNG V3</v>
      </c>
      <c r="M123" s="2" t="str">
        <f>IFERROR(__xludf.DUMMYFUNCTION("""COMPUTED_VALUE"""),"KODO STOP
SIÊU CHẶN ĐỌT
STOP 25
UNI STOP
UNI STOP 25")</f>
        <v>KODO STOP
SIÊU CHẶN ĐỌT
STOP 25
UNI STOP
UNI STOP 25</v>
      </c>
      <c r="N123" s="2" t="str">
        <f>IFERROR(__xludf.DUMMYFUNCTION("""COMPUTED_VALUE"""),"06CD0007")</f>
        <v>06CD0007</v>
      </c>
      <c r="O123" s="2" t="str">
        <f>IFERROR(__xludf.DUMMYFUNCTION("""COMPUTED_VALUE"""),"Phân bón Vi lượng Quantity New")</f>
        <v>Phân bón Vi lượng Quantity New</v>
      </c>
      <c r="P123" s="2" t="str">
        <f>IFERROR(__xludf.DUMMYFUNCTION("""COMPUTED_VALUE"""),"#N/A")</f>
        <v>#N/A</v>
      </c>
      <c r="Q123" s="30" t="str">
        <f>IFERROR(__xludf.DUMMYFUNCTION("""COMPUTED_VALUE"""),"KHÔNG KHỚP")</f>
        <v>KHÔNG KHỚP</v>
      </c>
      <c r="R123" s="2"/>
      <c r="S123" s="2"/>
      <c r="T123" s="2"/>
      <c r="U123" s="2"/>
      <c r="V123" s="2"/>
      <c r="W123" s="2"/>
      <c r="X123" s="2"/>
      <c r="Y123" s="2"/>
    </row>
    <row r="124">
      <c r="A124" s="30">
        <f>IFERROR(__xludf.DUMMYFUNCTION("""COMPUTED_VALUE"""),121.0)</f>
        <v>121</v>
      </c>
      <c r="B124" s="39">
        <f>IFERROR(__xludf.DUMMYFUNCTION("""COMPUTED_VALUE"""),45892.0)</f>
        <v>45892</v>
      </c>
      <c r="C124" s="30">
        <f>IFERROR(__xludf.DUMMYFUNCTION("""COMPUTED_VALUE"""),2.0)</f>
        <v>2</v>
      </c>
      <c r="D124" s="30" t="str">
        <f>IFERROR(__xludf.DUMMYFUNCTION("""COMPUTED_VALUE"""),"CT CŨ")</f>
        <v>CT CŨ</v>
      </c>
      <c r="E124" s="30"/>
      <c r="F124" s="2"/>
      <c r="G124" s="2" t="str">
        <f>IFERROR(__xludf.DUMMYFUNCTION("""COMPUTED_VALUE"""),"HH3877")</f>
        <v>HH3877</v>
      </c>
      <c r="H124" s="2" t="str">
        <f>IFERROR(__xludf.DUMMYFUNCTION("""COMPUTED_VALUE"""),"GC - II - 3877 - GC.NANOFISH - STOP 25 (nước nâu đen) - 1L - 20")</f>
        <v>GC - II - 3877 - GC.NANOFISH - STOP 25 (nước nâu đen) - 1L - 20</v>
      </c>
      <c r="I124" s="2" t="str">
        <f>IFERROR(__xludf.DUMMYFUNCTION("""COMPUTED_VALUE"""),"#N/A")</f>
        <v>#N/A</v>
      </c>
      <c r="J124" s="2"/>
      <c r="K124" s="2"/>
      <c r="L124" s="2" t="str">
        <f>IFERROR(__xludf.DUMMYFUNCTION("""COMPUTED_VALUE"""),"CHẶN ĐỌT DÒNG V3")</f>
        <v>CHẶN ĐỌT DÒNG V3</v>
      </c>
      <c r="M124" s="2" t="str">
        <f>IFERROR(__xludf.DUMMYFUNCTION("""COMPUTED_VALUE"""),"KODO STOP
SIÊU CHẶN ĐỌT
STOP 25
UNI STOP
UNI STOP 25")</f>
        <v>KODO STOP
SIÊU CHẶN ĐỌT
STOP 25
UNI STOP
UNI STOP 25</v>
      </c>
      <c r="N124" s="2" t="str">
        <f>IFERROR(__xludf.DUMMYFUNCTION("""COMPUTED_VALUE"""),"06CD0007")</f>
        <v>06CD0007</v>
      </c>
      <c r="O124" s="2" t="str">
        <f>IFERROR(__xludf.DUMMYFUNCTION("""COMPUTED_VALUE"""),"Phân bón Vi lượng Quantity New")</f>
        <v>Phân bón Vi lượng Quantity New</v>
      </c>
      <c r="P124" s="2" t="str">
        <f>IFERROR(__xludf.DUMMYFUNCTION("""COMPUTED_VALUE"""),"#N/A")</f>
        <v>#N/A</v>
      </c>
      <c r="Q124" s="30" t="str">
        <f>IFERROR(__xludf.DUMMYFUNCTION("""COMPUTED_VALUE"""),"KHÔNG KHỚP")</f>
        <v>KHÔNG KHỚP</v>
      </c>
      <c r="R124" s="2"/>
      <c r="S124" s="2"/>
      <c r="T124" s="2"/>
      <c r="U124" s="2"/>
      <c r="V124" s="2"/>
      <c r="W124" s="2"/>
      <c r="X124" s="2"/>
      <c r="Y124" s="2"/>
    </row>
    <row r="125">
      <c r="A125" s="30">
        <f>IFERROR(__xludf.DUMMYFUNCTION("""COMPUTED_VALUE"""),122.0)</f>
        <v>122</v>
      </c>
      <c r="B125" s="39">
        <f>IFERROR(__xludf.DUMMYFUNCTION("""COMPUTED_VALUE"""),45889.0)</f>
        <v>45889</v>
      </c>
      <c r="C125" s="30">
        <f>IFERROR(__xludf.DUMMYFUNCTION("""COMPUTED_VALUE"""),1.0)</f>
        <v>1</v>
      </c>
      <c r="D125" s="30" t="str">
        <f>IFERROR(__xludf.DUMMYFUNCTION("""COMPUTED_VALUE"""),"CT MỚI")</f>
        <v>CT MỚI</v>
      </c>
      <c r="E125" s="30"/>
      <c r="F125" s="2"/>
      <c r="G125" s="2" t="str">
        <f>IFERROR(__xludf.DUMMYFUNCTION("""COMPUTED_VALUE"""),"HH3962")</f>
        <v>HH3962</v>
      </c>
      <c r="H125" s="2" t="str">
        <f>IFERROR(__xludf.DUMMYFUNCTION("""COMPUTED_VALUE"""),"GC - IV - 3962 - THÀNH CÔNG AGRI - MT STOP (Nước nâu đen) - 1L - 20")</f>
        <v>GC - IV - 3962 - THÀNH CÔNG AGRI - MT STOP (Nước nâu đen) - 1L - 20</v>
      </c>
      <c r="I125" s="2" t="str">
        <f>IFERROR(__xludf.DUMMYFUNCTION("""COMPUTED_VALUE"""),"#N/A")</f>
        <v>#N/A</v>
      </c>
      <c r="J125" s="2"/>
      <c r="K125" s="2"/>
      <c r="L125" s="2" t="str">
        <f>IFERROR(__xludf.DUMMYFUNCTION("""COMPUTED_VALUE"""),"CHẶN ĐỌT DÒNG V2")</f>
        <v>CHẶN ĐỌT DÒNG V2</v>
      </c>
      <c r="M125" s="2" t="str">
        <f>IFERROR(__xludf.DUMMYFUNCTION("""COMPUTED_VALUE"""),"STOP UP
MT STOP
AGRI STOP
STOP ĐỌT
SIÊU CHẶN ĐỌT
MASTER STOP
UNI STOP ONE
BAMBOO DOUBLE STOP")</f>
        <v>STOP UP
MT STOP
AGRI STOP
STOP ĐỌT
SIÊU CHẶN ĐỌT
MASTER STOP
UNI STOP ONE
BAMBOO DOUBLE STOP</v>
      </c>
      <c r="N125" s="2" t="str">
        <f>IFERROR(__xludf.DUMMYFUNCTION("""COMPUTED_VALUE"""),"06CD0009V1")</f>
        <v>06CD0009V1</v>
      </c>
      <c r="O125" s="2" t="str">
        <f>IFERROR(__xludf.DUMMYFUNCTION("""COMPUTED_VALUE"""),"Phân bón Vi lượng Quantity New")</f>
        <v>Phân bón Vi lượng Quantity New</v>
      </c>
      <c r="P125" s="2" t="str">
        <f>IFERROR(__xludf.DUMMYFUNCTION("""COMPUTED_VALUE"""),"#N/A")</f>
        <v>#N/A</v>
      </c>
      <c r="Q125" s="30" t="str">
        <f>IFERROR(__xludf.DUMMYFUNCTION("""COMPUTED_VALUE"""),"KHÔNG KHỚP")</f>
        <v>KHÔNG KHỚP</v>
      </c>
      <c r="R125" s="2"/>
      <c r="S125" s="2"/>
      <c r="T125" s="2"/>
      <c r="U125" s="2"/>
      <c r="V125" s="2"/>
      <c r="W125" s="2"/>
      <c r="X125" s="2"/>
      <c r="Y125" s="2"/>
    </row>
    <row r="126">
      <c r="A126" s="30">
        <f>IFERROR(__xludf.DUMMYFUNCTION("""COMPUTED_VALUE"""),123.0)</f>
        <v>123</v>
      </c>
      <c r="B126" s="39">
        <f>IFERROR(__xludf.DUMMYFUNCTION("""COMPUTED_VALUE"""),45922.0)</f>
        <v>45922</v>
      </c>
      <c r="C126" s="30">
        <f>IFERROR(__xludf.DUMMYFUNCTION("""COMPUTED_VALUE"""),2.0)</f>
        <v>2</v>
      </c>
      <c r="D126" s="30" t="str">
        <f>IFERROR(__xludf.DUMMYFUNCTION("""COMPUTED_VALUE"""),"CT XỬ LÝ LỖI")</f>
        <v>CT XỬ LÝ LỖI</v>
      </c>
      <c r="E126" s="30"/>
      <c r="F126" s="2"/>
      <c r="G126" s="2" t="str">
        <f>IFERROR(__xludf.DUMMYFUNCTION("""COMPUTED_VALUE"""),"HH2893")</f>
        <v>HH2893</v>
      </c>
      <c r="H126" s="2" t="str">
        <f>IFERROR(__xludf.DUMMYFUNCTION("""COMPUTED_VALUE"""),"GC - IV - 2893 - CTY ASAHI NHẬT BẢN - KINONE KÍCH RỄ (Nước nâu đen) - 22kg - 1")</f>
        <v>GC - IV - 2893 - CTY ASAHI NHẬT BẢN - KINONE KÍCH RỄ (Nước nâu đen) - 22kg - 1</v>
      </c>
      <c r="I126" s="2" t="str">
        <f>IFERROR(__xludf.DUMMYFUNCTION("""COMPUTED_VALUE"""),"#N/A")</f>
        <v>#N/A</v>
      </c>
      <c r="J126" s="2"/>
      <c r="K126" s="2"/>
      <c r="L126" s="2" t="str">
        <f>IFERROR(__xludf.DUMMYFUNCTION("""COMPUTED_VALUE"""),"XỬ LÝ BTP LỖI ")</f>
        <v>XỬ LÝ BTP LỖI </v>
      </c>
      <c r="M126" s="2" t="str">
        <f>IFERROR(__xludf.DUMMYFUNCTION("""COMPUTED_VALUE"""),"KINONE KÍCH RỄ")</f>
        <v>KINONE KÍCH RỄ</v>
      </c>
      <c r="N126" s="2" t="str">
        <f>IFERROR(__xludf.DUMMYFUNCTION("""COMPUTED_VALUE"""),"01RR0036V1-310925-1")</f>
        <v>01RR0036V1-310925-1</v>
      </c>
      <c r="O126" s="2" t="str">
        <f>IFERROR(__xludf.DUMMYFUNCTION("""COMPUTED_VALUE"""),"Phân bón Hữu cơ SH Agro Organic Fertilizer 20")</f>
        <v>Phân bón Hữu cơ SH Agro Organic Fertilizer 20</v>
      </c>
      <c r="P126" s="2" t="str">
        <f>IFERROR(__xludf.DUMMYFUNCTION("""COMPUTED_VALUE"""),"#N/A")</f>
        <v>#N/A</v>
      </c>
      <c r="Q126" s="30" t="str">
        <f>IFERROR(__xludf.DUMMYFUNCTION("""COMPUTED_VALUE"""),"KHÔNG KHỚP")</f>
        <v>KHÔNG KHỚP</v>
      </c>
      <c r="R126" s="2"/>
      <c r="S126" s="2"/>
      <c r="T126" s="2"/>
      <c r="U126" s="2"/>
      <c r="V126" s="2"/>
      <c r="W126" s="2"/>
      <c r="X126" s="2"/>
      <c r="Y126" s="2"/>
    </row>
    <row r="127">
      <c r="A127" s="30">
        <f>IFERROR(__xludf.DUMMYFUNCTION("""COMPUTED_VALUE"""),124.0)</f>
        <v>124</v>
      </c>
      <c r="B127" s="39" t="str">
        <f>IFERROR(__xludf.DUMMYFUNCTION("""COMPUTED_VALUE"""),"")</f>
        <v/>
      </c>
      <c r="C127" s="30">
        <f>IFERROR(__xludf.DUMMYFUNCTION("""COMPUTED_VALUE"""),2.0)</f>
        <v>2</v>
      </c>
      <c r="D127" s="30" t="str">
        <f>IFERROR(__xludf.DUMMYFUNCTION("""COMPUTED_VALUE"""),"CT XỬ LÝ LỖI")</f>
        <v>CT XỬ LÝ LỖI</v>
      </c>
      <c r="E127" s="30"/>
      <c r="F127" s="2"/>
      <c r="G127" s="2" t="str">
        <f>IFERROR(__xludf.DUMMYFUNCTION("""COMPUTED_VALUE"""),"HH2899")</f>
        <v>HH2899</v>
      </c>
      <c r="H127" s="2" t="str">
        <f>IFERROR(__xludf.DUMMYFUNCTION("""COMPUTED_VALUE"""),"GC - IV - 2899 - CTY ASAHI NHẬT BẢN - ULTRA BUD (Nước nâu đen) - 22kg - 1")</f>
        <v>GC - IV - 2899 - CTY ASAHI NHẬT BẢN - ULTRA BUD (Nước nâu đen) - 22kg - 1</v>
      </c>
      <c r="I127" s="2" t="str">
        <f>IFERROR(__xludf.DUMMYFUNCTION("""COMPUTED_VALUE"""),"#N/A")</f>
        <v>#N/A</v>
      </c>
      <c r="J127" s="2"/>
      <c r="K127" s="2"/>
      <c r="L127" s="2" t="str">
        <f>IFERROR(__xludf.DUMMYFUNCTION("""COMPUTED_VALUE"""),"")</f>
        <v/>
      </c>
      <c r="M127" s="2" t="str">
        <f>IFERROR(__xludf.DUMMYFUNCTION("""COMPUTED_VALUE"""),"")</f>
        <v/>
      </c>
      <c r="N127" s="2" t="str">
        <f>IFERROR(__xludf.DUMMYFUNCTION("""COMPUTED_VALUE"""),"01RR0036V1-730825-1")</f>
        <v>01RR0036V1-730825-1</v>
      </c>
      <c r="O127" s="2" t="str">
        <f>IFERROR(__xludf.DUMMYFUNCTION("""COMPUTED_VALUE"""),"")</f>
        <v/>
      </c>
      <c r="P127" s="2" t="str">
        <f>IFERROR(__xludf.DUMMYFUNCTION("""COMPUTED_VALUE"""),"#N/A")</f>
        <v>#N/A</v>
      </c>
      <c r="Q127" s="30" t="str">
        <f>IFERROR(__xludf.DUMMYFUNCTION("""COMPUTED_VALUE"""),"KHÔNG KHỚP")</f>
        <v>KHÔNG KHỚP</v>
      </c>
      <c r="R127" s="2"/>
      <c r="S127" s="2"/>
      <c r="T127" s="2"/>
      <c r="U127" s="2"/>
      <c r="V127" s="2"/>
      <c r="W127" s="2"/>
      <c r="X127" s="2"/>
      <c r="Y127" s="2"/>
    </row>
    <row r="128">
      <c r="A128" s="30">
        <f>IFERROR(__xludf.DUMMYFUNCTION("""COMPUTED_VALUE"""),125.0)</f>
        <v>125</v>
      </c>
      <c r="B128" s="39">
        <f>IFERROR(__xludf.DUMMYFUNCTION("""COMPUTED_VALUE"""),45905.0)</f>
        <v>45905</v>
      </c>
      <c r="C128" s="30">
        <f>IFERROR(__xludf.DUMMYFUNCTION("""COMPUTED_VALUE"""),2.0)</f>
        <v>2</v>
      </c>
      <c r="D128" s="30" t="str">
        <f>IFERROR(__xludf.DUMMYFUNCTION("""COMPUTED_VALUE"""),"CT CŨ")</f>
        <v>CT CŨ</v>
      </c>
      <c r="E128" s="30"/>
      <c r="F128" s="2"/>
      <c r="G128" s="2" t="str">
        <f>IFERROR(__xludf.DUMMYFUNCTION("""COMPUTED_VALUE"""),"HH3960")</f>
        <v>HH3960</v>
      </c>
      <c r="H128" s="2" t="str">
        <f>IFERROR(__xludf.DUMMYFUNCTION("""COMPUTED_VALUE"""),"GC - IV - 3960 - Cty Hương Nông - HN-pH++ (Nước nâu đen) - 5L - 4")</f>
        <v>GC - IV - 3960 - Cty Hương Nông - HN-pH++ (Nước nâu đen) - 5L - 4</v>
      </c>
      <c r="I128" s="2" t="str">
        <f>IFERROR(__xludf.DUMMYFUNCTION("""COMPUTED_VALUE"""),"#N/A")</f>
        <v>#N/A</v>
      </c>
      <c r="J128" s="2"/>
      <c r="K128" s="2"/>
      <c r="L128" s="2"/>
      <c r="M128" s="2" t="str">
        <f>IFERROR(__xludf.DUMMYFUNCTION("""COMPUTED_VALUE"""),"HN-pH++")</f>
        <v>HN-pH++</v>
      </c>
      <c r="N128" s="2" t="str">
        <f>IFERROR(__xludf.DUMMYFUNCTION("""COMPUTED_VALUE"""),"01RR0014V4")</f>
        <v>01RR0014V4</v>
      </c>
      <c r="O128" s="2" t="str">
        <f>IFERROR(__xludf.DUMMYFUNCTION("""COMPUTED_VALUE"""),"Phân bón Hữu cơ SH Agro Organic Fertilizer 20")</f>
        <v>Phân bón Hữu cơ SH Agro Organic Fertilizer 20</v>
      </c>
      <c r="P128" s="2" t="str">
        <f>IFERROR(__xludf.DUMMYFUNCTION("""COMPUTED_VALUE"""),"#N/A")</f>
        <v>#N/A</v>
      </c>
      <c r="Q128" s="30" t="str">
        <f>IFERROR(__xludf.DUMMYFUNCTION("""COMPUTED_VALUE"""),"KHÔNG KHỚP")</f>
        <v>KHÔNG KHỚP</v>
      </c>
      <c r="R128" s="2"/>
      <c r="S128" s="2"/>
      <c r="T128" s="2"/>
      <c r="U128" s="2"/>
      <c r="V128" s="2"/>
      <c r="W128" s="2"/>
      <c r="X128" s="2"/>
      <c r="Y128" s="2"/>
    </row>
    <row r="129">
      <c r="A129" s="30">
        <f>IFERROR(__xludf.DUMMYFUNCTION("""COMPUTED_VALUE"""),126.0)</f>
        <v>126</v>
      </c>
      <c r="B129" s="39">
        <f>IFERROR(__xludf.DUMMYFUNCTION("""COMPUTED_VALUE"""),45889.0)</f>
        <v>45889</v>
      </c>
      <c r="C129" s="30">
        <f>IFERROR(__xludf.DUMMYFUNCTION("""COMPUTED_VALUE"""),2.0)</f>
        <v>2</v>
      </c>
      <c r="D129" s="30" t="str">
        <f>IFERROR(__xludf.DUMMYFUNCTION("""COMPUTED_VALUE"""),"CT CŨ")</f>
        <v>CT CŨ</v>
      </c>
      <c r="E129" s="30"/>
      <c r="F129" s="2"/>
      <c r="G129" s="2" t="str">
        <f>IFERROR(__xludf.DUMMYFUNCTION("""COMPUTED_VALUE"""),"HH4174")</f>
        <v>HH4174</v>
      </c>
      <c r="H129" s="2" t="str">
        <f>IFERROR(__xludf.DUMMYFUNCTION("""COMPUTED_VALUE"""),"IDA Global - I - 4174 - STOP UP (Nước nâu đen) - 1L - 20")</f>
        <v>IDA Global - I - 4174 - STOP UP (Nước nâu đen) - 1L - 20</v>
      </c>
      <c r="I129" s="2" t="str">
        <f>IFERROR(__xludf.DUMMYFUNCTION("""COMPUTED_VALUE"""),"#N/A")</f>
        <v>#N/A</v>
      </c>
      <c r="J129" s="2"/>
      <c r="K129" s="2"/>
      <c r="L129" s="2" t="str">
        <f>IFERROR(__xludf.DUMMYFUNCTION("""COMPUTED_VALUE"""),"CHẶN ĐỌT DÒNG V2")</f>
        <v>CHẶN ĐỌT DÒNG V2</v>
      </c>
      <c r="M129" s="2" t="str">
        <f>IFERROR(__xludf.DUMMYFUNCTION("""COMPUTED_VALUE"""),"STOP UP
MT STOP
AGRI STOP
STOP ĐỌT
SIÊU CHẶN ĐỌT
MASTER STOP
UNI STOP ONE
BAMBOO DOUBLE STOP")</f>
        <v>STOP UP
MT STOP
AGRI STOP
STOP ĐỌT
SIÊU CHẶN ĐỌT
MASTER STOP
UNI STOP ONE
BAMBOO DOUBLE STOP</v>
      </c>
      <c r="N129" s="2" t="str">
        <f>IFERROR(__xludf.DUMMYFUNCTION("""COMPUTED_VALUE"""),"06CD0009V1")</f>
        <v>06CD0009V1</v>
      </c>
      <c r="O129" s="2" t="str">
        <f>IFERROR(__xludf.DUMMYFUNCTION("""COMPUTED_VALUE"""),"Phân bón Vi lượng Quantity New")</f>
        <v>Phân bón Vi lượng Quantity New</v>
      </c>
      <c r="P129" s="2" t="str">
        <f>IFERROR(__xludf.DUMMYFUNCTION("""COMPUTED_VALUE"""),"#N/A")</f>
        <v>#N/A</v>
      </c>
      <c r="Q129" s="30" t="str">
        <f>IFERROR(__xludf.DUMMYFUNCTION("""COMPUTED_VALUE"""),"KHÔNG KHỚP")</f>
        <v>KHÔNG KHỚP</v>
      </c>
      <c r="R129" s="2"/>
      <c r="S129" s="2"/>
      <c r="T129" s="2"/>
      <c r="U129" s="2"/>
      <c r="V129" s="2"/>
      <c r="W129" s="2"/>
      <c r="X129" s="2"/>
      <c r="Y129" s="2"/>
    </row>
    <row r="130">
      <c r="A130" s="30">
        <f>IFERROR(__xludf.DUMMYFUNCTION("""COMPUTED_VALUE"""),127.0)</f>
        <v>127</v>
      </c>
      <c r="B130" s="39">
        <f>IFERROR(__xludf.DUMMYFUNCTION("""COMPUTED_VALUE"""),45905.0)</f>
        <v>45905</v>
      </c>
      <c r="C130" s="30">
        <f>IFERROR(__xludf.DUMMYFUNCTION("""COMPUTED_VALUE"""),1.0)</f>
        <v>1</v>
      </c>
      <c r="D130" s="30" t="str">
        <f>IFERROR(__xludf.DUMMYFUNCTION("""COMPUTED_VALUE"""),"CT MỚI")</f>
        <v>CT MỚI</v>
      </c>
      <c r="E130" s="30"/>
      <c r="F130" s="2"/>
      <c r="G130" s="2" t="str">
        <f>IFERROR(__xludf.DUMMYFUNCTION("""COMPUTED_VALUE"""),"HH4183")</f>
        <v>HH4183</v>
      </c>
      <c r="H130" s="2" t="str">
        <f>IFERROR(__xludf.DUMMYFUNCTION("""COMPUTED_VALUE"""),"CTY HƯƠNG NÔNG (A.TÙNG) - Hữu cơ SH Agro Organic Fertilizer 20 - HƯƠNG NÔNG pH++ - 5L - 4")</f>
        <v>CTY HƯƠNG NÔNG (A.TÙNG) - Hữu cơ SH Agro Organic Fertilizer 20 - HƯƠNG NÔNG pH++ - 5L - 4</v>
      </c>
      <c r="I130" s="2" t="str">
        <f>IFERROR(__xludf.DUMMYFUNCTION("""COMPUTED_VALUE"""),"#N/A")</f>
        <v>#N/A</v>
      </c>
      <c r="J130" s="2"/>
      <c r="K130" s="2"/>
      <c r="L130" s="2"/>
      <c r="M130" s="2" t="str">
        <f>IFERROR(__xludf.DUMMYFUNCTION("""COMPUTED_VALUE"""),"HN-pH++")</f>
        <v>HN-pH++</v>
      </c>
      <c r="N130" s="2" t="str">
        <f>IFERROR(__xludf.DUMMYFUNCTION("""COMPUTED_VALUE"""),"01RR0014V4")</f>
        <v>01RR0014V4</v>
      </c>
      <c r="O130" s="2" t="str">
        <f>IFERROR(__xludf.DUMMYFUNCTION("""COMPUTED_VALUE"""),"Phân bón Hữu cơ SH Agro Organic Fertilizer 20")</f>
        <v>Phân bón Hữu cơ SH Agro Organic Fertilizer 20</v>
      </c>
      <c r="P130" s="2" t="str">
        <f>IFERROR(__xludf.DUMMYFUNCTION("""COMPUTED_VALUE"""),"#N/A")</f>
        <v>#N/A</v>
      </c>
      <c r="Q130" s="30" t="str">
        <f>IFERROR(__xludf.DUMMYFUNCTION("""COMPUTED_VALUE"""),"KHÔNG KHỚP")</f>
        <v>KHÔNG KHỚP</v>
      </c>
      <c r="R130" s="2"/>
      <c r="S130" s="2"/>
      <c r="T130" s="2"/>
      <c r="U130" s="2"/>
      <c r="V130" s="2"/>
      <c r="W130" s="2"/>
      <c r="X130" s="2"/>
      <c r="Y130" s="2"/>
    </row>
    <row r="131">
      <c r="A131" s="30">
        <f>IFERROR(__xludf.DUMMYFUNCTION("""COMPUTED_VALUE"""),128.0)</f>
        <v>128</v>
      </c>
      <c r="B131" s="39">
        <f>IFERROR(__xludf.DUMMYFUNCTION("""COMPUTED_VALUE"""),45937.0)</f>
        <v>45937</v>
      </c>
      <c r="C131" s="30">
        <f>IFERROR(__xludf.DUMMYFUNCTION("""COMPUTED_VALUE"""),1.0)</f>
        <v>1</v>
      </c>
      <c r="D131" s="30" t="str">
        <f>IFERROR(__xludf.DUMMYFUNCTION("""COMPUTED_VALUE"""),"CT MỚI")</f>
        <v>CT MỚI</v>
      </c>
      <c r="E131" s="30"/>
      <c r="F131" s="2"/>
      <c r="G131" s="2" t="str">
        <f>IFERROR(__xludf.DUMMYFUNCTION("""COMPUTED_VALUE"""),"HH4179")</f>
        <v>HH4179</v>
      </c>
      <c r="H131" s="2" t="str">
        <f>IFERROR(__xludf.DUMMYFUNCTION("""COMPUTED_VALUE"""),"GC - IV - 4179 - CTY THIÊN DI - DƯỠNG CHẤT CHUYÊN DÙNG CHO SẦU RIÊNG (Nước tím đỏ) - 500ml - 40")</f>
        <v>GC - IV - 4179 - CTY THIÊN DI - DƯỠNG CHẤT CHUYÊN DÙNG CHO SẦU RIÊNG (Nước tím đỏ) - 500ml - 40</v>
      </c>
      <c r="I131" s="2" t="str">
        <f>IFERROR(__xludf.DUMMYFUNCTION("""COMPUTED_VALUE"""),"#N/A")</f>
        <v>#N/A</v>
      </c>
      <c r="J131" s="2"/>
      <c r="K131" s="2"/>
      <c r="L131" s="2" t="str">
        <f>IFERROR(__xludf.DUMMYFUNCTION("""COMPUTED_VALUE"""),"A01090425")</f>
        <v>A01090425</v>
      </c>
      <c r="M131" s="2" t="str">
        <f>IFERROR(__xludf.DUMMYFUNCTION("""COMPUTED_VALUE"""),"DƯỠNG CHẤT VÔ CƠ CHUYÊN SẦU RIÊNG")</f>
        <v>DƯỠNG CHẤT VÔ CƠ CHUYÊN SẦU RIÊNG</v>
      </c>
      <c r="N131" s="2" t="str">
        <f>IFERROR(__xludf.DUMMYFUNCTION("""COMPUTED_VALUE"""),"19DD0018V1")</f>
        <v>19DD0018V1</v>
      </c>
      <c r="O131" s="2" t="str">
        <f>IFERROR(__xludf.DUMMYFUNCTION("""COMPUTED_VALUE"""),"Phân bón Hỗn hợp NP AGAMA-AP")</f>
        <v>Phân bón Hỗn hợp NP AGAMA-AP</v>
      </c>
      <c r="P131" s="2" t="str">
        <f>IFERROR(__xludf.DUMMYFUNCTION("""COMPUTED_VALUE"""),"#N/A")</f>
        <v>#N/A</v>
      </c>
      <c r="Q131" s="30" t="str">
        <f>IFERROR(__xludf.DUMMYFUNCTION("""COMPUTED_VALUE"""),"KHÔNG KHỚP")</f>
        <v>KHÔNG KHỚP</v>
      </c>
      <c r="R131" s="2"/>
      <c r="S131" s="2"/>
      <c r="T131" s="2"/>
      <c r="U131" s="2"/>
      <c r="V131" s="2"/>
      <c r="W131" s="2"/>
      <c r="X131" s="2"/>
      <c r="Y131" s="2"/>
    </row>
    <row r="132">
      <c r="A132" s="30">
        <f>IFERROR(__xludf.DUMMYFUNCTION("""COMPUTED_VALUE"""),129.0)</f>
        <v>129</v>
      </c>
      <c r="B132" s="39">
        <f>IFERROR(__xludf.DUMMYFUNCTION("""COMPUTED_VALUE"""),45936.0)</f>
        <v>45936</v>
      </c>
      <c r="C132" s="30">
        <f>IFERROR(__xludf.DUMMYFUNCTION("""COMPUTED_VALUE"""),1.0)</f>
        <v>1</v>
      </c>
      <c r="D132" s="30" t="str">
        <f>IFERROR(__xludf.DUMMYFUNCTION("""COMPUTED_VALUE"""),"CT MỚI")</f>
        <v>CT MỚI</v>
      </c>
      <c r="E132" s="30"/>
      <c r="F132" s="2"/>
      <c r="G132" s="2" t="str">
        <f>IFERROR(__xludf.DUMMYFUNCTION("""COMPUTED_VALUE"""),"HH4180")</f>
        <v>HH4180</v>
      </c>
      <c r="H132" s="2" t="str">
        <f>IFERROR(__xludf.DUMMYFUNCTION("""COMPUTED_VALUE"""),"GC ABA - CTY THIÊN DI - A. THÀNH DOL - Vi lượng Quantity New - LỚN TRÁI MẬN THIDI PLUM MAX+ - 500ml - 40")</f>
        <v>GC ABA - CTY THIÊN DI - A. THÀNH DOL - Vi lượng Quantity New - LỚN TRÁI MẬN THIDI PLUM MAX+ - 500ml - 40</v>
      </c>
      <c r="I132" s="2" t="str">
        <f>IFERROR(__xludf.DUMMYFUNCTION("""COMPUTED_VALUE"""),"#N/A")</f>
        <v>#N/A</v>
      </c>
      <c r="J132" s="2"/>
      <c r="K132" s="2"/>
      <c r="L132" s="2" t="str">
        <f>IFERROR(__xludf.DUMMYFUNCTION("""COMPUTED_VALUE"""),"A03060125")</f>
        <v>A03060125</v>
      </c>
      <c r="M132" s="2" t="str">
        <f>IFERROR(__xludf.DUMMYFUNCTION("""COMPUTED_VALUE"""),"THIDI PLUM MAX+")</f>
        <v>THIDI PLUM MAX+</v>
      </c>
      <c r="N132" s="2" t="str">
        <f>IFERROR(__xludf.DUMMYFUNCTION("""COMPUTED_VALUE"""),"04VG0028V1")</f>
        <v>04VG0028V1</v>
      </c>
      <c r="O132" s="2" t="str">
        <f>IFERROR(__xludf.DUMMYFUNCTION("""COMPUTED_VALUE"""),"Phân bón Vi lượng Quantity New")</f>
        <v>Phân bón Vi lượng Quantity New</v>
      </c>
      <c r="P132" s="2" t="str">
        <f>IFERROR(__xludf.DUMMYFUNCTION("""COMPUTED_VALUE"""),"#N/A")</f>
        <v>#N/A</v>
      </c>
      <c r="Q132" s="30" t="str">
        <f>IFERROR(__xludf.DUMMYFUNCTION("""COMPUTED_VALUE"""),"KHÔNG KHỚP")</f>
        <v>KHÔNG KHỚP</v>
      </c>
      <c r="R132" s="2"/>
      <c r="S132" s="2"/>
      <c r="T132" s="2"/>
      <c r="U132" s="2"/>
      <c r="V132" s="2"/>
      <c r="W132" s="2"/>
      <c r="X132" s="2"/>
      <c r="Y132" s="2"/>
    </row>
    <row r="133">
      <c r="A133" s="30">
        <f>IFERROR(__xludf.DUMMYFUNCTION("""COMPUTED_VALUE"""),130.0)</f>
        <v>130</v>
      </c>
      <c r="B133" s="39">
        <f>IFERROR(__xludf.DUMMYFUNCTION("""COMPUTED_VALUE"""),45936.0)</f>
        <v>45936</v>
      </c>
      <c r="C133" s="30">
        <f>IFERROR(__xludf.DUMMYFUNCTION("""COMPUTED_VALUE"""),2.0)</f>
        <v>2</v>
      </c>
      <c r="D133" s="30" t="str">
        <f>IFERROR(__xludf.DUMMYFUNCTION("""COMPUTED_VALUE"""),"CT MỚI")</f>
        <v>CT MỚI</v>
      </c>
      <c r="E133" s="30"/>
      <c r="F133" s="2"/>
      <c r="G133" s="2" t="str">
        <f>IFERROR(__xludf.DUMMYFUNCTION("""COMPUTED_VALUE"""),"HH4044")</f>
        <v>HH4044</v>
      </c>
      <c r="H133" s="2" t="str">
        <f>IFERROR(__xludf.DUMMYFUNCTION("""COMPUTED_VALUE"""),"GC - IV - 4044 - Cty Sen Hồng - ROOT+ (Gel xanh dương) - 500ml - 40")</f>
        <v>GC - IV - 4044 - Cty Sen Hồng - ROOT+ (Gel xanh dương) - 500ml - 40</v>
      </c>
      <c r="I133" s="2" t="str">
        <f>IFERROR(__xludf.DUMMYFUNCTION("""COMPUTED_VALUE"""),"#N/A")</f>
        <v>#N/A</v>
      </c>
      <c r="J133" s="2"/>
      <c r="K133" s="2"/>
      <c r="L133" s="2" t="str">
        <f>IFERROR(__xludf.DUMMYFUNCTION("""COMPUTED_VALUE"""),"L03110724")</f>
        <v>L03110724</v>
      </c>
      <c r="M133" s="2" t="str">
        <f>IFERROR(__xludf.DUMMYFUNCTION("""COMPUTED_VALUE"""),"ROOT+")</f>
        <v>ROOT+</v>
      </c>
      <c r="N133" s="2" t="str">
        <f>IFERROR(__xludf.DUMMYFUNCTION("""COMPUTED_VALUE"""),"01RR0039")</f>
        <v>01RR0039</v>
      </c>
      <c r="O133" s="2" t="str">
        <f>IFERROR(__xludf.DUMMYFUNCTION("""COMPUTED_VALUE"""),"Phân bón Vi lượng AGAMA-SUPPORT")</f>
        <v>Phân bón Vi lượng AGAMA-SUPPORT</v>
      </c>
      <c r="P133" s="2" t="str">
        <f>IFERROR(__xludf.DUMMYFUNCTION("""COMPUTED_VALUE"""),"#N/A")</f>
        <v>#N/A</v>
      </c>
      <c r="Q133" s="30" t="str">
        <f>IFERROR(__xludf.DUMMYFUNCTION("""COMPUTED_VALUE"""),"KHÔNG KHỚP")</f>
        <v>KHÔNG KHỚP</v>
      </c>
      <c r="R133" s="2"/>
      <c r="S133" s="2"/>
      <c r="T133" s="2"/>
      <c r="U133" s="2"/>
      <c r="V133" s="2"/>
      <c r="W133" s="2"/>
      <c r="X133" s="2"/>
      <c r="Y133" s="2"/>
    </row>
    <row r="134">
      <c r="A134" s="30">
        <f>IFERROR(__xludf.DUMMYFUNCTION("""COMPUTED_VALUE"""),131.0)</f>
        <v>131</v>
      </c>
      <c r="B134" s="39">
        <f>IFERROR(__xludf.DUMMYFUNCTION("""COMPUTED_VALUE"""),45885.0)</f>
        <v>45885</v>
      </c>
      <c r="C134" s="30">
        <f>IFERROR(__xludf.DUMMYFUNCTION("""COMPUTED_VALUE"""),2.0)</f>
        <v>2</v>
      </c>
      <c r="D134" s="30" t="str">
        <f>IFERROR(__xludf.DUMMYFUNCTION("""COMPUTED_VALUE"""),"CT CŨ")</f>
        <v>CT CŨ</v>
      </c>
      <c r="E134" s="30"/>
      <c r="F134" s="2"/>
      <c r="G134" s="2" t="str">
        <f>IFERROR(__xludf.DUMMYFUNCTION("""COMPUTED_VALUE"""),"HH4075")</f>
        <v>HH4075</v>
      </c>
      <c r="H134" s="2" t="str">
        <f>IFERROR(__xludf.DUMMYFUNCTION("""COMPUTED_VALUE"""),"IDA Global - I - 4075 - CỨNG CÂY 304 (Nước nâu đen) - 500ml - 40")</f>
        <v>IDA Global - I - 4075 - CỨNG CÂY 304 (Nước nâu đen) - 500ml - 40</v>
      </c>
      <c r="I134" s="2" t="str">
        <f>IFERROR(__xludf.DUMMYFUNCTION("""COMPUTED_VALUE"""),"#N/A")</f>
        <v>#N/A</v>
      </c>
      <c r="J134" s="2"/>
      <c r="K134" s="2"/>
      <c r="L134" s="2" t="str">
        <f>IFERROR(__xludf.DUMMYFUNCTION("""COMPUTED_VALUE"""),"L01261124")</f>
        <v>L01261124</v>
      </c>
      <c r="M134" s="2" t="str">
        <f>IFERROR(__xludf.DUMMYFUNCTION("""COMPUTED_VALUE"""),"CỨNG CÂY 304")</f>
        <v>CỨNG CÂY 304</v>
      </c>
      <c r="N134" s="2" t="str">
        <f>IFERROR(__xludf.DUMMYFUNCTION("""COMPUTED_VALUE"""),"02CC0002V1")</f>
        <v>02CC0002V1</v>
      </c>
      <c r="O134" s="2" t="str">
        <f>IFERROR(__xludf.DUMMYFUNCTION("""COMPUTED_VALUE"""),"Phân bón Hữu cơ SH Agro Organic Fertilizer 20")</f>
        <v>Phân bón Hữu cơ SH Agro Organic Fertilizer 20</v>
      </c>
      <c r="P134" s="2" t="str">
        <f>IFERROR(__xludf.DUMMYFUNCTION("""COMPUTED_VALUE"""),"#N/A")</f>
        <v>#N/A</v>
      </c>
      <c r="Q134" s="30" t="str">
        <f>IFERROR(__xludf.DUMMYFUNCTION("""COMPUTED_VALUE"""),"KHÔNG KHỚP")</f>
        <v>KHÔNG KHỚP</v>
      </c>
      <c r="R134" s="2"/>
      <c r="S134" s="2"/>
      <c r="T134" s="2"/>
      <c r="U134" s="2"/>
      <c r="V134" s="2"/>
      <c r="W134" s="2"/>
      <c r="X134" s="2"/>
      <c r="Y134" s="2"/>
    </row>
    <row r="135">
      <c r="A135" s="30">
        <f>IFERROR(__xludf.DUMMYFUNCTION("""COMPUTED_VALUE"""),132.0)</f>
        <v>132</v>
      </c>
      <c r="B135" s="39">
        <f>IFERROR(__xludf.DUMMYFUNCTION("""COMPUTED_VALUE"""),45889.0)</f>
        <v>45889</v>
      </c>
      <c r="C135" s="30">
        <f>IFERROR(__xludf.DUMMYFUNCTION("""COMPUTED_VALUE"""),2.0)</f>
        <v>2</v>
      </c>
      <c r="D135" s="30" t="str">
        <f>IFERROR(__xludf.DUMMYFUNCTION("""COMPUTED_VALUE"""),"CT CŨ")</f>
        <v>CT CŨ</v>
      </c>
      <c r="E135" s="30"/>
      <c r="F135" s="2"/>
      <c r="G135" s="2" t="str">
        <f>IFERROR(__xludf.DUMMYFUNCTION("""COMPUTED_VALUE"""),"HH4040")</f>
        <v>HH4040</v>
      </c>
      <c r="H135" s="2" t="str">
        <f>IFERROR(__xludf.DUMMYFUNCTION("""COMPUTED_VALUE"""),"GC - IV - 4040 - AGRITECH - AGRI STOP (Nước nâu đen) - 1L - 20")</f>
        <v>GC - IV - 4040 - AGRITECH - AGRI STOP (Nước nâu đen) - 1L - 20</v>
      </c>
      <c r="I135" s="39" t="str">
        <f>IFERROR(__xludf.DUMMYFUNCTION("""COMPUTED_VALUE"""),"Vi lượng Quantity New")</f>
        <v>Vi lượng Quantity New</v>
      </c>
      <c r="J135" s="2"/>
      <c r="K135" s="2"/>
      <c r="L135" s="2" t="str">
        <f>IFERROR(__xludf.DUMMYFUNCTION("""COMPUTED_VALUE"""),"CHẶN ĐỌT DÒNG V2")</f>
        <v>CHẶN ĐỌT DÒNG V2</v>
      </c>
      <c r="M135" s="2" t="str">
        <f>IFERROR(__xludf.DUMMYFUNCTION("""COMPUTED_VALUE"""),"STOP UP
MT STOP
AGRI STOP
STOP ĐỌT
SIÊU CHẶN ĐỌT
MASTER STOP
UNI STOP ONE
BAMBOO DOUBLE STOP")</f>
        <v>STOP UP
MT STOP
AGRI STOP
STOP ĐỌT
SIÊU CHẶN ĐỌT
MASTER STOP
UNI STOP ONE
BAMBOO DOUBLE STOP</v>
      </c>
      <c r="N135" s="2" t="str">
        <f>IFERROR(__xludf.DUMMYFUNCTION("""COMPUTED_VALUE"""),"06CD0009V1")</f>
        <v>06CD0009V1</v>
      </c>
      <c r="O135" s="2" t="str">
        <f>IFERROR(__xludf.DUMMYFUNCTION("""COMPUTED_VALUE"""),"Phân bón Vi lượng Quantity New")</f>
        <v>Phân bón Vi lượng Quantity New</v>
      </c>
      <c r="P135" s="2" t="str">
        <f>IFERROR(__xludf.DUMMYFUNCTION("""COMPUTED_VALUE"""),"Phân bón Vi lượng Quantity New")</f>
        <v>Phân bón Vi lượng Quantity New</v>
      </c>
      <c r="Q135" s="30" t="str">
        <f>IFERROR(__xludf.DUMMYFUNCTION("""COMPUTED_VALUE"""),"KHỚP")</f>
        <v>KHỚP</v>
      </c>
      <c r="R135" s="2"/>
      <c r="S135" s="2"/>
      <c r="T135" s="2"/>
      <c r="U135" s="2"/>
      <c r="V135" s="2"/>
      <c r="W135" s="2"/>
      <c r="X135" s="2"/>
      <c r="Y135" s="2"/>
    </row>
    <row r="136">
      <c r="A136" s="30">
        <f>IFERROR(__xludf.DUMMYFUNCTION("""COMPUTED_VALUE"""),133.0)</f>
        <v>133</v>
      </c>
      <c r="B136" s="39">
        <f>IFERROR(__xludf.DUMMYFUNCTION("""COMPUTED_VALUE"""),45936.0)</f>
        <v>45936</v>
      </c>
      <c r="C136" s="30">
        <f>IFERROR(__xludf.DUMMYFUNCTION("""COMPUTED_VALUE"""),1.0)</f>
        <v>1</v>
      </c>
      <c r="D136" s="30" t="str">
        <f>IFERROR(__xludf.DUMMYFUNCTION("""COMPUTED_VALUE"""),"CT MỚI")</f>
        <v>CT MỚI</v>
      </c>
      <c r="E136" s="30"/>
      <c r="F136" s="2"/>
      <c r="G136" s="2" t="str">
        <f>IFERROR(__xludf.DUMMYFUNCTION("""COMPUTED_VALUE"""),"HH4191")</f>
        <v>HH4191</v>
      </c>
      <c r="H136" s="2" t="str">
        <f>IFERROR(__xludf.DUMMYFUNCTION("""COMPUTED_VALUE"""),"GC - IV - 4191 - Cty Sen Hồng - ROOT+ (Gel xanh dương) - 500ml - 40")</f>
        <v>GC - IV - 4191 - Cty Sen Hồng - ROOT+ (Gel xanh dương) - 500ml - 40</v>
      </c>
      <c r="I136" s="2" t="str">
        <f>IFERROR(__xludf.DUMMYFUNCTION("""COMPUTED_VALUE"""),"#N/A")</f>
        <v>#N/A</v>
      </c>
      <c r="J136" s="2"/>
      <c r="K136" s="2"/>
      <c r="L136" s="2" t="str">
        <f>IFERROR(__xludf.DUMMYFUNCTION("""COMPUTED_VALUE"""),"L03110724")</f>
        <v>L03110724</v>
      </c>
      <c r="M136" s="2" t="str">
        <f>IFERROR(__xludf.DUMMYFUNCTION("""COMPUTED_VALUE"""),"ROOT+")</f>
        <v>ROOT+</v>
      </c>
      <c r="N136" s="2" t="str">
        <f>IFERROR(__xludf.DUMMYFUNCTION("""COMPUTED_VALUE"""),"01RR0039")</f>
        <v>01RR0039</v>
      </c>
      <c r="O136" s="2" t="str">
        <f>IFERROR(__xludf.DUMMYFUNCTION("""COMPUTED_VALUE"""),"Phân bón Vi lượng AGAMA-SUPPORT")</f>
        <v>Phân bón Vi lượng AGAMA-SUPPORT</v>
      </c>
      <c r="P136" s="2" t="str">
        <f>IFERROR(__xludf.DUMMYFUNCTION("""COMPUTED_VALUE"""),"#N/A")</f>
        <v>#N/A</v>
      </c>
      <c r="Q136" s="30" t="str">
        <f>IFERROR(__xludf.DUMMYFUNCTION("""COMPUTED_VALUE"""),"KHÔNG KHỚP")</f>
        <v>KHÔNG KHỚP</v>
      </c>
      <c r="R136" s="2"/>
      <c r="S136" s="2"/>
      <c r="T136" s="2"/>
      <c r="U136" s="2"/>
      <c r="V136" s="2"/>
      <c r="W136" s="2"/>
      <c r="X136" s="2"/>
      <c r="Y136" s="2"/>
    </row>
    <row r="137">
      <c r="A137" s="30">
        <f>IFERROR(__xludf.DUMMYFUNCTION("""COMPUTED_VALUE"""),134.0)</f>
        <v>134</v>
      </c>
      <c r="B137" s="39">
        <f>IFERROR(__xludf.DUMMYFUNCTION("""COMPUTED_VALUE"""),45896.0)</f>
        <v>45896</v>
      </c>
      <c r="C137" s="30">
        <f>IFERROR(__xludf.DUMMYFUNCTION("""COMPUTED_VALUE"""),1.0)</f>
        <v>1</v>
      </c>
      <c r="D137" s="30" t="str">
        <f>IFERROR(__xludf.DUMMYFUNCTION("""COMPUTED_VALUE"""),"CT MỚI")</f>
        <v>CT MỚI</v>
      </c>
      <c r="E137" s="30"/>
      <c r="F137" s="2"/>
      <c r="G137" s="2" t="str">
        <f>IFERROR(__xludf.DUMMYFUNCTION("""COMPUTED_VALUE"""),"HH4182")</f>
        <v>HH4182</v>
      </c>
      <c r="H137" s="2" t="str">
        <f>IFERROR(__xludf.DUMMYFUNCTION("""COMPUTED_VALUE"""),"GC - IV - 4182 - Hóa Nông Shino - CANXI BO (Nước trắng sữa) - 500ml - 30")</f>
        <v>GC - IV - 4182 - Hóa Nông Shino - CANXI BO (Nước trắng sữa) - 500ml - 30</v>
      </c>
      <c r="I137" s="2" t="str">
        <f>IFERROR(__xludf.DUMMYFUNCTION("""COMPUTED_VALUE"""),"#N/A")</f>
        <v>#N/A</v>
      </c>
      <c r="J137" s="2"/>
      <c r="K137" s="2"/>
      <c r="L137" s="2" t="str">
        <f>IFERROR(__xludf.DUMMYFUNCTION("""COMPUTED_VALUE"""),"A02160725")</f>
        <v>A02160725</v>
      </c>
      <c r="M137" s="2" t="str">
        <f>IFERROR(__xludf.DUMMYFUNCTION("""COMPUTED_VALUE"""),"AGAMA-CANXI BO
(KIM NGỌC)")</f>
        <v>AGAMA-CANXI BO
(KIM NGỌC)</v>
      </c>
      <c r="N137" s="2" t="str">
        <f>IFERROR(__xludf.DUMMYFUNCTION("""COMPUTED_VALUE"""),"10CR0021")</f>
        <v>10CR0021</v>
      </c>
      <c r="O137" s="2" t="str">
        <f>IFERROR(__xludf.DUMMYFUNCTION("""COMPUTED_VALUE"""),"Phân bón Vi lượng AGAMA-CANXI BO")</f>
        <v>Phân bón Vi lượng AGAMA-CANXI BO</v>
      </c>
      <c r="P137" s="2" t="str">
        <f>IFERROR(__xludf.DUMMYFUNCTION("""COMPUTED_VALUE"""),"#N/A")</f>
        <v>#N/A</v>
      </c>
      <c r="Q137" s="30" t="str">
        <f>IFERROR(__xludf.DUMMYFUNCTION("""COMPUTED_VALUE"""),"KHÔNG KHỚP")</f>
        <v>KHÔNG KHỚP</v>
      </c>
      <c r="R137" s="2"/>
      <c r="S137" s="2"/>
      <c r="T137" s="2"/>
      <c r="U137" s="2"/>
      <c r="V137" s="2"/>
      <c r="W137" s="2"/>
      <c r="X137" s="2"/>
      <c r="Y137" s="2"/>
    </row>
    <row r="138">
      <c r="A138" s="30">
        <f>IFERROR(__xludf.DUMMYFUNCTION("""COMPUTED_VALUE"""),135.0)</f>
        <v>135</v>
      </c>
      <c r="B138" s="39">
        <f>IFERROR(__xludf.DUMMYFUNCTION("""COMPUTED_VALUE"""),45904.0)</f>
        <v>45904</v>
      </c>
      <c r="C138" s="30">
        <f>IFERROR(__xludf.DUMMYFUNCTION("""COMPUTED_VALUE"""),1.0)</f>
        <v>1</v>
      </c>
      <c r="D138" s="30" t="str">
        <f>IFERROR(__xludf.DUMMYFUNCTION("""COMPUTED_VALUE"""),"CT MỚI")</f>
        <v>CT MỚI</v>
      </c>
      <c r="E138" s="30"/>
      <c r="F138" s="2"/>
      <c r="G138" s="2" t="str">
        <f>IFERROR(__xludf.DUMMYFUNCTION("""COMPUTED_VALUE"""),"HH2927")</f>
        <v>HH2927</v>
      </c>
      <c r="H138" s="2" t="str">
        <f>IFERROR(__xludf.DUMMYFUNCTION("""COMPUTED_VALUE"""),"IDA Global - I - 2927 - IDA ORGANIC FEED (Nước nâu đen) - 5L - 4")</f>
        <v>IDA Global - I - 2927 - IDA ORGANIC FEED (Nước nâu đen) - 5L - 4</v>
      </c>
      <c r="I138" s="2" t="str">
        <f>IFERROR(__xludf.DUMMYFUNCTION("""COMPUTED_VALUE"""),"#N/A")</f>
        <v>#N/A</v>
      </c>
      <c r="J138" s="2"/>
      <c r="K138" s="2"/>
      <c r="L138" s="2"/>
      <c r="M138" s="2" t="str">
        <f>IFERROR(__xludf.DUMMYFUNCTION("""COMPUTED_VALUE"""),"BAMBOO ORGANIC
IDA ORGANIC FEED")</f>
        <v>BAMBOO ORGANIC
IDA ORGANIC FEED</v>
      </c>
      <c r="N138" s="2" t="str">
        <f>IFERROR(__xludf.DUMMYFUNCTION("""COMPUTED_VALUE"""),"01RR0025V3")</f>
        <v>01RR0025V3</v>
      </c>
      <c r="O138" s="2" t="str">
        <f>IFERROR(__xludf.DUMMYFUNCTION("""COMPUTED_VALUE"""),"Phân bón Hữu cơ SH Agro Organic Fertilizer 20")</f>
        <v>Phân bón Hữu cơ SH Agro Organic Fertilizer 20</v>
      </c>
      <c r="P138" s="2" t="str">
        <f>IFERROR(__xludf.DUMMYFUNCTION("""COMPUTED_VALUE"""),"#N/A")</f>
        <v>#N/A</v>
      </c>
      <c r="Q138" s="30" t="str">
        <f>IFERROR(__xludf.DUMMYFUNCTION("""COMPUTED_VALUE"""),"KHÔNG KHỚP")</f>
        <v>KHÔNG KHỚP</v>
      </c>
      <c r="R138" s="2"/>
      <c r="S138" s="2"/>
      <c r="T138" s="2"/>
      <c r="U138" s="2"/>
      <c r="V138" s="2"/>
      <c r="W138" s="2"/>
      <c r="X138" s="2"/>
      <c r="Y138" s="2"/>
    </row>
    <row r="139">
      <c r="A139" s="30">
        <f>IFERROR(__xludf.DUMMYFUNCTION("""COMPUTED_VALUE"""),136.0)</f>
        <v>136</v>
      </c>
      <c r="B139" s="39">
        <f>IFERROR(__xludf.DUMMYFUNCTION("""COMPUTED_VALUE"""),45908.0)</f>
        <v>45908</v>
      </c>
      <c r="C139" s="30">
        <f>IFERROR(__xludf.DUMMYFUNCTION("""COMPUTED_VALUE"""),1.0)</f>
        <v>1</v>
      </c>
      <c r="D139" s="30" t="str">
        <f>IFERROR(__xludf.DUMMYFUNCTION("""COMPUTED_VALUE"""),"CT MỚI")</f>
        <v>CT MỚI</v>
      </c>
      <c r="E139" s="30"/>
      <c r="F139" s="2"/>
      <c r="G139" s="2" t="str">
        <f>IFERROR(__xludf.DUMMYFUNCTION("""COMPUTED_VALUE"""),"HH4060")</f>
        <v>HH4060</v>
      </c>
      <c r="H139" s="2" t="str">
        <f>IFERROR(__xludf.DUMMYFUNCTION("""COMPUTED_VALUE"""),"GC - IV - 4060 - AGRITECH - NUTI ROOTS 02 (Nước nâu đen) - 500ml - 40")</f>
        <v>GC - IV - 4060 - AGRITECH - NUTI ROOTS 02 (Nước nâu đen) - 500ml - 40</v>
      </c>
      <c r="I139" s="2" t="str">
        <f>IFERROR(__xludf.DUMMYFUNCTION("""COMPUTED_VALUE"""),"#N/A")</f>
        <v>#N/A</v>
      </c>
      <c r="J139" s="2"/>
      <c r="K139" s="2"/>
      <c r="L139" s="2" t="str">
        <f>IFERROR(__xludf.DUMMYFUNCTION("""COMPUTED_VALUE"""),"A20280225")</f>
        <v>A20280225</v>
      </c>
      <c r="M139" s="2" t="str">
        <f>IFERROR(__xludf.DUMMYFUNCTION("""COMPUTED_VALUE"""),"BETA VUA RỄ")</f>
        <v>BETA VUA RỄ</v>
      </c>
      <c r="N139" s="2" t="str">
        <f>IFERROR(__xludf.DUMMYFUNCTION("""COMPUTED_VALUE"""),"01RR0050")</f>
        <v>01RR0050</v>
      </c>
      <c r="O139" s="2" t="str">
        <f>IFERROR(__xludf.DUMMYFUNCTION("""COMPUTED_VALUE"""),"Phân bón Hỗn hợp NP AGAMA-AP")</f>
        <v>Phân bón Hỗn hợp NP AGAMA-AP</v>
      </c>
      <c r="P139" s="2" t="str">
        <f>IFERROR(__xludf.DUMMYFUNCTION("""COMPUTED_VALUE"""),"#N/A")</f>
        <v>#N/A</v>
      </c>
      <c r="Q139" s="30" t="str">
        <f>IFERROR(__xludf.DUMMYFUNCTION("""COMPUTED_VALUE"""),"KHÔNG KHỚP")</f>
        <v>KHÔNG KHỚP</v>
      </c>
      <c r="R139" s="2"/>
      <c r="S139" s="2"/>
      <c r="T139" s="2"/>
      <c r="U139" s="2"/>
      <c r="V139" s="2"/>
      <c r="W139" s="2"/>
      <c r="X139" s="2"/>
      <c r="Y139" s="2"/>
    </row>
    <row r="140">
      <c r="A140" s="30">
        <f>IFERROR(__xludf.DUMMYFUNCTION("""COMPUTED_VALUE"""),137.0)</f>
        <v>137</v>
      </c>
      <c r="B140" s="39">
        <f>IFERROR(__xludf.DUMMYFUNCTION("""COMPUTED_VALUE"""),45983.0)</f>
        <v>45983</v>
      </c>
      <c r="C140" s="30">
        <f>IFERROR(__xludf.DUMMYFUNCTION("""COMPUTED_VALUE"""),3.0)</f>
        <v>3</v>
      </c>
      <c r="D140" s="30" t="str">
        <f>IFERROR(__xludf.DUMMYFUNCTION("""COMPUTED_VALUE"""),"CT CŨ")</f>
        <v>CT CŨ</v>
      </c>
      <c r="E140" s="30"/>
      <c r="F140" s="2"/>
      <c r="G140" s="2" t="str">
        <f>IFERROR(__xludf.DUMMYFUNCTION("""COMPUTED_VALUE"""),"HH3924")</f>
        <v>HH3924</v>
      </c>
      <c r="H140" s="2" t="str">
        <f>IFERROR(__xludf.DUMMYFUNCTION("""COMPUTED_VALUE"""),"BAMBOO - VI - 3924 - BAMBOO MG KẼM (nước xanh lá sữa) - 500ml - 40")</f>
        <v>BAMBOO - VI - 3924 - BAMBOO MG KẼM (nước xanh lá sữa) - 500ml - 40</v>
      </c>
      <c r="I140" s="2" t="str">
        <f>IFERROR(__xludf.DUMMYFUNCTION("""COMPUTED_VALUE"""),"#N/A")</f>
        <v>#N/A</v>
      </c>
      <c r="J140" s="2"/>
      <c r="K140" s="2"/>
      <c r="L140" s="2" t="str">
        <f>IFERROR(__xludf.DUMMYFUNCTION("""COMPUTED_VALUE"""),"BB26040725")</f>
        <v>BB26040725</v>
      </c>
      <c r="M140" s="2" t="str">
        <f>IFERROR(__xludf.DUMMYFUNCTION("""COMPUTED_VALUE"""),"BAMBOO MG KẼM
LOTUS DIỆP LỤC")</f>
        <v>BAMBOO MG KẼM
LOTUS DIỆP LỤC</v>
      </c>
      <c r="N140" s="2" t="str">
        <f>IFERROR(__xludf.DUMMYFUNCTION("""COMPUTED_VALUE"""),"13XL0017V2")</f>
        <v>13XL0017V2</v>
      </c>
      <c r="O140" s="2" t="str">
        <f>IFERROR(__xludf.DUMMYFUNCTION("""COMPUTED_VALUE"""),"Phân bón vi lượng Phú Sĩ FJ-09 Kẽm Mg")</f>
        <v>Phân bón vi lượng Phú Sĩ FJ-09 Kẽm Mg</v>
      </c>
      <c r="P140" s="2" t="str">
        <f>IFERROR(__xludf.DUMMYFUNCTION("""COMPUTED_VALUE"""),"#N/A")</f>
        <v>#N/A</v>
      </c>
      <c r="Q140" s="30" t="str">
        <f>IFERROR(__xludf.DUMMYFUNCTION("""COMPUTED_VALUE"""),"KHÔNG KHỚP")</f>
        <v>KHÔNG KHỚP</v>
      </c>
      <c r="R140" s="2"/>
      <c r="S140" s="2"/>
      <c r="T140" s="2"/>
      <c r="U140" s="2"/>
      <c r="V140" s="2"/>
      <c r="W140" s="2"/>
      <c r="X140" s="2"/>
      <c r="Y140" s="2"/>
    </row>
    <row r="141">
      <c r="A141" s="30">
        <f>IFERROR(__xludf.DUMMYFUNCTION("""COMPUTED_VALUE"""),138.0)</f>
        <v>138</v>
      </c>
      <c r="B141" s="39">
        <f>IFERROR(__xludf.DUMMYFUNCTION("""COMPUTED_VALUE"""),45892.0)</f>
        <v>45892</v>
      </c>
      <c r="C141" s="30">
        <f>IFERROR(__xludf.DUMMYFUNCTION("""COMPUTED_VALUE"""),1.0)</f>
        <v>1</v>
      </c>
      <c r="D141" s="30" t="str">
        <f>IFERROR(__xludf.DUMMYFUNCTION("""COMPUTED_VALUE"""),"CT MỚI")</f>
        <v>CT MỚI</v>
      </c>
      <c r="E141" s="30"/>
      <c r="F141" s="2"/>
      <c r="G141" s="2" t="str">
        <f>IFERROR(__xludf.DUMMYFUNCTION("""COMPUTED_VALUE"""),"HH4181")</f>
        <v>HH4181</v>
      </c>
      <c r="H141" s="2" t="str">
        <f>IFERROR(__xludf.DUMMYFUNCTION("""COMPUTED_VALUE"""),"GC - IV - 4181 - THÀNH CÔNG AGRI - UT-STOP 25 (Nước nâu đen) - 500ml - 30")</f>
        <v>GC - IV - 4181 - THÀNH CÔNG AGRI - UT-STOP 25 (Nước nâu đen) - 500ml - 30</v>
      </c>
      <c r="I141" s="2" t="str">
        <f>IFERROR(__xludf.DUMMYFUNCTION("""COMPUTED_VALUE"""),"#N/A")</f>
        <v>#N/A</v>
      </c>
      <c r="J141" s="2"/>
      <c r="K141" s="2"/>
      <c r="L141" s="2" t="str">
        <f>IFERROR(__xludf.DUMMYFUNCTION("""COMPUTED_VALUE"""),"CHẶN ĐỌT DÒNG V3")</f>
        <v>CHẶN ĐỌT DÒNG V3</v>
      </c>
      <c r="M141" s="2" t="str">
        <f>IFERROR(__xludf.DUMMYFUNCTION("""COMPUTED_VALUE"""),"KODO STOP
SIÊU CHẶN ĐỌT
STOP 25
UNI STOP
UNI STOP 25")</f>
        <v>KODO STOP
SIÊU CHẶN ĐỌT
STOP 25
UNI STOP
UNI STOP 25</v>
      </c>
      <c r="N141" s="2" t="str">
        <f>IFERROR(__xludf.DUMMYFUNCTION("""COMPUTED_VALUE"""),"06CD0007")</f>
        <v>06CD0007</v>
      </c>
      <c r="O141" s="2" t="str">
        <f>IFERROR(__xludf.DUMMYFUNCTION("""COMPUTED_VALUE"""),"Phân bón Vi lượng Quantity New")</f>
        <v>Phân bón Vi lượng Quantity New</v>
      </c>
      <c r="P141" s="2" t="str">
        <f>IFERROR(__xludf.DUMMYFUNCTION("""COMPUTED_VALUE"""),"#N/A")</f>
        <v>#N/A</v>
      </c>
      <c r="Q141" s="30" t="str">
        <f>IFERROR(__xludf.DUMMYFUNCTION("""COMPUTED_VALUE"""),"KHÔNG KHỚP")</f>
        <v>KHÔNG KHỚP</v>
      </c>
      <c r="R141" s="2"/>
      <c r="S141" s="2"/>
      <c r="T141" s="2"/>
      <c r="U141" s="2"/>
      <c r="V141" s="2"/>
      <c r="W141" s="2"/>
      <c r="X141" s="2"/>
      <c r="Y141" s="2"/>
    </row>
    <row r="142">
      <c r="A142" s="30">
        <f>IFERROR(__xludf.DUMMYFUNCTION("""COMPUTED_VALUE"""),139.0)</f>
        <v>139</v>
      </c>
      <c r="B142" s="39">
        <f>IFERROR(__xludf.DUMMYFUNCTION("""COMPUTED_VALUE"""),45938.0)</f>
        <v>45938</v>
      </c>
      <c r="C142" s="30">
        <f>IFERROR(__xludf.DUMMYFUNCTION("""COMPUTED_VALUE"""),1.0)</f>
        <v>1</v>
      </c>
      <c r="D142" s="30" t="str">
        <f>IFERROR(__xludf.DUMMYFUNCTION("""COMPUTED_VALUE"""),"CT MỚI")</f>
        <v>CT MỚI</v>
      </c>
      <c r="E142" s="30"/>
      <c r="F142" s="2"/>
      <c r="G142" s="2" t="str">
        <f>IFERROR(__xludf.DUMMYFUNCTION("""COMPUTED_VALUE"""),"HH3893")</f>
        <v>HH3893</v>
      </c>
      <c r="H142" s="2" t="str">
        <f>IFERROR(__xludf.DUMMYFUNCTION("""COMPUTED_VALUE"""),"GC - IV - 3893 - Cty GNH (A.Thời) - Ra Rễ Nở Bụi (nước nâu đen) - 500ml - 40")</f>
        <v>GC - IV - 3893 - Cty GNH (A.Thời) - Ra Rễ Nở Bụi (nước nâu đen) - 500ml - 40</v>
      </c>
      <c r="I142" s="2" t="str">
        <f>IFERROR(__xludf.DUMMYFUNCTION("""COMPUTED_VALUE"""),"#N/A")</f>
        <v>#N/A</v>
      </c>
      <c r="J142" s="2"/>
      <c r="K142" s="2"/>
      <c r="L142" s="2" t="str">
        <f>IFERROR(__xludf.DUMMYFUNCTION("""COMPUTED_VALUE"""),"A06270225")</f>
        <v>A06270225</v>
      </c>
      <c r="M142" s="2" t="str">
        <f>IFERROR(__xludf.DUMMYFUNCTION("""COMPUTED_VALUE"""),"RA RỄ NỞ BỤI")</f>
        <v>RA RỄ NỞ BỤI</v>
      </c>
      <c r="N142" s="2" t="str">
        <f>IFERROR(__xludf.DUMMYFUNCTION("""COMPUTED_VALUE"""),"01RR0049V1")</f>
        <v>01RR0049V1</v>
      </c>
      <c r="O142" s="2" t="str">
        <f>IFERROR(__xludf.DUMMYFUNCTION("""COMPUTED_VALUE"""),"Phân bón Vi lượng Quantity New")</f>
        <v>Phân bón Vi lượng Quantity New</v>
      </c>
      <c r="P142" s="2" t="str">
        <f>IFERROR(__xludf.DUMMYFUNCTION("""COMPUTED_VALUE"""),"#N/A")</f>
        <v>#N/A</v>
      </c>
      <c r="Q142" s="30" t="str">
        <f>IFERROR(__xludf.DUMMYFUNCTION("""COMPUTED_VALUE"""),"KHÔNG KHỚP")</f>
        <v>KHÔNG KHỚP</v>
      </c>
      <c r="R142" s="2"/>
      <c r="S142" s="2"/>
      <c r="T142" s="2"/>
      <c r="U142" s="2"/>
      <c r="V142" s="2"/>
      <c r="W142" s="2"/>
      <c r="X142" s="2"/>
      <c r="Y142" s="2"/>
    </row>
    <row r="143">
      <c r="A143" s="30">
        <f>IFERROR(__xludf.DUMMYFUNCTION("""COMPUTED_VALUE"""),140.0)</f>
        <v>140</v>
      </c>
      <c r="B143" s="39">
        <f>IFERROR(__xludf.DUMMYFUNCTION("""COMPUTED_VALUE"""),45938.0)</f>
        <v>45938</v>
      </c>
      <c r="C143" s="30">
        <f>IFERROR(__xludf.DUMMYFUNCTION("""COMPUTED_VALUE"""),1.0)</f>
        <v>1</v>
      </c>
      <c r="D143" s="30" t="str">
        <f>IFERROR(__xludf.DUMMYFUNCTION("""COMPUTED_VALUE"""),"CT MỚI")</f>
        <v>CT MỚI</v>
      </c>
      <c r="E143" s="30"/>
      <c r="F143" s="2"/>
      <c r="G143" s="2" t="str">
        <f>IFERROR(__xludf.DUMMYFUNCTION("""COMPUTED_VALUE"""),"HH3244")</f>
        <v>HH3244</v>
      </c>
      <c r="H143" s="2" t="str">
        <f>IFERROR(__xludf.DUMMYFUNCTION("""COMPUTED_VALUE"""),"GC - IV - 3244 - GNH - Ra Rễ Nở Bụi (nước nâu đen) - 1L - 20")</f>
        <v>GC - IV - 3244 - GNH - Ra Rễ Nở Bụi (nước nâu đen) - 1L - 20</v>
      </c>
      <c r="I143" s="2" t="str">
        <f>IFERROR(__xludf.DUMMYFUNCTION("""COMPUTED_VALUE"""),"#N/A")</f>
        <v>#N/A</v>
      </c>
      <c r="J143" s="2"/>
      <c r="K143" s="2"/>
      <c r="L143" s="2" t="str">
        <f>IFERROR(__xludf.DUMMYFUNCTION("""COMPUTED_VALUE"""),"A06270225")</f>
        <v>A06270225</v>
      </c>
      <c r="M143" s="2" t="str">
        <f>IFERROR(__xludf.DUMMYFUNCTION("""COMPUTED_VALUE"""),"RA RỄ NỞ BỤI")</f>
        <v>RA RỄ NỞ BỤI</v>
      </c>
      <c r="N143" s="2" t="str">
        <f>IFERROR(__xludf.DUMMYFUNCTION("""COMPUTED_VALUE"""),"01RR0049V1")</f>
        <v>01RR0049V1</v>
      </c>
      <c r="O143" s="2" t="str">
        <f>IFERROR(__xludf.DUMMYFUNCTION("""COMPUTED_VALUE"""),"Phân bón Vi lượng Quantity New")</f>
        <v>Phân bón Vi lượng Quantity New</v>
      </c>
      <c r="P143" s="2" t="str">
        <f>IFERROR(__xludf.DUMMYFUNCTION("""COMPUTED_VALUE"""),"#N/A")</f>
        <v>#N/A</v>
      </c>
      <c r="Q143" s="30" t="str">
        <f>IFERROR(__xludf.DUMMYFUNCTION("""COMPUTED_VALUE"""),"KHÔNG KHỚP")</f>
        <v>KHÔNG KHỚP</v>
      </c>
      <c r="R143" s="2"/>
      <c r="S143" s="2"/>
      <c r="T143" s="2"/>
      <c r="U143" s="2"/>
      <c r="V143" s="2"/>
      <c r="W143" s="2"/>
      <c r="X143" s="2"/>
      <c r="Y143" s="2"/>
    </row>
    <row r="144">
      <c r="A144" s="30">
        <f>IFERROR(__xludf.DUMMYFUNCTION("""COMPUTED_VALUE"""),141.0)</f>
        <v>141</v>
      </c>
      <c r="B144" s="39">
        <f>IFERROR(__xludf.DUMMYFUNCTION("""COMPUTED_VALUE"""),45924.0)</f>
        <v>45924</v>
      </c>
      <c r="C144" s="30">
        <f>IFERROR(__xludf.DUMMYFUNCTION("""COMPUTED_VALUE"""),1.0)</f>
        <v>1</v>
      </c>
      <c r="D144" s="30" t="str">
        <f>IFERROR(__xludf.DUMMYFUNCTION("""COMPUTED_VALUE"""),"CT MỚI")</f>
        <v>CT MỚI</v>
      </c>
      <c r="E144" s="30"/>
      <c r="F144" s="2"/>
      <c r="G144" s="2" t="str">
        <f>IFERROR(__xludf.DUMMYFUNCTION("""COMPUTED_VALUE"""),"HH4190")</f>
        <v>HH4190</v>
      </c>
      <c r="H144" s="2" t="str">
        <f>IFERROR(__xludf.DUMMYFUNCTION("""COMPUTED_VALUE"""),"CTY NEWTECH - Vi lượng MICKEY - NEW ZINC - 500ml - 30")</f>
        <v>CTY NEWTECH - Vi lượng MICKEY - NEW ZINC - 500ml - 30</v>
      </c>
      <c r="I144" s="2" t="str">
        <f>IFERROR(__xludf.DUMMYFUNCTION("""COMPUTED_VALUE"""),"#N/A")</f>
        <v>#N/A</v>
      </c>
      <c r="J144" s="2"/>
      <c r="K144" s="2"/>
      <c r="L144" s="2"/>
      <c r="M144" s="2" t="str">
        <f>IFERROR(__xludf.DUMMYFUNCTION("""COMPUTED_VALUE"""),"NEW ZINC")</f>
        <v>NEW ZINC</v>
      </c>
      <c r="N144" s="2" t="str">
        <f>IFERROR(__xludf.DUMMYFUNCTION("""COMPUTED_VALUE"""),"03DD0001V2")</f>
        <v>03DD0001V2</v>
      </c>
      <c r="O144" s="2" t="str">
        <f>IFERROR(__xludf.DUMMYFUNCTION("""COMPUTED_VALUE"""),"Phân bón Vi lượng MICKEY")</f>
        <v>Phân bón Vi lượng MICKEY</v>
      </c>
      <c r="P144" s="2" t="str">
        <f>IFERROR(__xludf.DUMMYFUNCTION("""COMPUTED_VALUE"""),"#N/A")</f>
        <v>#N/A</v>
      </c>
      <c r="Q144" s="30" t="str">
        <f>IFERROR(__xludf.DUMMYFUNCTION("""COMPUTED_VALUE"""),"KHÔNG KHỚP")</f>
        <v>KHÔNG KHỚP</v>
      </c>
      <c r="R144" s="2"/>
      <c r="S144" s="2"/>
      <c r="T144" s="2"/>
      <c r="U144" s="2"/>
      <c r="V144" s="2"/>
      <c r="W144" s="2"/>
      <c r="X144" s="2"/>
      <c r="Y144" s="2"/>
    </row>
    <row r="145">
      <c r="A145" s="30">
        <f>IFERROR(__xludf.DUMMYFUNCTION("""COMPUTED_VALUE"""),142.0)</f>
        <v>142</v>
      </c>
      <c r="B145" s="39">
        <f>IFERROR(__xludf.DUMMYFUNCTION("""COMPUTED_VALUE"""),45887.0)</f>
        <v>45887</v>
      </c>
      <c r="C145" s="30">
        <f>IFERROR(__xludf.DUMMYFUNCTION("""COMPUTED_VALUE"""),1.0)</f>
        <v>1</v>
      </c>
      <c r="D145" s="30" t="str">
        <f>IFERROR(__xludf.DUMMYFUNCTION("""COMPUTED_VALUE"""),"CT MỚI")</f>
        <v>CT MỚI</v>
      </c>
      <c r="E145" s="30"/>
      <c r="F145" s="2"/>
      <c r="G145" s="2" t="str">
        <f>IFERROR(__xludf.DUMMYFUNCTION("""COMPUTED_VALUE"""),"HH4193")</f>
        <v>HH4193</v>
      </c>
      <c r="H145" s="2" t="str">
        <f>IFERROR(__xludf.DUMMYFUNCTION("""COMPUTED_VALUE"""),"GC ABA - NEWTECH - NPK-Vi lượng MASSIVE-BLUE - NEW RICE - 500ml - 30")</f>
        <v>GC ABA - NEWTECH - NPK-Vi lượng MASSIVE-BLUE - NEW RICE - 500ml - 30</v>
      </c>
      <c r="I145" s="2" t="str">
        <f>IFERROR(__xludf.DUMMYFUNCTION("""COMPUTED_VALUE"""),"#N/A")</f>
        <v>#N/A</v>
      </c>
      <c r="J145" s="2"/>
      <c r="K145" s="2"/>
      <c r="L145" s="2"/>
      <c r="M145" s="2" t="str">
        <f>IFERROR(__xludf.DUMMYFUNCTION("""COMPUTED_VALUE"""),"WINNER X2")</f>
        <v>WINNER X2</v>
      </c>
      <c r="N145" s="2" t="str">
        <f>IFERROR(__xludf.DUMMYFUNCTION("""COMPUTED_VALUE"""),"04VG0015")</f>
        <v>04VG0015</v>
      </c>
      <c r="O145" s="2" t="str">
        <f>IFERROR(__xludf.DUMMYFUNCTION("""COMPUTED_VALUE"""),"Phân bón NPK-Vi lượng MASSIVE-BLUE")</f>
        <v>Phân bón NPK-Vi lượng MASSIVE-BLUE</v>
      </c>
      <c r="P145" s="2" t="str">
        <f>IFERROR(__xludf.DUMMYFUNCTION("""COMPUTED_VALUE"""),"#N/A")</f>
        <v>#N/A</v>
      </c>
      <c r="Q145" s="30" t="str">
        <f>IFERROR(__xludf.DUMMYFUNCTION("""COMPUTED_VALUE"""),"KHÔNG KHỚP")</f>
        <v>KHÔNG KHỚP</v>
      </c>
      <c r="R145" s="2"/>
      <c r="S145" s="2"/>
      <c r="T145" s="2"/>
      <c r="U145" s="2"/>
      <c r="V145" s="2"/>
      <c r="W145" s="2"/>
      <c r="X145" s="2"/>
      <c r="Y145" s="2"/>
    </row>
    <row r="146">
      <c r="A146" s="30">
        <f>IFERROR(__xludf.DUMMYFUNCTION("""COMPUTED_VALUE"""),143.0)</f>
        <v>143</v>
      </c>
      <c r="B146" s="39">
        <f>IFERROR(__xludf.DUMMYFUNCTION("""COMPUTED_VALUE"""),45938.0)</f>
        <v>45938</v>
      </c>
      <c r="C146" s="30">
        <f>IFERROR(__xludf.DUMMYFUNCTION("""COMPUTED_VALUE"""),1.0)</f>
        <v>1</v>
      </c>
      <c r="D146" s="30" t="str">
        <f>IFERROR(__xludf.DUMMYFUNCTION("""COMPUTED_VALUE"""),"CT MỚI")</f>
        <v>CT MỚI</v>
      </c>
      <c r="E146" s="30"/>
      <c r="F146" s="2"/>
      <c r="G146" s="2" t="str">
        <f>IFERROR(__xludf.DUMMYFUNCTION("""COMPUTED_VALUE"""),"HH4192")</f>
        <v>HH4192</v>
      </c>
      <c r="H146" s="2" t="str">
        <f>IFERROR(__xludf.DUMMYFUNCTION("""COMPUTED_VALUE"""),"GC ABA - NEWTECH - Hỗn Hợp NP AGAMA-AP - NEW PLANT - 500ml - 30")</f>
        <v>GC ABA - NEWTECH - Hỗn Hợp NP AGAMA-AP - NEW PLANT - 500ml - 30</v>
      </c>
      <c r="I146" s="2" t="str">
        <f>IFERROR(__xludf.DUMMYFUNCTION("""COMPUTED_VALUE"""),"#N/A")</f>
        <v>#N/A</v>
      </c>
      <c r="J146" s="2"/>
      <c r="K146" s="2"/>
      <c r="L146" s="2" t="str">
        <f>IFERROR(__xludf.DUMMYFUNCTION("""COMPUTED_VALUE"""),"A04250724")</f>
        <v>A04250724</v>
      </c>
      <c r="M146" s="2" t="str">
        <f>IFERROR(__xludf.DUMMYFUNCTION("""COMPUTED_VALUE"""),"NEW PLANT")</f>
        <v>NEW PLANT</v>
      </c>
      <c r="N146" s="2" t="str">
        <f>IFERROR(__xludf.DUMMYFUNCTION("""COMPUTED_VALUE"""),"01RR0030V1")</f>
        <v>01RR0030V1</v>
      </c>
      <c r="O146" s="2" t="str">
        <f>IFERROR(__xludf.DUMMYFUNCTION("""COMPUTED_VALUE"""),"Phân bón Hỗn hợp NP AGAMA-AP")</f>
        <v>Phân bón Hỗn hợp NP AGAMA-AP</v>
      </c>
      <c r="P146" s="2" t="str">
        <f>IFERROR(__xludf.DUMMYFUNCTION("""COMPUTED_VALUE"""),"#N/A")</f>
        <v>#N/A</v>
      </c>
      <c r="Q146" s="30" t="str">
        <f>IFERROR(__xludf.DUMMYFUNCTION("""COMPUTED_VALUE"""),"KHÔNG KHỚP")</f>
        <v>KHÔNG KHỚP</v>
      </c>
      <c r="R146" s="2"/>
      <c r="S146" s="2"/>
      <c r="T146" s="2"/>
      <c r="U146" s="2"/>
      <c r="V146" s="2"/>
      <c r="W146" s="2"/>
      <c r="X146" s="2"/>
      <c r="Y146" s="2"/>
    </row>
    <row r="147">
      <c r="A147" s="30">
        <f>IFERROR(__xludf.DUMMYFUNCTION("""COMPUTED_VALUE"""),144.0)</f>
        <v>144</v>
      </c>
      <c r="B147" s="39">
        <f>IFERROR(__xludf.DUMMYFUNCTION("""COMPUTED_VALUE"""),45938.0)</f>
        <v>45938</v>
      </c>
      <c r="C147" s="30">
        <f>IFERROR(__xludf.DUMMYFUNCTION("""COMPUTED_VALUE"""),1.0)</f>
        <v>1</v>
      </c>
      <c r="D147" s="30" t="str">
        <f>IFERROR(__xludf.DUMMYFUNCTION("""COMPUTED_VALUE"""),"CT MỚI")</f>
        <v>CT MỚI</v>
      </c>
      <c r="E147" s="30"/>
      <c r="F147" s="2"/>
      <c r="G147" s="2" t="str">
        <f>IFERROR(__xludf.DUMMYFUNCTION("""COMPUTED_VALUE"""),"HH4194")</f>
        <v>HH4194</v>
      </c>
      <c r="H147" s="2" t="str">
        <f>IFERROR(__xludf.DUMMYFUNCTION("""COMPUTED_VALUE"""),"CTY HƯƠNG NÔNG (A.TÙNG) - Vi lượng Quantity New - TẠO MẦM - 1L - 20")</f>
        <v>CTY HƯƠNG NÔNG (A.TÙNG) - Vi lượng Quantity New - TẠO MẦM - 1L - 20</v>
      </c>
      <c r="I147" s="2" t="str">
        <f>IFERROR(__xludf.DUMMYFUNCTION("""COMPUTED_VALUE"""),"#N/A")</f>
        <v>#N/A</v>
      </c>
      <c r="J147" s="2"/>
      <c r="K147" s="2"/>
      <c r="L147" s="2"/>
      <c r="M147" s="2" t="str">
        <f>IFERROR(__xludf.DUMMYFUNCTION("""COMPUTED_VALUE"""),"SIÊU TẠO MẦM
TẠO MẦM")</f>
        <v>SIÊU TẠO MẦM
TẠO MẦM</v>
      </c>
      <c r="N147" s="2" t="str">
        <f>IFERROR(__xludf.DUMMYFUNCTION("""COMPUTED_VALUE"""),"08TM0007V1")</f>
        <v>08TM0007V1</v>
      </c>
      <c r="O147" s="2" t="str">
        <f>IFERROR(__xludf.DUMMYFUNCTION("""COMPUTED_VALUE"""),"Phân bón Vi lượng Quantity New")</f>
        <v>Phân bón Vi lượng Quantity New</v>
      </c>
      <c r="P147" s="2" t="str">
        <f>IFERROR(__xludf.DUMMYFUNCTION("""COMPUTED_VALUE"""),"#N/A")</f>
        <v>#N/A</v>
      </c>
      <c r="Q147" s="30" t="str">
        <f>IFERROR(__xludf.DUMMYFUNCTION("""COMPUTED_VALUE"""),"KHÔNG KHỚP")</f>
        <v>KHÔNG KHỚP</v>
      </c>
      <c r="R147" s="2"/>
      <c r="S147" s="2"/>
      <c r="T147" s="2"/>
      <c r="U147" s="2"/>
      <c r="V147" s="2"/>
      <c r="W147" s="2"/>
      <c r="X147" s="2"/>
      <c r="Y147" s="2"/>
    </row>
    <row r="148">
      <c r="A148" s="30">
        <f>IFERROR(__xludf.DUMMYFUNCTION("""COMPUTED_VALUE"""),145.0)</f>
        <v>145</v>
      </c>
      <c r="B148" s="39">
        <f>IFERROR(__xludf.DUMMYFUNCTION("""COMPUTED_VALUE"""),45896.0)</f>
        <v>45896</v>
      </c>
      <c r="C148" s="30">
        <f>IFERROR(__xludf.DUMMYFUNCTION("""COMPUTED_VALUE"""),1.0)</f>
        <v>1</v>
      </c>
      <c r="D148" s="30" t="str">
        <f>IFERROR(__xludf.DUMMYFUNCTION("""COMPUTED_VALUE"""),"CT MỚI")</f>
        <v>CT MỚI</v>
      </c>
      <c r="E148" s="30"/>
      <c r="F148" s="2"/>
      <c r="G148" s="2" t="str">
        <f>IFERROR(__xludf.DUMMYFUNCTION("""COMPUTED_VALUE"""),"HH4172")</f>
        <v>HH4172</v>
      </c>
      <c r="H148" s="2" t="str">
        <f>IFERROR(__xludf.DUMMYFUNCTION("""COMPUTED_VALUE"""),"GC - IV - 4172 - CTY DONA VINA - CANXIBO ĐỒNG KẼM (Nước trắng sữa) - 500ml - 40")</f>
        <v>GC - IV - 4172 - CTY DONA VINA - CANXIBO ĐỒNG KẼM (Nước trắng sữa) - 500ml - 40</v>
      </c>
      <c r="I148" s="2" t="str">
        <f>IFERROR(__xludf.DUMMYFUNCTION("""COMPUTED_VALUE"""),"#N/A")</f>
        <v>#N/A</v>
      </c>
      <c r="J148" s="2"/>
      <c r="K148" s="2"/>
      <c r="L148" s="2" t="str">
        <f>IFERROR(__xludf.DUMMYFUNCTION("""COMPUTED_VALUE"""),"A02160725")</f>
        <v>A02160725</v>
      </c>
      <c r="M148" s="2" t="str">
        <f>IFERROR(__xludf.DUMMYFUNCTION("""COMPUTED_VALUE"""),"AGAMA-CANXI BO
(KIM NGỌC)")</f>
        <v>AGAMA-CANXI BO
(KIM NGỌC)</v>
      </c>
      <c r="N148" s="2" t="str">
        <f>IFERROR(__xludf.DUMMYFUNCTION("""COMPUTED_VALUE"""),"10CR0021")</f>
        <v>10CR0021</v>
      </c>
      <c r="O148" s="2" t="str">
        <f>IFERROR(__xludf.DUMMYFUNCTION("""COMPUTED_VALUE"""),"Phân bón Vi lượng AGAMA-CANXI BO")</f>
        <v>Phân bón Vi lượng AGAMA-CANXI BO</v>
      </c>
      <c r="P148" s="2" t="str">
        <f>IFERROR(__xludf.DUMMYFUNCTION("""COMPUTED_VALUE"""),"#N/A")</f>
        <v>#N/A</v>
      </c>
      <c r="Q148" s="30" t="str">
        <f>IFERROR(__xludf.DUMMYFUNCTION("""COMPUTED_VALUE"""),"KHÔNG KHỚP")</f>
        <v>KHÔNG KHỚP</v>
      </c>
      <c r="R148" s="2"/>
      <c r="S148" s="2"/>
      <c r="T148" s="2"/>
      <c r="U148" s="2"/>
      <c r="V148" s="2"/>
      <c r="W148" s="2"/>
      <c r="X148" s="2"/>
      <c r="Y148" s="2"/>
    </row>
    <row r="149">
      <c r="A149" s="30">
        <f>IFERROR(__xludf.DUMMYFUNCTION("""COMPUTED_VALUE"""),146.0)</f>
        <v>146</v>
      </c>
      <c r="B149" s="39">
        <f>IFERROR(__xludf.DUMMYFUNCTION("""COMPUTED_VALUE"""),45922.0)</f>
        <v>45922</v>
      </c>
      <c r="C149" s="30">
        <f>IFERROR(__xludf.DUMMYFUNCTION("""COMPUTED_VALUE"""),3.0)</f>
        <v>3</v>
      </c>
      <c r="D149" s="30" t="str">
        <f>IFERROR(__xludf.DUMMYFUNCTION("""COMPUTED_VALUE"""),"CT CŨ")</f>
        <v>CT CŨ</v>
      </c>
      <c r="E149" s="30"/>
      <c r="F149" s="2"/>
      <c r="G149" s="2" t="str">
        <f>IFERROR(__xludf.DUMMYFUNCTION("""COMPUTED_VALUE"""),"HH3982")</f>
        <v>HH3982</v>
      </c>
      <c r="H149" s="2" t="str">
        <f>IFERROR(__xludf.DUMMYFUNCTION("""COMPUTED_VALUE"""),"DR.XANH - VIII - 3982 - ROBUST EXTRA (Gel nâu đen) - 500ml - 40")</f>
        <v>DR.XANH - VIII - 3982 - ROBUST EXTRA (Gel nâu đen) - 500ml - 40</v>
      </c>
      <c r="I149" s="2" t="str">
        <f>IFERROR(__xludf.DUMMYFUNCTION("""COMPUTED_VALUE"""),"#N/A")</f>
        <v>#N/A</v>
      </c>
      <c r="J149" s="2"/>
      <c r="K149" s="2"/>
      <c r="L149" s="2" t="str">
        <f>IFERROR(__xludf.DUMMYFUNCTION("""COMPUTED_VALUE"""),"X01180825")</f>
        <v>X01180825</v>
      </c>
      <c r="M149" s="2" t="str">
        <f>IFERROR(__xludf.DUMMYFUNCTION("""COMPUTED_VALUE"""),"ROBUST EXTRA")</f>
        <v>ROBUST EXTRA</v>
      </c>
      <c r="N149" s="2" t="str">
        <f>IFERROR(__xludf.DUMMYFUNCTION("""COMPUTED_VALUE"""),"01RR0071V2")</f>
        <v>01RR0071V2</v>
      </c>
      <c r="O149" s="2" t="str">
        <f>IFERROR(__xludf.DUMMYFUNCTION("""COMPUTED_VALUE"""),"Phân bón hữu cơ ROOTS US90")</f>
        <v>Phân bón hữu cơ ROOTS US90</v>
      </c>
      <c r="P149" s="2" t="str">
        <f>IFERROR(__xludf.DUMMYFUNCTION("""COMPUTED_VALUE"""),"#N/A")</f>
        <v>#N/A</v>
      </c>
      <c r="Q149" s="30" t="str">
        <f>IFERROR(__xludf.DUMMYFUNCTION("""COMPUTED_VALUE"""),"KHÔNG KHỚP")</f>
        <v>KHÔNG KHỚP</v>
      </c>
      <c r="R149" s="2"/>
      <c r="S149" s="2"/>
      <c r="T149" s="2"/>
      <c r="U149" s="2"/>
      <c r="V149" s="2"/>
      <c r="W149" s="2"/>
      <c r="X149" s="2"/>
      <c r="Y149" s="2"/>
    </row>
    <row r="150">
      <c r="A150" s="30">
        <f>IFERROR(__xludf.DUMMYFUNCTION("""COMPUTED_VALUE"""),147.0)</f>
        <v>147</v>
      </c>
      <c r="B150" s="39">
        <f>IFERROR(__xludf.DUMMYFUNCTION("""COMPUTED_VALUE"""),45892.0)</f>
        <v>45892</v>
      </c>
      <c r="C150" s="30">
        <f>IFERROR(__xludf.DUMMYFUNCTION("""COMPUTED_VALUE"""),2.0)</f>
        <v>2</v>
      </c>
      <c r="D150" s="30" t="str">
        <f>IFERROR(__xludf.DUMMYFUNCTION("""COMPUTED_VALUE"""),"CT CŨ")</f>
        <v>CT CŨ</v>
      </c>
      <c r="E150" s="30"/>
      <c r="F150" s="2"/>
      <c r="G150" s="2" t="str">
        <f>IFERROR(__xludf.DUMMYFUNCTION("""COMPUTED_VALUE"""),"HH4175")</f>
        <v>HH4175</v>
      </c>
      <c r="H150" s="2" t="str">
        <f>IFERROR(__xludf.DUMMYFUNCTION("""COMPUTED_VALUE"""),"GC - IV - 4175 - HƯƠNG NÔNG - HN Stop (Gel nâu đen) - 1L - 20")</f>
        <v>GC - IV - 4175 - HƯƠNG NÔNG - HN Stop (Gel nâu đen) - 1L - 20</v>
      </c>
      <c r="I150" s="2" t="str">
        <f>IFERROR(__xludf.DUMMYFUNCTION("""COMPUTED_VALUE"""),"#N/A")</f>
        <v>#N/A</v>
      </c>
      <c r="J150" s="2"/>
      <c r="K150" s="2"/>
      <c r="L150" s="2" t="str">
        <f>IFERROR(__xludf.DUMMYFUNCTION("""COMPUTED_VALUE"""),"CHẶN ĐỌT DÒNG V3")</f>
        <v>CHẶN ĐỌT DÒNG V3</v>
      </c>
      <c r="M150" s="2" t="str">
        <f>IFERROR(__xludf.DUMMYFUNCTION("""COMPUTED_VALUE"""),"KODO STOP
SIÊU CHẶN ĐỌT
STOP 25
UNI STOP
UNI STOP 25")</f>
        <v>KODO STOP
SIÊU CHẶN ĐỌT
STOP 25
UNI STOP
UNI STOP 25</v>
      </c>
      <c r="N150" s="2" t="str">
        <f>IFERROR(__xludf.DUMMYFUNCTION("""COMPUTED_VALUE"""),"06CD0007")</f>
        <v>06CD0007</v>
      </c>
      <c r="O150" s="2" t="str">
        <f>IFERROR(__xludf.DUMMYFUNCTION("""COMPUTED_VALUE"""),"Phân bón Vi lượng Quantity New")</f>
        <v>Phân bón Vi lượng Quantity New</v>
      </c>
      <c r="P150" s="2" t="str">
        <f>IFERROR(__xludf.DUMMYFUNCTION("""COMPUTED_VALUE"""),"#N/A")</f>
        <v>#N/A</v>
      </c>
      <c r="Q150" s="30" t="str">
        <f>IFERROR(__xludf.DUMMYFUNCTION("""COMPUTED_VALUE"""),"KHÔNG KHỚP")</f>
        <v>KHÔNG KHỚP</v>
      </c>
      <c r="R150" s="2"/>
      <c r="S150" s="2"/>
      <c r="T150" s="2"/>
      <c r="U150" s="2"/>
      <c r="V150" s="2"/>
      <c r="W150" s="2"/>
      <c r="X150" s="2"/>
      <c r="Y150" s="2"/>
    </row>
    <row r="151">
      <c r="A151" s="30">
        <f>IFERROR(__xludf.DUMMYFUNCTION("""COMPUTED_VALUE"""),148.0)</f>
        <v>148</v>
      </c>
      <c r="B151" s="39">
        <f>IFERROR(__xludf.DUMMYFUNCTION("""COMPUTED_VALUE"""),45892.0)</f>
        <v>45892</v>
      </c>
      <c r="C151" s="30">
        <f>IFERROR(__xludf.DUMMYFUNCTION("""COMPUTED_VALUE"""),1.0)</f>
        <v>1</v>
      </c>
      <c r="D151" s="30" t="str">
        <f>IFERROR(__xludf.DUMMYFUNCTION("""COMPUTED_VALUE"""),"CT MỚI")</f>
        <v>CT MỚI</v>
      </c>
      <c r="E151" s="30"/>
      <c r="F151" s="2"/>
      <c r="G151" s="2" t="str">
        <f>IFERROR(__xludf.DUMMYFUNCTION("""COMPUTED_VALUE"""),"HH4205")</f>
        <v>HH4205</v>
      </c>
      <c r="H151" s="2" t="str">
        <f>IFERROR(__xludf.DUMMYFUNCTION("""COMPUTED_VALUE"""),"GC ABA - THÀNH CÔNG AGRI - Vi lượng Quantity New - PT-STOP - 500ml - 30")</f>
        <v>GC ABA - THÀNH CÔNG AGRI - Vi lượng Quantity New - PT-STOP - 500ml - 30</v>
      </c>
      <c r="I151" s="2" t="str">
        <f>IFERROR(__xludf.DUMMYFUNCTION("""COMPUTED_VALUE"""),"#N/A")</f>
        <v>#N/A</v>
      </c>
      <c r="J151" s="2"/>
      <c r="K151" s="2"/>
      <c r="L151" s="2" t="str">
        <f>IFERROR(__xludf.DUMMYFUNCTION("""COMPUTED_VALUE"""),"CHẶN ĐỌT DÒNG V3")</f>
        <v>CHẶN ĐỌT DÒNG V3</v>
      </c>
      <c r="M151" s="2" t="str">
        <f>IFERROR(__xludf.DUMMYFUNCTION("""COMPUTED_VALUE"""),"KODO STOP
SIÊU CHẶN ĐỌT
STOP 25
UNI STOP
UNI STOP 25")</f>
        <v>KODO STOP
SIÊU CHẶN ĐỌT
STOP 25
UNI STOP
UNI STOP 25</v>
      </c>
      <c r="N151" s="2" t="str">
        <f>IFERROR(__xludf.DUMMYFUNCTION("""COMPUTED_VALUE"""),"06CD0007")</f>
        <v>06CD0007</v>
      </c>
      <c r="O151" s="2" t="str">
        <f>IFERROR(__xludf.DUMMYFUNCTION("""COMPUTED_VALUE"""),"Phân bón Vi lượng Quantity New")</f>
        <v>Phân bón Vi lượng Quantity New</v>
      </c>
      <c r="P151" s="2" t="str">
        <f>IFERROR(__xludf.DUMMYFUNCTION("""COMPUTED_VALUE"""),"#N/A")</f>
        <v>#N/A</v>
      </c>
      <c r="Q151" s="30" t="str">
        <f>IFERROR(__xludf.DUMMYFUNCTION("""COMPUTED_VALUE"""),"KHÔNG KHỚP")</f>
        <v>KHÔNG KHỚP</v>
      </c>
      <c r="R151" s="2"/>
      <c r="S151" s="2"/>
      <c r="T151" s="2"/>
      <c r="U151" s="2"/>
      <c r="V151" s="2"/>
      <c r="W151" s="2"/>
      <c r="X151" s="2"/>
      <c r="Y151" s="2"/>
    </row>
    <row r="152">
      <c r="A152" s="30">
        <f>IFERROR(__xludf.DUMMYFUNCTION("""COMPUTED_VALUE"""),149.0)</f>
        <v>149</v>
      </c>
      <c r="B152" s="39">
        <f>IFERROR(__xludf.DUMMYFUNCTION("""COMPUTED_VALUE"""),45896.0)</f>
        <v>45896</v>
      </c>
      <c r="C152" s="30">
        <f>IFERROR(__xludf.DUMMYFUNCTION("""COMPUTED_VALUE"""),1.0)</f>
        <v>1</v>
      </c>
      <c r="D152" s="30" t="str">
        <f>IFERROR(__xludf.DUMMYFUNCTION("""COMPUTED_VALUE"""),"CT MỚI")</f>
        <v>CT MỚI</v>
      </c>
      <c r="E152" s="30"/>
      <c r="F152" s="2"/>
      <c r="G152" s="2" t="str">
        <f>IFERROR(__xludf.DUMMYFUNCTION("""COMPUTED_VALUE"""),"HH4214")</f>
        <v>HH4214</v>
      </c>
      <c r="H152" s="2" t="str">
        <f>IFERROR(__xludf.DUMMYFUNCTION("""COMPUTED_VALUE"""),"GC ABA - CTY NAUY - HỖN HỢP NPK AGAMA-SRH - SUPER NANO - 500ml - 40")</f>
        <v>GC ABA - CTY NAUY - HỖN HỢP NPK AGAMA-SRH - SUPER NANO - 500ml - 40</v>
      </c>
      <c r="I152" s="2" t="str">
        <f>IFERROR(__xludf.DUMMYFUNCTION("""COMPUTED_VALUE"""),"#N/A")</f>
        <v>#N/A</v>
      </c>
      <c r="J152" s="2"/>
      <c r="K152" s="2"/>
      <c r="L152" s="2" t="str">
        <f>IFERROR(__xludf.DUMMYFUNCTION("""COMPUTED_VALUE"""),"A07190825
A05140426")</f>
        <v>A07190825
A05140426</v>
      </c>
      <c r="M152" s="2" t="str">
        <f>IFERROR(__xludf.DUMMYFUNCTION("""COMPUTED_VALUE"""),"VÔ GẠO NAUY")</f>
        <v>VÔ GẠO NAUY</v>
      </c>
      <c r="N152" s="2" t="str">
        <f>IFERROR(__xludf.DUMMYFUNCTION("""COMPUTED_VALUE"""),"04VG0039V1")</f>
        <v>04VG0039V1</v>
      </c>
      <c r="O152" s="2" t="str">
        <f>IFERROR(__xludf.DUMMYFUNCTION("""COMPUTED_VALUE"""),"Phân bón Hỗn hợp NPK AGAMA-SRH")</f>
        <v>Phân bón Hỗn hợp NPK AGAMA-SRH</v>
      </c>
      <c r="P152" s="2" t="str">
        <f>IFERROR(__xludf.DUMMYFUNCTION("""COMPUTED_VALUE"""),"#N/A")</f>
        <v>#N/A</v>
      </c>
      <c r="Q152" s="30" t="str">
        <f>IFERROR(__xludf.DUMMYFUNCTION("""COMPUTED_VALUE"""),"KHÔNG KHỚP")</f>
        <v>KHÔNG KHỚP</v>
      </c>
      <c r="R152" s="2"/>
      <c r="S152" s="2"/>
      <c r="T152" s="2"/>
      <c r="U152" s="2"/>
      <c r="V152" s="2"/>
      <c r="W152" s="2"/>
      <c r="X152" s="2"/>
      <c r="Y152" s="2"/>
    </row>
    <row r="153">
      <c r="A153" s="30">
        <f>IFERROR(__xludf.DUMMYFUNCTION("""COMPUTED_VALUE"""),150.0)</f>
        <v>150</v>
      </c>
      <c r="B153" s="39">
        <f>IFERROR(__xludf.DUMMYFUNCTION("""COMPUTED_VALUE"""),45908.0)</f>
        <v>45908</v>
      </c>
      <c r="C153" s="30">
        <f>IFERROR(__xludf.DUMMYFUNCTION("""COMPUTED_VALUE"""),1.0)</f>
        <v>1</v>
      </c>
      <c r="D153" s="30" t="str">
        <f>IFERROR(__xludf.DUMMYFUNCTION("""COMPUTED_VALUE"""),"CT MỚI")</f>
        <v>CT MỚI</v>
      </c>
      <c r="E153" s="30"/>
      <c r="F153" s="2"/>
      <c r="G153" s="2" t="str">
        <f>IFERROR(__xludf.DUMMYFUNCTION("""COMPUTED_VALUE"""),"HH4213")</f>
        <v>HH4213</v>
      </c>
      <c r="H153" s="2" t="str">
        <f>IFERROR(__xludf.DUMMYFUNCTION("""COMPUTED_VALUE"""),"GC ABA - CTY NAUY - Hỗn Hợp NP AGAMA-AP - GALAXY - 500ml - 40")</f>
        <v>GC ABA - CTY NAUY - Hỗn Hợp NP AGAMA-AP - GALAXY - 500ml - 40</v>
      </c>
      <c r="I153" s="2" t="str">
        <f>IFERROR(__xludf.DUMMYFUNCTION("""COMPUTED_VALUE"""),"#N/A")</f>
        <v>#N/A</v>
      </c>
      <c r="J153" s="2"/>
      <c r="K153" s="2"/>
      <c r="L153" s="2" t="str">
        <f>IFERROR(__xludf.DUMMYFUNCTION("""COMPUTED_VALUE"""),"A20280225")</f>
        <v>A20280225</v>
      </c>
      <c r="M153" s="2" t="str">
        <f>IFERROR(__xludf.DUMMYFUNCTION("""COMPUTED_VALUE"""),"BETA VUA RỄ")</f>
        <v>BETA VUA RỄ</v>
      </c>
      <c r="N153" s="2" t="str">
        <f>IFERROR(__xludf.DUMMYFUNCTION("""COMPUTED_VALUE"""),"01RR0050")</f>
        <v>01RR0050</v>
      </c>
      <c r="O153" s="2" t="str">
        <f>IFERROR(__xludf.DUMMYFUNCTION("""COMPUTED_VALUE"""),"Phân bón Hỗn hợp NP AGAMA-AP")</f>
        <v>Phân bón Hỗn hợp NP AGAMA-AP</v>
      </c>
      <c r="P153" s="2" t="str">
        <f>IFERROR(__xludf.DUMMYFUNCTION("""COMPUTED_VALUE"""),"#N/A")</f>
        <v>#N/A</v>
      </c>
      <c r="Q153" s="30" t="str">
        <f>IFERROR(__xludf.DUMMYFUNCTION("""COMPUTED_VALUE"""),"KHÔNG KHỚP")</f>
        <v>KHÔNG KHỚP</v>
      </c>
      <c r="R153" s="2"/>
      <c r="S153" s="2"/>
      <c r="T153" s="2"/>
      <c r="U153" s="2"/>
      <c r="V153" s="2"/>
      <c r="W153" s="2"/>
      <c r="X153" s="2"/>
      <c r="Y153" s="2"/>
    </row>
    <row r="154">
      <c r="A154" s="30">
        <f>IFERROR(__xludf.DUMMYFUNCTION("""COMPUTED_VALUE"""),151.0)</f>
        <v>151</v>
      </c>
      <c r="B154" s="39">
        <f>IFERROR(__xludf.DUMMYFUNCTION("""COMPUTED_VALUE"""),45905.0)</f>
        <v>45905</v>
      </c>
      <c r="C154" s="30">
        <f>IFERROR(__xludf.DUMMYFUNCTION("""COMPUTED_VALUE"""),1.0)</f>
        <v>1</v>
      </c>
      <c r="D154" s="30" t="str">
        <f>IFERROR(__xludf.DUMMYFUNCTION("""COMPUTED_VALUE"""),"CT MỚI")</f>
        <v>CT MỚI</v>
      </c>
      <c r="E154" s="30"/>
      <c r="F154" s="2"/>
      <c r="G154" s="2" t="str">
        <f>IFERROR(__xludf.DUMMYFUNCTION("""COMPUTED_VALUE"""),"HH3035")</f>
        <v>HH3035</v>
      </c>
      <c r="H154" s="2" t="str">
        <f>IFERROR(__xludf.DUMMYFUNCTION("""COMPUTED_VALUE"""),"GC - IV - 3035 - CTY HIỆP PHÁT ABC - DRAW FLOWER (Dạng tinh thể màu trắng) - 1kg - 20")</f>
        <v>GC - IV - 3035 - CTY HIỆP PHÁT ABC - DRAW FLOWER (Dạng tinh thể màu trắng) - 1kg - 20</v>
      </c>
      <c r="I154" s="2" t="str">
        <f>IFERROR(__xludf.DUMMYFUNCTION("""COMPUTED_VALUE"""),"#N/A")</f>
        <v>#N/A</v>
      </c>
      <c r="J154" s="2"/>
      <c r="K154" s="2"/>
      <c r="L154" s="2" t="str">
        <f>IFERROR(__xludf.DUMMYFUNCTION("""COMPUTED_VALUE"""),"A06200824")</f>
        <v>A06200824</v>
      </c>
      <c r="M154" s="2" t="str">
        <f>IFERROR(__xludf.DUMMYFUNCTION("""COMPUTED_VALUE"""),"SIÊU TẠO MẦM")</f>
        <v>SIÊU TẠO MẦM</v>
      </c>
      <c r="N154" s="2" t="str">
        <f>IFERROR(__xludf.DUMMYFUNCTION("""COMPUTED_VALUE"""),"08TM0016")</f>
        <v>08TM0016</v>
      </c>
      <c r="O154" s="2" t="str">
        <f>IFERROR(__xludf.DUMMYFUNCTION("""COMPUTED_VALUE"""),"Phân bón Vi lượng AGAMA-BATFUNG")</f>
        <v>Phân bón Vi lượng AGAMA-BATFUNG</v>
      </c>
      <c r="P154" s="2" t="str">
        <f>IFERROR(__xludf.DUMMYFUNCTION("""COMPUTED_VALUE"""),"#N/A")</f>
        <v>#N/A</v>
      </c>
      <c r="Q154" s="30" t="str">
        <f>IFERROR(__xludf.DUMMYFUNCTION("""COMPUTED_VALUE"""),"KHÔNG KHỚP")</f>
        <v>KHÔNG KHỚP</v>
      </c>
      <c r="R154" s="2"/>
      <c r="S154" s="2"/>
      <c r="T154" s="2"/>
      <c r="U154" s="2"/>
      <c r="V154" s="2"/>
      <c r="W154" s="2"/>
      <c r="X154" s="2"/>
      <c r="Y154" s="2"/>
    </row>
    <row r="155">
      <c r="A155" s="30">
        <f>IFERROR(__xludf.DUMMYFUNCTION("""COMPUTED_VALUE"""),152.0)</f>
        <v>152</v>
      </c>
      <c r="B155" s="39">
        <f>IFERROR(__xludf.DUMMYFUNCTION("""COMPUTED_VALUE"""),45905.0)</f>
        <v>45905</v>
      </c>
      <c r="C155" s="30">
        <f>IFERROR(__xludf.DUMMYFUNCTION("""COMPUTED_VALUE"""),2.0)</f>
        <v>2</v>
      </c>
      <c r="D155" s="30" t="str">
        <f>IFERROR(__xludf.DUMMYFUNCTION("""COMPUTED_VALUE"""),"CT CŨ")</f>
        <v>CT CŨ</v>
      </c>
      <c r="E155" s="30"/>
      <c r="F155" s="2"/>
      <c r="G155" s="2" t="str">
        <f>IFERROR(__xludf.DUMMYFUNCTION("""COMPUTED_VALUE"""),"HH4183")</f>
        <v>HH4183</v>
      </c>
      <c r="H155" s="2" t="str">
        <f>IFERROR(__xludf.DUMMYFUNCTION("""COMPUTED_VALUE"""),"GC - IV - 4183 - Cty Hương Nông - HN-pH++ (Nước nâu đen) - 5L - 4")</f>
        <v>GC - IV - 4183 - Cty Hương Nông - HN-pH++ (Nước nâu đen) - 5L - 4</v>
      </c>
      <c r="I155" s="2" t="str">
        <f>IFERROR(__xludf.DUMMYFUNCTION("""COMPUTED_VALUE"""),"#N/A")</f>
        <v>#N/A</v>
      </c>
      <c r="J155" s="2"/>
      <c r="K155" s="2"/>
      <c r="L155" s="2"/>
      <c r="M155" s="2" t="str">
        <f>IFERROR(__xludf.DUMMYFUNCTION("""COMPUTED_VALUE"""),"HN-pH++")</f>
        <v>HN-pH++</v>
      </c>
      <c r="N155" s="2" t="str">
        <f>IFERROR(__xludf.DUMMYFUNCTION("""COMPUTED_VALUE"""),"01RR0014V4")</f>
        <v>01RR0014V4</v>
      </c>
      <c r="O155" s="2" t="str">
        <f>IFERROR(__xludf.DUMMYFUNCTION("""COMPUTED_VALUE"""),"Phân bón Hữu cơ SH Agro Organic Fertilizer 20")</f>
        <v>Phân bón Hữu cơ SH Agro Organic Fertilizer 20</v>
      </c>
      <c r="P155" s="2" t="str">
        <f>IFERROR(__xludf.DUMMYFUNCTION("""COMPUTED_VALUE"""),"#N/A")</f>
        <v>#N/A</v>
      </c>
      <c r="Q155" s="30" t="str">
        <f>IFERROR(__xludf.DUMMYFUNCTION("""COMPUTED_VALUE"""),"KHÔNG KHỚP")</f>
        <v>KHÔNG KHỚP</v>
      </c>
      <c r="R155" s="2"/>
      <c r="S155" s="2"/>
      <c r="T155" s="2"/>
      <c r="U155" s="2"/>
      <c r="V155" s="2"/>
      <c r="W155" s="2"/>
      <c r="X155" s="2"/>
      <c r="Y155" s="2"/>
    </row>
    <row r="156">
      <c r="A156" s="30">
        <f>IFERROR(__xludf.DUMMYFUNCTION("""COMPUTED_VALUE"""),153.0)</f>
        <v>153</v>
      </c>
      <c r="B156" s="39">
        <f>IFERROR(__xludf.DUMMYFUNCTION("""COMPUTED_VALUE"""),45892.0)</f>
        <v>45892</v>
      </c>
      <c r="C156" s="30">
        <f>IFERROR(__xludf.DUMMYFUNCTION("""COMPUTED_VALUE"""),1.0)</f>
        <v>1</v>
      </c>
      <c r="D156" s="30" t="str">
        <f>IFERROR(__xludf.DUMMYFUNCTION("""COMPUTED_VALUE"""),"CT MỚI")</f>
        <v>CT MỚI</v>
      </c>
      <c r="E156" s="30"/>
      <c r="F156" s="2"/>
      <c r="G156" s="2" t="str">
        <f>IFERROR(__xludf.DUMMYFUNCTION("""COMPUTED_VALUE"""),"HH4217")</f>
        <v>HH4217</v>
      </c>
      <c r="H156" s="2" t="str">
        <f>IFERROR(__xludf.DUMMYFUNCTION("""COMPUTED_VALUE"""),"GC - IV - 4217 - HƯƠNG NÔNG - HN Stop (Gel nâu đen) - 1L - 20")</f>
        <v>GC - IV - 4217 - HƯƠNG NÔNG - HN Stop (Gel nâu đen) - 1L - 20</v>
      </c>
      <c r="I156" s="2" t="str">
        <f>IFERROR(__xludf.DUMMYFUNCTION("""COMPUTED_VALUE"""),"#N/A")</f>
        <v>#N/A</v>
      </c>
      <c r="J156" s="2"/>
      <c r="K156" s="2"/>
      <c r="L156" s="2" t="str">
        <f>IFERROR(__xludf.DUMMYFUNCTION("""COMPUTED_VALUE"""),"CHẶN ĐỌT DÒNG V3")</f>
        <v>CHẶN ĐỌT DÒNG V3</v>
      </c>
      <c r="M156" s="2" t="str">
        <f>IFERROR(__xludf.DUMMYFUNCTION("""COMPUTED_VALUE"""),"KODO STOP
SIÊU CHẶN ĐỌT
STOP 25
UNI STOP
UNI STOP 25")</f>
        <v>KODO STOP
SIÊU CHẶN ĐỌT
STOP 25
UNI STOP
UNI STOP 25</v>
      </c>
      <c r="N156" s="2" t="str">
        <f>IFERROR(__xludf.DUMMYFUNCTION("""COMPUTED_VALUE"""),"06CD0007")</f>
        <v>06CD0007</v>
      </c>
      <c r="O156" s="2" t="str">
        <f>IFERROR(__xludf.DUMMYFUNCTION("""COMPUTED_VALUE"""),"Phân bón Vi lượng Quantity New")</f>
        <v>Phân bón Vi lượng Quantity New</v>
      </c>
      <c r="P156" s="2" t="str">
        <f>IFERROR(__xludf.DUMMYFUNCTION("""COMPUTED_VALUE"""),"#N/A")</f>
        <v>#N/A</v>
      </c>
      <c r="Q156" s="30" t="str">
        <f>IFERROR(__xludf.DUMMYFUNCTION("""COMPUTED_VALUE"""),"KHÔNG KHỚP")</f>
        <v>KHÔNG KHỚP</v>
      </c>
      <c r="R156" s="2"/>
      <c r="S156" s="2"/>
      <c r="T156" s="2"/>
      <c r="U156" s="2"/>
      <c r="V156" s="2"/>
      <c r="W156" s="2"/>
      <c r="X156" s="2"/>
      <c r="Y156" s="2"/>
    </row>
    <row r="157">
      <c r="A157" s="30">
        <f>IFERROR(__xludf.DUMMYFUNCTION("""COMPUTED_VALUE"""),154.0)</f>
        <v>154</v>
      </c>
      <c r="B157" s="39">
        <f>IFERROR(__xludf.DUMMYFUNCTION("""COMPUTED_VALUE"""),45944.0)</f>
        <v>45944</v>
      </c>
      <c r="C157" s="30">
        <f>IFERROR(__xludf.DUMMYFUNCTION("""COMPUTED_VALUE"""),1.0)</f>
        <v>1</v>
      </c>
      <c r="D157" s="30" t="str">
        <f>IFERROR(__xludf.DUMMYFUNCTION("""COMPUTED_VALUE"""),"CT MỚI")</f>
        <v>CT MỚI</v>
      </c>
      <c r="E157" s="30"/>
      <c r="F157" s="2"/>
      <c r="G157" s="2" t="str">
        <f>IFERROR(__xludf.DUMMYFUNCTION("""COMPUTED_VALUE"""),"HH4211")</f>
        <v>HH4211</v>
      </c>
      <c r="H157" s="2" t="str">
        <f>IFERROR(__xludf.DUMMYFUNCTION("""COMPUTED_VALUE"""),"GC - IV - 4211 - Cty Capy Global - TOP SPROUT (nước nâu đen) - 500ml - 40")</f>
        <v>GC - IV - 4211 - Cty Capy Global - TOP SPROUT (nước nâu đen) - 500ml - 40</v>
      </c>
      <c r="I157" s="39" t="str">
        <f>IFERROR(__xludf.DUMMYFUNCTION("""COMPUTED_VALUE"""),"Vi lượng Run Fast")</f>
        <v>Vi lượng Run Fast</v>
      </c>
      <c r="J157" s="2"/>
      <c r="K157" s="2"/>
      <c r="L157" s="2"/>
      <c r="M157" s="2" t="str">
        <f>IFERROR(__xludf.DUMMYFUNCTION("""COMPUTED_VALUE"""),"TOP SPROUT")</f>
        <v>TOP SPROUT</v>
      </c>
      <c r="N157" s="2" t="str">
        <f>IFERROR(__xludf.DUMMYFUNCTION("""COMPUTED_VALUE"""),"08TM0004V1")</f>
        <v>08TM0004V1</v>
      </c>
      <c r="O157" s="2" t="str">
        <f>IFERROR(__xludf.DUMMYFUNCTION("""COMPUTED_VALUE"""),"Phân bón Vi lượng Run Fast")</f>
        <v>Phân bón Vi lượng Run Fast</v>
      </c>
      <c r="P157" s="2" t="str">
        <f>IFERROR(__xludf.DUMMYFUNCTION("""COMPUTED_VALUE"""),"Phân bón Vi lượng Run Fast")</f>
        <v>Phân bón Vi lượng Run Fast</v>
      </c>
      <c r="Q157" s="30" t="str">
        <f>IFERROR(__xludf.DUMMYFUNCTION("""COMPUTED_VALUE"""),"KHỚP")</f>
        <v>KHỚP</v>
      </c>
      <c r="R157" s="2"/>
      <c r="S157" s="2"/>
      <c r="T157" s="2"/>
      <c r="U157" s="2"/>
      <c r="V157" s="2"/>
      <c r="W157" s="2"/>
      <c r="X157" s="2"/>
      <c r="Y157" s="2"/>
    </row>
    <row r="158">
      <c r="A158" s="30">
        <f>IFERROR(__xludf.DUMMYFUNCTION("""COMPUTED_VALUE"""),155.0)</f>
        <v>155</v>
      </c>
      <c r="B158" s="39" t="str">
        <f>IFERROR(__xludf.DUMMYFUNCTION("""COMPUTED_VALUE"""),"")</f>
        <v/>
      </c>
      <c r="C158" s="30">
        <f>IFERROR(__xludf.DUMMYFUNCTION("""COMPUTED_VALUE"""),1.0)</f>
        <v>1</v>
      </c>
      <c r="D158" s="30" t="str">
        <f>IFERROR(__xludf.DUMMYFUNCTION("""COMPUTED_VALUE"""),"CT MỚI")</f>
        <v>CT MỚI</v>
      </c>
      <c r="E158" s="30"/>
      <c r="F158" s="2"/>
      <c r="G158" s="2" t="str">
        <f>IFERROR(__xludf.DUMMYFUNCTION("""COMPUTED_VALUE"""),"HH4198")</f>
        <v>HH4198</v>
      </c>
      <c r="H158" s="2" t="str">
        <f>IFERROR(__xludf.DUMMYFUNCTION("""COMPUTED_VALUE"""),"GC - IV - 4198 - CTY NAUY - CỨNG CÂY NAUY (Nước nâu đen) - 500ml - 40")</f>
        <v>GC - IV - 4198 - CTY NAUY - CỨNG CÂY NAUY (Nước nâu đen) - 500ml - 40</v>
      </c>
      <c r="I158" s="2" t="str">
        <f>IFERROR(__xludf.DUMMYFUNCTION("""COMPUTED_VALUE"""),"#N/A")</f>
        <v>#N/A</v>
      </c>
      <c r="J158" s="2"/>
      <c r="K158" s="2"/>
      <c r="L158" s="2" t="str">
        <f>IFERROR(__xludf.DUMMYFUNCTION("""COMPUTED_VALUE"""),"")</f>
        <v/>
      </c>
      <c r="M158" s="2" t="str">
        <f>IFERROR(__xludf.DUMMYFUNCTION("""COMPUTED_VALUE"""),"")</f>
        <v/>
      </c>
      <c r="N158" s="2" t="str">
        <f>IFERROR(__xludf.DUMMYFUNCTION("""COMPUTED_VALUE"""),"Huỷ đơn")</f>
        <v>Huỷ đơn</v>
      </c>
      <c r="O158" s="2" t="str">
        <f>IFERROR(__xludf.DUMMYFUNCTION("""COMPUTED_VALUE"""),"")</f>
        <v/>
      </c>
      <c r="P158" s="2" t="str">
        <f>IFERROR(__xludf.DUMMYFUNCTION("""COMPUTED_VALUE"""),"#N/A")</f>
        <v>#N/A</v>
      </c>
      <c r="Q158" s="30" t="str">
        <f>IFERROR(__xludf.DUMMYFUNCTION("""COMPUTED_VALUE"""),"KHÔNG KHỚP")</f>
        <v>KHÔNG KHỚP</v>
      </c>
      <c r="R158" s="2"/>
      <c r="S158" s="2"/>
      <c r="T158" s="2"/>
      <c r="U158" s="2"/>
      <c r="V158" s="2"/>
      <c r="W158" s="2"/>
      <c r="X158" s="2"/>
      <c r="Y158" s="2"/>
    </row>
    <row r="159">
      <c r="A159" s="30">
        <f>IFERROR(__xludf.DUMMYFUNCTION("""COMPUTED_VALUE"""),156.0)</f>
        <v>156</v>
      </c>
      <c r="B159" s="39">
        <f>IFERROR(__xludf.DUMMYFUNCTION("""COMPUTED_VALUE"""),45938.0)</f>
        <v>45938</v>
      </c>
      <c r="C159" s="30">
        <f>IFERROR(__xludf.DUMMYFUNCTION("""COMPUTED_VALUE"""),1.0)</f>
        <v>1</v>
      </c>
      <c r="D159" s="30" t="str">
        <f>IFERROR(__xludf.DUMMYFUNCTION("""COMPUTED_VALUE"""),"CT MỚI")</f>
        <v>CT MỚI</v>
      </c>
      <c r="E159" s="30"/>
      <c r="F159" s="2"/>
      <c r="G159" s="2" t="str">
        <f>IFERROR(__xludf.DUMMYFUNCTION("""COMPUTED_VALUE"""),"HH3666")</f>
        <v>HH3666</v>
      </c>
      <c r="H159" s="2" t="str">
        <f>IFERROR(__xludf.DUMMYFUNCTION("""COMPUTED_VALUE"""),"GC - IV - 3666 - CTY DONA VINA - TẠO MẦM FLOWER (Nước nâu đen) - 1L - 20")</f>
        <v>GC - IV - 3666 - CTY DONA VINA - TẠO MẦM FLOWER (Nước nâu đen) - 1L - 20</v>
      </c>
      <c r="I159" s="2" t="str">
        <f>IFERROR(__xludf.DUMMYFUNCTION("""COMPUTED_VALUE"""),"#N/A")</f>
        <v>#N/A</v>
      </c>
      <c r="J159" s="2"/>
      <c r="K159" s="2"/>
      <c r="L159" s="2"/>
      <c r="M159" s="2" t="str">
        <f>IFERROR(__xludf.DUMMYFUNCTION("""COMPUTED_VALUE"""),"SIÊU TẠO MẦM
TẠO MẦM")</f>
        <v>SIÊU TẠO MẦM
TẠO MẦM</v>
      </c>
      <c r="N159" s="2" t="str">
        <f>IFERROR(__xludf.DUMMYFUNCTION("""COMPUTED_VALUE"""),"08TM0007V1")</f>
        <v>08TM0007V1</v>
      </c>
      <c r="O159" s="2" t="str">
        <f>IFERROR(__xludf.DUMMYFUNCTION("""COMPUTED_VALUE"""),"Phân bón Vi lượng Quantity New")</f>
        <v>Phân bón Vi lượng Quantity New</v>
      </c>
      <c r="P159" s="2" t="str">
        <f>IFERROR(__xludf.DUMMYFUNCTION("""COMPUTED_VALUE"""),"#N/A")</f>
        <v>#N/A</v>
      </c>
      <c r="Q159" s="30" t="str">
        <f>IFERROR(__xludf.DUMMYFUNCTION("""COMPUTED_VALUE"""),"KHÔNG KHỚP")</f>
        <v>KHÔNG KHỚP</v>
      </c>
      <c r="R159" s="2"/>
      <c r="S159" s="2"/>
      <c r="T159" s="2"/>
      <c r="U159" s="2"/>
      <c r="V159" s="2"/>
      <c r="W159" s="2"/>
      <c r="X159" s="2"/>
      <c r="Y159" s="2"/>
    </row>
    <row r="160">
      <c r="A160" s="30">
        <f>IFERROR(__xludf.DUMMYFUNCTION("""COMPUTED_VALUE"""),157.0)</f>
        <v>157</v>
      </c>
      <c r="B160" s="39">
        <f>IFERROR(__xludf.DUMMYFUNCTION("""COMPUTED_VALUE"""),45889.0)</f>
        <v>45889</v>
      </c>
      <c r="C160" s="30">
        <f>IFERROR(__xludf.DUMMYFUNCTION("""COMPUTED_VALUE"""),2.0)</f>
        <v>2</v>
      </c>
      <c r="D160" s="30" t="str">
        <f>IFERROR(__xludf.DUMMYFUNCTION("""COMPUTED_VALUE"""),"CT CŨ")</f>
        <v>CT CŨ</v>
      </c>
      <c r="E160" s="30"/>
      <c r="F160" s="2"/>
      <c r="G160" s="2" t="str">
        <f>IFERROR(__xludf.DUMMYFUNCTION("""COMPUTED_VALUE"""),"HH3962")</f>
        <v>HH3962</v>
      </c>
      <c r="H160" s="2" t="str">
        <f>IFERROR(__xludf.DUMMYFUNCTION("""COMPUTED_VALUE"""),"GC - IV - 3962 - THÀNH CÔNG AGRI - MT STOP (Nước nâu đen) - 1L - 20")</f>
        <v>GC - IV - 3962 - THÀNH CÔNG AGRI - MT STOP (Nước nâu đen) - 1L - 20</v>
      </c>
      <c r="I160" s="2" t="str">
        <f>IFERROR(__xludf.DUMMYFUNCTION("""COMPUTED_VALUE"""),"#N/A")</f>
        <v>#N/A</v>
      </c>
      <c r="J160" s="2"/>
      <c r="K160" s="2"/>
      <c r="L160" s="2" t="str">
        <f>IFERROR(__xludf.DUMMYFUNCTION("""COMPUTED_VALUE"""),"CHẶN ĐỌT DÒNG V2")</f>
        <v>CHẶN ĐỌT DÒNG V2</v>
      </c>
      <c r="M160" s="2" t="str">
        <f>IFERROR(__xludf.DUMMYFUNCTION("""COMPUTED_VALUE"""),"STOP UP
MT STOP
AGRI STOP
STOP ĐỌT
SIÊU CHẶN ĐỌT
MASTER STOP
UNI STOP ONE
BAMBOO DOUBLE STOP")</f>
        <v>STOP UP
MT STOP
AGRI STOP
STOP ĐỌT
SIÊU CHẶN ĐỌT
MASTER STOP
UNI STOP ONE
BAMBOO DOUBLE STOP</v>
      </c>
      <c r="N160" s="2" t="str">
        <f>IFERROR(__xludf.DUMMYFUNCTION("""COMPUTED_VALUE"""),"06CD0009V1")</f>
        <v>06CD0009V1</v>
      </c>
      <c r="O160" s="2" t="str">
        <f>IFERROR(__xludf.DUMMYFUNCTION("""COMPUTED_VALUE"""),"Phân bón Vi lượng Quantity New")</f>
        <v>Phân bón Vi lượng Quantity New</v>
      </c>
      <c r="P160" s="2" t="str">
        <f>IFERROR(__xludf.DUMMYFUNCTION("""COMPUTED_VALUE"""),"#N/A")</f>
        <v>#N/A</v>
      </c>
      <c r="Q160" s="30" t="str">
        <f>IFERROR(__xludf.DUMMYFUNCTION("""COMPUTED_VALUE"""),"KHÔNG KHỚP")</f>
        <v>KHÔNG KHỚP</v>
      </c>
      <c r="R160" s="2"/>
      <c r="S160" s="2"/>
      <c r="T160" s="2"/>
      <c r="U160" s="2"/>
      <c r="V160" s="2"/>
      <c r="W160" s="2"/>
      <c r="X160" s="2"/>
      <c r="Y160" s="2"/>
    </row>
    <row r="161">
      <c r="A161" s="30">
        <f>IFERROR(__xludf.DUMMYFUNCTION("""COMPUTED_VALUE"""),158.0)</f>
        <v>158</v>
      </c>
      <c r="B161" s="39">
        <f>IFERROR(__xludf.DUMMYFUNCTION("""COMPUTED_VALUE"""),45889.0)</f>
        <v>45889</v>
      </c>
      <c r="C161" s="30">
        <f>IFERROR(__xludf.DUMMYFUNCTION("""COMPUTED_VALUE"""),1.0)</f>
        <v>1</v>
      </c>
      <c r="D161" s="30" t="str">
        <f>IFERROR(__xludf.DUMMYFUNCTION("""COMPUTED_VALUE"""),"CT MỚI")</f>
        <v>CT MỚI</v>
      </c>
      <c r="E161" s="30"/>
      <c r="F161" s="2"/>
      <c r="G161" s="2" t="str">
        <f>IFERROR(__xludf.DUMMYFUNCTION("""COMPUTED_VALUE"""),"HH4221")</f>
        <v>HH4221</v>
      </c>
      <c r="H161" s="2" t="str">
        <f>IFERROR(__xludf.DUMMYFUNCTION("""COMPUTED_VALUE"""),"GC - IV - 4221 - CTY DONA VINA - STOP ONE (Nước nâu đen) - 1L - 20")</f>
        <v>GC - IV - 4221 - CTY DONA VINA - STOP ONE (Nước nâu đen) - 1L - 20</v>
      </c>
      <c r="I161" s="2" t="str">
        <f>IFERROR(__xludf.DUMMYFUNCTION("""COMPUTED_VALUE"""),"#N/A")</f>
        <v>#N/A</v>
      </c>
      <c r="J161" s="2"/>
      <c r="K161" s="2"/>
      <c r="L161" s="2" t="str">
        <f>IFERROR(__xludf.DUMMYFUNCTION("""COMPUTED_VALUE"""),"CHẶN ĐỌT DÒNG V2")</f>
        <v>CHẶN ĐỌT DÒNG V2</v>
      </c>
      <c r="M161" s="2" t="str">
        <f>IFERROR(__xludf.DUMMYFUNCTION("""COMPUTED_VALUE"""),"STOP UP
MT STOP
AGRI STOP
STOP ĐỌT
SIÊU CHẶN ĐỌT
MASTER STOP
UNI STOP ONE
BAMBOO DOUBLE STOP")</f>
        <v>STOP UP
MT STOP
AGRI STOP
STOP ĐỌT
SIÊU CHẶN ĐỌT
MASTER STOP
UNI STOP ONE
BAMBOO DOUBLE STOP</v>
      </c>
      <c r="N161" s="2" t="str">
        <f>IFERROR(__xludf.DUMMYFUNCTION("""COMPUTED_VALUE"""),"06CD0009V1")</f>
        <v>06CD0009V1</v>
      </c>
      <c r="O161" s="2" t="str">
        <f>IFERROR(__xludf.DUMMYFUNCTION("""COMPUTED_VALUE"""),"Phân bón Vi lượng Quantity New")</f>
        <v>Phân bón Vi lượng Quantity New</v>
      </c>
      <c r="P161" s="2" t="str">
        <f>IFERROR(__xludf.DUMMYFUNCTION("""COMPUTED_VALUE"""),"#N/A")</f>
        <v>#N/A</v>
      </c>
      <c r="Q161" s="30" t="str">
        <f>IFERROR(__xludf.DUMMYFUNCTION("""COMPUTED_VALUE"""),"KHÔNG KHỚP")</f>
        <v>KHÔNG KHỚP</v>
      </c>
      <c r="R161" s="2"/>
      <c r="S161" s="2"/>
      <c r="T161" s="2"/>
      <c r="U161" s="2"/>
      <c r="V161" s="2"/>
      <c r="W161" s="2"/>
      <c r="X161" s="2"/>
      <c r="Y161" s="2"/>
    </row>
    <row r="162">
      <c r="A162" s="30">
        <f>IFERROR(__xludf.DUMMYFUNCTION("""COMPUTED_VALUE"""),159.0)</f>
        <v>159</v>
      </c>
      <c r="B162" s="39">
        <f>IFERROR(__xludf.DUMMYFUNCTION("""COMPUTED_VALUE"""),45889.0)</f>
        <v>45889</v>
      </c>
      <c r="C162" s="30">
        <f>IFERROR(__xludf.DUMMYFUNCTION("""COMPUTED_VALUE"""),1.0)</f>
        <v>1</v>
      </c>
      <c r="D162" s="30" t="str">
        <f>IFERROR(__xludf.DUMMYFUNCTION("""COMPUTED_VALUE"""),"CT MỚI")</f>
        <v>CT MỚI</v>
      </c>
      <c r="E162" s="30"/>
      <c r="F162" s="2"/>
      <c r="G162" s="2" t="str">
        <f>IFERROR(__xludf.DUMMYFUNCTION("""COMPUTED_VALUE"""),"HH4223")</f>
        <v>HH4223</v>
      </c>
      <c r="H162" s="2" t="str">
        <f>IFERROR(__xludf.DUMMYFUNCTION("""COMPUTED_VALUE"""),"GC - IV - 4223 - THÀNH CÔNG AGRI - MT STOP (Nước nâu đen) - 1L - 20")</f>
        <v>GC - IV - 4223 - THÀNH CÔNG AGRI - MT STOP (Nước nâu đen) - 1L - 20</v>
      </c>
      <c r="I162" s="2" t="str">
        <f>IFERROR(__xludf.DUMMYFUNCTION("""COMPUTED_VALUE"""),"#N/A")</f>
        <v>#N/A</v>
      </c>
      <c r="J162" s="2"/>
      <c r="K162" s="2"/>
      <c r="L162" s="2" t="str">
        <f>IFERROR(__xludf.DUMMYFUNCTION("""COMPUTED_VALUE"""),"CHẶN ĐỌT DÒNG V2")</f>
        <v>CHẶN ĐỌT DÒNG V2</v>
      </c>
      <c r="M162" s="2" t="str">
        <f>IFERROR(__xludf.DUMMYFUNCTION("""COMPUTED_VALUE"""),"STOP UP
MT STOP
AGRI STOP
STOP ĐỌT
SIÊU CHẶN ĐỌT
MASTER STOP
UNI STOP ONE
BAMBOO DOUBLE STOP")</f>
        <v>STOP UP
MT STOP
AGRI STOP
STOP ĐỌT
SIÊU CHẶN ĐỌT
MASTER STOP
UNI STOP ONE
BAMBOO DOUBLE STOP</v>
      </c>
      <c r="N162" s="2" t="str">
        <f>IFERROR(__xludf.DUMMYFUNCTION("""COMPUTED_VALUE"""),"06CD0009V1")</f>
        <v>06CD0009V1</v>
      </c>
      <c r="O162" s="2" t="str">
        <f>IFERROR(__xludf.DUMMYFUNCTION("""COMPUTED_VALUE"""),"Phân bón Vi lượng Quantity New")</f>
        <v>Phân bón Vi lượng Quantity New</v>
      </c>
      <c r="P162" s="2" t="str">
        <f>IFERROR(__xludf.DUMMYFUNCTION("""COMPUTED_VALUE"""),"#N/A")</f>
        <v>#N/A</v>
      </c>
      <c r="Q162" s="30" t="str">
        <f>IFERROR(__xludf.DUMMYFUNCTION("""COMPUTED_VALUE"""),"KHÔNG KHỚP")</f>
        <v>KHÔNG KHỚP</v>
      </c>
      <c r="R162" s="2"/>
      <c r="S162" s="2"/>
      <c r="T162" s="2"/>
      <c r="U162" s="2"/>
      <c r="V162" s="2"/>
      <c r="W162" s="2"/>
      <c r="X162" s="2"/>
      <c r="Y162" s="2"/>
    </row>
    <row r="163">
      <c r="A163" s="30">
        <f>IFERROR(__xludf.DUMMYFUNCTION("""COMPUTED_VALUE"""),160.0)</f>
        <v>160</v>
      </c>
      <c r="B163" s="39">
        <f>IFERROR(__xludf.DUMMYFUNCTION("""COMPUTED_VALUE"""),45925.0)</f>
        <v>45925</v>
      </c>
      <c r="C163" s="30">
        <f>IFERROR(__xludf.DUMMYFUNCTION("""COMPUTED_VALUE"""),1.0)</f>
        <v>1</v>
      </c>
      <c r="D163" s="30" t="str">
        <f>IFERROR(__xludf.DUMMYFUNCTION("""COMPUTED_VALUE"""),"CT MỚI")</f>
        <v>CT MỚI</v>
      </c>
      <c r="E163" s="30"/>
      <c r="F163" s="2"/>
      <c r="G163" s="2" t="str">
        <f>IFERROR(__xludf.DUMMYFUNCTION("""COMPUTED_VALUE"""),"HH4187")</f>
        <v>HH4187</v>
      </c>
      <c r="H163" s="2" t="str">
        <f>IFERROR(__xludf.DUMMYFUNCTION("""COMPUTED_VALUE"""),"GC - IX - 4187 - N2SBIO - N2 ULTRA LOCK (Dạng SC - Trắng sữa) - 500ml - 40")</f>
        <v>GC - IX - 4187 - N2SBIO - N2 ULTRA LOCK (Dạng SC - Trắng sữa) - 500ml - 40</v>
      </c>
      <c r="I163" s="39" t="str">
        <f>IFERROR(__xludf.DUMMYFUNCTION("""COMPUTED_VALUE"""),"Lá PK-Trung Lượng NBC-Photphonate")</f>
        <v>Lá PK-Trung Lượng NBC-Photphonate</v>
      </c>
      <c r="J163" s="2"/>
      <c r="K163" s="2"/>
      <c r="L163" s="2" t="str">
        <f>IFERROR(__xludf.DUMMYFUNCTION("""COMPUTED_VALUE"""),"N04290725")</f>
        <v>N04290725</v>
      </c>
      <c r="M163" s="2" t="str">
        <f>IFERROR(__xludf.DUMMYFUNCTION("""COMPUTED_VALUE"""),"N2 HYPER LOCK")</f>
        <v>N2 HYPER LOCK</v>
      </c>
      <c r="N163" s="2" t="str">
        <f>IFERROR(__xludf.DUMMYFUNCTION("""COMPUTED_VALUE"""),"06CD0016")</f>
        <v>06CD0016</v>
      </c>
      <c r="O163" s="2" t="str">
        <f>IFERROR(__xludf.DUMMYFUNCTION("""COMPUTED_VALUE"""),"Phân bón lá PK-Trung lượng NBC-PHOTPHONATE")</f>
        <v>Phân bón lá PK-Trung lượng NBC-PHOTPHONATE</v>
      </c>
      <c r="P163" s="2" t="str">
        <f>IFERROR(__xludf.DUMMYFUNCTION("""COMPUTED_VALUE"""),"Phân bón Lá PK-Trung Lượng NBC-Photphonate")</f>
        <v>Phân bón Lá PK-Trung Lượng NBC-Photphonate</v>
      </c>
      <c r="Q163" s="30" t="str">
        <f>IFERROR(__xludf.DUMMYFUNCTION("""COMPUTED_VALUE"""),"KHỚP")</f>
        <v>KHỚP</v>
      </c>
      <c r="R163" s="2"/>
      <c r="S163" s="2"/>
      <c r="T163" s="2"/>
      <c r="U163" s="2"/>
      <c r="V163" s="2"/>
      <c r="W163" s="2"/>
      <c r="X163" s="2"/>
      <c r="Y163" s="2"/>
    </row>
    <row r="164">
      <c r="A164" s="30">
        <f>IFERROR(__xludf.DUMMYFUNCTION("""COMPUTED_VALUE"""),161.0)</f>
        <v>161</v>
      </c>
      <c r="B164" s="39">
        <f>IFERROR(__xludf.DUMMYFUNCTION("""COMPUTED_VALUE"""),45892.0)</f>
        <v>45892</v>
      </c>
      <c r="C164" s="30">
        <f>IFERROR(__xludf.DUMMYFUNCTION("""COMPUTED_VALUE"""),1.0)</f>
        <v>1</v>
      </c>
      <c r="D164" s="30" t="str">
        <f>IFERROR(__xludf.DUMMYFUNCTION("""COMPUTED_VALUE"""),"CT MỚI")</f>
        <v>CT MỚI</v>
      </c>
      <c r="E164" s="30"/>
      <c r="F164" s="2"/>
      <c r="G164" s="2" t="str">
        <f>IFERROR(__xludf.DUMMYFUNCTION("""COMPUTED_VALUE"""),"HH4226")</f>
        <v>HH4226</v>
      </c>
      <c r="H164" s="2" t="str">
        <f>IFERROR(__xludf.DUMMYFUNCTION("""COMPUTED_VALUE"""),"#REF!")</f>
        <v>#REF!</v>
      </c>
      <c r="I164" s="2" t="str">
        <f>IFERROR(__xludf.DUMMYFUNCTION("""COMPUTED_VALUE"""),"#N/A")</f>
        <v>#N/A</v>
      </c>
      <c r="J164" s="2"/>
      <c r="K164" s="2"/>
      <c r="L164" s="2" t="str">
        <f>IFERROR(__xludf.DUMMYFUNCTION("""COMPUTED_VALUE"""),"CHẶN ĐỌT DÒNG V3")</f>
        <v>CHẶN ĐỌT DÒNG V3</v>
      </c>
      <c r="M164" s="2" t="str">
        <f>IFERROR(__xludf.DUMMYFUNCTION("""COMPUTED_VALUE"""),"KODO STOP
SIÊU CHẶN ĐỌT
STOP 25
UNI STOP
UNI STOP 25")</f>
        <v>KODO STOP
SIÊU CHẶN ĐỌT
STOP 25
UNI STOP
UNI STOP 25</v>
      </c>
      <c r="N164" s="2" t="str">
        <f>IFERROR(__xludf.DUMMYFUNCTION("""COMPUTED_VALUE"""),"06CD0007")</f>
        <v>06CD0007</v>
      </c>
      <c r="O164" s="2" t="str">
        <f>IFERROR(__xludf.DUMMYFUNCTION("""COMPUTED_VALUE"""),"Phân bón Vi lượng Quantity New")</f>
        <v>Phân bón Vi lượng Quantity New</v>
      </c>
      <c r="P164" s="2" t="str">
        <f>IFERROR(__xludf.DUMMYFUNCTION("""COMPUTED_VALUE"""),"#N/A")</f>
        <v>#N/A</v>
      </c>
      <c r="Q164" s="30" t="str">
        <f>IFERROR(__xludf.DUMMYFUNCTION("""COMPUTED_VALUE"""),"KHÔNG KHỚP")</f>
        <v>KHÔNG KHỚP</v>
      </c>
      <c r="R164" s="2"/>
      <c r="S164" s="2"/>
      <c r="T164" s="2"/>
      <c r="U164" s="2"/>
      <c r="V164" s="2"/>
      <c r="W164" s="2"/>
      <c r="X164" s="2"/>
      <c r="Y164" s="2"/>
    </row>
    <row r="165">
      <c r="A165" s="30">
        <f>IFERROR(__xludf.DUMMYFUNCTION("""COMPUTED_VALUE"""),162.0)</f>
        <v>162</v>
      </c>
      <c r="B165" s="39">
        <f>IFERROR(__xludf.DUMMYFUNCTION("""COMPUTED_VALUE"""),45889.0)</f>
        <v>45889</v>
      </c>
      <c r="C165" s="30">
        <f>IFERROR(__xludf.DUMMYFUNCTION("""COMPUTED_VALUE"""),2.0)</f>
        <v>2</v>
      </c>
      <c r="D165" s="30" t="str">
        <f>IFERROR(__xludf.DUMMYFUNCTION("""COMPUTED_VALUE"""),"CT CŨ")</f>
        <v>CT CŨ</v>
      </c>
      <c r="E165" s="30"/>
      <c r="F165" s="2"/>
      <c r="G165" s="2" t="str">
        <f>IFERROR(__xludf.DUMMYFUNCTION("""COMPUTED_VALUE"""),"HH4223")</f>
        <v>HH4223</v>
      </c>
      <c r="H165" s="2" t="str">
        <f>IFERROR(__xludf.DUMMYFUNCTION("""COMPUTED_VALUE"""),"GC - IV - 4223 - THÀNH CÔNG AGRI - MT STOP (Nước nâu đen) - 1L - 20")</f>
        <v>GC - IV - 4223 - THÀNH CÔNG AGRI - MT STOP (Nước nâu đen) - 1L - 20</v>
      </c>
      <c r="I165" s="2" t="str">
        <f>IFERROR(__xludf.DUMMYFUNCTION("""COMPUTED_VALUE"""),"#N/A")</f>
        <v>#N/A</v>
      </c>
      <c r="J165" s="2"/>
      <c r="K165" s="2"/>
      <c r="L165" s="2" t="str">
        <f>IFERROR(__xludf.DUMMYFUNCTION("""COMPUTED_VALUE"""),"CHẶN ĐỌT DÒNG V2")</f>
        <v>CHẶN ĐỌT DÒNG V2</v>
      </c>
      <c r="M165" s="2" t="str">
        <f>IFERROR(__xludf.DUMMYFUNCTION("""COMPUTED_VALUE"""),"STOP UP
MT STOP
AGRI STOP
STOP ĐỌT
SIÊU CHẶN ĐỌT
MASTER STOP
UNI STOP ONE
BAMBOO DOUBLE STOP")</f>
        <v>STOP UP
MT STOP
AGRI STOP
STOP ĐỌT
SIÊU CHẶN ĐỌT
MASTER STOP
UNI STOP ONE
BAMBOO DOUBLE STOP</v>
      </c>
      <c r="N165" s="2" t="str">
        <f>IFERROR(__xludf.DUMMYFUNCTION("""COMPUTED_VALUE"""),"06CD0009V1")</f>
        <v>06CD0009V1</v>
      </c>
      <c r="O165" s="2" t="str">
        <f>IFERROR(__xludf.DUMMYFUNCTION("""COMPUTED_VALUE"""),"Phân bón Vi lượng Quantity New")</f>
        <v>Phân bón Vi lượng Quantity New</v>
      </c>
      <c r="P165" s="2" t="str">
        <f>IFERROR(__xludf.DUMMYFUNCTION("""COMPUTED_VALUE"""),"#N/A")</f>
        <v>#N/A</v>
      </c>
      <c r="Q165" s="30" t="str">
        <f>IFERROR(__xludf.DUMMYFUNCTION("""COMPUTED_VALUE"""),"KHÔNG KHỚP")</f>
        <v>KHÔNG KHỚP</v>
      </c>
      <c r="R165" s="2"/>
      <c r="S165" s="2"/>
      <c r="T165" s="2"/>
      <c r="U165" s="2"/>
      <c r="V165" s="2"/>
      <c r="W165" s="2"/>
      <c r="X165" s="2"/>
      <c r="Y165" s="2"/>
    </row>
    <row r="166">
      <c r="A166" s="30">
        <f>IFERROR(__xludf.DUMMYFUNCTION("""COMPUTED_VALUE"""),163.0)</f>
        <v>163</v>
      </c>
      <c r="B166" s="39">
        <f>IFERROR(__xludf.DUMMYFUNCTION("""COMPUTED_VALUE"""),45938.0)</f>
        <v>45938</v>
      </c>
      <c r="C166" s="30">
        <f>IFERROR(__xludf.DUMMYFUNCTION("""COMPUTED_VALUE"""),1.0)</f>
        <v>1</v>
      </c>
      <c r="D166" s="30" t="str">
        <f>IFERROR(__xludf.DUMMYFUNCTION("""COMPUTED_VALUE"""),"CT MỚI")</f>
        <v>CT MỚI</v>
      </c>
      <c r="E166" s="30"/>
      <c r="F166" s="2"/>
      <c r="G166" s="2" t="str">
        <f>IFERROR(__xludf.DUMMYFUNCTION("""COMPUTED_VALUE"""),"HH4229")</f>
        <v>HH4229</v>
      </c>
      <c r="H166" s="2" t="str">
        <f>IFERROR(__xludf.DUMMYFUNCTION("""COMPUTED_VALUE"""),"GC - IV - 4229  - Cty GNH (A.Thời) - Ra Rễ Nở Bụi (nước nâu đen) - 500ml - 40")</f>
        <v>GC - IV - 4229  - Cty GNH (A.Thời) - Ra Rễ Nở Bụi (nước nâu đen) - 500ml - 40</v>
      </c>
      <c r="I166" s="2" t="str">
        <f>IFERROR(__xludf.DUMMYFUNCTION("""COMPUTED_VALUE"""),"#N/A")</f>
        <v>#N/A</v>
      </c>
      <c r="J166" s="2"/>
      <c r="K166" s="2"/>
      <c r="L166" s="2" t="str">
        <f>IFERROR(__xludf.DUMMYFUNCTION("""COMPUTED_VALUE"""),"A06270225")</f>
        <v>A06270225</v>
      </c>
      <c r="M166" s="2" t="str">
        <f>IFERROR(__xludf.DUMMYFUNCTION("""COMPUTED_VALUE"""),"RA RỄ NỞ BỤI")</f>
        <v>RA RỄ NỞ BỤI</v>
      </c>
      <c r="N166" s="2" t="str">
        <f>IFERROR(__xludf.DUMMYFUNCTION("""COMPUTED_VALUE"""),"01RR0049V1")</f>
        <v>01RR0049V1</v>
      </c>
      <c r="O166" s="2" t="str">
        <f>IFERROR(__xludf.DUMMYFUNCTION("""COMPUTED_VALUE"""),"Phân bón Vi lượng Quantity New")</f>
        <v>Phân bón Vi lượng Quantity New</v>
      </c>
      <c r="P166" s="2" t="str">
        <f>IFERROR(__xludf.DUMMYFUNCTION("""COMPUTED_VALUE"""),"#N/A")</f>
        <v>#N/A</v>
      </c>
      <c r="Q166" s="30" t="str">
        <f>IFERROR(__xludf.DUMMYFUNCTION("""COMPUTED_VALUE"""),"KHÔNG KHỚP")</f>
        <v>KHÔNG KHỚP</v>
      </c>
      <c r="R166" s="2"/>
      <c r="S166" s="2"/>
      <c r="T166" s="2"/>
      <c r="U166" s="2"/>
      <c r="V166" s="2"/>
      <c r="W166" s="2"/>
      <c r="X166" s="2"/>
      <c r="Y166" s="2"/>
    </row>
    <row r="167">
      <c r="A167" s="30">
        <f>IFERROR(__xludf.DUMMYFUNCTION("""COMPUTED_VALUE"""),164.0)</f>
        <v>164</v>
      </c>
      <c r="B167" s="39">
        <f>IFERROR(__xludf.DUMMYFUNCTION("""COMPUTED_VALUE"""),45953.0)</f>
        <v>45953</v>
      </c>
      <c r="C167" s="30">
        <f>IFERROR(__xludf.DUMMYFUNCTION("""COMPUTED_VALUE"""),1.0)</f>
        <v>1</v>
      </c>
      <c r="D167" s="30" t="str">
        <f>IFERROR(__xludf.DUMMYFUNCTION("""COMPUTED_VALUE"""),"CT MỚI")</f>
        <v>CT MỚI</v>
      </c>
      <c r="E167" s="30"/>
      <c r="F167" s="2"/>
      <c r="G167" s="2" t="str">
        <f>IFERROR(__xludf.DUMMYFUNCTION("""COMPUTED_VALUE"""),"HH4212")</f>
        <v>HH4212</v>
      </c>
      <c r="H167" s="2" t="str">
        <f>IFERROR(__xludf.DUMMYFUNCTION("""COMPUTED_VALUE"""),"GC - IV - 4212 - Cty CAPY GLOBAL - NUTRI BIO KING (Gel nâu đen) - 5L - 4")</f>
        <v>GC - IV - 4212 - Cty CAPY GLOBAL - NUTRI BIO KING (Gel nâu đen) - 5L - 4</v>
      </c>
      <c r="I167" s="2" t="str">
        <f>IFERROR(__xludf.DUMMYFUNCTION("""COMPUTED_VALUE"""),"#N/A")</f>
        <v>#N/A</v>
      </c>
      <c r="J167" s="2"/>
      <c r="K167" s="2"/>
      <c r="L167" s="2" t="str">
        <f>IFERROR(__xludf.DUMMYFUNCTION("""COMPUTED_VALUE"""),"A02131025")</f>
        <v>A02131025</v>
      </c>
      <c r="M167" s="2" t="str">
        <f>IFERROR(__xludf.DUMMYFUNCTION("""COMPUTED_VALUE"""),"NUTRI BIOKING - CROP CARE")</f>
        <v>NUTRI BIOKING - CROP CARE</v>
      </c>
      <c r="N167" s="2" t="str">
        <f>IFERROR(__xludf.DUMMYFUNCTION("""COMPUTED_VALUE"""),"01RR0076")</f>
        <v>01RR0076</v>
      </c>
      <c r="O167" s="2" t="str">
        <f>IFERROR(__xludf.DUMMYFUNCTION("""COMPUTED_VALUE"""),"Phân bón Hữu cơ CROPS CARE")</f>
        <v>Phân bón Hữu cơ CROPS CARE</v>
      </c>
      <c r="P167" s="2" t="str">
        <f>IFERROR(__xludf.DUMMYFUNCTION("""COMPUTED_VALUE"""),"#N/A")</f>
        <v>#N/A</v>
      </c>
      <c r="Q167" s="30" t="str">
        <f>IFERROR(__xludf.DUMMYFUNCTION("""COMPUTED_VALUE"""),"KHÔNG KHỚP")</f>
        <v>KHÔNG KHỚP</v>
      </c>
      <c r="R167" s="2"/>
      <c r="S167" s="2"/>
      <c r="T167" s="2"/>
      <c r="U167" s="2"/>
      <c r="V167" s="2"/>
      <c r="W167" s="2"/>
      <c r="X167" s="2"/>
      <c r="Y167" s="2"/>
    </row>
    <row r="168">
      <c r="A168" s="30">
        <f>IFERROR(__xludf.DUMMYFUNCTION("""COMPUTED_VALUE"""),165.0)</f>
        <v>165</v>
      </c>
      <c r="B168" s="39">
        <f>IFERROR(__xludf.DUMMYFUNCTION("""COMPUTED_VALUE"""),45946.0)</f>
        <v>45946</v>
      </c>
      <c r="C168" s="30">
        <f>IFERROR(__xludf.DUMMYFUNCTION("""COMPUTED_VALUE"""),1.0)</f>
        <v>1</v>
      </c>
      <c r="D168" s="30" t="str">
        <f>IFERROR(__xludf.DUMMYFUNCTION("""COMPUTED_VALUE"""),"CT CŨ")</f>
        <v>CT CŨ</v>
      </c>
      <c r="E168" s="30"/>
      <c r="F168" s="2"/>
      <c r="G168" s="2" t="str">
        <f>IFERROR(__xludf.DUMMYFUNCTION("""COMPUTED_VALUE"""),"HH4235")</f>
        <v>HH4235</v>
      </c>
      <c r="H168" s="2" t="str">
        <f>IFERROR(__xludf.DUMMYFUNCTION("""COMPUTED_VALUE"""),"LOT AGC (CAPY GLOBAL) - PBVL QUANTITY NEW - DR.STOP - CHAI HD TRÒN TRẮNG NẮP TRẮNG 1L và VTBB")</f>
        <v>LOT AGC (CAPY GLOBAL) - PBVL QUANTITY NEW - DR.STOP - CHAI HD TRÒN TRẮNG NẮP TRẮNG 1L và VTBB</v>
      </c>
      <c r="I168" s="39" t="str">
        <f>IFERROR(__xludf.DUMMYFUNCTION("""COMPUTED_VALUE"""),"Vi lượng Quantity New")</f>
        <v>Vi lượng Quantity New</v>
      </c>
      <c r="J168" s="2"/>
      <c r="K168" s="2"/>
      <c r="L168" s="2" t="str">
        <f>IFERROR(__xludf.DUMMYFUNCTION("""COMPUTED_VALUE"""),"CHẶN ĐỌT DÒNG V1")</f>
        <v>CHẶN ĐỌT DÒNG V1</v>
      </c>
      <c r="M168" s="2" t="str">
        <f>IFERROR(__xludf.DUMMYFUNCTION("""COMPUTED_VALUE"""),"KODO STOP
DR.STOP
DR.H2")</f>
        <v>KODO STOP
DR.STOP
DR.H2</v>
      </c>
      <c r="N168" s="2" t="str">
        <f>IFERROR(__xludf.DUMMYFUNCTION("""COMPUTED_VALUE"""),"06CD0006V1")</f>
        <v>06CD0006V1</v>
      </c>
      <c r="O168" s="2" t="str">
        <f>IFERROR(__xludf.DUMMYFUNCTION("""COMPUTED_VALUE"""),"Phân bón Vi lượng Quantity New")</f>
        <v>Phân bón Vi lượng Quantity New</v>
      </c>
      <c r="P168" s="2" t="str">
        <f>IFERROR(__xludf.DUMMYFUNCTION("""COMPUTED_VALUE"""),"Phân bón Vi lượng Quantity New")</f>
        <v>Phân bón Vi lượng Quantity New</v>
      </c>
      <c r="Q168" s="30" t="str">
        <f>IFERROR(__xludf.DUMMYFUNCTION("""COMPUTED_VALUE"""),"KHỚP")</f>
        <v>KHỚP</v>
      </c>
      <c r="R168" s="2"/>
      <c r="S168" s="2"/>
      <c r="T168" s="2"/>
      <c r="U168" s="2"/>
      <c r="V168" s="2"/>
      <c r="W168" s="2"/>
      <c r="X168" s="2"/>
      <c r="Y168" s="2"/>
    </row>
    <row r="169">
      <c r="A169" s="30">
        <f>IFERROR(__xludf.DUMMYFUNCTION("""COMPUTED_VALUE"""),166.0)</f>
        <v>166</v>
      </c>
      <c r="B169" s="39">
        <f>IFERROR(__xludf.DUMMYFUNCTION("""COMPUTED_VALUE"""),45908.0)</f>
        <v>45908</v>
      </c>
      <c r="C169" s="30">
        <f>IFERROR(__xludf.DUMMYFUNCTION("""COMPUTED_VALUE"""),1.0)</f>
        <v>1</v>
      </c>
      <c r="D169" s="30" t="str">
        <f>IFERROR(__xludf.DUMMYFUNCTION("""COMPUTED_VALUE"""),"CT CŨ")</f>
        <v>CT CŨ</v>
      </c>
      <c r="E169" s="30"/>
      <c r="F169" s="2"/>
      <c r="G169" s="2" t="str">
        <f>IFERROR(__xludf.DUMMYFUNCTION("""COMPUTED_VALUE"""),"HH4209")</f>
        <v>HH4209</v>
      </c>
      <c r="H169" s="2" t="str">
        <f>IFERROR(__xludf.DUMMYFUNCTION("""COMPUTED_VALUE"""),"GC - IV - 4209 - Cty Quang Đăng Agriculture - KÍCH RỄ NỞ BỤI + (Nước nâu đen) - 1L - 20")</f>
        <v>GC - IV - 4209 - Cty Quang Đăng Agriculture - KÍCH RỄ NỞ BỤI + (Nước nâu đen) - 1L - 20</v>
      </c>
      <c r="I169" s="2" t="str">
        <f>IFERROR(__xludf.DUMMYFUNCTION("""COMPUTED_VALUE"""),"#N/A")</f>
        <v>#N/A</v>
      </c>
      <c r="J169" s="2"/>
      <c r="K169" s="2"/>
      <c r="L169" s="2" t="str">
        <f>IFERROR(__xludf.DUMMYFUNCTION("""COMPUTED_VALUE"""),"A20280225")</f>
        <v>A20280225</v>
      </c>
      <c r="M169" s="2" t="str">
        <f>IFERROR(__xludf.DUMMYFUNCTION("""COMPUTED_VALUE"""),"BETA VUA RỄ")</f>
        <v>BETA VUA RỄ</v>
      </c>
      <c r="N169" s="2" t="str">
        <f>IFERROR(__xludf.DUMMYFUNCTION("""COMPUTED_VALUE"""),"01RR0050")</f>
        <v>01RR0050</v>
      </c>
      <c r="O169" s="2" t="str">
        <f>IFERROR(__xludf.DUMMYFUNCTION("""COMPUTED_VALUE"""),"Phân bón Hỗn hợp NP AGAMA-AP")</f>
        <v>Phân bón Hỗn hợp NP AGAMA-AP</v>
      </c>
      <c r="P169" s="2" t="str">
        <f>IFERROR(__xludf.DUMMYFUNCTION("""COMPUTED_VALUE"""),"#N/A")</f>
        <v>#N/A</v>
      </c>
      <c r="Q169" s="30" t="str">
        <f>IFERROR(__xludf.DUMMYFUNCTION("""COMPUTED_VALUE"""),"KHÔNG KHỚP")</f>
        <v>KHÔNG KHỚP</v>
      </c>
      <c r="R169" s="2"/>
      <c r="S169" s="2"/>
      <c r="T169" s="2"/>
      <c r="U169" s="2"/>
      <c r="V169" s="2"/>
      <c r="W169" s="2"/>
      <c r="X169" s="2"/>
      <c r="Y169" s="2"/>
    </row>
    <row r="170">
      <c r="A170" s="30">
        <f>IFERROR(__xludf.DUMMYFUNCTION("""COMPUTED_VALUE"""),167.0)</f>
        <v>167</v>
      </c>
      <c r="B170" s="39">
        <f>IFERROR(__xludf.DUMMYFUNCTION("""COMPUTED_VALUE"""),45948.0)</f>
        <v>45948</v>
      </c>
      <c r="C170" s="30">
        <f>IFERROR(__xludf.DUMMYFUNCTION("""COMPUTED_VALUE"""),4.0)</f>
        <v>4</v>
      </c>
      <c r="D170" s="30" t="str">
        <f>IFERROR(__xludf.DUMMYFUNCTION("""COMPUTED_VALUE"""),"CT MỚI")</f>
        <v>CT MỚI</v>
      </c>
      <c r="E170" s="30"/>
      <c r="F170" s="2"/>
      <c r="G170" s="2" t="str">
        <f>IFERROR(__xludf.DUMMYFUNCTION("""COMPUTED_VALUE"""),"HH3983")</f>
        <v>HH3983</v>
      </c>
      <c r="H170" s="2" t="str">
        <f>IFERROR(__xludf.DUMMYFUNCTION("""COMPUTED_VALUE"""),"DR.XANH - VIII - 3983 - ROBUST EXTRA (Gel nâu đen) - 250ml - 40")</f>
        <v>DR.XANH - VIII - 3983 - ROBUST EXTRA (Gel nâu đen) - 250ml - 40</v>
      </c>
      <c r="I170" s="2" t="str">
        <f>IFERROR(__xludf.DUMMYFUNCTION("""COMPUTED_VALUE"""),"#N/A")</f>
        <v>#N/A</v>
      </c>
      <c r="J170" s="2"/>
      <c r="K170" s="2"/>
      <c r="L170" s="2" t="str">
        <f>IFERROR(__xludf.DUMMYFUNCTION("""COMPUTED_VALUE"""),"X01180825")</f>
        <v>X01180825</v>
      </c>
      <c r="M170" s="2" t="str">
        <f>IFERROR(__xludf.DUMMYFUNCTION("""COMPUTED_VALUE"""),"ROBUST EXTRA")</f>
        <v>ROBUST EXTRA</v>
      </c>
      <c r="N170" s="2" t="str">
        <f>IFERROR(__xludf.DUMMYFUNCTION("""COMPUTED_VALUE"""),"01RR0071V4")</f>
        <v>01RR0071V4</v>
      </c>
      <c r="O170" s="2" t="str">
        <f>IFERROR(__xludf.DUMMYFUNCTION("""COMPUTED_VALUE"""),"Phân bón hữu cơ ROOTS US90")</f>
        <v>Phân bón hữu cơ ROOTS US90</v>
      </c>
      <c r="P170" s="2" t="str">
        <f>IFERROR(__xludf.DUMMYFUNCTION("""COMPUTED_VALUE"""),"#N/A")</f>
        <v>#N/A</v>
      </c>
      <c r="Q170" s="30" t="str">
        <f>IFERROR(__xludf.DUMMYFUNCTION("""COMPUTED_VALUE"""),"KHÔNG KHỚP")</f>
        <v>KHÔNG KHỚP</v>
      </c>
      <c r="R170" s="2"/>
      <c r="S170" s="2"/>
      <c r="T170" s="2"/>
      <c r="U170" s="2"/>
      <c r="V170" s="2"/>
      <c r="W170" s="2"/>
      <c r="X170" s="2"/>
      <c r="Y170" s="2"/>
    </row>
    <row r="171">
      <c r="A171" s="30">
        <f>IFERROR(__xludf.DUMMYFUNCTION("""COMPUTED_VALUE"""),168.0)</f>
        <v>168</v>
      </c>
      <c r="B171" s="39">
        <f>IFERROR(__xludf.DUMMYFUNCTION("""COMPUTED_VALUE"""),45952.0)</f>
        <v>45952</v>
      </c>
      <c r="C171" s="30">
        <f>IFERROR(__xludf.DUMMYFUNCTION("""COMPUTED_VALUE"""),1.0)</f>
        <v>1</v>
      </c>
      <c r="D171" s="30" t="str">
        <f>IFERROR(__xludf.DUMMYFUNCTION("""COMPUTED_VALUE"""),"CT MỚI")</f>
        <v>CT MỚI</v>
      </c>
      <c r="E171" s="30"/>
      <c r="F171" s="2"/>
      <c r="G171" s="2" t="str">
        <f>IFERROR(__xludf.DUMMYFUNCTION("""COMPUTED_VALUE"""),"HH4206")</f>
        <v>HH4206</v>
      </c>
      <c r="H171" s="2" t="str">
        <f>IFERROR(__xludf.DUMMYFUNCTION("""COMPUTED_VALUE"""),"DR.XANH - VIII - 4206 - ROBUST EXTRA (Gel nâu đen) - 250ml - 40")</f>
        <v>DR.XANH - VIII - 4206 - ROBUST EXTRA (Gel nâu đen) - 250ml - 40</v>
      </c>
      <c r="I171" s="2" t="str">
        <f>IFERROR(__xludf.DUMMYFUNCTION("""COMPUTED_VALUE"""),"#N/A")</f>
        <v>#N/A</v>
      </c>
      <c r="J171" s="2"/>
      <c r="K171" s="2"/>
      <c r="L171" s="2" t="str">
        <f>IFERROR(__xludf.DUMMYFUNCTION("""COMPUTED_VALUE"""),"X01180825")</f>
        <v>X01180825</v>
      </c>
      <c r="M171" s="2" t="str">
        <f>IFERROR(__xludf.DUMMYFUNCTION("""COMPUTED_VALUE"""),"ROBUST EXTRA")</f>
        <v>ROBUST EXTRA</v>
      </c>
      <c r="N171" s="2" t="str">
        <f>IFERROR(__xludf.DUMMYFUNCTION("""COMPUTED_VALUE"""),"01RR0071V5")</f>
        <v>01RR0071V5</v>
      </c>
      <c r="O171" s="2" t="str">
        <f>IFERROR(__xludf.DUMMYFUNCTION("""COMPUTED_VALUE"""),"Phân bón hữu cơ ROOTS US90")</f>
        <v>Phân bón hữu cơ ROOTS US90</v>
      </c>
      <c r="P171" s="2" t="str">
        <f>IFERROR(__xludf.DUMMYFUNCTION("""COMPUTED_VALUE"""),"#N/A")</f>
        <v>#N/A</v>
      </c>
      <c r="Q171" s="30" t="str">
        <f>IFERROR(__xludf.DUMMYFUNCTION("""COMPUTED_VALUE"""),"KHÔNG KHỚP")</f>
        <v>KHÔNG KHỚP</v>
      </c>
      <c r="R171" s="2"/>
      <c r="S171" s="2"/>
      <c r="T171" s="2"/>
      <c r="U171" s="2"/>
      <c r="V171" s="2"/>
      <c r="W171" s="2"/>
      <c r="X171" s="2"/>
      <c r="Y171" s="2"/>
    </row>
    <row r="172">
      <c r="A172" s="30">
        <f>IFERROR(__xludf.DUMMYFUNCTION("""COMPUTED_VALUE"""),169.0)</f>
        <v>169</v>
      </c>
      <c r="B172" s="39">
        <f>IFERROR(__xludf.DUMMYFUNCTION("""COMPUTED_VALUE"""),45904.0)</f>
        <v>45904</v>
      </c>
      <c r="C172" s="30">
        <f>IFERROR(__xludf.DUMMYFUNCTION("""COMPUTED_VALUE"""),2.0)</f>
        <v>2</v>
      </c>
      <c r="D172" s="30" t="str">
        <f>IFERROR(__xludf.DUMMYFUNCTION("""COMPUTED_VALUE"""),"CT CŨ")</f>
        <v>CT CŨ</v>
      </c>
      <c r="E172" s="30"/>
      <c r="F172" s="2"/>
      <c r="G172" s="2" t="str">
        <f>IFERROR(__xludf.DUMMYFUNCTION("""COMPUTED_VALUE"""),"HH3750")</f>
        <v>HH3750</v>
      </c>
      <c r="H172" s="2" t="str">
        <f>IFERROR(__xludf.DUMMYFUNCTION("""COMPUTED_VALUE"""),"BAMBOO - VI - 3750 - BAMBOO ORGANIC (nước nâu đen) - 1L - 20")</f>
        <v>BAMBOO - VI - 3750 - BAMBOO ORGANIC (nước nâu đen) - 1L - 20</v>
      </c>
      <c r="I172" s="2" t="str">
        <f>IFERROR(__xludf.DUMMYFUNCTION("""COMPUTED_VALUE"""),"#N/A")</f>
        <v>#N/A</v>
      </c>
      <c r="J172" s="2"/>
      <c r="K172" s="2"/>
      <c r="L172" s="2"/>
      <c r="M172" s="2" t="str">
        <f>IFERROR(__xludf.DUMMYFUNCTION("""COMPUTED_VALUE"""),"BAMBOO ORGANIC
IDA ORGANIC FEED")</f>
        <v>BAMBOO ORGANIC
IDA ORGANIC FEED</v>
      </c>
      <c r="N172" s="2" t="str">
        <f>IFERROR(__xludf.DUMMYFUNCTION("""COMPUTED_VALUE"""),"01RR0025V3")</f>
        <v>01RR0025V3</v>
      </c>
      <c r="O172" s="2" t="str">
        <f>IFERROR(__xludf.DUMMYFUNCTION("""COMPUTED_VALUE"""),"Phân bón Hữu cơ SH Agro Organic Fertilizer 20")</f>
        <v>Phân bón Hữu cơ SH Agro Organic Fertilizer 20</v>
      </c>
      <c r="P172" s="2" t="str">
        <f>IFERROR(__xludf.DUMMYFUNCTION("""COMPUTED_VALUE"""),"#N/A")</f>
        <v>#N/A</v>
      </c>
      <c r="Q172" s="30" t="str">
        <f>IFERROR(__xludf.DUMMYFUNCTION("""COMPUTED_VALUE"""),"KHÔNG KHỚP")</f>
        <v>KHÔNG KHỚP</v>
      </c>
      <c r="R172" s="2"/>
      <c r="S172" s="2"/>
      <c r="T172" s="2"/>
      <c r="U172" s="2"/>
      <c r="V172" s="2"/>
      <c r="W172" s="2"/>
      <c r="X172" s="2"/>
      <c r="Y172" s="2"/>
    </row>
    <row r="173">
      <c r="A173" s="30">
        <f>IFERROR(__xludf.DUMMYFUNCTION("""COMPUTED_VALUE"""),170.0)</f>
        <v>170</v>
      </c>
      <c r="B173" s="39">
        <f>IFERROR(__xludf.DUMMYFUNCTION("""COMPUTED_VALUE"""),45905.0)</f>
        <v>45905</v>
      </c>
      <c r="C173" s="30">
        <f>IFERROR(__xludf.DUMMYFUNCTION("""COMPUTED_VALUE"""),3.0)</f>
        <v>3</v>
      </c>
      <c r="D173" s="30" t="str">
        <f>IFERROR(__xludf.DUMMYFUNCTION("""COMPUTED_VALUE"""),"CT CŨ")</f>
        <v>CT CŨ</v>
      </c>
      <c r="E173" s="30"/>
      <c r="F173" s="2"/>
      <c r="G173" s="2" t="str">
        <f>IFERROR(__xludf.DUMMYFUNCTION("""COMPUTED_VALUE"""),"HH4183")</f>
        <v>HH4183</v>
      </c>
      <c r="H173" s="2" t="str">
        <f>IFERROR(__xludf.DUMMYFUNCTION("""COMPUTED_VALUE"""),"GC - IV - 4183 - Cty Hương Nông - HN-pH++ (Nước nâu đen) - 5L - 4")</f>
        <v>GC - IV - 4183 - Cty Hương Nông - HN-pH++ (Nước nâu đen) - 5L - 4</v>
      </c>
      <c r="I173" s="2" t="str">
        <f>IFERROR(__xludf.DUMMYFUNCTION("""COMPUTED_VALUE"""),"#N/A")</f>
        <v>#N/A</v>
      </c>
      <c r="J173" s="2"/>
      <c r="K173" s="2"/>
      <c r="L173" s="2"/>
      <c r="M173" s="2" t="str">
        <f>IFERROR(__xludf.DUMMYFUNCTION("""COMPUTED_VALUE"""),"HN-pH++")</f>
        <v>HN-pH++</v>
      </c>
      <c r="N173" s="2" t="str">
        <f>IFERROR(__xludf.DUMMYFUNCTION("""COMPUTED_VALUE"""),"01RR0014V4")</f>
        <v>01RR0014V4</v>
      </c>
      <c r="O173" s="2" t="str">
        <f>IFERROR(__xludf.DUMMYFUNCTION("""COMPUTED_VALUE"""),"Phân bón Hữu cơ SH Agro Organic Fertilizer 20")</f>
        <v>Phân bón Hữu cơ SH Agro Organic Fertilizer 20</v>
      </c>
      <c r="P173" s="2" t="str">
        <f>IFERROR(__xludf.DUMMYFUNCTION("""COMPUTED_VALUE"""),"#N/A")</f>
        <v>#N/A</v>
      </c>
      <c r="Q173" s="30" t="str">
        <f>IFERROR(__xludf.DUMMYFUNCTION("""COMPUTED_VALUE"""),"KHÔNG KHỚP")</f>
        <v>KHÔNG KHỚP</v>
      </c>
      <c r="R173" s="2"/>
      <c r="S173" s="2"/>
      <c r="T173" s="2"/>
      <c r="U173" s="2"/>
      <c r="V173" s="2"/>
      <c r="W173" s="2"/>
      <c r="X173" s="2"/>
      <c r="Y173" s="2"/>
    </row>
    <row r="174">
      <c r="A174" s="30">
        <f>IFERROR(__xludf.DUMMYFUNCTION("""COMPUTED_VALUE"""),171.0)</f>
        <v>171</v>
      </c>
      <c r="B174" s="39">
        <f>IFERROR(__xludf.DUMMYFUNCTION("""COMPUTED_VALUE"""),45944.0)</f>
        <v>45944</v>
      </c>
      <c r="C174" s="30">
        <f>IFERROR(__xludf.DUMMYFUNCTION("""COMPUTED_VALUE"""),2.0)</f>
        <v>2</v>
      </c>
      <c r="D174" s="30" t="str">
        <f>IFERROR(__xludf.DUMMYFUNCTION("""COMPUTED_VALUE"""),"CT CŨ")</f>
        <v>CT CŨ</v>
      </c>
      <c r="E174" s="30"/>
      <c r="F174" s="2"/>
      <c r="G174" s="2" t="str">
        <f>IFERROR(__xludf.DUMMYFUNCTION("""COMPUTED_VALUE"""),"HH4211")</f>
        <v>HH4211</v>
      </c>
      <c r="H174" s="2" t="str">
        <f>IFERROR(__xludf.DUMMYFUNCTION("""COMPUTED_VALUE"""),"GC - IV - 4211 - Cty Capy Global - TOP SPROUT (nước nâu đen) - 500ml - 40")</f>
        <v>GC - IV - 4211 - Cty Capy Global - TOP SPROUT (nước nâu đen) - 500ml - 40</v>
      </c>
      <c r="I174" s="39" t="str">
        <f>IFERROR(__xludf.DUMMYFUNCTION("""COMPUTED_VALUE"""),"Vi lượng Run Fast")</f>
        <v>Vi lượng Run Fast</v>
      </c>
      <c r="J174" s="2"/>
      <c r="K174" s="2"/>
      <c r="L174" s="2"/>
      <c r="M174" s="2" t="str">
        <f>IFERROR(__xludf.DUMMYFUNCTION("""COMPUTED_VALUE"""),"TOP SPROUT")</f>
        <v>TOP SPROUT</v>
      </c>
      <c r="N174" s="2" t="str">
        <f>IFERROR(__xludf.DUMMYFUNCTION("""COMPUTED_VALUE"""),"08TM0004V1")</f>
        <v>08TM0004V1</v>
      </c>
      <c r="O174" s="2" t="str">
        <f>IFERROR(__xludf.DUMMYFUNCTION("""COMPUTED_VALUE"""),"Phân bón Vi lượng Run Fast")</f>
        <v>Phân bón Vi lượng Run Fast</v>
      </c>
      <c r="P174" s="2" t="str">
        <f>IFERROR(__xludf.DUMMYFUNCTION("""COMPUTED_VALUE"""),"Phân bón Vi lượng Run Fast")</f>
        <v>Phân bón Vi lượng Run Fast</v>
      </c>
      <c r="Q174" s="30" t="str">
        <f>IFERROR(__xludf.DUMMYFUNCTION("""COMPUTED_VALUE"""),"KHỚP")</f>
        <v>KHỚP</v>
      </c>
      <c r="R174" s="2"/>
      <c r="S174" s="2"/>
      <c r="T174" s="2"/>
      <c r="U174" s="2"/>
      <c r="V174" s="2"/>
      <c r="W174" s="2"/>
      <c r="X174" s="2"/>
      <c r="Y174" s="2"/>
    </row>
    <row r="175">
      <c r="A175" s="30">
        <f>IFERROR(__xludf.DUMMYFUNCTION("""COMPUTED_VALUE"""),172.0)</f>
        <v>172</v>
      </c>
      <c r="B175" s="39">
        <f>IFERROR(__xludf.DUMMYFUNCTION("""COMPUTED_VALUE"""),45905.0)</f>
        <v>45905</v>
      </c>
      <c r="C175" s="30">
        <f>IFERROR(__xludf.DUMMYFUNCTION("""COMPUTED_VALUE"""),1.0)</f>
        <v>1</v>
      </c>
      <c r="D175" s="30" t="str">
        <f>IFERROR(__xludf.DUMMYFUNCTION("""COMPUTED_VALUE"""),"CT MỚI")</f>
        <v>CT MỚI</v>
      </c>
      <c r="E175" s="30"/>
      <c r="F175" s="2"/>
      <c r="G175" s="2" t="str">
        <f>IFERROR(__xludf.DUMMYFUNCTION("""COMPUTED_VALUE"""),"HH4244")</f>
        <v>HH4244</v>
      </c>
      <c r="H175" s="2" t="str">
        <f>IFERROR(__xludf.DUMMYFUNCTION("""COMPUTED_VALUE"""),"HH4244 - CSSX AN KHANG (A. DINH) - PBVL AGAMA-BATFUNG - TAK03 - GÓI 100GR")</f>
        <v>HH4244 - CSSX AN KHANG (A. DINH) - PBVL AGAMA-BATFUNG - TAK03 - GÓI 100GR</v>
      </c>
      <c r="I175" s="2" t="str">
        <f>IFERROR(__xludf.DUMMYFUNCTION("""COMPUTED_VALUE"""),"#N/A")</f>
        <v>#N/A</v>
      </c>
      <c r="J175" s="2"/>
      <c r="K175" s="2"/>
      <c r="L175" s="2" t="str">
        <f>IFERROR(__xludf.DUMMYFUNCTION("""COMPUTED_VALUE"""),"A03131224")</f>
        <v>A03131224</v>
      </c>
      <c r="M175" s="2" t="str">
        <f>IFERROR(__xludf.DUMMYFUNCTION("""COMPUTED_VALUE"""),"TAK03")</f>
        <v>TAK03</v>
      </c>
      <c r="N175" s="2" t="str">
        <f>IFERROR(__xludf.DUMMYFUNCTION("""COMPUTED_VALUE"""),"19DD0025")</f>
        <v>19DD0025</v>
      </c>
      <c r="O175" s="2" t="str">
        <f>IFERROR(__xludf.DUMMYFUNCTION("""COMPUTED_VALUE"""),"Phân bón Vi lượng AGAMA-BATFUNG")</f>
        <v>Phân bón Vi lượng AGAMA-BATFUNG</v>
      </c>
      <c r="P175" s="2" t="str">
        <f>IFERROR(__xludf.DUMMYFUNCTION("""COMPUTED_VALUE"""),"#N/A")</f>
        <v>#N/A</v>
      </c>
      <c r="Q175" s="30" t="str">
        <f>IFERROR(__xludf.DUMMYFUNCTION("""COMPUTED_VALUE"""),"KHÔNG KHỚP")</f>
        <v>KHÔNG KHỚP</v>
      </c>
      <c r="R175" s="2"/>
      <c r="S175" s="2"/>
      <c r="T175" s="2"/>
      <c r="U175" s="2"/>
      <c r="V175" s="2"/>
      <c r="W175" s="2"/>
      <c r="X175" s="2"/>
      <c r="Y175" s="2"/>
    </row>
    <row r="176">
      <c r="A176" s="30">
        <f>IFERROR(__xludf.DUMMYFUNCTION("""COMPUTED_VALUE"""),173.0)</f>
        <v>173</v>
      </c>
      <c r="B176" s="39">
        <f>IFERROR(__xludf.DUMMYFUNCTION("""COMPUTED_VALUE"""),45897.0)</f>
        <v>45897</v>
      </c>
      <c r="C176" s="30">
        <f>IFERROR(__xludf.DUMMYFUNCTION("""COMPUTED_VALUE"""),3.0)</f>
        <v>3</v>
      </c>
      <c r="D176" s="30" t="str">
        <f>IFERROR(__xludf.DUMMYFUNCTION("""COMPUTED_VALUE"""),"CT CŨ")</f>
        <v>CT CŨ</v>
      </c>
      <c r="E176" s="30"/>
      <c r="F176" s="2"/>
      <c r="G176" s="2" t="str">
        <f>IFERROR(__xludf.DUMMYFUNCTION("""COMPUTED_VALUE"""),"HH3903")</f>
        <v>HH3903</v>
      </c>
      <c r="H176" s="2" t="str">
        <f>IFERROR(__xludf.DUMMYFUNCTION("""COMPUTED_VALUE"""),"GC - IX - 3903 - N2SBIO -  N2 MG ZN-70 (Nước xanh lá) - 500ml - 40")</f>
        <v>GC - IX - 3903 - N2SBIO -  N2 MG ZN-70 (Nước xanh lá) - 500ml - 40</v>
      </c>
      <c r="I176" s="2" t="str">
        <f>IFERROR(__xludf.DUMMYFUNCTION("""COMPUTED_VALUE"""),"#N/A")</f>
        <v>#N/A</v>
      </c>
      <c r="J176" s="2"/>
      <c r="K176" s="2"/>
      <c r="L176" s="2" t="str">
        <f>IFERROR(__xludf.DUMMYFUNCTION("""COMPUTED_VALUE"""),"N01080825")</f>
        <v>N01080825</v>
      </c>
      <c r="M176" s="2" t="str">
        <f>IFERROR(__xludf.DUMMYFUNCTION("""COMPUTED_VALUE"""),"N2 MgZn-52")</f>
        <v>N2 MgZn-52</v>
      </c>
      <c r="N176" s="2" t="str">
        <f>IFERROR(__xludf.DUMMYFUNCTION("""COMPUTED_VALUE"""),"23GS0002")</f>
        <v>23GS0002</v>
      </c>
      <c r="O176" s="2" t="str">
        <f>IFERROR(__xludf.DUMMYFUNCTION("""COMPUTED_VALUE"""),"Phân bón vi lượng Phú Sĩ FJ-09 Kẽm Mg")</f>
        <v>Phân bón vi lượng Phú Sĩ FJ-09 Kẽm Mg</v>
      </c>
      <c r="P176" s="2" t="str">
        <f>IFERROR(__xludf.DUMMYFUNCTION("""COMPUTED_VALUE"""),"#N/A")</f>
        <v>#N/A</v>
      </c>
      <c r="Q176" s="30" t="str">
        <f>IFERROR(__xludf.DUMMYFUNCTION("""COMPUTED_VALUE"""),"KHÔNG KHỚP")</f>
        <v>KHÔNG KHỚP</v>
      </c>
      <c r="R176" s="2"/>
      <c r="S176" s="2"/>
      <c r="T176" s="2"/>
      <c r="U176" s="2"/>
      <c r="V176" s="2"/>
      <c r="W176" s="2"/>
      <c r="X176" s="2"/>
      <c r="Y176" s="2"/>
    </row>
    <row r="177">
      <c r="A177" s="30">
        <f>IFERROR(__xludf.DUMMYFUNCTION("""COMPUTED_VALUE"""),174.0)</f>
        <v>174</v>
      </c>
      <c r="B177" s="39">
        <f>IFERROR(__xludf.DUMMYFUNCTION("""COMPUTED_VALUE"""),45947.0)</f>
        <v>45947</v>
      </c>
      <c r="C177" s="30">
        <f>IFERROR(__xludf.DUMMYFUNCTION("""COMPUTED_VALUE"""),2.0)</f>
        <v>2</v>
      </c>
      <c r="D177" s="30" t="str">
        <f>IFERROR(__xludf.DUMMYFUNCTION("""COMPUTED_VALUE"""),"CT XỬ LÝ LỖI")</f>
        <v>CT XỬ LÝ LỖI</v>
      </c>
      <c r="E177" s="30"/>
      <c r="F177" s="2"/>
      <c r="G177" s="2" t="str">
        <f>IFERROR(__xludf.DUMMYFUNCTION("""COMPUTED_VALUE"""),"HH4058")</f>
        <v>HH4058</v>
      </c>
      <c r="H177" s="2" t="str">
        <f>IFERROR(__xludf.DUMMYFUNCTION("""COMPUTED_VALUE"""),"GC - IX - 4058 - N2SBIO -  SIÊU BO SỮA (Dạng SC - Trắng sữa) - 250ml - 40")</f>
        <v>GC - IX - 4058 - N2SBIO -  SIÊU BO SỮA (Dạng SC - Trắng sữa) - 250ml - 40</v>
      </c>
      <c r="I177" s="2" t="str">
        <f>IFERROR(__xludf.DUMMYFUNCTION("""COMPUTED_VALUE"""),"#N/A")</f>
        <v>#N/A</v>
      </c>
      <c r="J177" s="2"/>
      <c r="K177" s="2"/>
      <c r="L177" s="2" t="str">
        <f>IFERROR(__xludf.DUMMYFUNCTION("""COMPUTED_VALUE"""),"XỬ LÝ CHUNG BTP CŨ")</f>
        <v>XỬ LÝ CHUNG BTP CŨ</v>
      </c>
      <c r="M177" s="2" t="str">
        <f>IFERROR(__xludf.DUMMYFUNCTION("""COMPUTED_VALUE"""),"N2 BO - 150")</f>
        <v>N2 BO - 150</v>
      </c>
      <c r="N177" s="2" t="str">
        <f>IFERROR(__xludf.DUMMYFUNCTION("""COMPUTED_VALUE"""),"10CR0027V1")</f>
        <v>10CR0027V1</v>
      </c>
      <c r="O177" s="2" t="str">
        <f>IFERROR(__xludf.DUMMYFUNCTION("""COMPUTED_VALUE"""),"Phân bón lá Vi lượng NBC-BO.15")</f>
        <v>Phân bón lá Vi lượng NBC-BO.15</v>
      </c>
      <c r="P177" s="2" t="str">
        <f>IFERROR(__xludf.DUMMYFUNCTION("""COMPUTED_VALUE"""),"#N/A")</f>
        <v>#N/A</v>
      </c>
      <c r="Q177" s="30" t="str">
        <f>IFERROR(__xludf.DUMMYFUNCTION("""COMPUTED_VALUE"""),"KHÔNG KHỚP")</f>
        <v>KHÔNG KHỚP</v>
      </c>
      <c r="R177" s="2"/>
      <c r="S177" s="2"/>
      <c r="T177" s="2"/>
      <c r="U177" s="2"/>
      <c r="V177" s="2"/>
      <c r="W177" s="2"/>
      <c r="X177" s="2"/>
      <c r="Y177" s="2"/>
    </row>
    <row r="178">
      <c r="A178" s="30">
        <f>IFERROR(__xludf.DUMMYFUNCTION("""COMPUTED_VALUE"""),175.0)</f>
        <v>175</v>
      </c>
      <c r="B178" s="39">
        <f>IFERROR(__xludf.DUMMYFUNCTION("""COMPUTED_VALUE"""),45905.0)</f>
        <v>45905</v>
      </c>
      <c r="C178" s="30">
        <f>IFERROR(__xludf.DUMMYFUNCTION("""COMPUTED_VALUE"""),2.0)</f>
        <v>2</v>
      </c>
      <c r="D178" s="30" t="str">
        <f>IFERROR(__xludf.DUMMYFUNCTION("""COMPUTED_VALUE"""),"CT CŨ")</f>
        <v>CT CŨ</v>
      </c>
      <c r="E178" s="30"/>
      <c r="F178" s="2"/>
      <c r="G178" s="2" t="str">
        <f>IFERROR(__xludf.DUMMYFUNCTION("""COMPUTED_VALUE"""),"HH4067")</f>
        <v>HH4067</v>
      </c>
      <c r="H178" s="2" t="str">
        <f>IFERROR(__xludf.DUMMYFUNCTION("""COMPUTED_VALUE"""),"GC - IX - 4067 - N2SBIO - N2 ANTI STRESS (Gel nâu đen) - 500ml - 40")</f>
        <v>GC - IX - 4067 - N2SBIO - N2 ANTI STRESS (Gel nâu đen) - 500ml - 40</v>
      </c>
      <c r="I178" s="39" t="str">
        <f>IFERROR(__xludf.DUMMYFUNCTION("""COMPUTED_VALUE"""),"Lá Vô Cơ Nhiều Thành Phần NBC-ALCROP")</f>
        <v>Lá Vô Cơ Nhiều Thành Phần NBC-ALCROP</v>
      </c>
      <c r="J178" s="2"/>
      <c r="K178" s="2"/>
      <c r="L178" s="2" t="str">
        <f>IFERROR(__xludf.DUMMYFUNCTION("""COMPUTED_VALUE"""),"N03220825")</f>
        <v>N03220825</v>
      </c>
      <c r="M178" s="2" t="str">
        <f>IFERROR(__xludf.DUMMYFUNCTION("""COMPUTED_VALUE"""),"N2 Anti Stress ")</f>
        <v>N2 Anti Stress </v>
      </c>
      <c r="N178" s="2" t="str">
        <f>IFERROR(__xludf.DUMMYFUNCTION("""COMPUTED_VALUE"""),"23GS0012")</f>
        <v>23GS0012</v>
      </c>
      <c r="O178" s="2" t="str">
        <f>IFERROR(__xludf.DUMMYFUNCTION("""COMPUTED_VALUE"""),"Phân bón lá NBC-Alcrop")</f>
        <v>Phân bón lá NBC-Alcrop</v>
      </c>
      <c r="P178" s="2" t="str">
        <f>IFERROR(__xludf.DUMMYFUNCTION("""COMPUTED_VALUE"""),"Phân bón Lá Vô Cơ Nhiều Thành Phần NBC-ALCROP")</f>
        <v>Phân bón Lá Vô Cơ Nhiều Thành Phần NBC-ALCROP</v>
      </c>
      <c r="Q178" s="30" t="str">
        <f>IFERROR(__xludf.DUMMYFUNCTION("""COMPUTED_VALUE"""),"KHÔNG KHỚP")</f>
        <v>KHÔNG KHỚP</v>
      </c>
      <c r="R178" s="2"/>
      <c r="S178" s="2"/>
      <c r="T178" s="2"/>
      <c r="U178" s="2"/>
      <c r="V178" s="2"/>
      <c r="W178" s="2"/>
      <c r="X178" s="2"/>
      <c r="Y178" s="2"/>
    </row>
    <row r="179">
      <c r="A179" s="30">
        <f>IFERROR(__xludf.DUMMYFUNCTION("""COMPUTED_VALUE"""),176.0)</f>
        <v>176</v>
      </c>
      <c r="B179" s="39">
        <f>IFERROR(__xludf.DUMMYFUNCTION("""COMPUTED_VALUE"""),45925.0)</f>
        <v>45925</v>
      </c>
      <c r="C179" s="30">
        <f>IFERROR(__xludf.DUMMYFUNCTION("""COMPUTED_VALUE"""),2.0)</f>
        <v>2</v>
      </c>
      <c r="D179" s="30" t="str">
        <f>IFERROR(__xludf.DUMMYFUNCTION("""COMPUTED_VALUE"""),"CT CŨ")</f>
        <v>CT CŨ</v>
      </c>
      <c r="E179" s="30"/>
      <c r="F179" s="2"/>
      <c r="G179" s="2" t="str">
        <f>IFERROR(__xludf.DUMMYFUNCTION("""COMPUTED_VALUE"""),"HH4187")</f>
        <v>HH4187</v>
      </c>
      <c r="H179" s="2" t="str">
        <f>IFERROR(__xludf.DUMMYFUNCTION("""COMPUTED_VALUE"""),"GC - IX - 4187 - N2SBIO - N2 ULTRA LOCK (Dạng SC - Trắng sữa) - 500ml - 40")</f>
        <v>GC - IX - 4187 - N2SBIO - N2 ULTRA LOCK (Dạng SC - Trắng sữa) - 500ml - 40</v>
      </c>
      <c r="I179" s="39" t="str">
        <f>IFERROR(__xludf.DUMMYFUNCTION("""COMPUTED_VALUE"""),"Lá PK-Trung Lượng NBC-Photphonate")</f>
        <v>Lá PK-Trung Lượng NBC-Photphonate</v>
      </c>
      <c r="J179" s="2"/>
      <c r="K179" s="2"/>
      <c r="L179" s="2" t="str">
        <f>IFERROR(__xludf.DUMMYFUNCTION("""COMPUTED_VALUE"""),"N04290725")</f>
        <v>N04290725</v>
      </c>
      <c r="M179" s="2" t="str">
        <f>IFERROR(__xludf.DUMMYFUNCTION("""COMPUTED_VALUE"""),"N2 HYPER LOCK")</f>
        <v>N2 HYPER LOCK</v>
      </c>
      <c r="N179" s="2" t="str">
        <f>IFERROR(__xludf.DUMMYFUNCTION("""COMPUTED_VALUE"""),"06CD0016")</f>
        <v>06CD0016</v>
      </c>
      <c r="O179" s="2" t="str">
        <f>IFERROR(__xludf.DUMMYFUNCTION("""COMPUTED_VALUE"""),"Phân bón lá PK-Trung lượng NBC-PHOTPHONATE")</f>
        <v>Phân bón lá PK-Trung lượng NBC-PHOTPHONATE</v>
      </c>
      <c r="P179" s="2" t="str">
        <f>IFERROR(__xludf.DUMMYFUNCTION("""COMPUTED_VALUE"""),"Phân bón Lá PK-Trung Lượng NBC-Photphonate")</f>
        <v>Phân bón Lá PK-Trung Lượng NBC-Photphonate</v>
      </c>
      <c r="Q179" s="30" t="str">
        <f>IFERROR(__xludf.DUMMYFUNCTION("""COMPUTED_VALUE"""),"KHỚP")</f>
        <v>KHỚP</v>
      </c>
      <c r="R179" s="2"/>
      <c r="S179" s="2"/>
      <c r="T179" s="2"/>
      <c r="U179" s="2"/>
      <c r="V179" s="2"/>
      <c r="W179" s="2"/>
      <c r="X179" s="2"/>
      <c r="Y179" s="2"/>
    </row>
    <row r="180">
      <c r="A180" s="30">
        <f>IFERROR(__xludf.DUMMYFUNCTION("""COMPUTED_VALUE"""),177.0)</f>
        <v>177</v>
      </c>
      <c r="B180" s="39">
        <f>IFERROR(__xludf.DUMMYFUNCTION("""COMPUTED_VALUE"""),45922.0)</f>
        <v>45922</v>
      </c>
      <c r="C180" s="30">
        <f>IFERROR(__xludf.DUMMYFUNCTION("""COMPUTED_VALUE"""),2.0)</f>
        <v>2</v>
      </c>
      <c r="D180" s="30" t="str">
        <f>IFERROR(__xludf.DUMMYFUNCTION("""COMPUTED_VALUE"""),"CT CŨ")</f>
        <v>CT CŨ</v>
      </c>
      <c r="E180" s="30"/>
      <c r="F180" s="2"/>
      <c r="G180" s="2" t="str">
        <f>IFERROR(__xludf.DUMMYFUNCTION("""COMPUTED_VALUE"""),"HH4068")</f>
        <v>HH4068</v>
      </c>
      <c r="H180" s="2" t="str">
        <f>IFERROR(__xludf.DUMMYFUNCTION("""COMPUTED_VALUE"""),"GC - IX - 4068 - N2SBIO - N2 HYPER CALBOR (Dạng SC - Vàng) - 500ml - 40")</f>
        <v>GC - IX - 4068 - N2SBIO - N2 HYPER CALBOR (Dạng SC - Vàng) - 500ml - 40</v>
      </c>
      <c r="I180" s="2" t="str">
        <f>IFERROR(__xludf.DUMMYFUNCTION("""COMPUTED_VALUE"""),"#N/A")</f>
        <v>#N/A</v>
      </c>
      <c r="J180" s="2"/>
      <c r="K180" s="2"/>
      <c r="L180" s="2" t="str">
        <f>IFERROR(__xludf.DUMMYFUNCTION("""COMPUTED_VALUE"""),"N01220825")</f>
        <v>N01220825</v>
      </c>
      <c r="M180" s="2" t="str">
        <f>IFERROR(__xludf.DUMMYFUNCTION("""COMPUTED_VALUE"""),"N2 HYPER CALBOR")</f>
        <v>N2 HYPER CALBOR</v>
      </c>
      <c r="N180" s="2" t="str">
        <f>IFERROR(__xludf.DUMMYFUNCTION("""COMPUTED_VALUE"""),"10CR0026")</f>
        <v>10CR0026</v>
      </c>
      <c r="O180" s="2" t="str">
        <f>IFERROR(__xludf.DUMMYFUNCTION("""COMPUTED_VALUE"""),"Phân bón lá NK-Trung-Vi lượng có chất điều hoà sinh trưởng HALO 26")</f>
        <v>Phân bón lá NK-Trung-Vi lượng có chất điều hoà sinh trưởng HALO 26</v>
      </c>
      <c r="P180" s="2" t="str">
        <f>IFERROR(__xludf.DUMMYFUNCTION("""COMPUTED_VALUE"""),"#N/A")</f>
        <v>#N/A</v>
      </c>
      <c r="Q180" s="30" t="str">
        <f>IFERROR(__xludf.DUMMYFUNCTION("""COMPUTED_VALUE"""),"KHÔNG KHỚP")</f>
        <v>KHÔNG KHỚP</v>
      </c>
      <c r="R180" s="2"/>
      <c r="S180" s="2"/>
      <c r="T180" s="2"/>
      <c r="U180" s="2"/>
      <c r="V180" s="2"/>
      <c r="W180" s="2"/>
      <c r="X180" s="2"/>
      <c r="Y180" s="2"/>
    </row>
    <row r="181">
      <c r="A181" s="30">
        <f>IFERROR(__xludf.DUMMYFUNCTION("""COMPUTED_VALUE"""),178.0)</f>
        <v>178</v>
      </c>
      <c r="B181" s="39">
        <f>IFERROR(__xludf.DUMMYFUNCTION("""COMPUTED_VALUE"""),45910.0)</f>
        <v>45910</v>
      </c>
      <c r="C181" s="30">
        <f>IFERROR(__xludf.DUMMYFUNCTION("""COMPUTED_VALUE"""),1.0)</f>
        <v>1</v>
      </c>
      <c r="D181" s="30" t="str">
        <f>IFERROR(__xludf.DUMMYFUNCTION("""COMPUTED_VALUE"""),"CT MỚI")</f>
        <v>CT MỚI</v>
      </c>
      <c r="E181" s="30"/>
      <c r="F181" s="2"/>
      <c r="G181" s="2" t="str">
        <f>IFERROR(__xludf.DUMMYFUNCTION("""COMPUTED_VALUE"""),"HH4247")</f>
        <v>HH4247</v>
      </c>
      <c r="H181" s="2" t="str">
        <f>IFERROR(__xludf.DUMMYFUNCTION("""COMPUTED_VALUE"""),"DR.XANH - VIII - 4247 - DR.CALBOR (Nước vàng xanh) - 500ml - 40")</f>
        <v>DR.XANH - VIII - 4247 - DR.CALBOR (Nước vàng xanh) - 500ml - 40</v>
      </c>
      <c r="I181" s="2" t="str">
        <f>IFERROR(__xludf.DUMMYFUNCTION("""COMPUTED_VALUE"""),"#N/A")</f>
        <v>#N/A</v>
      </c>
      <c r="J181" s="2"/>
      <c r="K181" s="2"/>
      <c r="L181" s="2" t="str">
        <f>IFERROR(__xludf.DUMMYFUNCTION("""COMPUTED_VALUE"""),"N02181224
X02121224")</f>
        <v>N02181224
X02121224</v>
      </c>
      <c r="M181" s="2" t="str">
        <f>IFERROR(__xludf.DUMMYFUNCTION("""COMPUTED_VALUE"""),"N2 HYPER CALBOR
DR.CALBOR")</f>
        <v>N2 HYPER CALBOR
DR.CALBOR</v>
      </c>
      <c r="N181" s="2" t="str">
        <f>IFERROR(__xludf.DUMMYFUNCTION("""COMPUTED_VALUE"""),"10CR0014V1")</f>
        <v>10CR0014V1</v>
      </c>
      <c r="O181" s="2" t="str">
        <f>IFERROR(__xludf.DUMMYFUNCTION("""COMPUTED_VALUE"""),"Phân bón Vi lượng AGAMA-CANXI BO")</f>
        <v>Phân bón Vi lượng AGAMA-CANXI BO</v>
      </c>
      <c r="P181" s="2" t="str">
        <f>IFERROR(__xludf.DUMMYFUNCTION("""COMPUTED_VALUE"""),"#N/A")</f>
        <v>#N/A</v>
      </c>
      <c r="Q181" s="30" t="str">
        <f>IFERROR(__xludf.DUMMYFUNCTION("""COMPUTED_VALUE"""),"KHÔNG KHỚP")</f>
        <v>KHÔNG KHỚP</v>
      </c>
      <c r="R181" s="2"/>
      <c r="S181" s="2"/>
      <c r="T181" s="2"/>
      <c r="U181" s="2"/>
      <c r="V181" s="2"/>
      <c r="W181" s="2"/>
      <c r="X181" s="2"/>
      <c r="Y181" s="2"/>
    </row>
    <row r="182">
      <c r="A182" s="30">
        <f>IFERROR(__xludf.DUMMYFUNCTION("""COMPUTED_VALUE"""),179.0)</f>
        <v>179</v>
      </c>
      <c r="B182" s="39">
        <f>IFERROR(__xludf.DUMMYFUNCTION("""COMPUTED_VALUE"""),45953.0)</f>
        <v>45953</v>
      </c>
      <c r="C182" s="30">
        <f>IFERROR(__xludf.DUMMYFUNCTION("""COMPUTED_VALUE"""),1.0)</f>
        <v>1</v>
      </c>
      <c r="D182" s="30" t="str">
        <f>IFERROR(__xludf.DUMMYFUNCTION("""COMPUTED_VALUE"""),"CT MỚI")</f>
        <v>CT MỚI</v>
      </c>
      <c r="E182" s="30"/>
      <c r="F182" s="2"/>
      <c r="G182" s="2" t="str">
        <f>IFERROR(__xludf.DUMMYFUNCTION("""COMPUTED_VALUE"""),"HH4098")</f>
        <v>HH4098</v>
      </c>
      <c r="H182" s="2" t="str">
        <f>IFERROR(__xludf.DUMMYFUNCTION("""COMPUTED_VALUE"""),"GC - IV - 4098 - Cty Sen Hồng (Anh Diễn) - Kích Rễ 4.0 (nước nâu đen) - 1L - 20")</f>
        <v>GC - IV - 4098 - Cty Sen Hồng (Anh Diễn) - Kích Rễ 4.0 (nước nâu đen) - 1L - 20</v>
      </c>
      <c r="I182" s="2" t="str">
        <f>IFERROR(__xludf.DUMMYFUNCTION("""COMPUTED_VALUE"""),"#N/A")</f>
        <v>#N/A</v>
      </c>
      <c r="J182" s="2"/>
      <c r="K182" s="2"/>
      <c r="L182" s="2"/>
      <c r="M182" s="2" t="str">
        <f>IFERROR(__xludf.DUMMYFUNCTION("""COMPUTED_VALUE"""),"KÍCH RỄ 4.0")</f>
        <v>KÍCH RỄ 4.0</v>
      </c>
      <c r="N182" s="2" t="str">
        <f>IFERROR(__xludf.DUMMYFUNCTION("""COMPUTED_VALUE"""),"01RR0006V1")</f>
        <v>01RR0006V1</v>
      </c>
      <c r="O182" s="2" t="str">
        <f>IFERROR(__xludf.DUMMYFUNCTION("""COMPUTED_VALUE"""),"Phân bón Vi lượng Quantity New")</f>
        <v>Phân bón Vi lượng Quantity New</v>
      </c>
      <c r="P182" s="2" t="str">
        <f>IFERROR(__xludf.DUMMYFUNCTION("""COMPUTED_VALUE"""),"#N/A")</f>
        <v>#N/A</v>
      </c>
      <c r="Q182" s="30" t="str">
        <f>IFERROR(__xludf.DUMMYFUNCTION("""COMPUTED_VALUE"""),"KHÔNG KHỚP")</f>
        <v>KHÔNG KHỚP</v>
      </c>
      <c r="R182" s="2"/>
      <c r="S182" s="2"/>
      <c r="T182" s="2"/>
      <c r="U182" s="2"/>
      <c r="V182" s="2"/>
      <c r="W182" s="2"/>
      <c r="X182" s="2"/>
      <c r="Y182" s="2"/>
    </row>
    <row r="183">
      <c r="A183" s="30">
        <f>IFERROR(__xludf.DUMMYFUNCTION("""COMPUTED_VALUE"""),180.0)</f>
        <v>180</v>
      </c>
      <c r="B183" s="39">
        <f>IFERROR(__xludf.DUMMYFUNCTION("""COMPUTED_VALUE"""),45892.0)</f>
        <v>45892</v>
      </c>
      <c r="C183" s="30">
        <f>IFERROR(__xludf.DUMMYFUNCTION("""COMPUTED_VALUE"""),1.0)</f>
        <v>1</v>
      </c>
      <c r="D183" s="30" t="str">
        <f>IFERROR(__xludf.DUMMYFUNCTION("""COMPUTED_VALUE"""),"CT CŨ")</f>
        <v>CT CŨ</v>
      </c>
      <c r="E183" s="30"/>
      <c r="F183" s="2"/>
      <c r="G183" s="2" t="str">
        <f>IFERROR(__xludf.DUMMYFUNCTION("""COMPUTED_VALUE"""),"HH4252")</f>
        <v>HH4252</v>
      </c>
      <c r="H183" s="2" t="str">
        <f>IFERROR(__xludf.DUMMYFUNCTION("""COMPUTED_VALUE"""),"GC - IV - 4252 - Cty Agritech (Anh Trương) - CABOR PLUS+ (Nước vàng mật ong) - 500ml - 40")</f>
        <v>GC - IV - 4252 - Cty Agritech (Anh Trương) - CABOR PLUS+ (Nước vàng mật ong) - 500ml - 40</v>
      </c>
      <c r="I183" s="2" t="str">
        <f>IFERROR(__xludf.DUMMYFUNCTION("""COMPUTED_VALUE"""),"#N/A")</f>
        <v>#N/A</v>
      </c>
      <c r="J183" s="2"/>
      <c r="K183" s="2"/>
      <c r="L183" s="2"/>
      <c r="M183" s="2" t="str">
        <f>IFERROR(__xludf.DUMMYFUNCTION("""COMPUTED_VALUE"""),"ULTRA KEO CABOR
BOCAX
US.BOCAXX")</f>
        <v>ULTRA KEO CABOR
BOCAX
US.BOCAXX</v>
      </c>
      <c r="N183" s="2" t="str">
        <f>IFERROR(__xludf.DUMMYFUNCTION("""COMPUTED_VALUE"""),"10CR0001V1")</f>
        <v>10CR0001V1</v>
      </c>
      <c r="O183" s="2" t="str">
        <f>IFERROR(__xludf.DUMMYFUNCTION("""COMPUTED_VALUE"""),"Phân bón Vi lượng Run Fast")</f>
        <v>Phân bón Vi lượng Run Fast</v>
      </c>
      <c r="P183" s="2" t="str">
        <f>IFERROR(__xludf.DUMMYFUNCTION("""COMPUTED_VALUE"""),"#N/A")</f>
        <v>#N/A</v>
      </c>
      <c r="Q183" s="30" t="str">
        <f>IFERROR(__xludf.DUMMYFUNCTION("""COMPUTED_VALUE"""),"KHÔNG KHỚP")</f>
        <v>KHÔNG KHỚP</v>
      </c>
      <c r="R183" s="2"/>
      <c r="S183" s="2"/>
      <c r="T183" s="2"/>
      <c r="U183" s="2"/>
      <c r="V183" s="2"/>
      <c r="W183" s="2"/>
      <c r="X183" s="2"/>
      <c r="Y183" s="2"/>
    </row>
    <row r="184">
      <c r="A184" s="30">
        <f>IFERROR(__xludf.DUMMYFUNCTION("""COMPUTED_VALUE"""),181.0)</f>
        <v>181</v>
      </c>
      <c r="B184" s="39">
        <f>IFERROR(__xludf.DUMMYFUNCTION("""COMPUTED_VALUE"""),45908.0)</f>
        <v>45908</v>
      </c>
      <c r="C184" s="30">
        <f>IFERROR(__xludf.DUMMYFUNCTION("""COMPUTED_VALUE"""),1.0)</f>
        <v>1</v>
      </c>
      <c r="D184" s="30" t="str">
        <f>IFERROR(__xludf.DUMMYFUNCTION("""COMPUTED_VALUE"""),"CT CŨ")</f>
        <v>CT CŨ</v>
      </c>
      <c r="E184" s="30"/>
      <c r="F184" s="2"/>
      <c r="G184" s="2" t="str">
        <f>IFERROR(__xludf.DUMMYFUNCTION("""COMPUTED_VALUE"""),"HH4243")</f>
        <v>HH4243</v>
      </c>
      <c r="H184" s="2" t="str">
        <f>IFERROR(__xludf.DUMMYFUNCTION("""COMPUTED_VALUE"""),"GC - IV - 4243 - CTY QUANG ĐĂNG AGRICULTURE - VỌT ĐỌT - MẬP CHỒI (Nước nâu đen) - 500ml - 40")</f>
        <v>GC - IV - 4243 - CTY QUANG ĐĂNG AGRICULTURE - VỌT ĐỌT - MẬP CHỒI (Nước nâu đen) - 500ml - 40</v>
      </c>
      <c r="I184" s="2" t="str">
        <f>IFERROR(__xludf.DUMMYFUNCTION("""COMPUTED_VALUE"""),"#N/A")</f>
        <v>#N/A</v>
      </c>
      <c r="J184" s="2"/>
      <c r="K184" s="2"/>
      <c r="L184" s="2" t="str">
        <f>IFERROR(__xludf.DUMMYFUNCTION("""COMPUTED_VALUE"""),"A20280225")</f>
        <v>A20280225</v>
      </c>
      <c r="M184" s="2" t="str">
        <f>IFERROR(__xludf.DUMMYFUNCTION("""COMPUTED_VALUE"""),"BETA VUA RỄ")</f>
        <v>BETA VUA RỄ</v>
      </c>
      <c r="N184" s="2" t="str">
        <f>IFERROR(__xludf.DUMMYFUNCTION("""COMPUTED_VALUE"""),"01RR0050")</f>
        <v>01RR0050</v>
      </c>
      <c r="O184" s="2" t="str">
        <f>IFERROR(__xludf.DUMMYFUNCTION("""COMPUTED_VALUE"""),"Phân bón Hỗn hợp NP AGAMA-AP")</f>
        <v>Phân bón Hỗn hợp NP AGAMA-AP</v>
      </c>
      <c r="P184" s="2" t="str">
        <f>IFERROR(__xludf.DUMMYFUNCTION("""COMPUTED_VALUE"""),"#N/A")</f>
        <v>#N/A</v>
      </c>
      <c r="Q184" s="30" t="str">
        <f>IFERROR(__xludf.DUMMYFUNCTION("""COMPUTED_VALUE"""),"KHÔNG KHỚP")</f>
        <v>KHÔNG KHỚP</v>
      </c>
      <c r="R184" s="2"/>
      <c r="S184" s="2"/>
      <c r="T184" s="2"/>
      <c r="U184" s="2"/>
      <c r="V184" s="2"/>
      <c r="W184" s="2"/>
      <c r="X184" s="2"/>
      <c r="Y184" s="2"/>
    </row>
    <row r="185">
      <c r="A185" s="30">
        <f>IFERROR(__xludf.DUMMYFUNCTION("""COMPUTED_VALUE"""),182.0)</f>
        <v>182</v>
      </c>
      <c r="B185" s="39">
        <f>IFERROR(__xludf.DUMMYFUNCTION("""COMPUTED_VALUE"""),45908.0)</f>
        <v>45908</v>
      </c>
      <c r="C185" s="30">
        <f>IFERROR(__xludf.DUMMYFUNCTION("""COMPUTED_VALUE"""),1.0)</f>
        <v>1</v>
      </c>
      <c r="D185" s="30" t="str">
        <f>IFERROR(__xludf.DUMMYFUNCTION("""COMPUTED_VALUE"""),"CT CŨ")</f>
        <v>CT CŨ</v>
      </c>
      <c r="E185" s="30"/>
      <c r="F185" s="2"/>
      <c r="G185" s="2" t="str">
        <f>IFERROR(__xludf.DUMMYFUNCTION("""COMPUTED_VALUE"""),"HH3460")</f>
        <v>HH3460</v>
      </c>
      <c r="H185" s="2" t="str">
        <f>IFERROR(__xludf.DUMMYFUNCTION("""COMPUTED_VALUE"""),"GC - IV - 3460 - Cty Quang Đăng Agriculture - PROTEIN (Nước nâu đen) - 500ml - 40")</f>
        <v>GC - IV - 3460 - Cty Quang Đăng Agriculture - PROTEIN (Nước nâu đen) - 500ml - 40</v>
      </c>
      <c r="I185" s="2" t="str">
        <f>IFERROR(__xludf.DUMMYFUNCTION("""COMPUTED_VALUE"""),"#N/A")</f>
        <v>#N/A</v>
      </c>
      <c r="J185" s="2"/>
      <c r="K185" s="2"/>
      <c r="L185" s="2" t="str">
        <f>IFERROR(__xludf.DUMMYFUNCTION("""COMPUTED_VALUE"""),"A20280225")</f>
        <v>A20280225</v>
      </c>
      <c r="M185" s="2" t="str">
        <f>IFERROR(__xludf.DUMMYFUNCTION("""COMPUTED_VALUE"""),"BETA VUA RỄ")</f>
        <v>BETA VUA RỄ</v>
      </c>
      <c r="N185" s="2" t="str">
        <f>IFERROR(__xludf.DUMMYFUNCTION("""COMPUTED_VALUE"""),"01RR0050")</f>
        <v>01RR0050</v>
      </c>
      <c r="O185" s="2" t="str">
        <f>IFERROR(__xludf.DUMMYFUNCTION("""COMPUTED_VALUE"""),"Phân bón Hỗn hợp NP AGAMA-AP")</f>
        <v>Phân bón Hỗn hợp NP AGAMA-AP</v>
      </c>
      <c r="P185" s="2" t="str">
        <f>IFERROR(__xludf.DUMMYFUNCTION("""COMPUTED_VALUE"""),"#N/A")</f>
        <v>#N/A</v>
      </c>
      <c r="Q185" s="30" t="str">
        <f>IFERROR(__xludf.DUMMYFUNCTION("""COMPUTED_VALUE"""),"KHÔNG KHỚP")</f>
        <v>KHÔNG KHỚP</v>
      </c>
      <c r="R185" s="2"/>
      <c r="S185" s="2"/>
      <c r="T185" s="2"/>
      <c r="U185" s="2"/>
      <c r="V185" s="2"/>
      <c r="W185" s="2"/>
      <c r="X185" s="2"/>
      <c r="Y185" s="2"/>
    </row>
    <row r="186">
      <c r="A186" s="30">
        <f>IFERROR(__xludf.DUMMYFUNCTION("""COMPUTED_VALUE"""),183.0)</f>
        <v>183</v>
      </c>
      <c r="B186" s="39">
        <f>IFERROR(__xludf.DUMMYFUNCTION("""COMPUTED_VALUE"""),45938.0)</f>
        <v>45938</v>
      </c>
      <c r="C186" s="30">
        <f>IFERROR(__xludf.DUMMYFUNCTION("""COMPUTED_VALUE"""),2.0)</f>
        <v>2</v>
      </c>
      <c r="D186" s="30" t="str">
        <f>IFERROR(__xludf.DUMMYFUNCTION("""COMPUTED_VALUE"""),"CT CŨ")</f>
        <v>CT CŨ</v>
      </c>
      <c r="E186" s="30"/>
      <c r="F186" s="2"/>
      <c r="G186" s="2" t="str">
        <f>IFERROR(__xludf.DUMMYFUNCTION("""COMPUTED_VALUE"""),"HH4192")</f>
        <v>HH4192</v>
      </c>
      <c r="H186" s="2" t="str">
        <f>IFERROR(__xludf.DUMMYFUNCTION("""COMPUTED_VALUE"""),"GC - IV - 4192 - NEWTECH CROP SCIENCE - NEW PLANT (Nước nâu đen) - 500ml - 30")</f>
        <v>GC - IV - 4192 - NEWTECH CROP SCIENCE - NEW PLANT (Nước nâu đen) - 500ml - 30</v>
      </c>
      <c r="I186" s="2" t="str">
        <f>IFERROR(__xludf.DUMMYFUNCTION("""COMPUTED_VALUE"""),"#N/A")</f>
        <v>#N/A</v>
      </c>
      <c r="J186" s="2"/>
      <c r="K186" s="2"/>
      <c r="L186" s="2" t="str">
        <f>IFERROR(__xludf.DUMMYFUNCTION("""COMPUTED_VALUE"""),"A04250724")</f>
        <v>A04250724</v>
      </c>
      <c r="M186" s="2" t="str">
        <f>IFERROR(__xludf.DUMMYFUNCTION("""COMPUTED_VALUE"""),"NEW PLANT")</f>
        <v>NEW PLANT</v>
      </c>
      <c r="N186" s="2" t="str">
        <f>IFERROR(__xludf.DUMMYFUNCTION("""COMPUTED_VALUE"""),"01RR0030V1")</f>
        <v>01RR0030V1</v>
      </c>
      <c r="O186" s="2" t="str">
        <f>IFERROR(__xludf.DUMMYFUNCTION("""COMPUTED_VALUE"""),"Phân bón Hỗn hợp NP AGAMA-AP")</f>
        <v>Phân bón Hỗn hợp NP AGAMA-AP</v>
      </c>
      <c r="P186" s="2" t="str">
        <f>IFERROR(__xludf.DUMMYFUNCTION("""COMPUTED_VALUE"""),"#N/A")</f>
        <v>#N/A</v>
      </c>
      <c r="Q186" s="30" t="str">
        <f>IFERROR(__xludf.DUMMYFUNCTION("""COMPUTED_VALUE"""),"KHÔNG KHỚP")</f>
        <v>KHÔNG KHỚP</v>
      </c>
      <c r="R186" s="2"/>
      <c r="S186" s="2"/>
      <c r="T186" s="2"/>
      <c r="U186" s="2"/>
      <c r="V186" s="2"/>
      <c r="W186" s="2"/>
      <c r="X186" s="2"/>
      <c r="Y186" s="2"/>
    </row>
    <row r="187">
      <c r="A187" s="30">
        <f>IFERROR(__xludf.DUMMYFUNCTION("""COMPUTED_VALUE"""),184.0)</f>
        <v>184</v>
      </c>
      <c r="B187" s="39">
        <f>IFERROR(__xludf.DUMMYFUNCTION("""COMPUTED_VALUE"""),45953.0)</f>
        <v>45953</v>
      </c>
      <c r="C187" s="30">
        <f>IFERROR(__xludf.DUMMYFUNCTION("""COMPUTED_VALUE"""),1.0)</f>
        <v>1</v>
      </c>
      <c r="D187" s="30" t="str">
        <f>IFERROR(__xludf.DUMMYFUNCTION("""COMPUTED_VALUE"""),"CT MỚI")</f>
        <v>CT MỚI</v>
      </c>
      <c r="E187" s="30"/>
      <c r="F187" s="2"/>
      <c r="G187" s="2" t="str">
        <f>IFERROR(__xludf.DUMMYFUNCTION("""COMPUTED_VALUE"""),"HH3131")</f>
        <v>HH3131</v>
      </c>
      <c r="H187" s="2" t="str">
        <f>IFERROR(__xludf.DUMMYFUNCTION("""COMPUTED_VALUE"""),"GC - IV - 3131 - HÓA NÔNG SHINO - CỨNG CÂY D345 (Nước nâu đen) - 500ml - 30")</f>
        <v>GC - IV - 3131 - HÓA NÔNG SHINO - CỨNG CÂY D345 (Nước nâu đen) - 500ml - 30</v>
      </c>
      <c r="I187" s="2" t="str">
        <f>IFERROR(__xludf.DUMMYFUNCTION("""COMPUTED_VALUE"""),"#N/A")</f>
        <v>#N/A</v>
      </c>
      <c r="J187" s="2"/>
      <c r="K187" s="2"/>
      <c r="L187" s="2" t="str">
        <f>IFERROR(__xludf.DUMMYFUNCTION("""COMPUTED_VALUE"""),"A01030724")</f>
        <v>A01030724</v>
      </c>
      <c r="M187" s="2" t="str">
        <f>IFERROR(__xludf.DUMMYFUNCTION("""COMPUTED_VALUE"""),"CỨNG CÂY D345
CỨNG CÂY K40
AGRI AKA.T20")</f>
        <v>CỨNG CÂY D345
CỨNG CÂY K40
AGRI AKA.T20</v>
      </c>
      <c r="N187" s="2" t="str">
        <f>IFERROR(__xludf.DUMMYFUNCTION("""COMPUTED_VALUE"""),"02CC0005")</f>
        <v>02CC0005</v>
      </c>
      <c r="O187" s="2" t="str">
        <f>IFERROR(__xludf.DUMMYFUNCTION("""COMPUTED_VALUE"""),"Phân bón Hữu cơ SH Agro Organic Fertilizer 20")</f>
        <v>Phân bón Hữu cơ SH Agro Organic Fertilizer 20</v>
      </c>
      <c r="P187" s="2" t="str">
        <f>IFERROR(__xludf.DUMMYFUNCTION("""COMPUTED_VALUE"""),"#N/A")</f>
        <v>#N/A</v>
      </c>
      <c r="Q187" s="30" t="str">
        <f>IFERROR(__xludf.DUMMYFUNCTION("""COMPUTED_VALUE"""),"KHÔNG KHỚP")</f>
        <v>KHÔNG KHỚP</v>
      </c>
      <c r="R187" s="2"/>
      <c r="S187" s="2"/>
      <c r="T187" s="2"/>
      <c r="U187" s="2"/>
      <c r="V187" s="2"/>
      <c r="W187" s="2"/>
      <c r="X187" s="2"/>
      <c r="Y187" s="2"/>
    </row>
    <row r="188">
      <c r="A188" s="30">
        <f>IFERROR(__xludf.DUMMYFUNCTION("""COMPUTED_VALUE"""),185.0)</f>
        <v>185</v>
      </c>
      <c r="B188" s="39">
        <f>IFERROR(__xludf.DUMMYFUNCTION("""COMPUTED_VALUE"""),45929.0)</f>
        <v>45929</v>
      </c>
      <c r="C188" s="30">
        <f>IFERROR(__xludf.DUMMYFUNCTION("""COMPUTED_VALUE"""),1.0)</f>
        <v>1</v>
      </c>
      <c r="D188" s="30" t="str">
        <f>IFERROR(__xludf.DUMMYFUNCTION("""COMPUTED_VALUE"""),"CT CŨ")</f>
        <v>CT CŨ</v>
      </c>
      <c r="E188" s="30"/>
      <c r="F188" s="2"/>
      <c r="G188" s="2" t="str">
        <f>IFERROR(__xludf.DUMMYFUNCTION("""COMPUTED_VALUE"""),"HH3794")</f>
        <v>HH3794</v>
      </c>
      <c r="H188" s="2" t="str">
        <f>IFERROR(__xludf.DUMMYFUNCTION("""COMPUTED_VALUE"""),"GC - IV - 3794 - Cty Sen Hồng (A.Diễn) - VÔ GẠO TE+ (Gel đỏ cam) - 500ml - 40")</f>
        <v>GC - IV - 3794 - Cty Sen Hồng (A.Diễn) - VÔ GẠO TE+ (Gel đỏ cam) - 500ml - 40</v>
      </c>
      <c r="I188" s="2" t="str">
        <f>IFERROR(__xludf.DUMMYFUNCTION("""COMPUTED_VALUE"""),"#N/A")</f>
        <v>#N/A</v>
      </c>
      <c r="J188" s="2"/>
      <c r="K188" s="2"/>
      <c r="L188" s="2"/>
      <c r="M188" s="2" t="str">
        <f>IFERROR(__xludf.DUMMYFUNCTION("""COMPUTED_VALUE"""),"SIÊU VÔ GẠO TE+
1 TẤN 4
SHINO 1 TẤN 4
SHINO RICE")</f>
        <v>SIÊU VÔ GẠO TE+
1 TẤN 4
SHINO 1 TẤN 4
SHINO RICE</v>
      </c>
      <c r="N188" s="2" t="str">
        <f>IFERROR(__xludf.DUMMYFUNCTION("""COMPUTED_VALUE"""),"04VG0014V1")</f>
        <v>04VG0014V1</v>
      </c>
      <c r="O188" s="2" t="str">
        <f>IFERROR(__xludf.DUMMYFUNCTION("""COMPUTED_VALUE"""),"Phân bón NPK-Vi lượng MASSIVE-BLUE")</f>
        <v>Phân bón NPK-Vi lượng MASSIVE-BLUE</v>
      </c>
      <c r="P188" s="2" t="str">
        <f>IFERROR(__xludf.DUMMYFUNCTION("""COMPUTED_VALUE"""),"#N/A")</f>
        <v>#N/A</v>
      </c>
      <c r="Q188" s="30" t="str">
        <f>IFERROR(__xludf.DUMMYFUNCTION("""COMPUTED_VALUE"""),"KHÔNG KHỚP")</f>
        <v>KHÔNG KHỚP</v>
      </c>
      <c r="R188" s="2"/>
      <c r="S188" s="2"/>
      <c r="T188" s="2"/>
      <c r="U188" s="2"/>
      <c r="V188" s="2"/>
      <c r="W188" s="2"/>
      <c r="X188" s="2"/>
      <c r="Y188" s="2"/>
    </row>
    <row r="189">
      <c r="A189" s="30">
        <f>IFERROR(__xludf.DUMMYFUNCTION("""COMPUTED_VALUE"""),186.0)</f>
        <v>186</v>
      </c>
      <c r="B189" s="39">
        <f>IFERROR(__xludf.DUMMYFUNCTION("""COMPUTED_VALUE"""),45953.0)</f>
        <v>45953</v>
      </c>
      <c r="C189" s="30">
        <f>IFERROR(__xludf.DUMMYFUNCTION("""COMPUTED_VALUE"""),1.0)</f>
        <v>1</v>
      </c>
      <c r="D189" s="30" t="str">
        <f>IFERROR(__xludf.DUMMYFUNCTION("""COMPUTED_VALUE"""),"CT MỚI")</f>
        <v>CT MỚI</v>
      </c>
      <c r="E189" s="30"/>
      <c r="F189" s="2"/>
      <c r="G189" s="2" t="str">
        <f>IFERROR(__xludf.DUMMYFUNCTION("""COMPUTED_VALUE"""),"HH4120")</f>
        <v>HH4120</v>
      </c>
      <c r="H189" s="2" t="str">
        <f>IFERROR(__xludf.DUMMYFUNCTION("""COMPUTED_VALUE"""),"IDA Global - I - 4120 - Amazon 80 - 100ml - 100")</f>
        <v>IDA Global - I - 4120 - Amazon 80 - 100ml - 100</v>
      </c>
      <c r="I189" s="2" t="str">
        <f>IFERROR(__xludf.DUMMYFUNCTION("""COMPUTED_VALUE"""),"#N/A")</f>
        <v>#N/A</v>
      </c>
      <c r="J189" s="2"/>
      <c r="K189" s="2"/>
      <c r="L189" s="2" t="str">
        <f>IFERROR(__xludf.DUMMYFUNCTION("""COMPUTED_VALUE"""),"I01040925")</f>
        <v>I01040925</v>
      </c>
      <c r="M189" s="2" t="str">
        <f>IFERROR(__xludf.DUMMYFUNCTION("""COMPUTED_VALUE"""),"Magie kẽm IDA ")</f>
        <v>Magie kẽm IDA </v>
      </c>
      <c r="N189" s="2" t="str">
        <f>IFERROR(__xludf.DUMMYFUNCTION("""COMPUTED_VALUE"""),"23GS0014")</f>
        <v>23GS0014</v>
      </c>
      <c r="O189" s="2" t="str">
        <f>IFERROR(__xludf.DUMMYFUNCTION("""COMPUTED_VALUE"""),"Phân bón vi lượng Phú Sĩ FJ-09 Kẽm Mg")</f>
        <v>Phân bón vi lượng Phú Sĩ FJ-09 Kẽm Mg</v>
      </c>
      <c r="P189" s="2" t="str">
        <f>IFERROR(__xludf.DUMMYFUNCTION("""COMPUTED_VALUE"""),"#N/A")</f>
        <v>#N/A</v>
      </c>
      <c r="Q189" s="30" t="str">
        <f>IFERROR(__xludf.DUMMYFUNCTION("""COMPUTED_VALUE"""),"KHÔNG KHỚP")</f>
        <v>KHÔNG KHỚP</v>
      </c>
      <c r="R189" s="2"/>
      <c r="S189" s="2"/>
      <c r="T189" s="2"/>
      <c r="U189" s="2"/>
      <c r="V189" s="2"/>
      <c r="W189" s="2"/>
      <c r="X189" s="2"/>
      <c r="Y189" s="2"/>
    </row>
    <row r="190">
      <c r="A190" s="30">
        <f>IFERROR(__xludf.DUMMYFUNCTION("""COMPUTED_VALUE"""),187.0)</f>
        <v>187</v>
      </c>
      <c r="B190" s="39">
        <f>IFERROR(__xludf.DUMMYFUNCTION("""COMPUTED_VALUE"""),45889.0)</f>
        <v>45889</v>
      </c>
      <c r="C190" s="30">
        <f>IFERROR(__xludf.DUMMYFUNCTION("""COMPUTED_VALUE"""),3.0)</f>
        <v>3</v>
      </c>
      <c r="D190" s="30" t="str">
        <f>IFERROR(__xludf.DUMMYFUNCTION("""COMPUTED_VALUE"""),"CT CŨ")</f>
        <v>CT CŨ</v>
      </c>
      <c r="E190" s="30"/>
      <c r="F190" s="2"/>
      <c r="G190" s="2" t="str">
        <f>IFERROR(__xludf.DUMMYFUNCTION("""COMPUTED_VALUE"""),"HH4174")</f>
        <v>HH4174</v>
      </c>
      <c r="H190" s="2" t="str">
        <f>IFERROR(__xludf.DUMMYFUNCTION("""COMPUTED_VALUE"""),"IDA Global - I - 4174 - STOP UP (Nước nâu đen) - 1L - 20")</f>
        <v>IDA Global - I - 4174 - STOP UP (Nước nâu đen) - 1L - 20</v>
      </c>
      <c r="I190" s="2" t="str">
        <f>IFERROR(__xludf.DUMMYFUNCTION("""COMPUTED_VALUE"""),"#N/A")</f>
        <v>#N/A</v>
      </c>
      <c r="J190" s="2"/>
      <c r="K190" s="2"/>
      <c r="L190" s="2" t="str">
        <f>IFERROR(__xludf.DUMMYFUNCTION("""COMPUTED_VALUE"""),"CHẶN ĐỌT DÒNG V2")</f>
        <v>CHẶN ĐỌT DÒNG V2</v>
      </c>
      <c r="M190" s="2" t="str">
        <f>IFERROR(__xludf.DUMMYFUNCTION("""COMPUTED_VALUE"""),"STOP UP
MT STOP
AGRI STOP
STOP ĐỌT
SIÊU CHẶN ĐỌT
MASTER STOP
UNI STOP ONE
BAMBOO DOUBLE STOP")</f>
        <v>STOP UP
MT STOP
AGRI STOP
STOP ĐỌT
SIÊU CHẶN ĐỌT
MASTER STOP
UNI STOP ONE
BAMBOO DOUBLE STOP</v>
      </c>
      <c r="N190" s="2" t="str">
        <f>IFERROR(__xludf.DUMMYFUNCTION("""COMPUTED_VALUE"""),"06CD0009V1")</f>
        <v>06CD0009V1</v>
      </c>
      <c r="O190" s="2" t="str">
        <f>IFERROR(__xludf.DUMMYFUNCTION("""COMPUTED_VALUE"""),"Phân bón Vi lượng Quantity New")</f>
        <v>Phân bón Vi lượng Quantity New</v>
      </c>
      <c r="P190" s="2" t="str">
        <f>IFERROR(__xludf.DUMMYFUNCTION("""COMPUTED_VALUE"""),"#N/A")</f>
        <v>#N/A</v>
      </c>
      <c r="Q190" s="30" t="str">
        <f>IFERROR(__xludf.DUMMYFUNCTION("""COMPUTED_VALUE"""),"KHÔNG KHỚP")</f>
        <v>KHÔNG KHỚP</v>
      </c>
      <c r="R190" s="2"/>
      <c r="S190" s="2"/>
      <c r="T190" s="2"/>
      <c r="U190" s="2"/>
      <c r="V190" s="2"/>
      <c r="W190" s="2"/>
      <c r="X190" s="2"/>
      <c r="Y190" s="2"/>
    </row>
    <row r="191">
      <c r="A191" s="30">
        <f>IFERROR(__xludf.DUMMYFUNCTION("""COMPUTED_VALUE"""),188.0)</f>
        <v>188</v>
      </c>
      <c r="B191" s="39">
        <f>IFERROR(__xludf.DUMMYFUNCTION("""COMPUTED_VALUE"""),45913.0)</f>
        <v>45913</v>
      </c>
      <c r="C191" s="30">
        <f>IFERROR(__xludf.DUMMYFUNCTION("""COMPUTED_VALUE"""),1.0)</f>
        <v>1</v>
      </c>
      <c r="D191" s="30" t="str">
        <f>IFERROR(__xludf.DUMMYFUNCTION("""COMPUTED_VALUE"""),"CT CŨ")</f>
        <v>CT CŨ</v>
      </c>
      <c r="E191" s="30"/>
      <c r="F191" s="2"/>
      <c r="G191" s="2" t="str">
        <f>IFERROR(__xludf.DUMMYFUNCTION("""COMPUTED_VALUE"""),"HH4262")</f>
        <v>HH4262</v>
      </c>
      <c r="H191" s="2" t="str">
        <f>IFERROR(__xludf.DUMMYFUNCTION("""COMPUTED_VALUE"""),"CTY HƯƠNG NÔNG (A.TÙNG) - Hữu cơ Organic BM Gold  FW - BIO HỮU CƠ - 10L - 1")</f>
        <v>CTY HƯƠNG NÔNG (A.TÙNG) - Hữu cơ Organic BM Gold  FW - BIO HỮU CƠ - 10L - 1</v>
      </c>
      <c r="I191" s="39" t="str">
        <f>IFERROR(__xludf.DUMMYFUNCTION("""COMPUTED_VALUE"""),"Hữu cơ Organic BM Gold  FW")</f>
        <v>Hữu cơ Organic BM Gold  FW</v>
      </c>
      <c r="J191" s="2"/>
      <c r="K191" s="2"/>
      <c r="L191" s="2" t="str">
        <f>IFERROR(__xludf.DUMMYFUNCTION("""COMPUTED_VALUE"""),"A02281124")</f>
        <v>A02281124</v>
      </c>
      <c r="M191" s="2" t="str">
        <f>IFERROR(__xludf.DUMMYFUNCTION("""COMPUTED_VALUE"""),"BIO HỮU CƠ")</f>
        <v>BIO HỮU CƠ</v>
      </c>
      <c r="N191" s="2" t="str">
        <f>IFERROR(__xludf.DUMMYFUNCTION("""COMPUTED_VALUE"""),"11TT0010")</f>
        <v>11TT0010</v>
      </c>
      <c r="O191" s="2" t="str">
        <f>IFERROR(__xludf.DUMMYFUNCTION("""COMPUTED_VALUE"""),"Phân bón Hữu cơ ORGANIC BM GOLD FW")</f>
        <v>Phân bón Hữu cơ ORGANIC BM GOLD FW</v>
      </c>
      <c r="P191" s="2" t="str">
        <f>IFERROR(__xludf.DUMMYFUNCTION("""COMPUTED_VALUE"""),"Phân bón Hữu cơ Organic BM Gold  FW")</f>
        <v>Phân bón Hữu cơ Organic BM Gold  FW</v>
      </c>
      <c r="Q191" s="30" t="str">
        <f>IFERROR(__xludf.DUMMYFUNCTION("""COMPUTED_VALUE"""),"KHÔNG KHỚP")</f>
        <v>KHÔNG KHỚP</v>
      </c>
      <c r="R191" s="2"/>
      <c r="S191" s="2"/>
      <c r="T191" s="2"/>
      <c r="U191" s="2"/>
      <c r="V191" s="2"/>
      <c r="W191" s="2"/>
      <c r="X191" s="2"/>
      <c r="Y191" s="2"/>
    </row>
    <row r="192">
      <c r="A192" s="30">
        <f>IFERROR(__xludf.DUMMYFUNCTION("""COMPUTED_VALUE"""),189.0)</f>
        <v>189</v>
      </c>
      <c r="B192" s="39">
        <f>IFERROR(__xludf.DUMMYFUNCTION("""COMPUTED_VALUE"""),45896.0)</f>
        <v>45896</v>
      </c>
      <c r="C192" s="30">
        <f>IFERROR(__xludf.DUMMYFUNCTION("""COMPUTED_VALUE"""),1.0)</f>
        <v>1</v>
      </c>
      <c r="D192" s="30" t="str">
        <f>IFERROR(__xludf.DUMMYFUNCTION("""COMPUTED_VALUE"""),"CT CŨ")</f>
        <v>CT CŨ</v>
      </c>
      <c r="E192" s="30"/>
      <c r="F192" s="2"/>
      <c r="G192" s="2" t="str">
        <f>IFERROR(__xludf.DUMMYFUNCTION("""COMPUTED_VALUE"""),"HH4259")</f>
        <v>HH4259</v>
      </c>
      <c r="H192" s="2" t="str">
        <f>IFERROR(__xludf.DUMMYFUNCTION("""COMPUTED_VALUE"""),"GC - IV - 4259 - CTY DONA VINA - CANXIBO MAXI (Nước trắng sữa) - 500ml - 40")</f>
        <v>GC - IV - 4259 - CTY DONA VINA - CANXIBO MAXI (Nước trắng sữa) - 500ml - 40</v>
      </c>
      <c r="I192" s="2" t="str">
        <f>IFERROR(__xludf.DUMMYFUNCTION("""COMPUTED_VALUE"""),"#N/A")</f>
        <v>#N/A</v>
      </c>
      <c r="J192" s="2"/>
      <c r="K192" s="2"/>
      <c r="L192" s="2" t="str">
        <f>IFERROR(__xludf.DUMMYFUNCTION("""COMPUTED_VALUE"""),"A02160725")</f>
        <v>A02160725</v>
      </c>
      <c r="M192" s="2" t="str">
        <f>IFERROR(__xludf.DUMMYFUNCTION("""COMPUTED_VALUE"""),"AGAMA-CANXI BO
(KIM NGỌC)")</f>
        <v>AGAMA-CANXI BO
(KIM NGỌC)</v>
      </c>
      <c r="N192" s="2" t="str">
        <f>IFERROR(__xludf.DUMMYFUNCTION("""COMPUTED_VALUE"""),"10CR0021")</f>
        <v>10CR0021</v>
      </c>
      <c r="O192" s="2" t="str">
        <f>IFERROR(__xludf.DUMMYFUNCTION("""COMPUTED_VALUE"""),"Phân bón Vi lượng AGAMA-CANXI BO")</f>
        <v>Phân bón Vi lượng AGAMA-CANXI BO</v>
      </c>
      <c r="P192" s="2" t="str">
        <f>IFERROR(__xludf.DUMMYFUNCTION("""COMPUTED_VALUE"""),"#N/A")</f>
        <v>#N/A</v>
      </c>
      <c r="Q192" s="30" t="str">
        <f>IFERROR(__xludf.DUMMYFUNCTION("""COMPUTED_VALUE"""),"KHÔNG KHỚP")</f>
        <v>KHÔNG KHỚP</v>
      </c>
      <c r="R192" s="2"/>
      <c r="S192" s="2"/>
      <c r="T192" s="2"/>
      <c r="U192" s="2"/>
      <c r="V192" s="2"/>
      <c r="W192" s="2"/>
      <c r="X192" s="2"/>
      <c r="Y192" s="2"/>
    </row>
    <row r="193">
      <c r="A193" s="30">
        <f>IFERROR(__xludf.DUMMYFUNCTION("""COMPUTED_VALUE"""),190.0)</f>
        <v>190</v>
      </c>
      <c r="B193" s="39">
        <f>IFERROR(__xludf.DUMMYFUNCTION("""COMPUTED_VALUE"""),45896.0)</f>
        <v>45896</v>
      </c>
      <c r="C193" s="30">
        <f>IFERROR(__xludf.DUMMYFUNCTION("""COMPUTED_VALUE"""),1.0)</f>
        <v>1</v>
      </c>
      <c r="D193" s="30" t="str">
        <f>IFERROR(__xludf.DUMMYFUNCTION("""COMPUTED_VALUE"""),"CT CŨ")</f>
        <v>CT CŨ</v>
      </c>
      <c r="E193" s="30"/>
      <c r="F193" s="2"/>
      <c r="G193" s="2" t="str">
        <f>IFERROR(__xludf.DUMMYFUNCTION("""COMPUTED_VALUE"""),"HH4016")</f>
        <v>HH4016</v>
      </c>
      <c r="H193" s="2" t="str">
        <f>IFERROR(__xludf.DUMMYFUNCTION("""COMPUTED_VALUE"""),"GC - IV - 4016 - CTY NOVI - CANXI BO (Nước trắng sữa) - 250ml - 40")</f>
        <v>GC - IV - 4016 - CTY NOVI - CANXI BO (Nước trắng sữa) - 250ml - 40</v>
      </c>
      <c r="I193" s="2" t="str">
        <f>IFERROR(__xludf.DUMMYFUNCTION("""COMPUTED_VALUE"""),"#N/A")</f>
        <v>#N/A</v>
      </c>
      <c r="J193" s="2"/>
      <c r="K193" s="2"/>
      <c r="L193" s="2" t="str">
        <f>IFERROR(__xludf.DUMMYFUNCTION("""COMPUTED_VALUE"""),"A02160725")</f>
        <v>A02160725</v>
      </c>
      <c r="M193" s="2" t="str">
        <f>IFERROR(__xludf.DUMMYFUNCTION("""COMPUTED_VALUE"""),"AGAMA-CANXI BO
(KIM NGỌC)")</f>
        <v>AGAMA-CANXI BO
(KIM NGỌC)</v>
      </c>
      <c r="N193" s="2" t="str">
        <f>IFERROR(__xludf.DUMMYFUNCTION("""COMPUTED_VALUE"""),"10CR0021")</f>
        <v>10CR0021</v>
      </c>
      <c r="O193" s="2" t="str">
        <f>IFERROR(__xludf.DUMMYFUNCTION("""COMPUTED_VALUE"""),"Phân bón Vi lượng AGAMA-CANXI BO")</f>
        <v>Phân bón Vi lượng AGAMA-CANXI BO</v>
      </c>
      <c r="P193" s="2" t="str">
        <f>IFERROR(__xludf.DUMMYFUNCTION("""COMPUTED_VALUE"""),"#N/A")</f>
        <v>#N/A</v>
      </c>
      <c r="Q193" s="30" t="str">
        <f>IFERROR(__xludf.DUMMYFUNCTION("""COMPUTED_VALUE"""),"KHÔNG KHỚP")</f>
        <v>KHÔNG KHỚP</v>
      </c>
      <c r="R193" s="2"/>
      <c r="S193" s="2"/>
      <c r="T193" s="2"/>
      <c r="U193" s="2"/>
      <c r="V193" s="2"/>
      <c r="W193" s="2"/>
      <c r="X193" s="2"/>
      <c r="Y193" s="2"/>
    </row>
    <row r="194">
      <c r="A194" s="30">
        <f>IFERROR(__xludf.DUMMYFUNCTION("""COMPUTED_VALUE"""),191.0)</f>
        <v>191</v>
      </c>
      <c r="B194" s="39">
        <f>IFERROR(__xludf.DUMMYFUNCTION("""COMPUTED_VALUE"""),45939.0)</f>
        <v>45939</v>
      </c>
      <c r="C194" s="30">
        <f>IFERROR(__xludf.DUMMYFUNCTION("""COMPUTED_VALUE"""),1.0)</f>
        <v>1</v>
      </c>
      <c r="D194" s="30" t="str">
        <f>IFERROR(__xludf.DUMMYFUNCTION("""COMPUTED_VALUE"""),"CT MỚI")</f>
        <v>CT MỚI</v>
      </c>
      <c r="E194" s="30"/>
      <c r="F194" s="2"/>
      <c r="G194" s="2" t="str">
        <f>IFERROR(__xludf.DUMMYFUNCTION("""COMPUTED_VALUE"""),"HH4265")</f>
        <v>HH4265</v>
      </c>
      <c r="H194" s="2" t="str">
        <f>IFERROR(__xludf.DUMMYFUNCTION("""COMPUTED_VALUE"""),"GC - IV - 4265 - THÀNH CÔNG AGRI - PK-MAX (Nước nâu vàng) - 500ml - 30")</f>
        <v>GC - IV - 4265 - THÀNH CÔNG AGRI - PK-MAX (Nước nâu vàng) - 500ml - 30</v>
      </c>
      <c r="I194" s="2" t="str">
        <f>IFERROR(__xludf.DUMMYFUNCTION("""COMPUTED_VALUE"""),"#N/A")</f>
        <v>#N/A</v>
      </c>
      <c r="J194" s="2"/>
      <c r="K194" s="2"/>
      <c r="L194" s="2" t="str">
        <f>IFERROR(__xludf.DUMMYFUNCTION("""COMPUTED_VALUE"""),"A07290925")</f>
        <v>A07290925</v>
      </c>
      <c r="M194" s="2" t="str">
        <f>IFERROR(__xludf.DUMMYFUNCTION("""COMPUTED_VALUE"""),"TẠO MẦM ")</f>
        <v>TẠO MẦM </v>
      </c>
      <c r="N194" s="2" t="str">
        <f>IFERROR(__xludf.DUMMYFUNCTION("""COMPUTED_VALUE"""),"08TM0027")</f>
        <v>08TM0027</v>
      </c>
      <c r="O194" s="2" t="str">
        <f>IFERROR(__xludf.DUMMYFUNCTION("""COMPUTED_VALUE"""),"Phân bón lá hỗn hợp PK AGRI FOS AB")</f>
        <v>Phân bón lá hỗn hợp PK AGRI FOS AB</v>
      </c>
      <c r="P194" s="2" t="str">
        <f>IFERROR(__xludf.DUMMYFUNCTION("""COMPUTED_VALUE"""),"#N/A")</f>
        <v>#N/A</v>
      </c>
      <c r="Q194" s="30" t="str">
        <f>IFERROR(__xludf.DUMMYFUNCTION("""COMPUTED_VALUE"""),"KHÔNG KHỚP")</f>
        <v>KHÔNG KHỚP</v>
      </c>
      <c r="R194" s="2"/>
      <c r="S194" s="2"/>
      <c r="T194" s="2"/>
      <c r="U194" s="2"/>
      <c r="V194" s="2"/>
      <c r="W194" s="2"/>
      <c r="X194" s="2"/>
      <c r="Y194" s="2"/>
    </row>
    <row r="195">
      <c r="A195" s="30">
        <f>IFERROR(__xludf.DUMMYFUNCTION("""COMPUTED_VALUE"""),192.0)</f>
        <v>192</v>
      </c>
      <c r="B195" s="39">
        <f>IFERROR(__xludf.DUMMYFUNCTION("""COMPUTED_VALUE"""),45953.0)</f>
        <v>45953</v>
      </c>
      <c r="C195" s="30">
        <f>IFERROR(__xludf.DUMMYFUNCTION("""COMPUTED_VALUE"""),1.0)</f>
        <v>1</v>
      </c>
      <c r="D195" s="30" t="str">
        <f>IFERROR(__xludf.DUMMYFUNCTION("""COMPUTED_VALUE"""),"CT MỚI")</f>
        <v>CT MỚI</v>
      </c>
      <c r="E195" s="30"/>
      <c r="F195" s="2"/>
      <c r="G195" s="2" t="str">
        <f>IFERROR(__xludf.DUMMYFUNCTION("""COMPUTED_VALUE"""),"HH4267")</f>
        <v>HH4267</v>
      </c>
      <c r="H195" s="2" t="str">
        <f>IFERROR(__xludf.DUMMYFUNCTION("""COMPUTED_VALUE"""),"GC - IV - 4267 - CSSX An Khang (A.Dinh) - TAK06 (Gel nâu đen) - 20L - 1")</f>
        <v>GC - IV - 4267 - CSSX An Khang (A.Dinh) - TAK06 (Gel nâu đen) - 20L - 1</v>
      </c>
      <c r="I195" s="2" t="str">
        <f>IFERROR(__xludf.DUMMYFUNCTION("""COMPUTED_VALUE"""),"#N/A")</f>
        <v>#N/A</v>
      </c>
      <c r="J195" s="2"/>
      <c r="K195" s="2"/>
      <c r="L195" s="2" t="str">
        <f>IFERROR(__xludf.DUMMYFUNCTION("""COMPUTED_VALUE"""),"A02251124")</f>
        <v>A02251124</v>
      </c>
      <c r="M195" s="2" t="str">
        <f>IFERROR(__xludf.DUMMYFUNCTION("""COMPUTED_VALUE"""),"TAK06")</f>
        <v>TAK06</v>
      </c>
      <c r="N195" s="2" t="str">
        <f>IFERROR(__xludf.DUMMYFUNCTION("""COMPUTED_VALUE"""),"19DD0014V2")</f>
        <v>19DD0014V2</v>
      </c>
      <c r="O195" s="2" t="str">
        <f>IFERROR(__xludf.DUMMYFUNCTION("""COMPUTED_VALUE"""),"Phân bón Vi lượng Run Fast")</f>
        <v>Phân bón Vi lượng Run Fast</v>
      </c>
      <c r="P195" s="2" t="str">
        <f>IFERROR(__xludf.DUMMYFUNCTION("""COMPUTED_VALUE"""),"#N/A")</f>
        <v>#N/A</v>
      </c>
      <c r="Q195" s="30" t="str">
        <f>IFERROR(__xludf.DUMMYFUNCTION("""COMPUTED_VALUE"""),"KHÔNG KHỚP")</f>
        <v>KHÔNG KHỚP</v>
      </c>
      <c r="R195" s="2"/>
      <c r="S195" s="2"/>
      <c r="T195" s="2"/>
      <c r="U195" s="2"/>
      <c r="V195" s="2"/>
      <c r="W195" s="2"/>
      <c r="X195" s="2"/>
      <c r="Y195" s="2"/>
    </row>
    <row r="196">
      <c r="A196" s="30">
        <f>IFERROR(__xludf.DUMMYFUNCTION("""COMPUTED_VALUE"""),193.0)</f>
        <v>193</v>
      </c>
      <c r="B196" s="39">
        <f>IFERROR(__xludf.DUMMYFUNCTION("""COMPUTED_VALUE"""),45953.0)</f>
        <v>45953</v>
      </c>
      <c r="C196" s="30">
        <f>IFERROR(__xludf.DUMMYFUNCTION("""COMPUTED_VALUE"""),1.0)</f>
        <v>1</v>
      </c>
      <c r="D196" s="30" t="str">
        <f>IFERROR(__xludf.DUMMYFUNCTION("""COMPUTED_VALUE"""),"CT MỚI")</f>
        <v>CT MỚI</v>
      </c>
      <c r="E196" s="30"/>
      <c r="F196" s="2"/>
      <c r="G196" s="2" t="str">
        <f>IFERROR(__xludf.DUMMYFUNCTION("""COMPUTED_VALUE"""),"HH4277")</f>
        <v>HH4277</v>
      </c>
      <c r="H196" s="2" t="str">
        <f>IFERROR(__xludf.DUMMYFUNCTION("""COMPUTED_VALUE"""),"GC - IV - 4277 - CTY HIỆP PHÁT ABC - HP.02 (Gel nâu đen) - 5L - 4")</f>
        <v>GC - IV - 4277 - CTY HIỆP PHÁT ABC - HP.02 (Gel nâu đen) - 5L - 4</v>
      </c>
      <c r="I196" s="2" t="str">
        <f>IFERROR(__xludf.DUMMYFUNCTION("""COMPUTED_VALUE"""),"#N/A")</f>
        <v>#N/A</v>
      </c>
      <c r="J196" s="2"/>
      <c r="K196" s="2"/>
      <c r="L196" s="2" t="str">
        <f>IFERROR(__xludf.DUMMYFUNCTION("""COMPUTED_VALUE"""),"A02251124")</f>
        <v>A02251124</v>
      </c>
      <c r="M196" s="2" t="str">
        <f>IFERROR(__xludf.DUMMYFUNCTION("""COMPUTED_VALUE"""),"TAK06")</f>
        <v>TAK06</v>
      </c>
      <c r="N196" s="2" t="str">
        <f>IFERROR(__xludf.DUMMYFUNCTION("""COMPUTED_VALUE"""),"19DD0014V2")</f>
        <v>19DD0014V2</v>
      </c>
      <c r="O196" s="2" t="str">
        <f>IFERROR(__xludf.DUMMYFUNCTION("""COMPUTED_VALUE"""),"Phân bón Vi lượng Run Fast")</f>
        <v>Phân bón Vi lượng Run Fast</v>
      </c>
      <c r="P196" s="2" t="str">
        <f>IFERROR(__xludf.DUMMYFUNCTION("""COMPUTED_VALUE"""),"#N/A")</f>
        <v>#N/A</v>
      </c>
      <c r="Q196" s="30" t="str">
        <f>IFERROR(__xludf.DUMMYFUNCTION("""COMPUTED_VALUE"""),"KHÔNG KHỚP")</f>
        <v>KHÔNG KHỚP</v>
      </c>
      <c r="R196" s="2"/>
      <c r="S196" s="2"/>
      <c r="T196" s="2"/>
      <c r="U196" s="2"/>
      <c r="V196" s="2"/>
      <c r="W196" s="2"/>
      <c r="X196" s="2"/>
      <c r="Y196" s="2"/>
    </row>
    <row r="197">
      <c r="A197" s="30">
        <f>IFERROR(__xludf.DUMMYFUNCTION("""COMPUTED_VALUE"""),194.0)</f>
        <v>194</v>
      </c>
      <c r="B197" s="39">
        <f>IFERROR(__xludf.DUMMYFUNCTION("""COMPUTED_VALUE"""),45954.0)</f>
        <v>45954</v>
      </c>
      <c r="C197" s="30">
        <f>IFERROR(__xludf.DUMMYFUNCTION("""COMPUTED_VALUE"""),1.0)</f>
        <v>1</v>
      </c>
      <c r="D197" s="30" t="str">
        <f>IFERROR(__xludf.DUMMYFUNCTION("""COMPUTED_VALUE"""),"CT MỚI")</f>
        <v>CT MỚI</v>
      </c>
      <c r="E197" s="30"/>
      <c r="F197" s="2"/>
      <c r="G197" s="2" t="str">
        <f>IFERROR(__xludf.DUMMYFUNCTION("""COMPUTED_VALUE"""),"HH4272")</f>
        <v>HH4272</v>
      </c>
      <c r="H197" s="2" t="str">
        <f>IFERROR(__xludf.DUMMYFUNCTION("""COMPUTED_VALUE"""),"GC - IV - 4272 - CTY ASAHI NHẬT BẢN - RONBIN SAMURAI (Gel nâu đen) - 500ml - 40")</f>
        <v>GC - IV - 4272 - CTY ASAHI NHẬT BẢN - RONBIN SAMURAI (Gel nâu đen) - 500ml - 40</v>
      </c>
      <c r="I197" s="2" t="str">
        <f>IFERROR(__xludf.DUMMYFUNCTION("""COMPUTED_VALUE"""),"#N/A")</f>
        <v>#N/A</v>
      </c>
      <c r="J197" s="2"/>
      <c r="K197" s="2"/>
      <c r="L197" s="2" t="str">
        <f>IFERROR(__xludf.DUMMYFUNCTION("""COMPUTED_VALUE"""),"A06110125")</f>
        <v>A06110125</v>
      </c>
      <c r="M197" s="2" t="str">
        <f>IFERROR(__xludf.DUMMYFUNCTION("""COMPUTED_VALUE"""),"ĐẠM CÁ SAMURAI")</f>
        <v>ĐẠM CÁ SAMURAI</v>
      </c>
      <c r="N197" s="2" t="str">
        <f>IFERROR(__xludf.DUMMYFUNCTION("""COMPUTED_VALUE"""),"13XL0008V2")</f>
        <v>13XL0008V2</v>
      </c>
      <c r="O197" s="2" t="str">
        <f>IFERROR(__xludf.DUMMYFUNCTION("""COMPUTED_VALUE"""),"Phân bón Vi lượng Quantity New")</f>
        <v>Phân bón Vi lượng Quantity New</v>
      </c>
      <c r="P197" s="2" t="str">
        <f>IFERROR(__xludf.DUMMYFUNCTION("""COMPUTED_VALUE"""),"#N/A")</f>
        <v>#N/A</v>
      </c>
      <c r="Q197" s="30" t="str">
        <f>IFERROR(__xludf.DUMMYFUNCTION("""COMPUTED_VALUE"""),"KHÔNG KHỚP")</f>
        <v>KHÔNG KHỚP</v>
      </c>
      <c r="R197" s="2"/>
      <c r="S197" s="2"/>
      <c r="T197" s="2"/>
      <c r="U197" s="2"/>
      <c r="V197" s="2"/>
      <c r="W197" s="2"/>
      <c r="X197" s="2"/>
      <c r="Y197" s="2"/>
    </row>
    <row r="198">
      <c r="A198" s="30">
        <f>IFERROR(__xludf.DUMMYFUNCTION("""COMPUTED_VALUE"""),195.0)</f>
        <v>195</v>
      </c>
      <c r="B198" s="39">
        <f>IFERROR(__xludf.DUMMYFUNCTION("""COMPUTED_VALUE"""),45957.0)</f>
        <v>45957</v>
      </c>
      <c r="C198" s="30">
        <f>IFERROR(__xludf.DUMMYFUNCTION("""COMPUTED_VALUE"""),1.0)</f>
        <v>1</v>
      </c>
      <c r="D198" s="30" t="str">
        <f>IFERROR(__xludf.DUMMYFUNCTION("""COMPUTED_VALUE"""),"CT MỚI")</f>
        <v>CT MỚI</v>
      </c>
      <c r="E198" s="30"/>
      <c r="F198" s="2"/>
      <c r="G198" s="2" t="str">
        <f>IFERROR(__xludf.DUMMYFUNCTION("""COMPUTED_VALUE"""),"HH4264")</f>
        <v>HH4264</v>
      </c>
      <c r="H198" s="2" t="str">
        <f>IFERROR(__xludf.DUMMYFUNCTION("""COMPUTED_VALUE"""),"GC - IV - 4264 - CTY NGỌC BẢO LONG AGRI - SIÊU VÔ GẠO (nước nâu đen) - 500ml - 30")</f>
        <v>GC - IV - 4264 - CTY NGỌC BẢO LONG AGRI - SIÊU VÔ GẠO (nước nâu đen) - 500ml - 30</v>
      </c>
      <c r="I198" s="39" t="str">
        <f>IFERROR(__xludf.DUMMYFUNCTION("""COMPUTED_VALUE"""),"Lá PK-Vi lượng SV 5-18")</f>
        <v>Lá PK-Vi lượng SV 5-18</v>
      </c>
      <c r="J198" s="2"/>
      <c r="K198" s="2"/>
      <c r="L198" s="2" t="str">
        <f>IFERROR(__xludf.DUMMYFUNCTION("""COMPUTED_VALUE"""),"A07111025")</f>
        <v>A07111025</v>
      </c>
      <c r="M198" s="2" t="str">
        <f>IFERROR(__xludf.DUMMYFUNCTION("""COMPUTED_VALUE"""),"VÔ GẠO NBL")</f>
        <v>VÔ GẠO NBL</v>
      </c>
      <c r="N198" s="2" t="str">
        <f>IFERROR(__xludf.DUMMYFUNCTION("""COMPUTED_VALUE"""),"04VG0041")</f>
        <v>04VG0041</v>
      </c>
      <c r="O198" s="2" t="str">
        <f>IFERROR(__xludf.DUMMYFUNCTION("""COMPUTED_VALUE"""),"Phân bón lá PK-Vi lượng SV 5-18")</f>
        <v>Phân bón lá PK-Vi lượng SV 5-18</v>
      </c>
      <c r="P198" s="2" t="str">
        <f>IFERROR(__xludf.DUMMYFUNCTION("""COMPUTED_VALUE"""),"Phân bón Lá PK-Vi lượng SV 5-18")</f>
        <v>Phân bón Lá PK-Vi lượng SV 5-18</v>
      </c>
      <c r="Q198" s="30" t="str">
        <f>IFERROR(__xludf.DUMMYFUNCTION("""COMPUTED_VALUE"""),"KHỚP")</f>
        <v>KHỚP</v>
      </c>
      <c r="R198" s="2"/>
      <c r="S198" s="2"/>
      <c r="T198" s="2"/>
      <c r="U198" s="2"/>
      <c r="V198" s="2"/>
      <c r="W198" s="2"/>
      <c r="X198" s="2"/>
      <c r="Y198" s="2"/>
    </row>
    <row r="199">
      <c r="A199" s="30">
        <f>IFERROR(__xludf.DUMMYFUNCTION("""COMPUTED_VALUE"""),196.0)</f>
        <v>196</v>
      </c>
      <c r="B199" s="39">
        <f>IFERROR(__xludf.DUMMYFUNCTION("""COMPUTED_VALUE"""),45946.0)</f>
        <v>45946</v>
      </c>
      <c r="C199" s="30">
        <f>IFERROR(__xludf.DUMMYFUNCTION("""COMPUTED_VALUE"""),1.0)</f>
        <v>1</v>
      </c>
      <c r="D199" s="30" t="str">
        <f>IFERROR(__xludf.DUMMYFUNCTION("""COMPUTED_VALUE"""),"CT CŨ")</f>
        <v>CT CŨ</v>
      </c>
      <c r="E199" s="30"/>
      <c r="F199" s="2"/>
      <c r="G199" s="2" t="str">
        <f>IFERROR(__xludf.DUMMYFUNCTION("""COMPUTED_VALUE"""),"HH4278")</f>
        <v>HH4278</v>
      </c>
      <c r="H199" s="2" t="str">
        <f>IFERROR(__xludf.DUMMYFUNCTION("""COMPUTED_VALUE"""),"GC ABA - CAPY GLOBAL - Vi lượng Quantity New - DR.H2 - 1L - 20")</f>
        <v>GC ABA - CAPY GLOBAL - Vi lượng Quantity New - DR.H2 - 1L - 20</v>
      </c>
      <c r="I199" s="2" t="str">
        <f>IFERROR(__xludf.DUMMYFUNCTION("""COMPUTED_VALUE"""),"#N/A")</f>
        <v>#N/A</v>
      </c>
      <c r="J199" s="2"/>
      <c r="K199" s="2"/>
      <c r="L199" s="2" t="str">
        <f>IFERROR(__xludf.DUMMYFUNCTION("""COMPUTED_VALUE"""),"CHẶN ĐỌT DÒNG V1")</f>
        <v>CHẶN ĐỌT DÒNG V1</v>
      </c>
      <c r="M199" s="2" t="str">
        <f>IFERROR(__xludf.DUMMYFUNCTION("""COMPUTED_VALUE"""),"KODO STOP
DR.STOP
DR.H2")</f>
        <v>KODO STOP
DR.STOP
DR.H2</v>
      </c>
      <c r="N199" s="2" t="str">
        <f>IFERROR(__xludf.DUMMYFUNCTION("""COMPUTED_VALUE"""),"06CD0006V1")</f>
        <v>06CD0006V1</v>
      </c>
      <c r="O199" s="2" t="str">
        <f>IFERROR(__xludf.DUMMYFUNCTION("""COMPUTED_VALUE"""),"Phân bón Vi lượng Quantity New")</f>
        <v>Phân bón Vi lượng Quantity New</v>
      </c>
      <c r="P199" s="2" t="str">
        <f>IFERROR(__xludf.DUMMYFUNCTION("""COMPUTED_VALUE"""),"#N/A")</f>
        <v>#N/A</v>
      </c>
      <c r="Q199" s="30" t="str">
        <f>IFERROR(__xludf.DUMMYFUNCTION("""COMPUTED_VALUE"""),"KHÔNG KHỚP")</f>
        <v>KHÔNG KHỚP</v>
      </c>
      <c r="R199" s="2"/>
      <c r="S199" s="2"/>
      <c r="T199" s="2"/>
      <c r="U199" s="2"/>
      <c r="V199" s="2"/>
      <c r="W199" s="2"/>
      <c r="X199" s="2"/>
      <c r="Y199" s="2"/>
    </row>
    <row r="200">
      <c r="A200" s="30">
        <f>IFERROR(__xludf.DUMMYFUNCTION("""COMPUTED_VALUE"""),197.0)</f>
        <v>197</v>
      </c>
      <c r="B200" s="39">
        <f>IFERROR(__xludf.DUMMYFUNCTION("""COMPUTED_VALUE"""),45957.0)</f>
        <v>45957</v>
      </c>
      <c r="C200" s="30">
        <f>IFERROR(__xludf.DUMMYFUNCTION("""COMPUTED_VALUE"""),1.0)</f>
        <v>1</v>
      </c>
      <c r="D200" s="30" t="str">
        <f>IFERROR(__xludf.DUMMYFUNCTION("""COMPUTED_VALUE"""),"CT MỚI")</f>
        <v>CT MỚI</v>
      </c>
      <c r="E200" s="30"/>
      <c r="F200" s="2"/>
      <c r="G200" s="2" t="str">
        <f>IFERROR(__xludf.DUMMYFUNCTION("""COMPUTED_VALUE"""),"HH4242")</f>
        <v>HH4242</v>
      </c>
      <c r="H200" s="2" t="str">
        <f>IFERROR(__xludf.DUMMYFUNCTION("""COMPUTED_VALUE"""),"GC - IV - 4242 - Cty Agricare Úc (A.Lộc) - AQUA DƯỠNG CHẤT HỮU CƠ CHUYÊN RAU MÀU (Gel nâu đen) - 50ml - 200")</f>
        <v>GC - IV - 4242 - Cty Agricare Úc (A.Lộc) - AQUA DƯỠNG CHẤT HỮU CƠ CHUYÊN RAU MÀU (Gel nâu đen) - 50ml - 200</v>
      </c>
      <c r="I200" s="2" t="str">
        <f>IFERROR(__xludf.DUMMYFUNCTION("""COMPUTED_VALUE"""),"#N/A")</f>
        <v>#N/A</v>
      </c>
      <c r="J200" s="2"/>
      <c r="K200" s="2"/>
      <c r="L200" s="2" t="str">
        <f>IFERROR(__xludf.DUMMYFUNCTION("""COMPUTED_VALUE"""),"A01131025")</f>
        <v>A01131025</v>
      </c>
      <c r="M200" s="2" t="str">
        <f>IFERROR(__xludf.DUMMYFUNCTION("""COMPUTED_VALUE"""),"DƯỠNG CHẤT HỮU CƠ ")</f>
        <v>DƯỠNG CHẤT HỮU CƠ </v>
      </c>
      <c r="N200" s="2" t="str">
        <f>IFERROR(__xludf.DUMMYFUNCTION("""COMPUTED_VALUE"""),"01RR0077")</f>
        <v>01RR0077</v>
      </c>
      <c r="O200" s="2" t="str">
        <f>IFERROR(__xludf.DUMMYFUNCTION("""COMPUTED_VALUE"""),"Phân bón lá NPK-Vi lượng GNC 19")</f>
        <v>Phân bón lá NPK-Vi lượng GNC 19</v>
      </c>
      <c r="P200" s="2" t="str">
        <f>IFERROR(__xludf.DUMMYFUNCTION("""COMPUTED_VALUE"""),"#N/A")</f>
        <v>#N/A</v>
      </c>
      <c r="Q200" s="30" t="str">
        <f>IFERROR(__xludf.DUMMYFUNCTION("""COMPUTED_VALUE"""),"KHÔNG KHỚP")</f>
        <v>KHÔNG KHỚP</v>
      </c>
      <c r="R200" s="2"/>
      <c r="S200" s="2"/>
      <c r="T200" s="2"/>
      <c r="U200" s="2"/>
      <c r="V200" s="2"/>
      <c r="W200" s="2"/>
      <c r="X200" s="2"/>
      <c r="Y200" s="2"/>
    </row>
    <row r="201">
      <c r="A201" s="30">
        <f>IFERROR(__xludf.DUMMYFUNCTION("""COMPUTED_VALUE"""),198.0)</f>
        <v>198</v>
      </c>
      <c r="B201" s="39">
        <f>IFERROR(__xludf.DUMMYFUNCTION("""COMPUTED_VALUE"""),45940.0)</f>
        <v>45940</v>
      </c>
      <c r="C201" s="30">
        <f>IFERROR(__xludf.DUMMYFUNCTION("""COMPUTED_VALUE"""),1.0)</f>
        <v>1</v>
      </c>
      <c r="D201" s="30" t="str">
        <f>IFERROR(__xludf.DUMMYFUNCTION("""COMPUTED_VALUE"""),"CT CŨ")</f>
        <v>CT CŨ</v>
      </c>
      <c r="E201" s="30"/>
      <c r="F201" s="2"/>
      <c r="G201" s="2" t="str">
        <f>IFERROR(__xludf.DUMMYFUNCTION("""COMPUTED_VALUE"""),"HH4283")</f>
        <v>HH4283</v>
      </c>
      <c r="H201" s="2" t="str">
        <f>IFERROR(__xludf.DUMMYFUNCTION("""COMPUTED_VALUE"""),"GC - IX - 4283 - N2SBIO - N2 MG ZN-70 (Nước xanh lá) - 500ml - 40")</f>
        <v>GC - IX - 4283 - N2SBIO - N2 MG ZN-70 (Nước xanh lá) - 500ml - 40</v>
      </c>
      <c r="I201" s="2" t="str">
        <f>IFERROR(__xludf.DUMMYFUNCTION("""COMPUTED_VALUE"""),"#N/A")</f>
        <v>#N/A</v>
      </c>
      <c r="J201" s="2"/>
      <c r="K201" s="2"/>
      <c r="L201" s="2" t="str">
        <f>IFERROR(__xludf.DUMMYFUNCTION("""COMPUTED_VALUE"""),"N01080825")</f>
        <v>N01080825</v>
      </c>
      <c r="M201" s="2" t="str">
        <f>IFERROR(__xludf.DUMMYFUNCTION("""COMPUTED_VALUE"""),"N2 MgZn-52")</f>
        <v>N2 MgZn-52</v>
      </c>
      <c r="N201" s="2" t="str">
        <f>IFERROR(__xludf.DUMMYFUNCTION("""COMPUTED_VALUE"""),"23GS0002V1")</f>
        <v>23GS0002V1</v>
      </c>
      <c r="O201" s="2" t="str">
        <f>IFERROR(__xludf.DUMMYFUNCTION("""COMPUTED_VALUE"""),"Phân bón vi lượng Phú Sĩ FJ-09 Kẽm Mg")</f>
        <v>Phân bón vi lượng Phú Sĩ FJ-09 Kẽm Mg</v>
      </c>
      <c r="P201" s="2" t="str">
        <f>IFERROR(__xludf.DUMMYFUNCTION("""COMPUTED_VALUE"""),"#N/A")</f>
        <v>#N/A</v>
      </c>
      <c r="Q201" s="30" t="str">
        <f>IFERROR(__xludf.DUMMYFUNCTION("""COMPUTED_VALUE"""),"KHÔNG KHỚP")</f>
        <v>KHÔNG KHỚP</v>
      </c>
      <c r="R201" s="2"/>
      <c r="S201" s="2"/>
      <c r="T201" s="2"/>
      <c r="U201" s="2"/>
      <c r="V201" s="2"/>
      <c r="W201" s="2"/>
      <c r="X201" s="2"/>
      <c r="Y201" s="2"/>
    </row>
    <row r="202">
      <c r="A202" s="30">
        <f>IFERROR(__xludf.DUMMYFUNCTION("""COMPUTED_VALUE"""),199.0)</f>
        <v>199</v>
      </c>
      <c r="B202" s="39">
        <f>IFERROR(__xludf.DUMMYFUNCTION("""COMPUTED_VALUE"""),45953.0)</f>
        <v>45953</v>
      </c>
      <c r="C202" s="30">
        <f>IFERROR(__xludf.DUMMYFUNCTION("""COMPUTED_VALUE"""),1.0)</f>
        <v>1</v>
      </c>
      <c r="D202" s="30" t="str">
        <f>IFERROR(__xludf.DUMMYFUNCTION("""COMPUTED_VALUE"""),"CT MỚI")</f>
        <v>CT MỚI</v>
      </c>
      <c r="E202" s="30"/>
      <c r="F202" s="2"/>
      <c r="G202" s="2" t="str">
        <f>IFERROR(__xludf.DUMMYFUNCTION("""COMPUTED_VALUE"""),"HH4284")</f>
        <v>HH4284</v>
      </c>
      <c r="H202" s="2" t="str">
        <f>IFERROR(__xludf.DUMMYFUNCTION("""COMPUTED_VALUE"""),"GC - IV - 4284 - HÓA NÔNG SHINO - CỨNG CÂY D345 (Nước nâu đen) - 500ml - 30")</f>
        <v>GC - IV - 4284 - HÓA NÔNG SHINO - CỨNG CÂY D345 (Nước nâu đen) - 500ml - 30</v>
      </c>
      <c r="I202" s="2" t="str">
        <f>IFERROR(__xludf.DUMMYFUNCTION("""COMPUTED_VALUE"""),"#N/A")</f>
        <v>#N/A</v>
      </c>
      <c r="J202" s="2"/>
      <c r="K202" s="2"/>
      <c r="L202" s="2" t="str">
        <f>IFERROR(__xludf.DUMMYFUNCTION("""COMPUTED_VALUE"""),"A01030724")</f>
        <v>A01030724</v>
      </c>
      <c r="M202" s="2" t="str">
        <f>IFERROR(__xludf.DUMMYFUNCTION("""COMPUTED_VALUE"""),"CỨNG CÂY D345
CỨNG CÂY K40
AGRI AKA.T20")</f>
        <v>CỨNG CÂY D345
CỨNG CÂY K40
AGRI AKA.T20</v>
      </c>
      <c r="N202" s="2" t="str">
        <f>IFERROR(__xludf.DUMMYFUNCTION("""COMPUTED_VALUE"""),"02CC0005")</f>
        <v>02CC0005</v>
      </c>
      <c r="O202" s="2" t="str">
        <f>IFERROR(__xludf.DUMMYFUNCTION("""COMPUTED_VALUE"""),"Phân bón Hữu cơ SH Agro Organic Fertilizer 20")</f>
        <v>Phân bón Hữu cơ SH Agro Organic Fertilizer 20</v>
      </c>
      <c r="P202" s="2" t="str">
        <f>IFERROR(__xludf.DUMMYFUNCTION("""COMPUTED_VALUE"""),"#N/A")</f>
        <v>#N/A</v>
      </c>
      <c r="Q202" s="30" t="str">
        <f>IFERROR(__xludf.DUMMYFUNCTION("""COMPUTED_VALUE"""),"KHÔNG KHỚP")</f>
        <v>KHÔNG KHỚP</v>
      </c>
      <c r="R202" s="2"/>
      <c r="S202" s="2"/>
      <c r="T202" s="2"/>
      <c r="U202" s="2"/>
      <c r="V202" s="2"/>
      <c r="W202" s="2"/>
      <c r="X202" s="2"/>
      <c r="Y202" s="2"/>
    </row>
    <row r="203">
      <c r="A203" s="30">
        <f>IFERROR(__xludf.DUMMYFUNCTION("""COMPUTED_VALUE"""),200.0)</f>
        <v>200</v>
      </c>
      <c r="B203" s="39">
        <f>IFERROR(__xludf.DUMMYFUNCTION("""COMPUTED_VALUE"""),45946.0)</f>
        <v>45946</v>
      </c>
      <c r="C203" s="30">
        <f>IFERROR(__xludf.DUMMYFUNCTION("""COMPUTED_VALUE"""),2.0)</f>
        <v>2</v>
      </c>
      <c r="D203" s="30" t="str">
        <f>IFERROR(__xludf.DUMMYFUNCTION("""COMPUTED_VALUE"""),"CT CŨ")</f>
        <v>CT CŨ</v>
      </c>
      <c r="E203" s="30"/>
      <c r="F203" s="2"/>
      <c r="G203" s="2" t="str">
        <f>IFERROR(__xludf.DUMMYFUNCTION("""COMPUTED_VALUE"""),"HH4235")</f>
        <v>HH4235</v>
      </c>
      <c r="H203" s="2" t="str">
        <f>IFERROR(__xludf.DUMMYFUNCTION("""COMPUTED_VALUE"""),"GC - II - 4235 - LOT AGC (CAPY GLOBAL) - DR.STOP (Nước nâu đen) - 1L - 20")</f>
        <v>GC - II - 4235 - LOT AGC (CAPY GLOBAL) - DR.STOP (Nước nâu đen) - 1L - 20</v>
      </c>
      <c r="I203" s="39" t="str">
        <f>IFERROR(__xludf.DUMMYFUNCTION("""COMPUTED_VALUE"""),"Vi lượng Quantity New")</f>
        <v>Vi lượng Quantity New</v>
      </c>
      <c r="J203" s="2"/>
      <c r="K203" s="2"/>
      <c r="L203" s="2" t="str">
        <f>IFERROR(__xludf.DUMMYFUNCTION("""COMPUTED_VALUE"""),"CHẶN ĐỌT DÒNG V1")</f>
        <v>CHẶN ĐỌT DÒNG V1</v>
      </c>
      <c r="M203" s="2" t="str">
        <f>IFERROR(__xludf.DUMMYFUNCTION("""COMPUTED_VALUE"""),"KODO STOP
DR.STOP
DR.H2")</f>
        <v>KODO STOP
DR.STOP
DR.H2</v>
      </c>
      <c r="N203" s="2" t="str">
        <f>IFERROR(__xludf.DUMMYFUNCTION("""COMPUTED_VALUE"""),"06CD0006V1")</f>
        <v>06CD0006V1</v>
      </c>
      <c r="O203" s="2" t="str">
        <f>IFERROR(__xludf.DUMMYFUNCTION("""COMPUTED_VALUE"""),"Phân bón Vi lượng Quantity New")</f>
        <v>Phân bón Vi lượng Quantity New</v>
      </c>
      <c r="P203" s="2" t="str">
        <f>IFERROR(__xludf.DUMMYFUNCTION("""COMPUTED_VALUE"""),"Phân bón Vi lượng Quantity New")</f>
        <v>Phân bón Vi lượng Quantity New</v>
      </c>
      <c r="Q203" s="30" t="str">
        <f>IFERROR(__xludf.DUMMYFUNCTION("""COMPUTED_VALUE"""),"KHỚP")</f>
        <v>KHỚP</v>
      </c>
      <c r="R203" s="2"/>
      <c r="S203" s="2"/>
      <c r="T203" s="2"/>
      <c r="U203" s="2"/>
      <c r="V203" s="2"/>
      <c r="W203" s="2"/>
      <c r="X203" s="2"/>
      <c r="Y203" s="2"/>
    </row>
    <row r="204">
      <c r="A204" s="30">
        <f>IFERROR(__xludf.DUMMYFUNCTION("""COMPUTED_VALUE"""),201.0)</f>
        <v>201</v>
      </c>
      <c r="B204" s="39">
        <f>IFERROR(__xludf.DUMMYFUNCTION("""COMPUTED_VALUE"""),45944.0)</f>
        <v>45944</v>
      </c>
      <c r="C204" s="30">
        <f>IFERROR(__xludf.DUMMYFUNCTION("""COMPUTED_VALUE"""),3.0)</f>
        <v>3</v>
      </c>
      <c r="D204" s="30" t="str">
        <f>IFERROR(__xludf.DUMMYFUNCTION("""COMPUTED_VALUE"""),"CT CŨ")</f>
        <v>CT CŨ</v>
      </c>
      <c r="E204" s="30"/>
      <c r="F204" s="2"/>
      <c r="G204" s="2" t="str">
        <f>IFERROR(__xludf.DUMMYFUNCTION("""COMPUTED_VALUE"""),"HH4211")</f>
        <v>HH4211</v>
      </c>
      <c r="H204" s="2" t="str">
        <f>IFERROR(__xludf.DUMMYFUNCTION("""COMPUTED_VALUE"""),"GC - IV - 4211 - Cty Capy Global - TOP SPROUT (nước nâu đen) - 500ml - 40")</f>
        <v>GC - IV - 4211 - Cty Capy Global - TOP SPROUT (nước nâu đen) - 500ml - 40</v>
      </c>
      <c r="I204" s="39" t="str">
        <f>IFERROR(__xludf.DUMMYFUNCTION("""COMPUTED_VALUE"""),"Vi lượng Run Fast")</f>
        <v>Vi lượng Run Fast</v>
      </c>
      <c r="J204" s="2"/>
      <c r="K204" s="2"/>
      <c r="L204" s="2"/>
      <c r="M204" s="2" t="str">
        <f>IFERROR(__xludf.DUMMYFUNCTION("""COMPUTED_VALUE"""),"TOP SPROUT")</f>
        <v>TOP SPROUT</v>
      </c>
      <c r="N204" s="2" t="str">
        <f>IFERROR(__xludf.DUMMYFUNCTION("""COMPUTED_VALUE"""),"08TM0004V1")</f>
        <v>08TM0004V1</v>
      </c>
      <c r="O204" s="2" t="str">
        <f>IFERROR(__xludf.DUMMYFUNCTION("""COMPUTED_VALUE"""),"Phân bón Vi lượng Run Fast")</f>
        <v>Phân bón Vi lượng Run Fast</v>
      </c>
      <c r="P204" s="2" t="str">
        <f>IFERROR(__xludf.DUMMYFUNCTION("""COMPUTED_VALUE"""),"Phân bón Vi lượng Run Fast")</f>
        <v>Phân bón Vi lượng Run Fast</v>
      </c>
      <c r="Q204" s="30" t="str">
        <f>IFERROR(__xludf.DUMMYFUNCTION("""COMPUTED_VALUE"""),"KHỚP")</f>
        <v>KHỚP</v>
      </c>
      <c r="R204" s="2"/>
      <c r="S204" s="2"/>
      <c r="T204" s="2"/>
      <c r="U204" s="2"/>
      <c r="V204" s="2"/>
      <c r="W204" s="2"/>
      <c r="X204" s="2"/>
      <c r="Y204" s="2"/>
    </row>
    <row r="205">
      <c r="A205" s="30">
        <f>IFERROR(__xludf.DUMMYFUNCTION("""COMPUTED_VALUE"""),202.0)</f>
        <v>202</v>
      </c>
      <c r="B205" s="39">
        <f>IFERROR(__xludf.DUMMYFUNCTION("""COMPUTED_VALUE"""),45922.0)</f>
        <v>45922</v>
      </c>
      <c r="C205" s="30">
        <f>IFERROR(__xludf.DUMMYFUNCTION("""COMPUTED_VALUE"""),1.0)</f>
        <v>1</v>
      </c>
      <c r="D205" s="30" t="str">
        <f>IFERROR(__xludf.DUMMYFUNCTION("""COMPUTED_VALUE"""),"CT CŨ")</f>
        <v>CT CŨ</v>
      </c>
      <c r="E205" s="30"/>
      <c r="F205" s="2"/>
      <c r="G205" s="2" t="str">
        <f>IFERROR(__xludf.DUMMYFUNCTION("""COMPUTED_VALUE"""),"HH4184")</f>
        <v>HH4184</v>
      </c>
      <c r="H205" s="2" t="str">
        <f>IFERROR(__xludf.DUMMYFUNCTION("""COMPUTED_VALUE"""),"GC - IV - 4184 - Cty Agrochem Korea - TITANG-KẼM (Nước nâu đen) - 500ml - 40")</f>
        <v>GC - IV - 4184 - Cty Agrochem Korea - TITANG-KẼM (Nước nâu đen) - 500ml - 40</v>
      </c>
      <c r="I205" s="2" t="str">
        <f>IFERROR(__xludf.DUMMYFUNCTION("""COMPUTED_VALUE"""),"#N/A")</f>
        <v>#N/A</v>
      </c>
      <c r="J205" s="2"/>
      <c r="K205" s="2"/>
      <c r="L205" s="2" t="str">
        <f>IFERROR(__xludf.DUMMYFUNCTION("""COMPUTED_VALUE"""),"DÒNG PHỤ GIA THẤP V1")</f>
        <v>DÒNG PHỤ GIA THẤP V1</v>
      </c>
      <c r="M205" s="2" t="str">
        <f>IFERROR(__xludf.DUMMYFUNCTION("""COMPUTED_VALUE"""),"SUMO SIÊU CỨNG
CỨNG NHƯ ĐẠN
CỨNG HƠN TRỤ THÉP")</f>
        <v>SUMO SIÊU CỨNG
CỨNG NHƯ ĐẠN
CỨNG HƠN TRỤ THÉP</v>
      </c>
      <c r="N205" s="2" t="str">
        <f>IFERROR(__xludf.DUMMYFUNCTION("""COMPUTED_VALUE"""),"02CC0001V2")</f>
        <v>02CC0001V2</v>
      </c>
      <c r="O205" s="2" t="str">
        <f>IFERROR(__xludf.DUMMYFUNCTION("""COMPUTED_VALUE"""),"Phân bón Vi lượng Quantity New")</f>
        <v>Phân bón Vi lượng Quantity New</v>
      </c>
      <c r="P205" s="2" t="str">
        <f>IFERROR(__xludf.DUMMYFUNCTION("""COMPUTED_VALUE"""),"#N/A")</f>
        <v>#N/A</v>
      </c>
      <c r="Q205" s="30" t="str">
        <f>IFERROR(__xludf.DUMMYFUNCTION("""COMPUTED_VALUE"""),"KHÔNG KHỚP")</f>
        <v>KHÔNG KHỚP</v>
      </c>
      <c r="R205" s="2"/>
      <c r="S205" s="2"/>
      <c r="T205" s="2"/>
      <c r="U205" s="2"/>
      <c r="V205" s="2"/>
      <c r="W205" s="2"/>
      <c r="X205" s="2"/>
      <c r="Y205" s="2"/>
    </row>
    <row r="206">
      <c r="A206" s="30">
        <f>IFERROR(__xludf.DUMMYFUNCTION("""COMPUTED_VALUE"""),203.0)</f>
        <v>203</v>
      </c>
      <c r="B206" s="39">
        <f>IFERROR(__xludf.DUMMYFUNCTION("""COMPUTED_VALUE"""),45946.0)</f>
        <v>45946</v>
      </c>
      <c r="C206" s="30">
        <f>IFERROR(__xludf.DUMMYFUNCTION("""COMPUTED_VALUE"""),3.0)</f>
        <v>3</v>
      </c>
      <c r="D206" s="30" t="str">
        <f>IFERROR(__xludf.DUMMYFUNCTION("""COMPUTED_VALUE"""),"CT CŨ")</f>
        <v>CT CŨ</v>
      </c>
      <c r="E206" s="30"/>
      <c r="F206" s="2"/>
      <c r="G206" s="2" t="str">
        <f>IFERROR(__xludf.DUMMYFUNCTION("""COMPUTED_VALUE"""),"HH4235")</f>
        <v>HH4235</v>
      </c>
      <c r="H206" s="2" t="str">
        <f>IFERROR(__xludf.DUMMYFUNCTION("""COMPUTED_VALUE"""),"GC - II - 4235 - LOT AGC (CAPY GLOBAL) - DR.STOP (Nước nâu đen) - 1L - 20")</f>
        <v>GC - II - 4235 - LOT AGC (CAPY GLOBAL) - DR.STOP (Nước nâu đen) - 1L - 20</v>
      </c>
      <c r="I206" s="39" t="str">
        <f>IFERROR(__xludf.DUMMYFUNCTION("""COMPUTED_VALUE"""),"Vi lượng Quantity New")</f>
        <v>Vi lượng Quantity New</v>
      </c>
      <c r="J206" s="2"/>
      <c r="K206" s="2"/>
      <c r="L206" s="2" t="str">
        <f>IFERROR(__xludf.DUMMYFUNCTION("""COMPUTED_VALUE"""),"CHẶN ĐỌT DÒNG V1")</f>
        <v>CHẶN ĐỌT DÒNG V1</v>
      </c>
      <c r="M206" s="2" t="str">
        <f>IFERROR(__xludf.DUMMYFUNCTION("""COMPUTED_VALUE"""),"KODO STOP
DR.STOP
DR.H2")</f>
        <v>KODO STOP
DR.STOP
DR.H2</v>
      </c>
      <c r="N206" s="2" t="str">
        <f>IFERROR(__xludf.DUMMYFUNCTION("""COMPUTED_VALUE"""),"06CD0006V1")</f>
        <v>06CD0006V1</v>
      </c>
      <c r="O206" s="2" t="str">
        <f>IFERROR(__xludf.DUMMYFUNCTION("""COMPUTED_VALUE"""),"Phân bón Vi lượng Quantity New")</f>
        <v>Phân bón Vi lượng Quantity New</v>
      </c>
      <c r="P206" s="2" t="str">
        <f>IFERROR(__xludf.DUMMYFUNCTION("""COMPUTED_VALUE"""),"Phân bón Vi lượng Quantity New")</f>
        <v>Phân bón Vi lượng Quantity New</v>
      </c>
      <c r="Q206" s="30" t="str">
        <f>IFERROR(__xludf.DUMMYFUNCTION("""COMPUTED_VALUE"""),"KHỚP")</f>
        <v>KHỚP</v>
      </c>
      <c r="R206" s="2"/>
      <c r="S206" s="2"/>
      <c r="T206" s="2"/>
      <c r="U206" s="2"/>
      <c r="V206" s="2"/>
      <c r="W206" s="2"/>
      <c r="X206" s="2"/>
      <c r="Y206" s="2"/>
    </row>
    <row r="207">
      <c r="A207" s="30">
        <f>IFERROR(__xludf.DUMMYFUNCTION("""COMPUTED_VALUE"""),204.0)</f>
        <v>204</v>
      </c>
      <c r="B207" s="40" t="str">
        <f>IFERROR(__xludf.DUMMYFUNCTION("""COMPUTED_VALUE"""),"")</f>
        <v/>
      </c>
      <c r="C207" s="41">
        <f>IFERROR(__xludf.DUMMYFUNCTION("""COMPUTED_VALUE"""),1.0)</f>
        <v>1</v>
      </c>
      <c r="D207" s="41" t="str">
        <f>IFERROR(__xludf.DUMMYFUNCTION("""COMPUTED_VALUE"""),"CT MỚI")</f>
        <v>CT MỚI</v>
      </c>
      <c r="E207" s="41"/>
      <c r="F207" s="42"/>
      <c r="G207" s="42" t="str">
        <f>IFERROR(__xludf.DUMMYFUNCTION("""COMPUTED_VALUE"""),"HH4273")</f>
        <v>HH4273</v>
      </c>
      <c r="H207" s="42" t="str">
        <f>IFERROR(__xludf.DUMMYFUNCTION("""COMPUTED_VALUE"""),"GC - IV - 4273 - Cty Thành Công Agri - MASTER STOP (nước nâu đen V2) - 1L - 20")</f>
        <v>GC - IV - 4273 - Cty Thành Công Agri - MASTER STOP (nước nâu đen V2) - 1L - 20</v>
      </c>
      <c r="I207" s="42" t="str">
        <f>IFERROR(__xludf.DUMMYFUNCTION("""COMPUTED_VALUE"""),"#N/A")</f>
        <v>#N/A</v>
      </c>
      <c r="J207" s="42"/>
      <c r="K207" s="42"/>
      <c r="L207" s="2" t="str">
        <f>IFERROR(__xludf.DUMMYFUNCTION("""COMPUTED_VALUE"""),"")</f>
        <v/>
      </c>
      <c r="M207" s="2" t="str">
        <f>IFERROR(__xludf.DUMMYFUNCTION("""COMPUTED_VALUE"""),"")</f>
        <v/>
      </c>
      <c r="N207" s="2" t="str">
        <f>IFERROR(__xludf.DUMMYFUNCTION("""COMPUTED_VALUE"""),"Huỷ đơn")</f>
        <v>Huỷ đơn</v>
      </c>
      <c r="O207" s="2" t="str">
        <f>IFERROR(__xludf.DUMMYFUNCTION("""COMPUTED_VALUE"""),"")</f>
        <v/>
      </c>
      <c r="P207" s="2" t="str">
        <f>IFERROR(__xludf.DUMMYFUNCTION("""COMPUTED_VALUE"""),"#N/A")</f>
        <v>#N/A</v>
      </c>
      <c r="Q207" s="30" t="str">
        <f>IFERROR(__xludf.DUMMYFUNCTION("""COMPUTED_VALUE"""),"KHÔNG KHỚP")</f>
        <v>KHÔNG KHỚP</v>
      </c>
      <c r="R207" s="2"/>
      <c r="S207" s="2"/>
      <c r="T207" s="2"/>
      <c r="U207" s="2"/>
      <c r="V207" s="2"/>
      <c r="W207" s="2"/>
      <c r="X207" s="2"/>
      <c r="Y207" s="2"/>
    </row>
    <row r="208">
      <c r="A208" s="30">
        <f>IFERROR(__xludf.DUMMYFUNCTION("""COMPUTED_VALUE"""),205.0)</f>
        <v>205</v>
      </c>
      <c r="B208" s="39">
        <f>IFERROR(__xludf.DUMMYFUNCTION("""COMPUTED_VALUE"""),45887.0)</f>
        <v>45887</v>
      </c>
      <c r="C208" s="30">
        <f>IFERROR(__xludf.DUMMYFUNCTION("""COMPUTED_VALUE"""),2.0)</f>
        <v>2</v>
      </c>
      <c r="D208" s="30" t="str">
        <f>IFERROR(__xludf.DUMMYFUNCTION("""COMPUTED_VALUE"""),"CT CŨ")</f>
        <v>CT CŨ</v>
      </c>
      <c r="E208" s="30"/>
      <c r="F208" s="2"/>
      <c r="G208" s="2" t="str">
        <f>IFERROR(__xludf.DUMMYFUNCTION("""COMPUTED_VALUE"""),"HH3790")</f>
        <v>HH3790</v>
      </c>
      <c r="H208" s="2" t="str">
        <f>IFERROR(__xludf.DUMMYFUNCTION("""COMPUTED_VALUE"""),"BAMBOO - VI - 3790 - BAMBOO CANXI BO MASTER (Nước trắng sữa) - 1L - 20")</f>
        <v>BAMBOO - VI - 3790 - BAMBOO CANXI BO MASTER (Nước trắng sữa) - 1L - 20</v>
      </c>
      <c r="I208" s="2" t="str">
        <f>IFERROR(__xludf.DUMMYFUNCTION("""COMPUTED_VALUE"""),"#N/A")</f>
        <v>#N/A</v>
      </c>
      <c r="J208" s="2"/>
      <c r="K208" s="2"/>
      <c r="L208" s="2"/>
      <c r="M208" s="2" t="str">
        <f>IFERROR(__xludf.DUMMYFUNCTION("""COMPUTED_VALUE"""),"CANXI BO MASTER")</f>
        <v>CANXI BO MASTER</v>
      </c>
      <c r="N208" s="2" t="str">
        <f>IFERROR(__xludf.DUMMYFUNCTION("""COMPUTED_VALUE"""),"10CR0015")</f>
        <v>10CR0015</v>
      </c>
      <c r="O208" s="2" t="str">
        <f>IFERROR(__xludf.DUMMYFUNCTION("""COMPUTED_VALUE"""),"Phân bón Vi lượng AGAMA-CANXI BO")</f>
        <v>Phân bón Vi lượng AGAMA-CANXI BO</v>
      </c>
      <c r="P208" s="2" t="str">
        <f>IFERROR(__xludf.DUMMYFUNCTION("""COMPUTED_VALUE"""),"#N/A")</f>
        <v>#N/A</v>
      </c>
      <c r="Q208" s="30" t="str">
        <f>IFERROR(__xludf.DUMMYFUNCTION("""COMPUTED_VALUE"""),"KHÔNG KHỚP")</f>
        <v>KHÔNG KHỚP</v>
      </c>
      <c r="R208" s="2"/>
      <c r="S208" s="2"/>
      <c r="T208" s="2"/>
      <c r="U208" s="2"/>
      <c r="V208" s="2"/>
      <c r="W208" s="2"/>
      <c r="X208" s="2"/>
      <c r="Y208" s="2"/>
    </row>
    <row r="209">
      <c r="A209" s="30">
        <f>IFERROR(__xludf.DUMMYFUNCTION("""COMPUTED_VALUE"""),206.0)</f>
        <v>206</v>
      </c>
      <c r="B209" s="39">
        <f>IFERROR(__xludf.DUMMYFUNCTION("""COMPUTED_VALUE"""),45938.0)</f>
        <v>45938</v>
      </c>
      <c r="C209" s="30">
        <f>IFERROR(__xludf.DUMMYFUNCTION("""COMPUTED_VALUE"""),1.0)</f>
        <v>1</v>
      </c>
      <c r="D209" s="30" t="str">
        <f>IFERROR(__xludf.DUMMYFUNCTION("""COMPUTED_VALUE"""),"CT CŨ")</f>
        <v>CT CŨ</v>
      </c>
      <c r="E209" s="30"/>
      <c r="F209" s="2"/>
      <c r="G209" s="2" t="str">
        <f>IFERROR(__xludf.DUMMYFUNCTION("""COMPUTED_VALUE"""),"HH4301")</f>
        <v>HH4301</v>
      </c>
      <c r="H209" s="2" t="str">
        <f>IFERROR(__xludf.DUMMYFUNCTION("""COMPUTED_VALUE"""),"GC - IV - 4301 - CTY GNH - Ra Rễ Nở Bụi (nước nâu đen) - 1L - 20")</f>
        <v>GC - IV - 4301 - CTY GNH - Ra Rễ Nở Bụi (nước nâu đen) - 1L - 20</v>
      </c>
      <c r="I209" s="2" t="str">
        <f>IFERROR(__xludf.DUMMYFUNCTION("""COMPUTED_VALUE"""),"#N/A")</f>
        <v>#N/A</v>
      </c>
      <c r="J209" s="2"/>
      <c r="K209" s="2"/>
      <c r="L209" s="2" t="str">
        <f>IFERROR(__xludf.DUMMYFUNCTION("""COMPUTED_VALUE"""),"A06270225")</f>
        <v>A06270225</v>
      </c>
      <c r="M209" s="2" t="str">
        <f>IFERROR(__xludf.DUMMYFUNCTION("""COMPUTED_VALUE"""),"RA RỄ NỞ BỤI")</f>
        <v>RA RỄ NỞ BỤI</v>
      </c>
      <c r="N209" s="2" t="str">
        <f>IFERROR(__xludf.DUMMYFUNCTION("""COMPUTED_VALUE"""),"01RR0049V1")</f>
        <v>01RR0049V1</v>
      </c>
      <c r="O209" s="2" t="str">
        <f>IFERROR(__xludf.DUMMYFUNCTION("""COMPUTED_VALUE"""),"Phân bón Vi lượng Quantity New")</f>
        <v>Phân bón Vi lượng Quantity New</v>
      </c>
      <c r="P209" s="2" t="str">
        <f>IFERROR(__xludf.DUMMYFUNCTION("""COMPUTED_VALUE"""),"#N/A")</f>
        <v>#N/A</v>
      </c>
      <c r="Q209" s="30" t="str">
        <f>IFERROR(__xludf.DUMMYFUNCTION("""COMPUTED_VALUE"""),"KHÔNG KHỚP")</f>
        <v>KHÔNG KHỚP</v>
      </c>
      <c r="R209" s="2"/>
      <c r="S209" s="2"/>
      <c r="T209" s="2"/>
      <c r="U209" s="2"/>
      <c r="V209" s="2"/>
      <c r="W209" s="2"/>
      <c r="X209" s="2"/>
      <c r="Y209" s="2"/>
    </row>
    <row r="210">
      <c r="A210" s="30">
        <f>IFERROR(__xludf.DUMMYFUNCTION("""COMPUTED_VALUE"""),207.0)</f>
        <v>207</v>
      </c>
      <c r="B210" s="39">
        <f>IFERROR(__xludf.DUMMYFUNCTION("""COMPUTED_VALUE"""),-618775.0)</f>
        <v>-618775</v>
      </c>
      <c r="C210" s="30">
        <f>IFERROR(__xludf.DUMMYFUNCTION("""COMPUTED_VALUE"""),1.0)</f>
        <v>1</v>
      </c>
      <c r="D210" s="30" t="str">
        <f>IFERROR(__xludf.DUMMYFUNCTION("""COMPUTED_VALUE"""),"CT MỚI")</f>
        <v>CT MỚI</v>
      </c>
      <c r="E210" s="30"/>
      <c r="F210" s="2"/>
      <c r="G210" s="2" t="str">
        <f>IFERROR(__xludf.DUMMYFUNCTION("""COMPUTED_VALUE"""),"HH4297")</f>
        <v>HH4297</v>
      </c>
      <c r="H210" s="2" t="str">
        <f>IFERROR(__xludf.DUMMYFUNCTION("""COMPUTED_VALUE"""),"CTY NAUY - PBHC CROPS CARE - CỨNG CÂY NAUY")</f>
        <v>CTY NAUY - PBHC CROPS CARE - CỨNG CÂY NAUY</v>
      </c>
      <c r="I210" s="2" t="str">
        <f>IFERROR(__xludf.DUMMYFUNCTION("""COMPUTED_VALUE"""),"#N/A")</f>
        <v>#N/A</v>
      </c>
      <c r="J210" s="2"/>
      <c r="K210" s="2"/>
      <c r="L210" s="2" t="str">
        <f>IFERROR(__xludf.DUMMYFUNCTION("""COMPUTED_VALUE"""),"A05301025")</f>
        <v>A05301025</v>
      </c>
      <c r="M210" s="2" t="str">
        <f>IFERROR(__xludf.DUMMYFUNCTION("""COMPUTED_VALUE"""),"CỨNG CÂY CROP CARE 02")</f>
        <v>CỨNG CÂY CROP CARE 02</v>
      </c>
      <c r="N210" s="2" t="str">
        <f>IFERROR(__xludf.DUMMYFUNCTION("""COMPUTED_VALUE"""),"02CC0013")</f>
        <v>02CC0013</v>
      </c>
      <c r="O210" s="2" t="str">
        <f>IFERROR(__xludf.DUMMYFUNCTION("""COMPUTED_VALUE"""),"Phân bón Hữu cơ CROPS CARE")</f>
        <v>Phân bón Hữu cơ CROPS CARE</v>
      </c>
      <c r="P210" s="2" t="str">
        <f>IFERROR(__xludf.DUMMYFUNCTION("""COMPUTED_VALUE"""),"#N/A")</f>
        <v>#N/A</v>
      </c>
      <c r="Q210" s="30" t="str">
        <f>IFERROR(__xludf.DUMMYFUNCTION("""COMPUTED_VALUE"""),"KHÔNG KHỚP")</f>
        <v>KHÔNG KHỚP</v>
      </c>
      <c r="R210" s="2"/>
      <c r="S210" s="2"/>
      <c r="T210" s="2"/>
      <c r="U210" s="2"/>
      <c r="V210" s="2"/>
      <c r="W210" s="2"/>
      <c r="X210" s="2"/>
      <c r="Y210" s="2"/>
    </row>
    <row r="211">
      <c r="A211" s="30">
        <f>IFERROR(__xludf.DUMMYFUNCTION("""COMPUTED_VALUE"""),208.0)</f>
        <v>208</v>
      </c>
      <c r="B211" s="39">
        <f>IFERROR(__xludf.DUMMYFUNCTION("""COMPUTED_VALUE"""),45932.0)</f>
        <v>45932</v>
      </c>
      <c r="C211" s="30">
        <f>IFERROR(__xludf.DUMMYFUNCTION("""COMPUTED_VALUE"""),1.0)</f>
        <v>1</v>
      </c>
      <c r="D211" s="30" t="str">
        <f>IFERROR(__xludf.DUMMYFUNCTION("""COMPUTED_VALUE"""),"CT MỚI")</f>
        <v>CT MỚI</v>
      </c>
      <c r="E211" s="30"/>
      <c r="F211" s="2"/>
      <c r="G211" s="2" t="str">
        <f>IFERROR(__xludf.DUMMYFUNCTION("""COMPUTED_VALUE"""),"HH4083")</f>
        <v>HH4083</v>
      </c>
      <c r="H211" s="2" t="str">
        <f>IFERROR(__xludf.DUMMYFUNCTION("""COMPUTED_VALUE"""),"GC - II - 4083 - CSSX An Khang (A.Dinh) - TAK12 (Bột màu trắng) - 2kg - 10")</f>
        <v>GC - II - 4083 - CSSX An Khang (A.Dinh) - TAK12 (Bột màu trắng) - 2kg - 10</v>
      </c>
      <c r="I211" s="2" t="str">
        <f>IFERROR(__xludf.DUMMYFUNCTION("""COMPUTED_VALUE"""),"#N/A")</f>
        <v>#N/A</v>
      </c>
      <c r="J211" s="2"/>
      <c r="K211" s="2"/>
      <c r="L211" s="2" t="str">
        <f>IFERROR(__xludf.DUMMYFUNCTION("""COMPUTED_VALUE"""),"A02190725")</f>
        <v>A02190725</v>
      </c>
      <c r="M211" s="2" t="str">
        <f>IFERROR(__xludf.DUMMYFUNCTION("""COMPUTED_VALUE"""),"LOTUS 10-60-10")</f>
        <v>LOTUS 10-60-10</v>
      </c>
      <c r="N211" s="2" t="str">
        <f>IFERROR(__xludf.DUMMYFUNCTION("""COMPUTED_VALUE"""),"04VG0036")</f>
        <v>04VG0036</v>
      </c>
      <c r="O211" s="2" t="str">
        <f>IFERROR(__xludf.DUMMYFUNCTION("""COMPUTED_VALUE"""),"Phân bón lá NPK-trung-vi lượng GNC 08")</f>
        <v>Phân bón lá NPK-trung-vi lượng GNC 08</v>
      </c>
      <c r="P211" s="2" t="str">
        <f>IFERROR(__xludf.DUMMYFUNCTION("""COMPUTED_VALUE"""),"#N/A")</f>
        <v>#N/A</v>
      </c>
      <c r="Q211" s="30" t="str">
        <f>IFERROR(__xludf.DUMMYFUNCTION("""COMPUTED_VALUE"""),"KHÔNG KHỚP")</f>
        <v>KHÔNG KHỚP</v>
      </c>
      <c r="R211" s="2"/>
      <c r="S211" s="2"/>
      <c r="T211" s="2"/>
      <c r="U211" s="2"/>
      <c r="V211" s="2"/>
      <c r="W211" s="2"/>
      <c r="X211" s="2"/>
      <c r="Y211" s="2"/>
    </row>
    <row r="212">
      <c r="A212" s="30">
        <f>IFERROR(__xludf.DUMMYFUNCTION("""COMPUTED_VALUE"""),209.0)</f>
        <v>209</v>
      </c>
      <c r="B212" s="40">
        <f>IFERROR(__xludf.DUMMYFUNCTION("""COMPUTED_VALUE"""),45946.0)</f>
        <v>45946</v>
      </c>
      <c r="C212" s="41">
        <f>IFERROR(__xludf.DUMMYFUNCTION("""COMPUTED_VALUE"""),1.0)</f>
        <v>1</v>
      </c>
      <c r="D212" s="41" t="str">
        <f>IFERROR(__xludf.DUMMYFUNCTION("""COMPUTED_VALUE"""),"CT MỚI")</f>
        <v>CT MỚI</v>
      </c>
      <c r="E212" s="41"/>
      <c r="F212" s="42"/>
      <c r="G212" s="42" t="str">
        <f>IFERROR(__xludf.DUMMYFUNCTION("""COMPUTED_VALUE"""),"HH4100")</f>
        <v>HH4100</v>
      </c>
      <c r="H212" s="42" t="str">
        <f>IFERROR(__xludf.DUMMYFUNCTION("""COMPUTED_VALUE"""),"GC - IV - 4100 - Cty Sen Hồng (A.Diễn) - CỨNG CÂY 4.0 (Nước nâu đen) - 400ml - 30")</f>
        <v>GC - IV - 4100 - Cty Sen Hồng (A.Diễn) - CỨNG CÂY 4.0 (Nước nâu đen) - 400ml - 30</v>
      </c>
      <c r="I212" s="42" t="str">
        <f>IFERROR(__xludf.DUMMYFUNCTION("""COMPUTED_VALUE"""),"#N/A")</f>
        <v>#N/A</v>
      </c>
      <c r="J212" s="42"/>
      <c r="K212" s="42"/>
      <c r="L212" s="2" t="str">
        <f>IFERROR(__xludf.DUMMYFUNCTION("""COMPUTED_VALUE"""),"A02200825")</f>
        <v>A02200825</v>
      </c>
      <c r="M212" s="2" t="str">
        <f>IFERROR(__xludf.DUMMYFUNCTION("""COMPUTED_VALUE"""),"CỨNG CÂY 02")</f>
        <v>CỨNG CÂY 02</v>
      </c>
      <c r="N212" s="2" t="str">
        <f>IFERROR(__xludf.DUMMYFUNCTION("""COMPUTED_VALUE"""),"02CC0014")</f>
        <v>02CC0014</v>
      </c>
      <c r="O212" s="2" t="str">
        <f>IFERROR(__xludf.DUMMYFUNCTION("""COMPUTED_VALUE"""),"Phân bón vi lượng G.A 05")</f>
        <v>Phân bón vi lượng G.A 05</v>
      </c>
      <c r="P212" s="2" t="str">
        <f>IFERROR(__xludf.DUMMYFUNCTION("""COMPUTED_VALUE"""),"#N/A")</f>
        <v>#N/A</v>
      </c>
      <c r="Q212" s="30" t="str">
        <f>IFERROR(__xludf.DUMMYFUNCTION("""COMPUTED_VALUE"""),"KHÔNG KHỚP")</f>
        <v>KHÔNG KHỚP</v>
      </c>
      <c r="R212" s="2"/>
      <c r="S212" s="2"/>
      <c r="T212" s="2"/>
      <c r="U212" s="2"/>
      <c r="V212" s="2"/>
      <c r="W212" s="2"/>
      <c r="X212" s="2"/>
      <c r="Y212" s="2"/>
    </row>
    <row r="213">
      <c r="A213" s="30">
        <f>IFERROR(__xludf.DUMMYFUNCTION("""COMPUTED_VALUE"""),210.0)</f>
        <v>210</v>
      </c>
      <c r="B213" s="39">
        <f>IFERROR(__xludf.DUMMYFUNCTION("""COMPUTED_VALUE"""),45940.0)</f>
        <v>45940</v>
      </c>
      <c r="C213" s="30">
        <f>IFERROR(__xludf.DUMMYFUNCTION("""COMPUTED_VALUE"""),2.0)</f>
        <v>2</v>
      </c>
      <c r="D213" s="30" t="str">
        <f>IFERROR(__xludf.DUMMYFUNCTION("""COMPUTED_VALUE"""),"CT CŨ")</f>
        <v>CT CŨ</v>
      </c>
      <c r="E213" s="30"/>
      <c r="F213" s="2"/>
      <c r="G213" s="2" t="str">
        <f>IFERROR(__xludf.DUMMYFUNCTION("""COMPUTED_VALUE"""),"HH3968")</f>
        <v>HH3968</v>
      </c>
      <c r="H213" s="2" t="str">
        <f>IFERROR(__xludf.DUMMYFUNCTION("""COMPUTED_VALUE"""),"BAMBOO - VI - 3968 - BAMBOO 777 TE (chưa xác định) - 1L - 20")</f>
        <v>BAMBOO - VI - 3968 - BAMBOO 777 TE (chưa xác định) - 1L - 20</v>
      </c>
      <c r="I213" s="2" t="str">
        <f>IFERROR(__xludf.DUMMYFUNCTION("""COMPUTED_VALUE"""),"#N/A")</f>
        <v>#N/A</v>
      </c>
      <c r="J213" s="2"/>
      <c r="K213" s="2"/>
      <c r="L213" s="2" t="str">
        <f>IFERROR(__xludf.DUMMYFUNCTION("""COMPUTED_VALUE"""),"BB25040725")</f>
        <v>BB25040725</v>
      </c>
      <c r="M213" s="2" t="str">
        <f>IFERROR(__xludf.DUMMYFUNCTION("""COMPUTED_VALUE"""),"BAMBOO 777 TE")</f>
        <v>BAMBOO 777 TE</v>
      </c>
      <c r="N213" s="2" t="str">
        <f>IFERROR(__xludf.DUMMYFUNCTION("""COMPUTED_VALUE"""),"03DD0015V1")</f>
        <v>03DD0015V1</v>
      </c>
      <c r="O213" s="2" t="str">
        <f>IFERROR(__xludf.DUMMYFUNCTION("""COMPUTED_VALUE"""),"Phân bón lá NPK-Vi lượng GNC 19")</f>
        <v>Phân bón lá NPK-Vi lượng GNC 19</v>
      </c>
      <c r="P213" s="2" t="str">
        <f>IFERROR(__xludf.DUMMYFUNCTION("""COMPUTED_VALUE"""),"#N/A")</f>
        <v>#N/A</v>
      </c>
      <c r="Q213" s="30" t="str">
        <f>IFERROR(__xludf.DUMMYFUNCTION("""COMPUTED_VALUE"""),"KHÔNG KHỚP")</f>
        <v>KHÔNG KHỚP</v>
      </c>
      <c r="R213" s="2"/>
      <c r="S213" s="2"/>
      <c r="T213" s="2"/>
      <c r="U213" s="2"/>
      <c r="V213" s="2"/>
      <c r="W213" s="2"/>
      <c r="X213" s="2"/>
      <c r="Y213" s="2"/>
    </row>
    <row r="214">
      <c r="A214" s="30">
        <f>IFERROR(__xludf.DUMMYFUNCTION("""COMPUTED_VALUE"""),211.0)</f>
        <v>211</v>
      </c>
      <c r="B214" s="39">
        <f>IFERROR(__xludf.DUMMYFUNCTION("""COMPUTED_VALUE"""),45971.0)</f>
        <v>45971</v>
      </c>
      <c r="C214" s="30">
        <f>IFERROR(__xludf.DUMMYFUNCTION("""COMPUTED_VALUE"""),3.0)</f>
        <v>3</v>
      </c>
      <c r="D214" s="30" t="str">
        <f>IFERROR(__xludf.DUMMYFUNCTION("""COMPUTED_VALUE"""),"CT XỬ LÝ LỖI")</f>
        <v>CT XỬ LÝ LỖI</v>
      </c>
      <c r="E214" s="30"/>
      <c r="F214" s="2"/>
      <c r="G214" s="2" t="str">
        <f>IFERROR(__xludf.DUMMYFUNCTION("""COMPUTED_VALUE"""),"HH4067")</f>
        <v>HH4067</v>
      </c>
      <c r="H214" s="2" t="str">
        <f>IFERROR(__xludf.DUMMYFUNCTION("""COMPUTED_VALUE"""),"GC - IX - 4067 - N2SBIO - N2 ANTI STRESS (Gel nâu đen) - 500ml - 40")</f>
        <v>GC - IX - 4067 - N2SBIO - N2 ANTI STRESS (Gel nâu đen) - 500ml - 40</v>
      </c>
      <c r="I214" s="39" t="str">
        <f>IFERROR(__xludf.DUMMYFUNCTION("""COMPUTED_VALUE"""),"Lá Vô Cơ Nhiều Thành Phần NBC-ALCROP")</f>
        <v>Lá Vô Cơ Nhiều Thành Phần NBC-ALCROP</v>
      </c>
      <c r="J214" s="2"/>
      <c r="K214" s="2"/>
      <c r="L214" s="2" t="str">
        <f>IFERROR(__xludf.DUMMYFUNCTION("""COMPUTED_VALUE"""),"XỬ LÝ BTP LỖI")</f>
        <v>XỬ LÝ BTP LỖI</v>
      </c>
      <c r="M214" s="2" t="str">
        <f>IFERROR(__xludf.DUMMYFUNCTION("""COMPUTED_VALUE"""),"N2 ANTI STRESS")</f>
        <v>N2 ANTI STRESS</v>
      </c>
      <c r="N214" s="2" t="str">
        <f>IFERROR(__xludf.DUMMYFUNCTION("""COMPUTED_VALUE"""),"23GS0012-890925-1")</f>
        <v>23GS0012-890925-1</v>
      </c>
      <c r="O214" s="2" t="str">
        <f>IFERROR(__xludf.DUMMYFUNCTION("""COMPUTED_VALUE"""),"Phân bón lá NBC-Alcrop")</f>
        <v>Phân bón lá NBC-Alcrop</v>
      </c>
      <c r="P214" s="2" t="str">
        <f>IFERROR(__xludf.DUMMYFUNCTION("""COMPUTED_VALUE"""),"Phân bón Lá Vô Cơ Nhiều Thành Phần NBC-ALCROP")</f>
        <v>Phân bón Lá Vô Cơ Nhiều Thành Phần NBC-ALCROP</v>
      </c>
      <c r="Q214" s="30" t="str">
        <f>IFERROR(__xludf.DUMMYFUNCTION("""COMPUTED_VALUE"""),"KHÔNG KHỚP")</f>
        <v>KHÔNG KHỚP</v>
      </c>
      <c r="R214" s="2"/>
      <c r="S214" s="2"/>
      <c r="T214" s="2"/>
      <c r="U214" s="2"/>
      <c r="V214" s="2"/>
      <c r="W214" s="2"/>
      <c r="X214" s="2"/>
      <c r="Y214" s="2"/>
    </row>
    <row r="215">
      <c r="A215" s="30">
        <f>IFERROR(__xludf.DUMMYFUNCTION("""COMPUTED_VALUE"""),212.0)</f>
        <v>212</v>
      </c>
      <c r="B215" s="39" t="str">
        <f>IFERROR(__xludf.DUMMYFUNCTION("""COMPUTED_VALUE"""),"")</f>
        <v/>
      </c>
      <c r="C215" s="30">
        <f>IFERROR(__xludf.DUMMYFUNCTION("""COMPUTED_VALUE"""),3.0)</f>
        <v>3</v>
      </c>
      <c r="D215" s="30" t="str">
        <f>IFERROR(__xludf.DUMMYFUNCTION("""COMPUTED_VALUE"""),"CT XỬ LÝ LỖI")</f>
        <v>CT XỬ LÝ LỖI</v>
      </c>
      <c r="E215" s="30"/>
      <c r="F215" s="2"/>
      <c r="G215" s="2" t="str">
        <f>IFERROR(__xludf.DUMMYFUNCTION("""COMPUTED_VALUE"""),"HH4068")</f>
        <v>HH4068</v>
      </c>
      <c r="H215" s="2" t="str">
        <f>IFERROR(__xludf.DUMMYFUNCTION("""COMPUTED_VALUE"""),"GC - IX - 4068 - N2SBIO - N2 HYPER CALBOR (Dạng SC - Vàng) - 500ml - 40")</f>
        <v>GC - IX - 4068 - N2SBIO - N2 HYPER CALBOR (Dạng SC - Vàng) - 500ml - 40</v>
      </c>
      <c r="I215" s="2" t="str">
        <f>IFERROR(__xludf.DUMMYFUNCTION("""COMPUTED_VALUE"""),"#N/A")</f>
        <v>#N/A</v>
      </c>
      <c r="J215" s="2"/>
      <c r="K215" s="2"/>
      <c r="L215" s="2" t="str">
        <f>IFERROR(__xludf.DUMMYFUNCTION("""COMPUTED_VALUE"""),"")</f>
        <v/>
      </c>
      <c r="M215" s="2" t="str">
        <f>IFERROR(__xludf.DUMMYFUNCTION("""COMPUTED_VALUE"""),"")</f>
        <v/>
      </c>
      <c r="N215" s="2" t="str">
        <f>IFERROR(__xludf.DUMMYFUNCTION("""COMPUTED_VALUE"""),"Chưa có công thức")</f>
        <v>Chưa có công thức</v>
      </c>
      <c r="O215" s="2" t="str">
        <f>IFERROR(__xludf.DUMMYFUNCTION("""COMPUTED_VALUE"""),"")</f>
        <v/>
      </c>
      <c r="P215" s="2" t="str">
        <f>IFERROR(__xludf.DUMMYFUNCTION("""COMPUTED_VALUE"""),"#N/A")</f>
        <v>#N/A</v>
      </c>
      <c r="Q215" s="30" t="str">
        <f>IFERROR(__xludf.DUMMYFUNCTION("""COMPUTED_VALUE"""),"KHÔNG KHỚP")</f>
        <v>KHÔNG KHỚP</v>
      </c>
      <c r="R215" s="2"/>
      <c r="S215" s="2"/>
      <c r="T215" s="2"/>
      <c r="U215" s="2"/>
      <c r="V215" s="2"/>
      <c r="W215" s="2"/>
      <c r="X215" s="2"/>
      <c r="Y215" s="2"/>
    </row>
    <row r="216">
      <c r="A216" s="30">
        <f>IFERROR(__xludf.DUMMYFUNCTION("""COMPUTED_VALUE"""),213.0)</f>
        <v>213</v>
      </c>
      <c r="B216" s="39">
        <f>IFERROR(__xludf.DUMMYFUNCTION("""COMPUTED_VALUE"""),45905.0)</f>
        <v>45905</v>
      </c>
      <c r="C216" s="30">
        <f>IFERROR(__xludf.DUMMYFUNCTION("""COMPUTED_VALUE"""),4.0)</f>
        <v>4</v>
      </c>
      <c r="D216" s="30" t="str">
        <f>IFERROR(__xludf.DUMMYFUNCTION("""COMPUTED_VALUE"""),"CT MỚI")</f>
        <v>CT MỚI</v>
      </c>
      <c r="E216" s="30"/>
      <c r="F216" s="2"/>
      <c r="G216" s="2" t="str">
        <f>IFERROR(__xludf.DUMMYFUNCTION("""COMPUTED_VALUE"""),"HH4183")</f>
        <v>HH4183</v>
      </c>
      <c r="H216" s="2" t="str">
        <f>IFERROR(__xludf.DUMMYFUNCTION("""COMPUTED_VALUE"""),"GC - IV - 4183 - Cty Hương Nông - HN-pH++ (Nước nâu đen) - 5L - 4")</f>
        <v>GC - IV - 4183 - Cty Hương Nông - HN-pH++ (Nước nâu đen) - 5L - 4</v>
      </c>
      <c r="I216" s="2" t="str">
        <f>IFERROR(__xludf.DUMMYFUNCTION("""COMPUTED_VALUE"""),"#N/A")</f>
        <v>#N/A</v>
      </c>
      <c r="J216" s="2"/>
      <c r="K216" s="2"/>
      <c r="L216" s="2"/>
      <c r="M216" s="2" t="str">
        <f>IFERROR(__xludf.DUMMYFUNCTION("""COMPUTED_VALUE"""),"HN-pH++")</f>
        <v>HN-pH++</v>
      </c>
      <c r="N216" s="2" t="str">
        <f>IFERROR(__xludf.DUMMYFUNCTION("""COMPUTED_VALUE"""),"01RR0014V4")</f>
        <v>01RR0014V4</v>
      </c>
      <c r="O216" s="2" t="str">
        <f>IFERROR(__xludf.DUMMYFUNCTION("""COMPUTED_VALUE"""),"Phân bón Hữu cơ SH Agro Organic Fertilizer 20")</f>
        <v>Phân bón Hữu cơ SH Agro Organic Fertilizer 20</v>
      </c>
      <c r="P216" s="2" t="str">
        <f>IFERROR(__xludf.DUMMYFUNCTION("""COMPUTED_VALUE"""),"#N/A")</f>
        <v>#N/A</v>
      </c>
      <c r="Q216" s="30" t="str">
        <f>IFERROR(__xludf.DUMMYFUNCTION("""COMPUTED_VALUE"""),"KHÔNG KHỚP")</f>
        <v>KHÔNG KHỚP</v>
      </c>
      <c r="R216" s="2"/>
      <c r="S216" s="2"/>
      <c r="T216" s="2"/>
      <c r="U216" s="2"/>
      <c r="V216" s="2"/>
      <c r="W216" s="2"/>
      <c r="X216" s="2"/>
      <c r="Y216" s="2"/>
    </row>
    <row r="217">
      <c r="A217" s="30">
        <f>IFERROR(__xludf.DUMMYFUNCTION("""COMPUTED_VALUE"""),214.0)</f>
        <v>214</v>
      </c>
      <c r="B217" s="39">
        <f>IFERROR(__xludf.DUMMYFUNCTION("""COMPUTED_VALUE"""),45908.0)</f>
        <v>45908</v>
      </c>
      <c r="C217" s="30">
        <f>IFERROR(__xludf.DUMMYFUNCTION("""COMPUTED_VALUE"""),1.0)</f>
        <v>1</v>
      </c>
      <c r="D217" s="30" t="str">
        <f>IFERROR(__xludf.DUMMYFUNCTION("""COMPUTED_VALUE"""),"CT CŨ")</f>
        <v>CT CŨ</v>
      </c>
      <c r="E217" s="30"/>
      <c r="F217" s="2"/>
      <c r="G217" s="2" t="str">
        <f>IFERROR(__xludf.DUMMYFUNCTION("""COMPUTED_VALUE"""),"HH4234")</f>
        <v>HH4234</v>
      </c>
      <c r="H217" s="2" t="str">
        <f>IFERROR(__xludf.DUMMYFUNCTION("""COMPUTED_VALUE"""),"GC - IV - 4234 - CTY R3 - R3 ROOT+  (Nước nâu đen) - 330ml - 40")</f>
        <v>GC - IV - 4234 - CTY R3 - R3 ROOT+  (Nước nâu đen) - 330ml - 40</v>
      </c>
      <c r="I217" s="2" t="str">
        <f>IFERROR(__xludf.DUMMYFUNCTION("""COMPUTED_VALUE"""),"#N/A")</f>
        <v>#N/A</v>
      </c>
      <c r="J217" s="2"/>
      <c r="K217" s="2"/>
      <c r="L217" s="2" t="str">
        <f>IFERROR(__xludf.DUMMYFUNCTION("""COMPUTED_VALUE"""),"A20280225")</f>
        <v>A20280225</v>
      </c>
      <c r="M217" s="2" t="str">
        <f>IFERROR(__xludf.DUMMYFUNCTION("""COMPUTED_VALUE"""),"BETA VUA RỄ")</f>
        <v>BETA VUA RỄ</v>
      </c>
      <c r="N217" s="2" t="str">
        <f>IFERROR(__xludf.DUMMYFUNCTION("""COMPUTED_VALUE"""),"01RR0050")</f>
        <v>01RR0050</v>
      </c>
      <c r="O217" s="2" t="str">
        <f>IFERROR(__xludf.DUMMYFUNCTION("""COMPUTED_VALUE"""),"Phân bón Hỗn hợp NP AGAMA-AP")</f>
        <v>Phân bón Hỗn hợp NP AGAMA-AP</v>
      </c>
      <c r="P217" s="2" t="str">
        <f>IFERROR(__xludf.DUMMYFUNCTION("""COMPUTED_VALUE"""),"#N/A")</f>
        <v>#N/A</v>
      </c>
      <c r="Q217" s="30" t="str">
        <f>IFERROR(__xludf.DUMMYFUNCTION("""COMPUTED_VALUE"""),"KHÔNG KHỚP")</f>
        <v>KHÔNG KHỚP</v>
      </c>
      <c r="R217" s="2"/>
      <c r="S217" s="2"/>
      <c r="T217" s="2"/>
      <c r="U217" s="2"/>
      <c r="V217" s="2"/>
      <c r="W217" s="2"/>
      <c r="X217" s="2"/>
      <c r="Y217" s="2"/>
    </row>
    <row r="218">
      <c r="A218" s="30">
        <f>IFERROR(__xludf.DUMMYFUNCTION("""COMPUTED_VALUE"""),215.0)</f>
        <v>215</v>
      </c>
      <c r="B218" s="39">
        <f>IFERROR(__xludf.DUMMYFUNCTION("""COMPUTED_VALUE"""),45946.0)</f>
        <v>45946</v>
      </c>
      <c r="C218" s="30">
        <f>IFERROR(__xludf.DUMMYFUNCTION("""COMPUTED_VALUE"""),1.0)</f>
        <v>1</v>
      </c>
      <c r="D218" s="30" t="str">
        <f>IFERROR(__xludf.DUMMYFUNCTION("""COMPUTED_VALUE"""),"CT MỚI")</f>
        <v>CT MỚI</v>
      </c>
      <c r="E218" s="30"/>
      <c r="F218" s="2"/>
      <c r="G218" s="2" t="str">
        <f>IFERROR(__xludf.DUMMYFUNCTION("""COMPUTED_VALUE"""),"HH4231")</f>
        <v>HH4231</v>
      </c>
      <c r="H218" s="2" t="str">
        <f>IFERROR(__xludf.DUMMYFUNCTION("""COMPUTED_VALUE"""),"GC - IV - 4231 - CTY R3 - R3 TANK  (Nước nâu vàng) - 330ml - 40")</f>
        <v>GC - IV - 4231 - CTY R3 - R3 TANK  (Nước nâu vàng) - 330ml - 40</v>
      </c>
      <c r="I218" s="2" t="str">
        <f>IFERROR(__xludf.DUMMYFUNCTION("""COMPUTED_VALUE"""),"#N/A")</f>
        <v>#N/A</v>
      </c>
      <c r="J218" s="2"/>
      <c r="K218" s="2"/>
      <c r="L218" s="2" t="str">
        <f>IFERROR(__xludf.DUMMYFUNCTION("""COMPUTED_VALUE"""),"A01200825.")</f>
        <v>A01200825.</v>
      </c>
      <c r="M218" s="2" t="str">
        <f>IFERROR(__xludf.DUMMYFUNCTION("""COMPUTED_VALUE"""),"CỨNG CÂY 01 ")</f>
        <v>CỨNG CÂY 01 </v>
      </c>
      <c r="N218" s="2" t="str">
        <f>IFERROR(__xludf.DUMMYFUNCTION("""COMPUTED_VALUE"""),"02CC0012")</f>
        <v>02CC0012</v>
      </c>
      <c r="O218" s="2" t="str">
        <f>IFERROR(__xludf.DUMMYFUNCTION("""COMPUTED_VALUE"""),"Phân bón vi lượng G.A 05")</f>
        <v>Phân bón vi lượng G.A 05</v>
      </c>
      <c r="P218" s="2" t="str">
        <f>IFERROR(__xludf.DUMMYFUNCTION("""COMPUTED_VALUE"""),"#N/A")</f>
        <v>#N/A</v>
      </c>
      <c r="Q218" s="30" t="str">
        <f>IFERROR(__xludf.DUMMYFUNCTION("""COMPUTED_VALUE"""),"KHÔNG KHỚP")</f>
        <v>KHÔNG KHỚP</v>
      </c>
      <c r="R218" s="2"/>
      <c r="S218" s="2"/>
      <c r="T218" s="2"/>
      <c r="U218" s="2"/>
      <c r="V218" s="2"/>
      <c r="W218" s="2"/>
      <c r="X218" s="2"/>
      <c r="Y218" s="2"/>
    </row>
    <row r="219">
      <c r="A219" s="30">
        <f>IFERROR(__xludf.DUMMYFUNCTION("""COMPUTED_VALUE"""),216.0)</f>
        <v>216</v>
      </c>
      <c r="B219" s="39">
        <f>IFERROR(__xludf.DUMMYFUNCTION("""COMPUTED_VALUE"""),45971.0)</f>
        <v>45971</v>
      </c>
      <c r="C219" s="30">
        <f>IFERROR(__xludf.DUMMYFUNCTION("""COMPUTED_VALUE"""),1.0)</f>
        <v>1</v>
      </c>
      <c r="D219" s="30" t="str">
        <f>IFERROR(__xludf.DUMMYFUNCTION("""COMPUTED_VALUE"""),"CT MỚI")</f>
        <v>CT MỚI</v>
      </c>
      <c r="E219" s="30"/>
      <c r="F219" s="2"/>
      <c r="G219" s="2" t="str">
        <f>IFERROR(__xludf.DUMMYFUNCTION("""COMPUTED_VALUE"""),"HH4232")</f>
        <v>HH4232</v>
      </c>
      <c r="H219" s="2" t="str">
        <f>IFERROR(__xludf.DUMMYFUNCTION("""COMPUTED_VALUE"""),"GC - IV - 4232 - CTY R3 - R3 BLOOM  (Nước xanh bơ sữa) - 330ml - 40")</f>
        <v>GC - IV - 4232 - CTY R3 - R3 BLOOM  (Nước xanh bơ sữa) - 330ml - 40</v>
      </c>
      <c r="I219" s="2" t="str">
        <f>IFERROR(__xludf.DUMMYFUNCTION("""COMPUTED_VALUE"""),"#N/A")</f>
        <v>#N/A</v>
      </c>
      <c r="J219" s="2"/>
      <c r="K219" s="2"/>
      <c r="L219" s="2" t="str">
        <f>IFERROR(__xludf.DUMMYFUNCTION("""COMPUTED_VALUE"""),"A03260525")</f>
        <v>A03260525</v>
      </c>
      <c r="M219" s="2" t="str">
        <f>IFERROR(__xludf.DUMMYFUNCTION("""COMPUTED_VALUE"""),"ĐÒNG TO BÔNG KẸO")</f>
        <v>ĐÒNG TO BÔNG KẸO</v>
      </c>
      <c r="N219" s="2" t="str">
        <f>IFERROR(__xludf.DUMMYFUNCTION("""COMPUTED_VALUE"""),"03DD0017V2")</f>
        <v>03DD0017V2</v>
      </c>
      <c r="O219" s="2" t="str">
        <f>IFERROR(__xludf.DUMMYFUNCTION("""COMPUTED_VALUE"""),"Phân bón lá NPK-Vi lượng GNC 19")</f>
        <v>Phân bón lá NPK-Vi lượng GNC 19</v>
      </c>
      <c r="P219" s="2" t="str">
        <f>IFERROR(__xludf.DUMMYFUNCTION("""COMPUTED_VALUE"""),"#N/A")</f>
        <v>#N/A</v>
      </c>
      <c r="Q219" s="30" t="str">
        <f>IFERROR(__xludf.DUMMYFUNCTION("""COMPUTED_VALUE"""),"KHÔNG KHỚP")</f>
        <v>KHÔNG KHỚP</v>
      </c>
      <c r="R219" s="2"/>
      <c r="S219" s="2"/>
      <c r="T219" s="2"/>
      <c r="U219" s="2"/>
      <c r="V219" s="2"/>
      <c r="W219" s="2"/>
      <c r="X219" s="2"/>
      <c r="Y219" s="2"/>
    </row>
    <row r="220">
      <c r="A220" s="30">
        <f>IFERROR(__xludf.DUMMYFUNCTION("""COMPUTED_VALUE"""),217.0)</f>
        <v>217</v>
      </c>
      <c r="B220" s="39">
        <f>IFERROR(__xludf.DUMMYFUNCTION("""COMPUTED_VALUE"""),45944.0)</f>
        <v>45944</v>
      </c>
      <c r="C220" s="30">
        <f>IFERROR(__xludf.DUMMYFUNCTION("""COMPUTED_VALUE"""),4.0)</f>
        <v>4</v>
      </c>
      <c r="D220" s="30" t="str">
        <f>IFERROR(__xludf.DUMMYFUNCTION("""COMPUTED_VALUE"""),"CT CŨ")</f>
        <v>CT CŨ</v>
      </c>
      <c r="E220" s="30"/>
      <c r="F220" s="2"/>
      <c r="G220" s="2" t="str">
        <f>IFERROR(__xludf.DUMMYFUNCTION("""COMPUTED_VALUE"""),"HH4211")</f>
        <v>HH4211</v>
      </c>
      <c r="H220" s="2" t="str">
        <f>IFERROR(__xludf.DUMMYFUNCTION("""COMPUTED_VALUE"""),"GC - IV - 4211 - Cty Capy Global - TOP SPROUT (nước nâu đen) - 500ml - 40")</f>
        <v>GC - IV - 4211 - Cty Capy Global - TOP SPROUT (nước nâu đen) - 500ml - 40</v>
      </c>
      <c r="I220" s="39" t="str">
        <f>IFERROR(__xludf.DUMMYFUNCTION("""COMPUTED_VALUE"""),"Vi lượng Run Fast")</f>
        <v>Vi lượng Run Fast</v>
      </c>
      <c r="J220" s="2"/>
      <c r="K220" s="2"/>
      <c r="L220" s="2"/>
      <c r="M220" s="2" t="str">
        <f>IFERROR(__xludf.DUMMYFUNCTION("""COMPUTED_VALUE"""),"TOP SPROUT")</f>
        <v>TOP SPROUT</v>
      </c>
      <c r="N220" s="2" t="str">
        <f>IFERROR(__xludf.DUMMYFUNCTION("""COMPUTED_VALUE"""),"08TM0004V1")</f>
        <v>08TM0004V1</v>
      </c>
      <c r="O220" s="2" t="str">
        <f>IFERROR(__xludf.DUMMYFUNCTION("""COMPUTED_VALUE"""),"Phân bón Vi lượng Run Fast")</f>
        <v>Phân bón Vi lượng Run Fast</v>
      </c>
      <c r="P220" s="2" t="str">
        <f>IFERROR(__xludf.DUMMYFUNCTION("""COMPUTED_VALUE"""),"Phân bón Vi lượng Run Fast")</f>
        <v>Phân bón Vi lượng Run Fast</v>
      </c>
      <c r="Q220" s="30" t="str">
        <f>IFERROR(__xludf.DUMMYFUNCTION("""COMPUTED_VALUE"""),"KHỚP")</f>
        <v>KHỚP</v>
      </c>
      <c r="R220" s="2"/>
      <c r="S220" s="2"/>
      <c r="T220" s="2"/>
      <c r="U220" s="2"/>
      <c r="V220" s="2"/>
      <c r="W220" s="2"/>
      <c r="X220" s="2"/>
      <c r="Y220" s="2"/>
    </row>
    <row r="221">
      <c r="A221" s="30">
        <f>IFERROR(__xludf.DUMMYFUNCTION("""COMPUTED_VALUE"""),218.0)</f>
        <v>218</v>
      </c>
      <c r="B221" s="39" t="str">
        <f>IFERROR(__xludf.DUMMYFUNCTION("""COMPUTED_VALUE"""),"")</f>
        <v/>
      </c>
      <c r="C221" s="30">
        <f>IFERROR(__xludf.DUMMYFUNCTION("""COMPUTED_VALUE"""),2.0)</f>
        <v>2</v>
      </c>
      <c r="D221" s="30" t="str">
        <f>IFERROR(__xludf.DUMMYFUNCTION("""COMPUTED_VALUE"""),"CT MỚI")</f>
        <v>CT MỚI</v>
      </c>
      <c r="E221" s="30"/>
      <c r="F221" s="2"/>
      <c r="G221" s="2" t="str">
        <f>IFERROR(__xludf.DUMMYFUNCTION("""COMPUTED_VALUE"""),"HH4273")</f>
        <v>HH4273</v>
      </c>
      <c r="H221" s="2" t="str">
        <f>IFERROR(__xludf.DUMMYFUNCTION("""COMPUTED_VALUE"""),"GC - IV - 4273 - Cty Thành Công Agri - MASTER STOP (nước nâu đen V2) - 1L - 20")</f>
        <v>GC - IV - 4273 - Cty Thành Công Agri - MASTER STOP (nước nâu đen V2) - 1L - 20</v>
      </c>
      <c r="I221" s="2" t="str">
        <f>IFERROR(__xludf.DUMMYFUNCTION("""COMPUTED_VALUE"""),"#N/A")</f>
        <v>#N/A</v>
      </c>
      <c r="J221" s="2"/>
      <c r="K221" s="2"/>
      <c r="L221" s="2" t="str">
        <f>IFERROR(__xludf.DUMMYFUNCTION("""COMPUTED_VALUE"""),"")</f>
        <v/>
      </c>
      <c r="M221" s="2" t="str">
        <f>IFERROR(__xludf.DUMMYFUNCTION("""COMPUTED_VALUE"""),"")</f>
        <v/>
      </c>
      <c r="N221" s="2" t="str">
        <f>IFERROR(__xludf.DUMMYFUNCTION("""COMPUTED_VALUE"""),"Huỷ đơn")</f>
        <v>Huỷ đơn</v>
      </c>
      <c r="O221" s="2" t="str">
        <f>IFERROR(__xludf.DUMMYFUNCTION("""COMPUTED_VALUE"""),"")</f>
        <v/>
      </c>
      <c r="P221" s="2" t="str">
        <f>IFERROR(__xludf.DUMMYFUNCTION("""COMPUTED_VALUE"""),"#N/A")</f>
        <v>#N/A</v>
      </c>
      <c r="Q221" s="30" t="str">
        <f>IFERROR(__xludf.DUMMYFUNCTION("""COMPUTED_VALUE"""),"KHÔNG KHỚP")</f>
        <v>KHÔNG KHỚP</v>
      </c>
      <c r="R221" s="2"/>
      <c r="S221" s="2"/>
      <c r="T221" s="2"/>
      <c r="U221" s="2"/>
      <c r="V221" s="2"/>
      <c r="W221" s="2"/>
      <c r="X221" s="2"/>
      <c r="Y221" s="2"/>
    </row>
    <row r="222">
      <c r="A222" s="30">
        <f>IFERROR(__xludf.DUMMYFUNCTION("""COMPUTED_VALUE"""),219.0)</f>
        <v>219</v>
      </c>
      <c r="B222" s="39">
        <f>IFERROR(__xludf.DUMMYFUNCTION("""COMPUTED_VALUE"""),45967.0)</f>
        <v>45967</v>
      </c>
      <c r="C222" s="30">
        <f>IFERROR(__xludf.DUMMYFUNCTION("""COMPUTED_VALUE"""),1.0)</f>
        <v>1</v>
      </c>
      <c r="D222" s="30" t="str">
        <f>IFERROR(__xludf.DUMMYFUNCTION("""COMPUTED_VALUE"""),"CT CŨ")</f>
        <v>CT CŨ</v>
      </c>
      <c r="E222" s="30"/>
      <c r="F222" s="2"/>
      <c r="G222" s="2" t="str">
        <f>IFERROR(__xludf.DUMMYFUNCTION("""COMPUTED_VALUE"""),"HH4316")</f>
        <v>HH4316</v>
      </c>
      <c r="H222" s="2" t="str">
        <f>IFERROR(__xludf.DUMMYFUNCTION("""COMPUTED_VALUE"""),"HH4316 - DR.XANH - PBHC SH AGRO ORGANIC FERTILIZER 20 - DR.AB MAGSI - CHAI HDPE TRẮNG NẮP TRẮNG (CÓ CỐC) 500ML")</f>
        <v>HH4316 - DR.XANH - PBHC SH AGRO ORGANIC FERTILIZER 20 - DR.AB MAGSI - CHAI HDPE TRẮNG NẮP TRẮNG (CÓ CỐC) 500ML</v>
      </c>
      <c r="I222" s="2" t="str">
        <f>IFERROR(__xludf.DUMMYFUNCTION("""COMPUTED_VALUE"""),"#N/A")</f>
        <v>#N/A</v>
      </c>
      <c r="J222" s="2"/>
      <c r="K222" s="2"/>
      <c r="L222" s="2" t="str">
        <f>IFERROR(__xludf.DUMMYFUNCTION("""COMPUTED_VALUE"""),"N05181224
X06121224")</f>
        <v>N05181224
X06121224</v>
      </c>
      <c r="M222" s="2" t="str">
        <f>IFERROR(__xludf.DUMMYFUNCTION("""COMPUTED_VALUE"""),"N2 PHYTO PLUS
DR.AB MAGSI")</f>
        <v>N2 PHYTO PLUS
DR.AB MAGSI</v>
      </c>
      <c r="N222" s="2" t="str">
        <f>IFERROR(__xludf.DUMMYFUNCTION("""COMPUTED_VALUE"""),"02CC0009V2")</f>
        <v>02CC0009V2</v>
      </c>
      <c r="O222" s="2" t="str">
        <f>IFERROR(__xludf.DUMMYFUNCTION("""COMPUTED_VALUE"""),"Phân bón Hữu cơ SH Agro Organic Fertilizer 20")</f>
        <v>Phân bón Hữu cơ SH Agro Organic Fertilizer 20</v>
      </c>
      <c r="P222" s="2" t="str">
        <f>IFERROR(__xludf.DUMMYFUNCTION("""COMPUTED_VALUE"""),"#N/A")</f>
        <v>#N/A</v>
      </c>
      <c r="Q222" s="30" t="str">
        <f>IFERROR(__xludf.DUMMYFUNCTION("""COMPUTED_VALUE"""),"KHÔNG KHỚP")</f>
        <v>KHÔNG KHỚP</v>
      </c>
      <c r="R222" s="2"/>
      <c r="S222" s="2"/>
      <c r="T222" s="2"/>
      <c r="U222" s="2"/>
      <c r="V222" s="2"/>
      <c r="W222" s="2"/>
      <c r="X222" s="2"/>
      <c r="Y222" s="2"/>
    </row>
    <row r="223">
      <c r="A223" s="30">
        <f>IFERROR(__xludf.DUMMYFUNCTION("""COMPUTED_VALUE"""),220.0)</f>
        <v>220</v>
      </c>
      <c r="B223" s="39">
        <f>IFERROR(__xludf.DUMMYFUNCTION("""COMPUTED_VALUE"""),-618775.0)</f>
        <v>-618775</v>
      </c>
      <c r="C223" s="30">
        <f>IFERROR(__xludf.DUMMYFUNCTION("""COMPUTED_VALUE"""),1.0)</f>
        <v>1</v>
      </c>
      <c r="D223" s="30" t="str">
        <f>IFERROR(__xludf.DUMMYFUNCTION("""COMPUTED_VALUE"""),"CT MỚI")</f>
        <v>CT MỚI</v>
      </c>
      <c r="E223" s="30"/>
      <c r="F223" s="2"/>
      <c r="G223" s="2" t="str">
        <f>IFERROR(__xludf.DUMMYFUNCTION("""COMPUTED_VALUE"""),"HH4314")</f>
        <v>HH4314</v>
      </c>
      <c r="H223" s="2" t="str">
        <f>IFERROR(__xludf.DUMMYFUNCTION("""COMPUTED_VALUE"""),"HH4314 - DR.XANH - PBHC ORGANIC BM GOLD FW - DR.XTRESS - CHAI HDPE TRẮNG NẮP TRẮNG (CÓC CỐC) 500ML")</f>
        <v>HH4314 - DR.XANH - PBHC ORGANIC BM GOLD FW - DR.XTRESS - CHAI HDPE TRẮNG NẮP TRẮNG (CÓC CỐC) 500ML</v>
      </c>
      <c r="I223" s="2" t="str">
        <f>IFERROR(__xludf.DUMMYFUNCTION("""COMPUTED_VALUE"""),"#N/A")</f>
        <v>#N/A</v>
      </c>
      <c r="J223" s="2"/>
      <c r="K223" s="2"/>
      <c r="L223" s="2" t="str">
        <f>IFERROR(__xludf.DUMMYFUNCTION("""COMPUTED_VALUE"""),"N03181224
X03121224")</f>
        <v>N03181224
X03121224</v>
      </c>
      <c r="M223" s="2" t="str">
        <f>IFERROR(__xludf.DUMMYFUNCTION("""COMPUTED_VALUE"""),"N2 ANTI STRESS
DR.XTRESS")</f>
        <v>N2 ANTI STRESS
DR.XTRESS</v>
      </c>
      <c r="N223" s="2" t="str">
        <f>IFERROR(__xludf.DUMMYFUNCTION("""COMPUTED_VALUE"""),"01RR0040V2")</f>
        <v>01RR0040V2</v>
      </c>
      <c r="O223" s="2" t="str">
        <f>IFERROR(__xludf.DUMMYFUNCTION("""COMPUTED_VALUE"""),"Phân bón Hữu cơ ORGANIC BM GOLD FW")</f>
        <v>Phân bón Hữu cơ ORGANIC BM GOLD FW</v>
      </c>
      <c r="P223" s="2" t="str">
        <f>IFERROR(__xludf.DUMMYFUNCTION("""COMPUTED_VALUE"""),"#N/A")</f>
        <v>#N/A</v>
      </c>
      <c r="Q223" s="30" t="str">
        <f>IFERROR(__xludf.DUMMYFUNCTION("""COMPUTED_VALUE"""),"KHÔNG KHỚP")</f>
        <v>KHÔNG KHỚP</v>
      </c>
      <c r="R223" s="2"/>
      <c r="S223" s="2"/>
      <c r="T223" s="2"/>
      <c r="U223" s="2"/>
      <c r="V223" s="2"/>
      <c r="W223" s="2"/>
      <c r="X223" s="2"/>
      <c r="Y223" s="2"/>
    </row>
    <row r="224">
      <c r="A224" s="30">
        <f>IFERROR(__xludf.DUMMYFUNCTION("""COMPUTED_VALUE"""),221.0)</f>
        <v>221</v>
      </c>
      <c r="B224" s="39">
        <f>IFERROR(__xludf.DUMMYFUNCTION("""COMPUTED_VALUE"""),45887.0)</f>
        <v>45887</v>
      </c>
      <c r="C224" s="30">
        <f>IFERROR(__xludf.DUMMYFUNCTION("""COMPUTED_VALUE"""),2.0)</f>
        <v>2</v>
      </c>
      <c r="D224" s="30" t="str">
        <f>IFERROR(__xludf.DUMMYFUNCTION("""COMPUTED_VALUE"""),"CT CŨ")</f>
        <v>CT CŨ</v>
      </c>
      <c r="E224" s="30"/>
      <c r="F224" s="2"/>
      <c r="G224" s="2" t="str">
        <f>IFERROR(__xludf.DUMMYFUNCTION("""COMPUTED_VALUE"""),"HH4003")</f>
        <v>HH4003</v>
      </c>
      <c r="H224" s="2" t="str">
        <f>IFERROR(__xludf.DUMMYFUNCTION("""COMPUTED_VALUE"""),"IDA Global - I - 4003 - CANXI BO LIQUID (Nước trắng sữa) - 500ml - 40")</f>
        <v>IDA Global - I - 4003 - CANXI BO LIQUID (Nước trắng sữa) - 500ml - 40</v>
      </c>
      <c r="I224" s="2" t="str">
        <f>IFERROR(__xludf.DUMMYFUNCTION("""COMPUTED_VALUE"""),"#N/A")</f>
        <v>#N/A</v>
      </c>
      <c r="J224" s="2"/>
      <c r="K224" s="2"/>
      <c r="L224" s="2"/>
      <c r="M224" s="2" t="str">
        <f>IFERROR(__xludf.DUMMYFUNCTION("""COMPUTED_VALUE"""),"CANXI BO MASTER")</f>
        <v>CANXI BO MASTER</v>
      </c>
      <c r="N224" s="2" t="str">
        <f>IFERROR(__xludf.DUMMYFUNCTION("""COMPUTED_VALUE"""),"10CR0015")</f>
        <v>10CR0015</v>
      </c>
      <c r="O224" s="2" t="str">
        <f>IFERROR(__xludf.DUMMYFUNCTION("""COMPUTED_VALUE"""),"Phân bón Vi lượng AGAMA-CANXI BO")</f>
        <v>Phân bón Vi lượng AGAMA-CANXI BO</v>
      </c>
      <c r="P224" s="2" t="str">
        <f>IFERROR(__xludf.DUMMYFUNCTION("""COMPUTED_VALUE"""),"#N/A")</f>
        <v>#N/A</v>
      </c>
      <c r="Q224" s="30" t="str">
        <f>IFERROR(__xludf.DUMMYFUNCTION("""COMPUTED_VALUE"""),"KHÔNG KHỚP")</f>
        <v>KHÔNG KHỚP</v>
      </c>
      <c r="R224" s="2"/>
      <c r="S224" s="2"/>
      <c r="T224" s="2"/>
      <c r="U224" s="2"/>
      <c r="V224" s="2"/>
      <c r="W224" s="2"/>
      <c r="X224" s="2"/>
      <c r="Y224" s="2"/>
    </row>
    <row r="225">
      <c r="A225" s="30">
        <f>IFERROR(__xludf.DUMMYFUNCTION("""COMPUTED_VALUE"""),222.0)</f>
        <v>222</v>
      </c>
      <c r="B225" s="39" t="str">
        <f>IFERROR(__xludf.DUMMYFUNCTION("""COMPUTED_VALUE"""),"")</f>
        <v/>
      </c>
      <c r="C225" s="30">
        <f>IFERROR(__xludf.DUMMYFUNCTION("""COMPUTED_VALUE"""),1.0)</f>
        <v>1</v>
      </c>
      <c r="D225" s="30" t="str">
        <f>IFERROR(__xludf.DUMMYFUNCTION("""COMPUTED_VALUE"""),"CT MỚI")</f>
        <v>CT MỚI</v>
      </c>
      <c r="E225" s="30"/>
      <c r="F225" s="2"/>
      <c r="G225" s="2" t="str">
        <f>IFERROR(__xludf.DUMMYFUNCTION("""COMPUTED_VALUE"""),"HH2717")</f>
        <v>HH2717</v>
      </c>
      <c r="H225" s="2" t="str">
        <f>IFERROR(__xludf.DUMMYFUNCTION("""COMPUTED_VALUE"""),"GC - IV - 2717 - GNH - DR. PHOENIX NANO ĐỒNG (Nước xanh nõn chuối) - 250ml - 40")</f>
        <v>GC - IV - 2717 - GNH - DR. PHOENIX NANO ĐỒNG (Nước xanh nõn chuối) - 250ml - 40</v>
      </c>
      <c r="I225" s="2" t="str">
        <f>IFERROR(__xludf.DUMMYFUNCTION("""COMPUTED_VALUE"""),"#N/A")</f>
        <v>#N/A</v>
      </c>
      <c r="J225" s="2"/>
      <c r="K225" s="2"/>
      <c r="L225" s="2" t="str">
        <f>IFERROR(__xludf.DUMMYFUNCTION("""COMPUTED_VALUE"""),"")</f>
        <v/>
      </c>
      <c r="M225" s="2" t="str">
        <f>IFERROR(__xludf.DUMMYFUNCTION("""COMPUTED_VALUE"""),"")</f>
        <v/>
      </c>
      <c r="N225" s="2" t="str">
        <f>IFERROR(__xludf.DUMMYFUNCTION("""COMPUTED_VALUE"""),"Huỷ đơn")</f>
        <v>Huỷ đơn</v>
      </c>
      <c r="O225" s="2" t="str">
        <f>IFERROR(__xludf.DUMMYFUNCTION("""COMPUTED_VALUE"""),"")</f>
        <v/>
      </c>
      <c r="P225" s="2" t="str">
        <f>IFERROR(__xludf.DUMMYFUNCTION("""COMPUTED_VALUE"""),"#N/A")</f>
        <v>#N/A</v>
      </c>
      <c r="Q225" s="30" t="str">
        <f>IFERROR(__xludf.DUMMYFUNCTION("""COMPUTED_VALUE"""),"KHÔNG KHỚP")</f>
        <v>KHÔNG KHỚP</v>
      </c>
      <c r="R225" s="2"/>
      <c r="S225" s="2"/>
      <c r="T225" s="2"/>
      <c r="U225" s="2"/>
      <c r="V225" s="2"/>
      <c r="W225" s="2"/>
      <c r="X225" s="2"/>
      <c r="Y225" s="2"/>
    </row>
    <row r="226">
      <c r="A226" s="30">
        <f>IFERROR(__xludf.DUMMYFUNCTION("""COMPUTED_VALUE"""),223.0)</f>
        <v>223</v>
      </c>
      <c r="B226" s="39" t="str">
        <f>IFERROR(__xludf.DUMMYFUNCTION("""COMPUTED_VALUE"""),"")</f>
        <v/>
      </c>
      <c r="C226" s="30">
        <f>IFERROR(__xludf.DUMMYFUNCTION("""COMPUTED_VALUE"""),1.0)</f>
        <v>1</v>
      </c>
      <c r="D226" s="30" t="str">
        <f>IFERROR(__xludf.DUMMYFUNCTION("""COMPUTED_VALUE"""),"CT MỚI")</f>
        <v>CT MỚI</v>
      </c>
      <c r="E226" s="30"/>
      <c r="F226" s="2"/>
      <c r="G226" s="2" t="str">
        <f>IFERROR(__xludf.DUMMYFUNCTION("""COMPUTED_VALUE"""),"HH4101")</f>
        <v>HH4101</v>
      </c>
      <c r="H226" s="2" t="str">
        <f>IFERROR(__xludf.DUMMYFUNCTION("""COMPUTED_VALUE"""),"GC - IV - 4101 - CTY SEN HỒNG - Mập Đòng  (Gel nâu đen) - 500ml - 40")</f>
        <v>GC - IV - 4101 - CTY SEN HỒNG - Mập Đòng  (Gel nâu đen) - 500ml - 40</v>
      </c>
      <c r="I226" s="2" t="str">
        <f>IFERROR(__xludf.DUMMYFUNCTION("""COMPUTED_VALUE"""),"#N/A")</f>
        <v>#N/A</v>
      </c>
      <c r="J226" s="2"/>
      <c r="K226" s="2"/>
      <c r="L226" s="2" t="str">
        <f>IFERROR(__xludf.DUMMYFUNCTION("""COMPUTED_VALUE"""),"")</f>
        <v/>
      </c>
      <c r="M226" s="2" t="str">
        <f>IFERROR(__xludf.DUMMYFUNCTION("""COMPUTED_VALUE"""),"")</f>
        <v/>
      </c>
      <c r="N226" s="2" t="str">
        <f>IFERROR(__xludf.DUMMYFUNCTION("""COMPUTED_VALUE"""),"Huỷ đơn")</f>
        <v>Huỷ đơn</v>
      </c>
      <c r="O226" s="2" t="str">
        <f>IFERROR(__xludf.DUMMYFUNCTION("""COMPUTED_VALUE"""),"")</f>
        <v/>
      </c>
      <c r="P226" s="2" t="str">
        <f>IFERROR(__xludf.DUMMYFUNCTION("""COMPUTED_VALUE"""),"#N/A")</f>
        <v>#N/A</v>
      </c>
      <c r="Q226" s="30" t="str">
        <f>IFERROR(__xludf.DUMMYFUNCTION("""COMPUTED_VALUE"""),"KHÔNG KHỚP")</f>
        <v>KHÔNG KHỚP</v>
      </c>
      <c r="R226" s="2"/>
      <c r="S226" s="2"/>
      <c r="T226" s="2"/>
      <c r="U226" s="2"/>
      <c r="V226" s="2"/>
      <c r="W226" s="2"/>
      <c r="X226" s="2"/>
      <c r="Y226" s="2"/>
    </row>
    <row r="227">
      <c r="A227" s="30">
        <f>IFERROR(__xludf.DUMMYFUNCTION("""COMPUTED_VALUE"""),224.0)</f>
        <v>224</v>
      </c>
      <c r="B227" s="39">
        <f>IFERROR(__xludf.DUMMYFUNCTION("""COMPUTED_VALUE"""),45946.0)</f>
        <v>45946</v>
      </c>
      <c r="C227" s="30">
        <f>IFERROR(__xludf.DUMMYFUNCTION("""COMPUTED_VALUE"""),1.0)</f>
        <v>1</v>
      </c>
      <c r="D227" s="30" t="str">
        <f>IFERROR(__xludf.DUMMYFUNCTION("""COMPUTED_VALUE"""),"CT CŨ")</f>
        <v>CT CŨ</v>
      </c>
      <c r="E227" s="30"/>
      <c r="F227" s="2"/>
      <c r="G227" s="2" t="str">
        <f>IFERROR(__xludf.DUMMYFUNCTION("""COMPUTED_VALUE"""),"HH4321")</f>
        <v>HH4321</v>
      </c>
      <c r="H227" s="2" t="str">
        <f>IFERROR(__xludf.DUMMYFUNCTION("""COMPUTED_VALUE"""),"GC ABA - NHP GROUP - Vi lượng Quantity New - KODO STOP - 1L - 20")</f>
        <v>GC ABA - NHP GROUP - Vi lượng Quantity New - KODO STOP - 1L - 20</v>
      </c>
      <c r="I227" s="39" t="str">
        <f>IFERROR(__xludf.DUMMYFUNCTION("""COMPUTED_VALUE"""),"Vi lượng Quantity New")</f>
        <v>Vi lượng Quantity New</v>
      </c>
      <c r="J227" s="2"/>
      <c r="K227" s="2"/>
      <c r="L227" s="2" t="str">
        <f>IFERROR(__xludf.DUMMYFUNCTION("""COMPUTED_VALUE"""),"CHẶN ĐỌT DÒNG V1")</f>
        <v>CHẶN ĐỌT DÒNG V1</v>
      </c>
      <c r="M227" s="2" t="str">
        <f>IFERROR(__xludf.DUMMYFUNCTION("""COMPUTED_VALUE"""),"KODO STOP
DR.STOP
DR.H2")</f>
        <v>KODO STOP
DR.STOP
DR.H2</v>
      </c>
      <c r="N227" s="2" t="str">
        <f>IFERROR(__xludf.DUMMYFUNCTION("""COMPUTED_VALUE"""),"06CD0006V1")</f>
        <v>06CD0006V1</v>
      </c>
      <c r="O227" s="2" t="str">
        <f>IFERROR(__xludf.DUMMYFUNCTION("""COMPUTED_VALUE"""),"Phân bón Vi lượng Quantity New")</f>
        <v>Phân bón Vi lượng Quantity New</v>
      </c>
      <c r="P227" s="2" t="str">
        <f>IFERROR(__xludf.DUMMYFUNCTION("""COMPUTED_VALUE"""),"Phân bón Vi lượng Quantity New")</f>
        <v>Phân bón Vi lượng Quantity New</v>
      </c>
      <c r="Q227" s="30" t="str">
        <f>IFERROR(__xludf.DUMMYFUNCTION("""COMPUTED_VALUE"""),"KHỚP")</f>
        <v>KHỚP</v>
      </c>
      <c r="R227" s="2"/>
      <c r="S227" s="2"/>
      <c r="T227" s="2"/>
      <c r="U227" s="2"/>
      <c r="V227" s="2"/>
      <c r="W227" s="2"/>
      <c r="X227" s="2"/>
      <c r="Y227" s="2"/>
    </row>
    <row r="228">
      <c r="A228" s="30">
        <f>IFERROR(__xludf.DUMMYFUNCTION("""COMPUTED_VALUE"""),225.0)</f>
        <v>225</v>
      </c>
      <c r="B228" s="39">
        <f>IFERROR(__xludf.DUMMYFUNCTION("""COMPUTED_VALUE"""),45887.0)</f>
        <v>45887</v>
      </c>
      <c r="C228" s="30">
        <f>IFERROR(__xludf.DUMMYFUNCTION("""COMPUTED_VALUE"""),3.0)</f>
        <v>3</v>
      </c>
      <c r="D228" s="30" t="str">
        <f>IFERROR(__xludf.DUMMYFUNCTION("""COMPUTED_VALUE"""),"CT CŨ")</f>
        <v>CT CŨ</v>
      </c>
      <c r="E228" s="30"/>
      <c r="F228" s="2"/>
      <c r="G228" s="2" t="str">
        <f>IFERROR(__xludf.DUMMYFUNCTION("""COMPUTED_VALUE"""),"HH3790")</f>
        <v>HH3790</v>
      </c>
      <c r="H228" s="2" t="str">
        <f>IFERROR(__xludf.DUMMYFUNCTION("""COMPUTED_VALUE"""),"BAMBOO - VI - 3790 - BAMBOO CANXI BO MASTER (Nước trắng sữa) - 1L - 20")</f>
        <v>BAMBOO - VI - 3790 - BAMBOO CANXI BO MASTER (Nước trắng sữa) - 1L - 20</v>
      </c>
      <c r="I228" s="2" t="str">
        <f>IFERROR(__xludf.DUMMYFUNCTION("""COMPUTED_VALUE"""),"#N/A")</f>
        <v>#N/A</v>
      </c>
      <c r="J228" s="2"/>
      <c r="K228" s="2"/>
      <c r="L228" s="2"/>
      <c r="M228" s="2" t="str">
        <f>IFERROR(__xludf.DUMMYFUNCTION("""COMPUTED_VALUE"""),"CANXI BO MASTER")</f>
        <v>CANXI BO MASTER</v>
      </c>
      <c r="N228" s="2" t="str">
        <f>IFERROR(__xludf.DUMMYFUNCTION("""COMPUTED_VALUE"""),"10CR0015")</f>
        <v>10CR0015</v>
      </c>
      <c r="O228" s="2" t="str">
        <f>IFERROR(__xludf.DUMMYFUNCTION("""COMPUTED_VALUE"""),"Phân bón Vi lượng AGAMA-CANXI BO")</f>
        <v>Phân bón Vi lượng AGAMA-CANXI BO</v>
      </c>
      <c r="P228" s="2" t="str">
        <f>IFERROR(__xludf.DUMMYFUNCTION("""COMPUTED_VALUE"""),"#N/A")</f>
        <v>#N/A</v>
      </c>
      <c r="Q228" s="30" t="str">
        <f>IFERROR(__xludf.DUMMYFUNCTION("""COMPUTED_VALUE"""),"KHÔNG KHỚP")</f>
        <v>KHÔNG KHỚP</v>
      </c>
      <c r="R228" s="2"/>
      <c r="S228" s="2"/>
      <c r="T228" s="2"/>
      <c r="U228" s="2"/>
      <c r="V228" s="2"/>
      <c r="W228" s="2"/>
      <c r="X228" s="2"/>
      <c r="Y228" s="2"/>
    </row>
    <row r="229">
      <c r="A229" s="30">
        <f>IFERROR(__xludf.DUMMYFUNCTION("""COMPUTED_VALUE"""),226.0)</f>
        <v>226</v>
      </c>
      <c r="B229" s="39">
        <f>IFERROR(__xludf.DUMMYFUNCTION("""COMPUTED_VALUE"""),45887.0)</f>
        <v>45887</v>
      </c>
      <c r="C229" s="30">
        <f>IFERROR(__xludf.DUMMYFUNCTION("""COMPUTED_VALUE"""),4.0)</f>
        <v>4</v>
      </c>
      <c r="D229" s="30" t="str">
        <f>IFERROR(__xludf.DUMMYFUNCTION("""COMPUTED_VALUE"""),"CT CŨ")</f>
        <v>CT CŨ</v>
      </c>
      <c r="E229" s="30"/>
      <c r="F229" s="2"/>
      <c r="G229" s="2" t="str">
        <f>IFERROR(__xludf.DUMMYFUNCTION("""COMPUTED_VALUE"""),"HH3790")</f>
        <v>HH3790</v>
      </c>
      <c r="H229" s="2" t="str">
        <f>IFERROR(__xludf.DUMMYFUNCTION("""COMPUTED_VALUE"""),"BAMBOO - VI - 3790 - BAMBOO CANXI BO MASTER (Nước trắng sữa) - 1L - 20")</f>
        <v>BAMBOO - VI - 3790 - BAMBOO CANXI BO MASTER (Nước trắng sữa) - 1L - 20</v>
      </c>
      <c r="I229" s="2" t="str">
        <f>IFERROR(__xludf.DUMMYFUNCTION("""COMPUTED_VALUE"""),"#N/A")</f>
        <v>#N/A</v>
      </c>
      <c r="J229" s="2"/>
      <c r="K229" s="2"/>
      <c r="L229" s="2"/>
      <c r="M229" s="2" t="str">
        <f>IFERROR(__xludf.DUMMYFUNCTION("""COMPUTED_VALUE"""),"CANXI BO MASTER")</f>
        <v>CANXI BO MASTER</v>
      </c>
      <c r="N229" s="2" t="str">
        <f>IFERROR(__xludf.DUMMYFUNCTION("""COMPUTED_VALUE"""),"10CR0015")</f>
        <v>10CR0015</v>
      </c>
      <c r="O229" s="2" t="str">
        <f>IFERROR(__xludf.DUMMYFUNCTION("""COMPUTED_VALUE"""),"Phân bón Vi lượng AGAMA-CANXI BO")</f>
        <v>Phân bón Vi lượng AGAMA-CANXI BO</v>
      </c>
      <c r="P229" s="2" t="str">
        <f>IFERROR(__xludf.DUMMYFUNCTION("""COMPUTED_VALUE"""),"#N/A")</f>
        <v>#N/A</v>
      </c>
      <c r="Q229" s="30" t="str">
        <f>IFERROR(__xludf.DUMMYFUNCTION("""COMPUTED_VALUE"""),"KHÔNG KHỚP")</f>
        <v>KHÔNG KHỚP</v>
      </c>
      <c r="R229" s="2"/>
      <c r="S229" s="2"/>
      <c r="T229" s="2"/>
      <c r="U229" s="2"/>
      <c r="V229" s="2"/>
      <c r="W229" s="2"/>
      <c r="X229" s="2"/>
      <c r="Y229" s="2"/>
    </row>
    <row r="230">
      <c r="A230" s="30">
        <f>IFERROR(__xludf.DUMMYFUNCTION("""COMPUTED_VALUE"""),227.0)</f>
        <v>227</v>
      </c>
      <c r="B230" s="39">
        <f>IFERROR(__xludf.DUMMYFUNCTION("""COMPUTED_VALUE"""),45940.0)</f>
        <v>45940</v>
      </c>
      <c r="C230" s="30">
        <f>IFERROR(__xludf.DUMMYFUNCTION("""COMPUTED_VALUE"""),1.0)</f>
        <v>1</v>
      </c>
      <c r="D230" s="30" t="str">
        <f>IFERROR(__xludf.DUMMYFUNCTION("""COMPUTED_VALUE"""),"CT CŨ")</f>
        <v>CT CŨ</v>
      </c>
      <c r="E230" s="30"/>
      <c r="F230" s="2"/>
      <c r="G230" s="2" t="str">
        <f>IFERROR(__xludf.DUMMYFUNCTION("""COMPUTED_VALUE"""),"HH4311")</f>
        <v>HH4311</v>
      </c>
      <c r="H230" s="2" t="str">
        <f>IFERROR(__xludf.DUMMYFUNCTION("""COMPUTED_VALUE"""),"BAMBOO - VI - 4311 - BAMBOO 777 TE (chưa xác định) - 1L - 20")</f>
        <v>BAMBOO - VI - 4311 - BAMBOO 777 TE (chưa xác định) - 1L - 20</v>
      </c>
      <c r="I230" s="39" t="str">
        <f>IFERROR(__xludf.DUMMYFUNCTION("""COMPUTED_VALUE"""),"lá NPK-vi lượng GNC19")</f>
        <v>lá NPK-vi lượng GNC19</v>
      </c>
      <c r="J230" s="2"/>
      <c r="K230" s="2"/>
      <c r="L230" s="2" t="str">
        <f>IFERROR(__xludf.DUMMYFUNCTION("""COMPUTED_VALUE"""),"BB25040725")</f>
        <v>BB25040725</v>
      </c>
      <c r="M230" s="2" t="str">
        <f>IFERROR(__xludf.DUMMYFUNCTION("""COMPUTED_VALUE"""),"BAMBOO 777 TE")</f>
        <v>BAMBOO 777 TE</v>
      </c>
      <c r="N230" s="2" t="str">
        <f>IFERROR(__xludf.DUMMYFUNCTION("""COMPUTED_VALUE"""),"03DD0015V1")</f>
        <v>03DD0015V1</v>
      </c>
      <c r="O230" s="2" t="str">
        <f>IFERROR(__xludf.DUMMYFUNCTION("""COMPUTED_VALUE"""),"Phân bón lá NPK-Vi lượng GNC 19")</f>
        <v>Phân bón lá NPK-Vi lượng GNC 19</v>
      </c>
      <c r="P230" s="2" t="str">
        <f>IFERROR(__xludf.DUMMYFUNCTION("""COMPUTED_VALUE"""),"Phân bón lá NPK-vi lượng GNC19")</f>
        <v>Phân bón lá NPK-vi lượng GNC19</v>
      </c>
      <c r="Q230" s="30" t="str">
        <f>IFERROR(__xludf.DUMMYFUNCTION("""COMPUTED_VALUE"""),"KHÔNG KHỚP")</f>
        <v>KHÔNG KHỚP</v>
      </c>
      <c r="R230" s="2"/>
      <c r="S230" s="2"/>
      <c r="T230" s="2"/>
      <c r="U230" s="2"/>
      <c r="V230" s="2"/>
      <c r="W230" s="2"/>
      <c r="X230" s="2"/>
      <c r="Y230" s="2"/>
    </row>
    <row r="231">
      <c r="A231" s="30">
        <f>IFERROR(__xludf.DUMMYFUNCTION("""COMPUTED_VALUE"""),228.0)</f>
        <v>228</v>
      </c>
      <c r="B231" s="39">
        <f>IFERROR(__xludf.DUMMYFUNCTION("""COMPUTED_VALUE"""),45889.0)</f>
        <v>45889</v>
      </c>
      <c r="C231" s="30">
        <f>IFERROR(__xludf.DUMMYFUNCTION("""COMPUTED_VALUE"""),4.0)</f>
        <v>4</v>
      </c>
      <c r="D231" s="30" t="str">
        <f>IFERROR(__xludf.DUMMYFUNCTION("""COMPUTED_VALUE"""),"CT CŨ")</f>
        <v>CT CŨ</v>
      </c>
      <c r="E231" s="30"/>
      <c r="F231" s="2"/>
      <c r="G231" s="2" t="str">
        <f>IFERROR(__xludf.DUMMYFUNCTION("""COMPUTED_VALUE"""),"HH4174")</f>
        <v>HH4174</v>
      </c>
      <c r="H231" s="2" t="str">
        <f>IFERROR(__xludf.DUMMYFUNCTION("""COMPUTED_VALUE"""),"IDA Global - I - 4174 - STOP UP (Nước nâu đen) - 1L - 20")</f>
        <v>IDA Global - I - 4174 - STOP UP (Nước nâu đen) - 1L - 20</v>
      </c>
      <c r="I231" s="2" t="str">
        <f>IFERROR(__xludf.DUMMYFUNCTION("""COMPUTED_VALUE"""),"#N/A")</f>
        <v>#N/A</v>
      </c>
      <c r="J231" s="2"/>
      <c r="K231" s="2"/>
      <c r="L231" s="2" t="str">
        <f>IFERROR(__xludf.DUMMYFUNCTION("""COMPUTED_VALUE"""),"CHẶN ĐỌT DÒNG V2")</f>
        <v>CHẶN ĐỌT DÒNG V2</v>
      </c>
      <c r="M231" s="2" t="str">
        <f>IFERROR(__xludf.DUMMYFUNCTION("""COMPUTED_VALUE"""),"STOP UP
MT STOP
AGRI STOP
STOP ĐỌT
SIÊU CHẶN ĐỌT
MASTER STOP
UNI STOP ONE
BAMBOO DOUBLE STOP")</f>
        <v>STOP UP
MT STOP
AGRI STOP
STOP ĐỌT
SIÊU CHẶN ĐỌT
MASTER STOP
UNI STOP ONE
BAMBOO DOUBLE STOP</v>
      </c>
      <c r="N231" s="2" t="str">
        <f>IFERROR(__xludf.DUMMYFUNCTION("""COMPUTED_VALUE"""),"06CD0009V1")</f>
        <v>06CD0009V1</v>
      </c>
      <c r="O231" s="2" t="str">
        <f>IFERROR(__xludf.DUMMYFUNCTION("""COMPUTED_VALUE"""),"Phân bón Vi lượng Quantity New")</f>
        <v>Phân bón Vi lượng Quantity New</v>
      </c>
      <c r="P231" s="2" t="str">
        <f>IFERROR(__xludf.DUMMYFUNCTION("""COMPUTED_VALUE"""),"#N/A")</f>
        <v>#N/A</v>
      </c>
      <c r="Q231" s="30" t="str">
        <f>IFERROR(__xludf.DUMMYFUNCTION("""COMPUTED_VALUE"""),"KHÔNG KHỚP")</f>
        <v>KHÔNG KHỚP</v>
      </c>
      <c r="R231" s="2"/>
      <c r="S231" s="2"/>
      <c r="T231" s="2"/>
      <c r="U231" s="2"/>
      <c r="V231" s="2"/>
      <c r="W231" s="2"/>
      <c r="X231" s="2"/>
      <c r="Y231" s="2"/>
    </row>
    <row r="232">
      <c r="A232" s="30">
        <f>IFERROR(__xludf.DUMMYFUNCTION("""COMPUTED_VALUE"""),229.0)</f>
        <v>229</v>
      </c>
      <c r="B232" s="39">
        <f>IFERROR(__xludf.DUMMYFUNCTION("""COMPUTED_VALUE"""),45971.0)</f>
        <v>45971</v>
      </c>
      <c r="C232" s="30">
        <f>IFERROR(__xludf.DUMMYFUNCTION("""COMPUTED_VALUE"""),1.0)</f>
        <v>1</v>
      </c>
      <c r="D232" s="30" t="str">
        <f>IFERROR(__xludf.DUMMYFUNCTION("""COMPUTED_VALUE"""),"CT CŨ")</f>
        <v>CT CŨ</v>
      </c>
      <c r="E232" s="30"/>
      <c r="F232" s="2"/>
      <c r="G232" s="2" t="str">
        <f>IFERROR(__xludf.DUMMYFUNCTION("""COMPUTED_VALUE"""),"HH4323")</f>
        <v>HH4323</v>
      </c>
      <c r="H232" s="2" t="str">
        <f>IFERROR(__xludf.DUMMYFUNCTION("""COMPUTED_VALUE"""),"GC - IV - 4323 - Cty Tiến Vinh - KẼM MAGIE TIVI (Gel xanh lá) - 500ml - 40")</f>
        <v>GC - IV - 4323 - Cty Tiến Vinh - KẼM MAGIE TIVI (Gel xanh lá) - 500ml - 40</v>
      </c>
      <c r="I232" s="2" t="str">
        <f>IFERROR(__xludf.DUMMYFUNCTION("""COMPUTED_VALUE"""),"#N/A")</f>
        <v>#N/A</v>
      </c>
      <c r="J232" s="2"/>
      <c r="K232" s="2"/>
      <c r="L232" s="2" t="str">
        <f>IFERROR(__xludf.DUMMYFUNCTION("""COMPUTED_VALUE"""),"A04070825")</f>
        <v>A04070825</v>
      </c>
      <c r="M232" s="2" t="str">
        <f>IFERROR(__xludf.DUMMYFUNCTION("""COMPUTED_VALUE"""),"Amino Magie Kẽm 02")</f>
        <v>Amino Magie Kẽm 02</v>
      </c>
      <c r="N232" s="2" t="str">
        <f>IFERROR(__xludf.DUMMYFUNCTION("""COMPUTED_VALUE"""),"23GS0004V1")</f>
        <v>23GS0004V1</v>
      </c>
      <c r="O232" s="2" t="str">
        <f>IFERROR(__xludf.DUMMYFUNCTION("""COMPUTED_VALUE"""),"Phân bón vi lượng Phú Sĩ FJ-09 Kẽm Mg")</f>
        <v>Phân bón vi lượng Phú Sĩ FJ-09 Kẽm Mg</v>
      </c>
      <c r="P232" s="2" t="str">
        <f>IFERROR(__xludf.DUMMYFUNCTION("""COMPUTED_VALUE"""),"#N/A")</f>
        <v>#N/A</v>
      </c>
      <c r="Q232" s="30" t="str">
        <f>IFERROR(__xludf.DUMMYFUNCTION("""COMPUTED_VALUE"""),"KHÔNG KHỚP")</f>
        <v>KHÔNG KHỚP</v>
      </c>
      <c r="R232" s="2"/>
      <c r="S232" s="2"/>
      <c r="T232" s="2"/>
      <c r="U232" s="2"/>
      <c r="V232" s="2"/>
      <c r="W232" s="2"/>
      <c r="X232" s="2"/>
      <c r="Y232" s="2"/>
    </row>
    <row r="233">
      <c r="A233" s="30">
        <f>IFERROR(__xludf.DUMMYFUNCTION("""COMPUTED_VALUE"""),230.0)</f>
        <v>230</v>
      </c>
      <c r="B233" s="39">
        <f>IFERROR(__xludf.DUMMYFUNCTION("""COMPUTED_VALUE"""),45971.0)</f>
        <v>45971</v>
      </c>
      <c r="C233" s="30">
        <f>IFERROR(__xludf.DUMMYFUNCTION("""COMPUTED_VALUE"""),1.0)</f>
        <v>1</v>
      </c>
      <c r="D233" s="30" t="str">
        <f>IFERROR(__xludf.DUMMYFUNCTION("""COMPUTED_VALUE"""),"CT CŨ")</f>
        <v>CT CŨ</v>
      </c>
      <c r="E233" s="30"/>
      <c r="F233" s="2"/>
      <c r="G233" s="2" t="str">
        <f>IFERROR(__xludf.DUMMYFUNCTION("""COMPUTED_VALUE"""),"HH4324")</f>
        <v>HH4324</v>
      </c>
      <c r="H233" s="2" t="str">
        <f>IFERROR(__xludf.DUMMYFUNCTION("""COMPUTED_VALUE"""),"GC ABA - USA FARM - vi lượng Phú Sĩ FJ-09 Kẽm Mg - MAGIE-KẼM - 500ml - 40")</f>
        <v>GC ABA - USA FARM - vi lượng Phú Sĩ FJ-09 Kẽm Mg - MAGIE-KẼM - 500ml - 40</v>
      </c>
      <c r="I233" s="2" t="str">
        <f>IFERROR(__xludf.DUMMYFUNCTION("""COMPUTED_VALUE"""),"#N/A")</f>
        <v>#N/A</v>
      </c>
      <c r="J233" s="2"/>
      <c r="K233" s="2"/>
      <c r="L233" s="2" t="str">
        <f>IFERROR(__xludf.DUMMYFUNCTION("""COMPUTED_VALUE"""),"A04070825")</f>
        <v>A04070825</v>
      </c>
      <c r="M233" s="2" t="str">
        <f>IFERROR(__xludf.DUMMYFUNCTION("""COMPUTED_VALUE"""),"Amino Magie Kẽm 02")</f>
        <v>Amino Magie Kẽm 02</v>
      </c>
      <c r="N233" s="2" t="str">
        <f>IFERROR(__xludf.DUMMYFUNCTION("""COMPUTED_VALUE"""),"23GS0004V1")</f>
        <v>23GS0004V1</v>
      </c>
      <c r="O233" s="2" t="str">
        <f>IFERROR(__xludf.DUMMYFUNCTION("""COMPUTED_VALUE"""),"Phân bón vi lượng Phú Sĩ FJ-09 Kẽm Mg")</f>
        <v>Phân bón vi lượng Phú Sĩ FJ-09 Kẽm Mg</v>
      </c>
      <c r="P233" s="2" t="str">
        <f>IFERROR(__xludf.DUMMYFUNCTION("""COMPUTED_VALUE"""),"#N/A")</f>
        <v>#N/A</v>
      </c>
      <c r="Q233" s="30" t="str">
        <f>IFERROR(__xludf.DUMMYFUNCTION("""COMPUTED_VALUE"""),"KHÔNG KHỚP")</f>
        <v>KHÔNG KHỚP</v>
      </c>
      <c r="R233" s="2"/>
      <c r="S233" s="2"/>
      <c r="T233" s="2"/>
      <c r="U233" s="2"/>
      <c r="V233" s="2"/>
      <c r="W233" s="2"/>
      <c r="X233" s="2"/>
      <c r="Y233" s="2"/>
    </row>
    <row r="234">
      <c r="A234" s="30">
        <f>IFERROR(__xludf.DUMMYFUNCTION("""COMPUTED_VALUE"""),231.0)</f>
        <v>231</v>
      </c>
      <c r="B234" s="39">
        <f>IFERROR(__xludf.DUMMYFUNCTION("""COMPUTED_VALUE"""),45896.0)</f>
        <v>45896</v>
      </c>
      <c r="C234" s="30">
        <f>IFERROR(__xludf.DUMMYFUNCTION("""COMPUTED_VALUE"""),0.0)</f>
        <v>0</v>
      </c>
      <c r="D234" s="30" t="str">
        <f>IFERROR(__xludf.DUMMYFUNCTION("""COMPUTED_VALUE"""),"CT MỚI")</f>
        <v>CT MỚI</v>
      </c>
      <c r="E234" s="30"/>
      <c r="F234" s="2"/>
      <c r="G234" s="2"/>
      <c r="H234" s="2" t="str">
        <f>IFERROR(__xludf.DUMMYFUNCTION("""COMPUTED_VALUE"""),"CENTER SUPER 333EC")</f>
        <v>CENTER SUPER 333EC</v>
      </c>
      <c r="I234" s="2" t="str">
        <f>IFERROR(__xludf.DUMMYFUNCTION("""COMPUTED_VALUE"""),"#N/A")</f>
        <v>#N/A</v>
      </c>
      <c r="J234" s="2"/>
      <c r="K234" s="2"/>
      <c r="L234" s="2" t="str">
        <f>IFERROR(__xludf.DUMMYFUNCTION("""COMPUTED_VALUE"""),"A02250825")</f>
        <v>A02250825</v>
      </c>
      <c r="M234" s="2" t="str">
        <f>IFERROR(__xludf.DUMMYFUNCTION("""COMPUTED_VALUE"""),"CENTER SUPER 333EC")</f>
        <v>CENTER SUPER 333EC</v>
      </c>
      <c r="N234" s="2" t="str">
        <f>IFERROR(__xludf.DUMMYFUNCTION("""COMPUTED_VALUE"""),"CENTER SUPER 333EC V1")</f>
        <v>CENTER SUPER 333EC V1</v>
      </c>
      <c r="O234" s="2" t="str">
        <f>IFERROR(__xludf.DUMMYFUNCTION("""COMPUTED_VALUE"""),"CENTER SUPER 333EC")</f>
        <v>CENTER SUPER 333EC</v>
      </c>
      <c r="P234" s="2" t="str">
        <f>IFERROR(__xludf.DUMMYFUNCTION("""COMPUTED_VALUE"""),"#N/A")</f>
        <v>#N/A</v>
      </c>
      <c r="Q234" s="30" t="str">
        <f>IFERROR(__xludf.DUMMYFUNCTION("""COMPUTED_VALUE"""),"KHÔNG KHỚP")</f>
        <v>KHÔNG KHỚP</v>
      </c>
      <c r="R234" s="2"/>
      <c r="S234" s="2"/>
      <c r="T234" s="2"/>
      <c r="U234" s="2"/>
      <c r="V234" s="2"/>
      <c r="W234" s="2"/>
      <c r="X234" s="2"/>
      <c r="Y234" s="2"/>
    </row>
    <row r="235">
      <c r="A235" s="30">
        <f>IFERROR(__xludf.DUMMYFUNCTION("""COMPUTED_VALUE"""),232.0)</f>
        <v>232</v>
      </c>
      <c r="B235" s="39">
        <f>IFERROR(__xludf.DUMMYFUNCTION("""COMPUTED_VALUE"""),45923.0)</f>
        <v>45923</v>
      </c>
      <c r="C235" s="30">
        <f>IFERROR(__xludf.DUMMYFUNCTION("""COMPUTED_VALUE"""),1.0)</f>
        <v>1</v>
      </c>
      <c r="D235" s="30" t="str">
        <f>IFERROR(__xludf.DUMMYFUNCTION("""COMPUTED_VALUE"""),"CT CŨ")</f>
        <v>CT CŨ</v>
      </c>
      <c r="E235" s="30"/>
      <c r="F235" s="2"/>
      <c r="G235" s="2" t="str">
        <f>IFERROR(__xludf.DUMMYFUNCTION("""COMPUTED_VALUE"""),"HH4319")</f>
        <v>HH4319</v>
      </c>
      <c r="H235" s="2" t="str">
        <f>IFERROR(__xludf.DUMMYFUNCTION("""COMPUTED_VALUE"""),"GC - IV - 4319 - Cty Newtex - NT-PHOS T1 (Nước xanh dương) - 500ml - 40")</f>
        <v>GC - IV - 4319 - Cty Newtex - NT-PHOS T1 (Nước xanh dương) - 500ml - 40</v>
      </c>
      <c r="I235" s="2" t="str">
        <f>IFERROR(__xludf.DUMMYFUNCTION("""COMPUTED_VALUE"""),"#N/A")</f>
        <v>#N/A</v>
      </c>
      <c r="J235" s="2"/>
      <c r="K235" s="2"/>
      <c r="L235" s="2" t="str">
        <f>IFERROR(__xludf.DUMMYFUNCTION("""COMPUTED_VALUE"""),"A03160925 ")</f>
        <v>A03160925 </v>
      </c>
      <c r="M235" s="2" t="str">
        <f>IFERROR(__xludf.DUMMYFUNCTION("""COMPUTED_VALUE"""),"LÂN 2 CHIỀU  - 01")</f>
        <v>LÂN 2 CHIỀU  - 01</v>
      </c>
      <c r="N235" s="2" t="str">
        <f>IFERROR(__xludf.DUMMYFUNCTION("""COMPUTED_VALUE"""),"08TM0025")</f>
        <v>08TM0025</v>
      </c>
      <c r="O235" s="2" t="str">
        <f>IFERROR(__xludf.DUMMYFUNCTION("""COMPUTED_VALUE"""),"Phân bón lá hỗn hợp PK AGRI FOS AB")</f>
        <v>Phân bón lá hỗn hợp PK AGRI FOS AB</v>
      </c>
      <c r="P235" s="2" t="str">
        <f>IFERROR(__xludf.DUMMYFUNCTION("""COMPUTED_VALUE"""),"#N/A")</f>
        <v>#N/A</v>
      </c>
      <c r="Q235" s="30" t="str">
        <f>IFERROR(__xludf.DUMMYFUNCTION("""COMPUTED_VALUE"""),"KHÔNG KHỚP")</f>
        <v>KHÔNG KHỚP</v>
      </c>
      <c r="R235" s="2"/>
      <c r="S235" s="2"/>
      <c r="T235" s="2"/>
      <c r="U235" s="2"/>
      <c r="V235" s="2"/>
      <c r="W235" s="2"/>
      <c r="X235" s="2"/>
      <c r="Y235" s="2"/>
    </row>
    <row r="236">
      <c r="A236" s="30">
        <f>IFERROR(__xludf.DUMMYFUNCTION("""COMPUTED_VALUE"""),233.0)</f>
        <v>233</v>
      </c>
      <c r="B236" s="39">
        <f>IFERROR(__xludf.DUMMYFUNCTION("""COMPUTED_VALUE"""),45889.0)</f>
        <v>45889</v>
      </c>
      <c r="C236" s="30">
        <f>IFERROR(__xludf.DUMMYFUNCTION("""COMPUTED_VALUE"""),1.0)</f>
        <v>1</v>
      </c>
      <c r="D236" s="30" t="str">
        <f>IFERROR(__xludf.DUMMYFUNCTION("""COMPUTED_VALUE"""),"CT CŨ")</f>
        <v>CT CŨ</v>
      </c>
      <c r="E236" s="30"/>
      <c r="F236" s="2"/>
      <c r="G236" s="2" t="str">
        <f>IFERROR(__xludf.DUMMYFUNCTION("""COMPUTED_VALUE"""),"HH4337")</f>
        <v>HH4337</v>
      </c>
      <c r="H236" s="2" t="str">
        <f>IFERROR(__xludf.DUMMYFUNCTION("""COMPUTED_VALUE"""),"GC ABA - THÀNH CÔNG AGRI - Vi lượng Quantity New - STOP ĐỌT - 1L - 20")</f>
        <v>GC ABA - THÀNH CÔNG AGRI - Vi lượng Quantity New - STOP ĐỌT - 1L - 20</v>
      </c>
      <c r="I236" s="2" t="str">
        <f>IFERROR(__xludf.DUMMYFUNCTION("""COMPUTED_VALUE"""),"#N/A")</f>
        <v>#N/A</v>
      </c>
      <c r="J236" s="2"/>
      <c r="K236" s="2"/>
      <c r="L236" s="2" t="str">
        <f>IFERROR(__xludf.DUMMYFUNCTION("""COMPUTED_VALUE"""),"CHẶN ĐỌT DÒNG V2")</f>
        <v>CHẶN ĐỌT DÒNG V2</v>
      </c>
      <c r="M236" s="2" t="str">
        <f>IFERROR(__xludf.DUMMYFUNCTION("""COMPUTED_VALUE"""),"STOP UP
MT STOP
AGRI STOP
STOP ĐỌT
SIÊU CHẶN ĐỌT
MASTER STOP
UNI STOP ONE
BAMBOO DOUBLE STOP")</f>
        <v>STOP UP
MT STOP
AGRI STOP
STOP ĐỌT
SIÊU CHẶN ĐỌT
MASTER STOP
UNI STOP ONE
BAMBOO DOUBLE STOP</v>
      </c>
      <c r="N236" s="2" t="str">
        <f>IFERROR(__xludf.DUMMYFUNCTION("""COMPUTED_VALUE"""),"06CD0009V1")</f>
        <v>06CD0009V1</v>
      </c>
      <c r="O236" s="2" t="str">
        <f>IFERROR(__xludf.DUMMYFUNCTION("""COMPUTED_VALUE"""),"Phân bón Vi lượng Quantity New")</f>
        <v>Phân bón Vi lượng Quantity New</v>
      </c>
      <c r="P236" s="2" t="str">
        <f>IFERROR(__xludf.DUMMYFUNCTION("""COMPUTED_VALUE"""),"#N/A")</f>
        <v>#N/A</v>
      </c>
      <c r="Q236" s="30" t="str">
        <f>IFERROR(__xludf.DUMMYFUNCTION("""COMPUTED_VALUE"""),"KHÔNG KHỚP")</f>
        <v>KHÔNG KHỚP</v>
      </c>
      <c r="R236" s="2"/>
      <c r="S236" s="2"/>
      <c r="T236" s="2"/>
      <c r="U236" s="2"/>
      <c r="V236" s="2"/>
      <c r="W236" s="2"/>
      <c r="X236" s="2"/>
      <c r="Y236" s="2"/>
    </row>
    <row r="237">
      <c r="A237" s="30">
        <f>IFERROR(__xludf.DUMMYFUNCTION("""COMPUTED_VALUE"""),234.0)</f>
        <v>234</v>
      </c>
      <c r="B237" s="39">
        <f>IFERROR(__xludf.DUMMYFUNCTION("""COMPUTED_VALUE"""),45983.0)</f>
        <v>45983</v>
      </c>
      <c r="C237" s="30">
        <f>IFERROR(__xludf.DUMMYFUNCTION("""COMPUTED_VALUE"""),1.0)</f>
        <v>1</v>
      </c>
      <c r="D237" s="30" t="str">
        <f>IFERROR(__xludf.DUMMYFUNCTION("""COMPUTED_VALUE"""),"CT MỚI")</f>
        <v>CT MỚI</v>
      </c>
      <c r="E237" s="30"/>
      <c r="F237" s="2"/>
      <c r="G237" s="2" t="str">
        <f>IFERROR(__xludf.DUMMYFUNCTION("""COMPUTED_VALUE"""),"HH4233")</f>
        <v>HH4233</v>
      </c>
      <c r="H237" s="2" t="str">
        <f>IFERROR(__xludf.DUMMYFUNCTION("""COMPUTED_VALUE"""),"GC - IV - 4233 - CTY R3 - R3 VOGAO  (Nước đỏ cam) - 330ml - 40")</f>
        <v>GC - IV - 4233 - CTY R3 - R3 VOGAO  (Nước đỏ cam) - 330ml - 40</v>
      </c>
      <c r="I237" s="2" t="str">
        <f>IFERROR(__xludf.DUMMYFUNCTION("""COMPUTED_VALUE"""),"#N/A")</f>
        <v>#N/A</v>
      </c>
      <c r="J237" s="2" t="str">
        <f>IFERROR(__xludf.DUMMYFUNCTION("""COMPUTED_VALUE"""),"A03091025")</f>
        <v>A03091025</v>
      </c>
      <c r="K237" s="2"/>
      <c r="L237" s="2" t="str">
        <f>IFERROR(__xludf.DUMMYFUNCTION("""COMPUTED_VALUE"""),"A03091025")</f>
        <v>A03091025</v>
      </c>
      <c r="M237" s="2" t="str">
        <f>IFERROR(__xludf.DUMMYFUNCTION("""COMPUTED_VALUE"""),"VÔ GẠO 0 - 5 -18 (02)")</f>
        <v>VÔ GẠO 0 - 5 -18 (02)</v>
      </c>
      <c r="N237" s="2" t="str">
        <f>IFERROR(__xludf.DUMMYFUNCTION("""COMPUTED_VALUE"""),"04VG0044")</f>
        <v>04VG0044</v>
      </c>
      <c r="O237" s="2" t="str">
        <f>IFERROR(__xludf.DUMMYFUNCTION("""COMPUTED_VALUE"""),"Phân bón lá PK-Vi lượng SV 5-18")</f>
        <v>Phân bón lá PK-Vi lượng SV 5-18</v>
      </c>
      <c r="P237" s="2" t="str">
        <f>IFERROR(__xludf.DUMMYFUNCTION("""COMPUTED_VALUE"""),"#N/A")</f>
        <v>#N/A</v>
      </c>
      <c r="Q237" s="30" t="str">
        <f>IFERROR(__xludf.DUMMYFUNCTION("""COMPUTED_VALUE"""),"KHÔNG KHỚP")</f>
        <v>KHÔNG KHỚP</v>
      </c>
      <c r="R237" s="2"/>
      <c r="S237" s="2"/>
      <c r="T237" s="2"/>
      <c r="U237" s="2"/>
      <c r="V237" s="2"/>
      <c r="W237" s="2"/>
      <c r="X237" s="2"/>
      <c r="Y237" s="2"/>
    </row>
    <row r="238">
      <c r="A238" s="30">
        <f>IFERROR(__xludf.DUMMYFUNCTION("""COMPUTED_VALUE"""),235.0)</f>
        <v>235</v>
      </c>
      <c r="B238" s="39">
        <f>IFERROR(__xludf.DUMMYFUNCTION("""COMPUTED_VALUE"""),45973.0)</f>
        <v>45973</v>
      </c>
      <c r="C238" s="30">
        <f>IFERROR(__xludf.DUMMYFUNCTION("""COMPUTED_VALUE"""),1.0)</f>
        <v>1</v>
      </c>
      <c r="D238" s="30" t="str">
        <f>IFERROR(__xludf.DUMMYFUNCTION("""COMPUTED_VALUE"""),"CT MỚI")</f>
        <v>CT MỚI</v>
      </c>
      <c r="E238" s="30"/>
      <c r="F238" s="2"/>
      <c r="G238" s="2" t="str">
        <f>IFERROR(__xludf.DUMMYFUNCTION("""COMPUTED_VALUE"""),"HH4339")</f>
        <v>HH4339</v>
      </c>
      <c r="H238" s="2" t="str">
        <f>IFERROR(__xludf.DUMMYFUNCTION("""COMPUTED_VALUE"""),"GC - IV - 4339 - AGRITECH - CALBO TECH (Nước trắng sữa) - 500ml - 40")</f>
        <v>GC - IV - 4339 - AGRITECH - CALBO TECH (Nước trắng sữa) - 500ml - 40</v>
      </c>
      <c r="I238" s="2" t="str">
        <f>IFERROR(__xludf.DUMMYFUNCTION("""COMPUTED_VALUE"""),"#N/A")</f>
        <v>#N/A</v>
      </c>
      <c r="J238" s="2"/>
      <c r="K238" s="2"/>
      <c r="L238" s="2" t="str">
        <f>IFERROR(__xludf.DUMMYFUNCTION("""COMPUTED_VALUE"""),"A04201124")</f>
        <v>A04201124</v>
      </c>
      <c r="M238" s="2" t="str">
        <f>IFERROR(__xludf.DUMMYFUNCTION("""COMPUTED_VALUE"""),"THIDI CANXIBO
CALBO TECH")</f>
        <v>THIDI CANXIBO
CALBO TECH</v>
      </c>
      <c r="N238" s="2" t="str">
        <f>IFERROR(__xludf.DUMMYFUNCTION("""COMPUTED_VALUE"""),"10CR0012V1")</f>
        <v>10CR0012V1</v>
      </c>
      <c r="O238" s="2" t="str">
        <f>IFERROR(__xludf.DUMMYFUNCTION("""COMPUTED_VALUE"""),"Phân bón Vi lượng AGAMA-CANXI BO")</f>
        <v>Phân bón Vi lượng AGAMA-CANXI BO</v>
      </c>
      <c r="P238" s="2" t="str">
        <f>IFERROR(__xludf.DUMMYFUNCTION("""COMPUTED_VALUE"""),"#N/A")</f>
        <v>#N/A</v>
      </c>
      <c r="Q238" s="30" t="str">
        <f>IFERROR(__xludf.DUMMYFUNCTION("""COMPUTED_VALUE"""),"KHÔNG KHỚP")</f>
        <v>KHÔNG KHỚP</v>
      </c>
      <c r="R238" s="2"/>
      <c r="S238" s="2"/>
      <c r="T238" s="2"/>
      <c r="U238" s="2"/>
      <c r="V238" s="2"/>
      <c r="W238" s="2"/>
      <c r="X238" s="2"/>
      <c r="Y238" s="2"/>
    </row>
    <row r="239">
      <c r="A239" s="30">
        <f>IFERROR(__xludf.DUMMYFUNCTION("""COMPUTED_VALUE"""),236.0)</f>
        <v>236</v>
      </c>
      <c r="B239" s="39">
        <f>IFERROR(__xludf.DUMMYFUNCTION("""COMPUTED_VALUE"""),45946.0)</f>
        <v>45946</v>
      </c>
      <c r="C239" s="30">
        <f>IFERROR(__xludf.DUMMYFUNCTION("""COMPUTED_VALUE"""),4.0)</f>
        <v>4</v>
      </c>
      <c r="D239" s="30" t="str">
        <f>IFERROR(__xludf.DUMMYFUNCTION("""COMPUTED_VALUE"""),"CT CŨ")</f>
        <v>CT CŨ</v>
      </c>
      <c r="E239" s="30"/>
      <c r="F239" s="2"/>
      <c r="G239" s="2" t="str">
        <f>IFERROR(__xludf.DUMMYFUNCTION("""COMPUTED_VALUE"""),"HH4235")</f>
        <v>HH4235</v>
      </c>
      <c r="H239" s="2" t="str">
        <f>IFERROR(__xludf.DUMMYFUNCTION("""COMPUTED_VALUE"""),"GC - II - 4235 - LOT AGC (CAPY GLOBAL) - DR.STOP (Nước nâu đen) - 1L - 20")</f>
        <v>GC - II - 4235 - LOT AGC (CAPY GLOBAL) - DR.STOP (Nước nâu đen) - 1L - 20</v>
      </c>
      <c r="I239" s="39" t="str">
        <f>IFERROR(__xludf.DUMMYFUNCTION("""COMPUTED_VALUE"""),"Vi lượng Quantity New")</f>
        <v>Vi lượng Quantity New</v>
      </c>
      <c r="J239" s="2"/>
      <c r="K239" s="2"/>
      <c r="L239" s="2" t="str">
        <f>IFERROR(__xludf.DUMMYFUNCTION("""COMPUTED_VALUE"""),"CHẶN ĐỌT DÒNG V1")</f>
        <v>CHẶN ĐỌT DÒNG V1</v>
      </c>
      <c r="M239" s="2" t="str">
        <f>IFERROR(__xludf.DUMMYFUNCTION("""COMPUTED_VALUE"""),"KODO STOP
DR.STOP
DR.H2")</f>
        <v>KODO STOP
DR.STOP
DR.H2</v>
      </c>
      <c r="N239" s="2" t="str">
        <f>IFERROR(__xludf.DUMMYFUNCTION("""COMPUTED_VALUE"""),"06CD0006V1")</f>
        <v>06CD0006V1</v>
      </c>
      <c r="O239" s="2" t="str">
        <f>IFERROR(__xludf.DUMMYFUNCTION("""COMPUTED_VALUE"""),"Phân bón Vi lượng Quantity New")</f>
        <v>Phân bón Vi lượng Quantity New</v>
      </c>
      <c r="P239" s="2" t="str">
        <f>IFERROR(__xludf.DUMMYFUNCTION("""COMPUTED_VALUE"""),"Phân bón Vi lượng Quantity New")</f>
        <v>Phân bón Vi lượng Quantity New</v>
      </c>
      <c r="Q239" s="30" t="str">
        <f>IFERROR(__xludf.DUMMYFUNCTION("""COMPUTED_VALUE"""),"KHỚP")</f>
        <v>KHỚP</v>
      </c>
      <c r="R239" s="2"/>
      <c r="S239" s="2"/>
      <c r="T239" s="2"/>
      <c r="U239" s="2"/>
      <c r="V239" s="2"/>
      <c r="W239" s="2"/>
      <c r="X239" s="2"/>
      <c r="Y239" s="2"/>
    </row>
    <row r="240">
      <c r="A240" s="30">
        <f>IFERROR(__xludf.DUMMYFUNCTION("""COMPUTED_VALUE"""),237.0)</f>
        <v>237</v>
      </c>
      <c r="B240" s="39">
        <f>IFERROR(__xludf.DUMMYFUNCTION("""COMPUTED_VALUE"""),45889.0)</f>
        <v>45889</v>
      </c>
      <c r="C240" s="30">
        <f>IFERROR(__xludf.DUMMYFUNCTION("""COMPUTED_VALUE"""),1.0)</f>
        <v>1</v>
      </c>
      <c r="D240" s="30" t="str">
        <f>IFERROR(__xludf.DUMMYFUNCTION("""COMPUTED_VALUE"""),"CT CŨ")</f>
        <v>CT CŨ</v>
      </c>
      <c r="E240" s="30"/>
      <c r="F240" s="2"/>
      <c r="G240" s="2" t="str">
        <f>IFERROR(__xludf.DUMMYFUNCTION("""COMPUTED_VALUE"""),"HH4285")</f>
        <v>HH4285</v>
      </c>
      <c r="H240" s="2" t="str">
        <f>IFERROR(__xludf.DUMMYFUNCTION("""COMPUTED_VALUE"""),"IDA Global - I - 4285 - STOP UP (Nước nâu đen) - 1L - 20")</f>
        <v>IDA Global - I - 4285 - STOP UP (Nước nâu đen) - 1L - 20</v>
      </c>
      <c r="I240" s="2" t="str">
        <f>IFERROR(__xludf.DUMMYFUNCTION("""COMPUTED_VALUE"""),"#N/A")</f>
        <v>#N/A</v>
      </c>
      <c r="J240" s="2"/>
      <c r="K240" s="2"/>
      <c r="L240" s="2" t="str">
        <f>IFERROR(__xludf.DUMMYFUNCTION("""COMPUTED_VALUE"""),"CHẶN ĐỌT DÒNG V2")</f>
        <v>CHẶN ĐỌT DÒNG V2</v>
      </c>
      <c r="M240" s="2" t="str">
        <f>IFERROR(__xludf.DUMMYFUNCTION("""COMPUTED_VALUE"""),"STOP UP
MT STOP
AGRI STOP
STOP ĐỌT
SIÊU CHẶN ĐỌT
MASTER STOP
UNI STOP ONE
BAMBOO DOUBLE STOP")</f>
        <v>STOP UP
MT STOP
AGRI STOP
STOP ĐỌT
SIÊU CHẶN ĐỌT
MASTER STOP
UNI STOP ONE
BAMBOO DOUBLE STOP</v>
      </c>
      <c r="N240" s="2" t="str">
        <f>IFERROR(__xludf.DUMMYFUNCTION("""COMPUTED_VALUE"""),"06CD0009V1")</f>
        <v>06CD0009V1</v>
      </c>
      <c r="O240" s="2" t="str">
        <f>IFERROR(__xludf.DUMMYFUNCTION("""COMPUTED_VALUE"""),"Phân bón Vi lượng Quantity New")</f>
        <v>Phân bón Vi lượng Quantity New</v>
      </c>
      <c r="P240" s="2" t="str">
        <f>IFERROR(__xludf.DUMMYFUNCTION("""COMPUTED_VALUE"""),"#N/A")</f>
        <v>#N/A</v>
      </c>
      <c r="Q240" s="30" t="str">
        <f>IFERROR(__xludf.DUMMYFUNCTION("""COMPUTED_VALUE"""),"KHÔNG KHỚP")</f>
        <v>KHÔNG KHỚP</v>
      </c>
      <c r="R240" s="2"/>
      <c r="S240" s="2"/>
      <c r="T240" s="2"/>
      <c r="U240" s="2"/>
      <c r="V240" s="2"/>
      <c r="W240" s="2"/>
      <c r="X240" s="2"/>
      <c r="Y240" s="2"/>
    </row>
    <row r="241">
      <c r="A241" s="30">
        <f>IFERROR(__xludf.DUMMYFUNCTION("""COMPUTED_VALUE"""),238.0)</f>
        <v>238</v>
      </c>
      <c r="B241" s="39">
        <f>IFERROR(__xludf.DUMMYFUNCTION("""COMPUTED_VALUE"""),45892.0)</f>
        <v>45892</v>
      </c>
      <c r="C241" s="30">
        <f>IFERROR(__xludf.DUMMYFUNCTION("""COMPUTED_VALUE"""),1.0)</f>
        <v>1</v>
      </c>
      <c r="D241" s="30" t="str">
        <f>IFERROR(__xludf.DUMMYFUNCTION("""COMPUTED_VALUE"""),"CT CŨ")</f>
        <v>CT CŨ</v>
      </c>
      <c r="E241" s="30"/>
      <c r="F241" s="2"/>
      <c r="G241" s="2" t="str">
        <f>IFERROR(__xludf.DUMMYFUNCTION("""COMPUTED_VALUE"""),"HH4348")</f>
        <v>HH4348</v>
      </c>
      <c r="H241" s="2" t="str">
        <f>IFERROR(__xludf.DUMMYFUNCTION("""COMPUTED_VALUE"""),"GC - IV - 4348 - Cty Hương Nông - Đậu Trái (nước vàng mật ong) - 500ml - 40")</f>
        <v>GC - IV - 4348 - Cty Hương Nông - Đậu Trái (nước vàng mật ong) - 500ml - 40</v>
      </c>
      <c r="I241" s="2" t="str">
        <f>IFERROR(__xludf.DUMMYFUNCTION("""COMPUTED_VALUE"""),"#N/A")</f>
        <v>#N/A</v>
      </c>
      <c r="J241" s="2"/>
      <c r="K241" s="2"/>
      <c r="L241" s="2"/>
      <c r="M241" s="2" t="str">
        <f>IFERROR(__xludf.DUMMYFUNCTION("""COMPUTED_VALUE"""),"ULTRA KEO CABOR
BOCAX
US.BOCAXX")</f>
        <v>ULTRA KEO CABOR
BOCAX
US.BOCAXX</v>
      </c>
      <c r="N241" s="2" t="str">
        <f>IFERROR(__xludf.DUMMYFUNCTION("""COMPUTED_VALUE"""),"10CR0001V1")</f>
        <v>10CR0001V1</v>
      </c>
      <c r="O241" s="2" t="str">
        <f>IFERROR(__xludf.DUMMYFUNCTION("""COMPUTED_VALUE"""),"Phân bón Vi lượng Run Fast")</f>
        <v>Phân bón Vi lượng Run Fast</v>
      </c>
      <c r="P241" s="2" t="str">
        <f>IFERROR(__xludf.DUMMYFUNCTION("""COMPUTED_VALUE"""),"#N/A")</f>
        <v>#N/A</v>
      </c>
      <c r="Q241" s="30" t="str">
        <f>IFERROR(__xludf.DUMMYFUNCTION("""COMPUTED_VALUE"""),"KHÔNG KHỚP")</f>
        <v>KHÔNG KHỚP</v>
      </c>
      <c r="R241" s="2"/>
      <c r="S241" s="2"/>
      <c r="T241" s="2"/>
      <c r="U241" s="2"/>
      <c r="V241" s="2"/>
      <c r="W241" s="2"/>
      <c r="X241" s="2"/>
      <c r="Y241" s="2"/>
    </row>
    <row r="242">
      <c r="A242" s="30">
        <f>IFERROR(__xludf.DUMMYFUNCTION("""COMPUTED_VALUE"""),239.0)</f>
        <v>239</v>
      </c>
      <c r="B242" s="39">
        <f>IFERROR(__xludf.DUMMYFUNCTION("""COMPUTED_VALUE"""),45940.0)</f>
        <v>45940</v>
      </c>
      <c r="C242" s="30">
        <f>IFERROR(__xludf.DUMMYFUNCTION("""COMPUTED_VALUE"""),2.0)</f>
        <v>2</v>
      </c>
      <c r="D242" s="30" t="str">
        <f>IFERROR(__xludf.DUMMYFUNCTION("""COMPUTED_VALUE"""),"CT CŨ")</f>
        <v>CT CŨ</v>
      </c>
      <c r="E242" s="30"/>
      <c r="F242" s="2"/>
      <c r="G242" s="2" t="str">
        <f>IFERROR(__xludf.DUMMYFUNCTION("""COMPUTED_VALUE"""),"HH4283")</f>
        <v>HH4283</v>
      </c>
      <c r="H242" s="2" t="str">
        <f>IFERROR(__xludf.DUMMYFUNCTION("""COMPUTED_VALUE"""),"GC - IX - 4283 - N2SBIO - N2 MG ZN-70 (Nước xanh lá) - 500ml - 40")</f>
        <v>GC - IX - 4283 - N2SBIO - N2 MG ZN-70 (Nước xanh lá) - 500ml - 40</v>
      </c>
      <c r="I242" s="2" t="str">
        <f>IFERROR(__xludf.DUMMYFUNCTION("""COMPUTED_VALUE"""),"#N/A")</f>
        <v>#N/A</v>
      </c>
      <c r="J242" s="2"/>
      <c r="K242" s="2"/>
      <c r="L242" s="2" t="str">
        <f>IFERROR(__xludf.DUMMYFUNCTION("""COMPUTED_VALUE"""),"N01080825")</f>
        <v>N01080825</v>
      </c>
      <c r="M242" s="2" t="str">
        <f>IFERROR(__xludf.DUMMYFUNCTION("""COMPUTED_VALUE"""),"N2 MgZn-52")</f>
        <v>N2 MgZn-52</v>
      </c>
      <c r="N242" s="2" t="str">
        <f>IFERROR(__xludf.DUMMYFUNCTION("""COMPUTED_VALUE"""),"23GS0002V1")</f>
        <v>23GS0002V1</v>
      </c>
      <c r="O242" s="2" t="str">
        <f>IFERROR(__xludf.DUMMYFUNCTION("""COMPUTED_VALUE"""),"Phân bón vi lượng Phú Sĩ FJ-09 Kẽm Mg")</f>
        <v>Phân bón vi lượng Phú Sĩ FJ-09 Kẽm Mg</v>
      </c>
      <c r="P242" s="2" t="str">
        <f>IFERROR(__xludf.DUMMYFUNCTION("""COMPUTED_VALUE"""),"#N/A")</f>
        <v>#N/A</v>
      </c>
      <c r="Q242" s="30" t="str">
        <f>IFERROR(__xludf.DUMMYFUNCTION("""COMPUTED_VALUE"""),"KHÔNG KHỚP")</f>
        <v>KHÔNG KHỚP</v>
      </c>
      <c r="R242" s="2"/>
      <c r="S242" s="2"/>
      <c r="T242" s="2"/>
      <c r="U242" s="2"/>
      <c r="V242" s="2"/>
      <c r="W242" s="2"/>
      <c r="X242" s="2"/>
      <c r="Y242" s="2"/>
    </row>
    <row r="243">
      <c r="A243" s="30">
        <f>IFERROR(__xludf.DUMMYFUNCTION("""COMPUTED_VALUE"""),240.0)</f>
        <v>240</v>
      </c>
      <c r="B243" s="39">
        <f>IFERROR(__xludf.DUMMYFUNCTION("""COMPUTED_VALUE"""),45959.0)</f>
        <v>45959</v>
      </c>
      <c r="C243" s="30">
        <f>IFERROR(__xludf.DUMMYFUNCTION("""COMPUTED_VALUE"""),3.0)</f>
        <v>3</v>
      </c>
      <c r="D243" s="30" t="str">
        <f>IFERROR(__xludf.DUMMYFUNCTION("""COMPUTED_VALUE"""),"CT CŨ")</f>
        <v>CT CŨ</v>
      </c>
      <c r="E243" s="30"/>
      <c r="F243" s="2"/>
      <c r="G243" s="2" t="str">
        <f>IFERROR(__xludf.DUMMYFUNCTION("""COMPUTED_VALUE"""),"HH4187")</f>
        <v>HH4187</v>
      </c>
      <c r="H243" s="2" t="str">
        <f>IFERROR(__xludf.DUMMYFUNCTION("""COMPUTED_VALUE"""),"GC - IX - 4187 - N2SBIO - N2 ULTRA LOCK (Dạng SC - Trắng sữa) - 500ml - 40")</f>
        <v>GC - IX - 4187 - N2SBIO - N2 ULTRA LOCK (Dạng SC - Trắng sữa) - 500ml - 40</v>
      </c>
      <c r="I243" s="39" t="str">
        <f>IFERROR(__xludf.DUMMYFUNCTION("""COMPUTED_VALUE"""),"Lá PK-Trung Lượng NBC-Photphonate")</f>
        <v>Lá PK-Trung Lượng NBC-Photphonate</v>
      </c>
      <c r="J243" s="2"/>
      <c r="K243" s="2"/>
      <c r="L243" s="2" t="str">
        <f>IFERROR(__xludf.DUMMYFUNCTION("""COMPUTED_VALUE"""),"N04290725")</f>
        <v>N04290725</v>
      </c>
      <c r="M243" s="2" t="str">
        <f>IFERROR(__xludf.DUMMYFUNCTION("""COMPUTED_VALUE"""),"N2 ULTRA LOCK")</f>
        <v>N2 ULTRA LOCK</v>
      </c>
      <c r="N243" s="2" t="str">
        <f>IFERROR(__xludf.DUMMYFUNCTION("""COMPUTED_VALUE"""),"06CD0016V1")</f>
        <v>06CD0016V1</v>
      </c>
      <c r="O243" s="2" t="str">
        <f>IFERROR(__xludf.DUMMYFUNCTION("""COMPUTED_VALUE"""),"Phân bón lá PK-Trung lượng NBC-PHOTPHONATE")</f>
        <v>Phân bón lá PK-Trung lượng NBC-PHOTPHONATE</v>
      </c>
      <c r="P243" s="2" t="str">
        <f>IFERROR(__xludf.DUMMYFUNCTION("""COMPUTED_VALUE"""),"Phân bón Lá PK-Trung Lượng NBC-Photphonate")</f>
        <v>Phân bón Lá PK-Trung Lượng NBC-Photphonate</v>
      </c>
      <c r="Q243" s="30" t="str">
        <f>IFERROR(__xludf.DUMMYFUNCTION("""COMPUTED_VALUE"""),"KHỚP")</f>
        <v>KHỚP</v>
      </c>
      <c r="R243" s="2"/>
      <c r="S243" s="2"/>
      <c r="T243" s="2"/>
      <c r="U243" s="2"/>
      <c r="V243" s="2"/>
      <c r="W243" s="2"/>
      <c r="X243" s="2"/>
      <c r="Y243" s="2"/>
    </row>
    <row r="244">
      <c r="A244" s="30">
        <f>IFERROR(__xludf.DUMMYFUNCTION("""COMPUTED_VALUE"""),241.0)</f>
        <v>241</v>
      </c>
      <c r="B244" s="39" t="str">
        <f>IFERROR(__xludf.DUMMYFUNCTION("""COMPUTED_VALUE"""),"")</f>
        <v/>
      </c>
      <c r="C244" s="30">
        <f>IFERROR(__xludf.DUMMYFUNCTION("""COMPUTED_VALUE"""),1.0)</f>
        <v>1</v>
      </c>
      <c r="D244" s="30" t="str">
        <f>IFERROR(__xludf.DUMMYFUNCTION("""COMPUTED_VALUE"""),"CT MỚI")</f>
        <v>CT MỚI</v>
      </c>
      <c r="E244" s="30"/>
      <c r="F244" s="2"/>
      <c r="G244" s="2" t="str">
        <f>IFERROR(__xludf.DUMMYFUNCTION("""COMPUTED_VALUE"""),"HH4066")</f>
        <v>HH4066</v>
      </c>
      <c r="H244" s="2" t="str">
        <f>IFERROR(__xludf.DUMMYFUNCTION("""COMPUTED_VALUE"""),"N2AGRO - Lá PK-Trung Lượng NBC-Photphonate - N2 PHYTO PLUS - 500ml - 40")</f>
        <v>N2AGRO - Lá PK-Trung Lượng NBC-Photphonate - N2 PHYTO PLUS - 500ml - 40</v>
      </c>
      <c r="I244" s="2" t="str">
        <f>IFERROR(__xludf.DUMMYFUNCTION("""COMPUTED_VALUE"""),"#N/A")</f>
        <v>#N/A</v>
      </c>
      <c r="J244" s="2" t="str">
        <f>IFERROR(__xludf.DUMMYFUNCTION("""COMPUTED_VALUE"""),"N02220825")</f>
        <v>N02220825</v>
      </c>
      <c r="K244" s="2"/>
      <c r="L244" s="2" t="str">
        <f>IFERROR(__xludf.DUMMYFUNCTION("""COMPUTED_VALUE"""),"")</f>
        <v/>
      </c>
      <c r="M244" s="2" t="str">
        <f>IFERROR(__xludf.DUMMYFUNCTION("""COMPUTED_VALUE"""),"")</f>
        <v/>
      </c>
      <c r="N244" s="2" t="str">
        <f>IFERROR(__xludf.DUMMYFUNCTION("""COMPUTED_VALUE"""),"Chưa có công thức")</f>
        <v>Chưa có công thức</v>
      </c>
      <c r="O244" s="2" t="str">
        <f>IFERROR(__xludf.DUMMYFUNCTION("""COMPUTED_VALUE"""),"")</f>
        <v/>
      </c>
      <c r="P244" s="2" t="str">
        <f>IFERROR(__xludf.DUMMYFUNCTION("""COMPUTED_VALUE"""),"#N/A")</f>
        <v>#N/A</v>
      </c>
      <c r="Q244" s="30" t="str">
        <f>IFERROR(__xludf.DUMMYFUNCTION("""COMPUTED_VALUE"""),"KHÔNG KHỚP")</f>
        <v>KHÔNG KHỚP</v>
      </c>
      <c r="R244" s="2"/>
      <c r="S244" s="2"/>
      <c r="T244" s="2"/>
      <c r="U244" s="2"/>
      <c r="V244" s="2"/>
      <c r="W244" s="2"/>
      <c r="X244" s="2"/>
      <c r="Y244" s="2"/>
    </row>
    <row r="245">
      <c r="A245" s="30">
        <f>IFERROR(__xludf.DUMMYFUNCTION("""COMPUTED_VALUE"""),242.0)</f>
        <v>242</v>
      </c>
      <c r="B245" s="39">
        <f>IFERROR(__xludf.DUMMYFUNCTION("""COMPUTED_VALUE"""),45905.0)</f>
        <v>45905</v>
      </c>
      <c r="C245" s="30">
        <f>IFERROR(__xludf.DUMMYFUNCTION("""COMPUTED_VALUE"""),1.0)</f>
        <v>1</v>
      </c>
      <c r="D245" s="30" t="str">
        <f>IFERROR(__xludf.DUMMYFUNCTION("""COMPUTED_VALUE"""),"CT CŨ")</f>
        <v>CT CŨ</v>
      </c>
      <c r="E245" s="30"/>
      <c r="F245" s="2"/>
      <c r="G245" s="2" t="str">
        <f>IFERROR(__xludf.DUMMYFUNCTION("""COMPUTED_VALUE"""),"HH4327")</f>
        <v>HH4327</v>
      </c>
      <c r="H245" s="2" t="str">
        <f>IFERROR(__xludf.DUMMYFUNCTION("""COMPUTED_VALUE"""),"GC - IV - 4327 - Cty Hóa Nông Shino - SHINO ĐỒNG (Nước xanh dương) - 250ml - 40")</f>
        <v>GC - IV - 4327 - Cty Hóa Nông Shino - SHINO ĐỒNG (Nước xanh dương) - 250ml - 40</v>
      </c>
      <c r="I245" s="2" t="str">
        <f>IFERROR(__xludf.DUMMYFUNCTION("""COMPUTED_VALUE"""),"#N/A")</f>
        <v>#N/A</v>
      </c>
      <c r="J245" s="2"/>
      <c r="K245" s="2"/>
      <c r="L245" s="2" t="str">
        <f>IFERROR(__xludf.DUMMYFUNCTION("""COMPUTED_VALUE"""),"A02300524")</f>
        <v>A02300524</v>
      </c>
      <c r="M245" s="2" t="str">
        <f>IFERROR(__xludf.DUMMYFUNCTION("""COMPUTED_VALUE"""),"NANO CU ")</f>
        <v>NANO CU </v>
      </c>
      <c r="N245" s="2" t="str">
        <f>IFERROR(__xludf.DUMMYFUNCTION("""COMPUTED_VALUE"""),"17KN0007")</f>
        <v>17KN0007</v>
      </c>
      <c r="O245" s="2" t="str">
        <f>IFERROR(__xludf.DUMMYFUNCTION("""COMPUTED_VALUE"""),"Phân bón Vi lượng Agama-CU")</f>
        <v>Phân bón Vi lượng Agama-CU</v>
      </c>
      <c r="P245" s="2" t="str">
        <f>IFERROR(__xludf.DUMMYFUNCTION("""COMPUTED_VALUE"""),"#N/A")</f>
        <v>#N/A</v>
      </c>
      <c r="Q245" s="30" t="str">
        <f>IFERROR(__xludf.DUMMYFUNCTION("""COMPUTED_VALUE"""),"KHÔNG KHỚP")</f>
        <v>KHÔNG KHỚP</v>
      </c>
      <c r="R245" s="2"/>
      <c r="S245" s="2"/>
      <c r="T245" s="2"/>
      <c r="U245" s="2"/>
      <c r="V245" s="2"/>
      <c r="W245" s="2"/>
      <c r="X245" s="2"/>
      <c r="Y245" s="2"/>
    </row>
    <row r="246">
      <c r="A246" s="30">
        <f>IFERROR(__xludf.DUMMYFUNCTION("""COMPUTED_VALUE"""),243.0)</f>
        <v>243</v>
      </c>
      <c r="B246" s="39">
        <f>IFERROR(__xludf.DUMMYFUNCTION("""COMPUTED_VALUE"""),45938.0)</f>
        <v>45938</v>
      </c>
      <c r="C246" s="30">
        <f>IFERROR(__xludf.DUMMYFUNCTION("""COMPUTED_VALUE"""),1.0)</f>
        <v>1</v>
      </c>
      <c r="D246" s="30" t="str">
        <f>IFERROR(__xludf.DUMMYFUNCTION("""COMPUTED_VALUE"""),"CT CŨ")</f>
        <v>CT CŨ</v>
      </c>
      <c r="E246" s="30"/>
      <c r="F246" s="2"/>
      <c r="G246" s="2" t="str">
        <f>IFERROR(__xludf.DUMMYFUNCTION("""COMPUTED_VALUE"""),"HH4340")</f>
        <v>HH4340</v>
      </c>
      <c r="H246" s="2" t="str">
        <f>IFERROR(__xludf.DUMMYFUNCTION("""COMPUTED_VALUE"""),"GC ABA - CTY GNH - A THỜI - Vi lượng Quantity New - SIÊU KÍCH RỄ  - 500ml - 40")</f>
        <v>GC ABA - CTY GNH - A THỜI - Vi lượng Quantity New - SIÊU KÍCH RỄ  - 500ml - 40</v>
      </c>
      <c r="I246" s="2" t="str">
        <f>IFERROR(__xludf.DUMMYFUNCTION("""COMPUTED_VALUE"""),"#N/A")</f>
        <v>#N/A</v>
      </c>
      <c r="J246" s="2"/>
      <c r="K246" s="2"/>
      <c r="L246" s="2" t="str">
        <f>IFERROR(__xludf.DUMMYFUNCTION("""COMPUTED_VALUE"""),"A06270225")</f>
        <v>A06270225</v>
      </c>
      <c r="M246" s="2" t="str">
        <f>IFERROR(__xludf.DUMMYFUNCTION("""COMPUTED_VALUE"""),"RA RỄ NỞ BỤI")</f>
        <v>RA RỄ NỞ BỤI</v>
      </c>
      <c r="N246" s="2" t="str">
        <f>IFERROR(__xludf.DUMMYFUNCTION("""COMPUTED_VALUE"""),"01RR0049V1")</f>
        <v>01RR0049V1</v>
      </c>
      <c r="O246" s="2" t="str">
        <f>IFERROR(__xludf.DUMMYFUNCTION("""COMPUTED_VALUE"""),"Phân bón Vi lượng Quantity New")</f>
        <v>Phân bón Vi lượng Quantity New</v>
      </c>
      <c r="P246" s="2" t="str">
        <f>IFERROR(__xludf.DUMMYFUNCTION("""COMPUTED_VALUE"""),"#N/A")</f>
        <v>#N/A</v>
      </c>
      <c r="Q246" s="30" t="str">
        <f>IFERROR(__xludf.DUMMYFUNCTION("""COMPUTED_VALUE"""),"KHÔNG KHỚP")</f>
        <v>KHÔNG KHỚP</v>
      </c>
      <c r="R246" s="2"/>
      <c r="S246" s="2"/>
      <c r="T246" s="2"/>
      <c r="U246" s="2"/>
      <c r="V246" s="2"/>
      <c r="W246" s="2"/>
      <c r="X246" s="2"/>
      <c r="Y246" s="2"/>
    </row>
    <row r="247">
      <c r="A247" s="30">
        <f>IFERROR(__xludf.DUMMYFUNCTION("""COMPUTED_VALUE"""),244.0)</f>
        <v>244</v>
      </c>
      <c r="B247" s="39">
        <f>IFERROR(__xludf.DUMMYFUNCTION("""COMPUTED_VALUE"""),45944.0)</f>
        <v>45944</v>
      </c>
      <c r="C247" s="30">
        <f>IFERROR(__xludf.DUMMYFUNCTION("""COMPUTED_VALUE"""),5.0)</f>
        <v>5</v>
      </c>
      <c r="D247" s="30" t="str">
        <f>IFERROR(__xludf.DUMMYFUNCTION("""COMPUTED_VALUE"""),"CT CŨ")</f>
        <v>CT CŨ</v>
      </c>
      <c r="E247" s="30"/>
      <c r="F247" s="2"/>
      <c r="G247" s="2" t="str">
        <f>IFERROR(__xludf.DUMMYFUNCTION("""COMPUTED_VALUE"""),"HH4211")</f>
        <v>HH4211</v>
      </c>
      <c r="H247" s="2" t="str">
        <f>IFERROR(__xludf.DUMMYFUNCTION("""COMPUTED_VALUE"""),"GC - IV - 4211 - Cty Capy Global - TOP SPROUT (nước nâu đen) - 500ml - 40")</f>
        <v>GC - IV - 4211 - Cty Capy Global - TOP SPROUT (nước nâu đen) - 500ml - 40</v>
      </c>
      <c r="I247" s="39" t="str">
        <f>IFERROR(__xludf.DUMMYFUNCTION("""COMPUTED_VALUE"""),"Vi lượng Run Fast")</f>
        <v>Vi lượng Run Fast</v>
      </c>
      <c r="J247" s="2"/>
      <c r="K247" s="2"/>
      <c r="L247" s="2"/>
      <c r="M247" s="2" t="str">
        <f>IFERROR(__xludf.DUMMYFUNCTION("""COMPUTED_VALUE"""),"TOP SPROUT")</f>
        <v>TOP SPROUT</v>
      </c>
      <c r="N247" s="2" t="str">
        <f>IFERROR(__xludf.DUMMYFUNCTION("""COMPUTED_VALUE"""),"08TM0004V1")</f>
        <v>08TM0004V1</v>
      </c>
      <c r="O247" s="2" t="str">
        <f>IFERROR(__xludf.DUMMYFUNCTION("""COMPUTED_VALUE"""),"Phân bón Vi lượng Run Fast")</f>
        <v>Phân bón Vi lượng Run Fast</v>
      </c>
      <c r="P247" s="2" t="str">
        <f>IFERROR(__xludf.DUMMYFUNCTION("""COMPUTED_VALUE"""),"Phân bón Vi lượng Run Fast")</f>
        <v>Phân bón Vi lượng Run Fast</v>
      </c>
      <c r="Q247" s="30" t="str">
        <f>IFERROR(__xludf.DUMMYFUNCTION("""COMPUTED_VALUE"""),"KHỚP")</f>
        <v>KHỚP</v>
      </c>
      <c r="R247" s="2"/>
      <c r="S247" s="2"/>
      <c r="T247" s="2"/>
      <c r="U247" s="2"/>
      <c r="V247" s="2"/>
      <c r="W247" s="2"/>
      <c r="X247" s="2"/>
      <c r="Y247" s="2"/>
    </row>
    <row r="248">
      <c r="A248" s="30">
        <f>IFERROR(__xludf.DUMMYFUNCTION("""COMPUTED_VALUE"""),245.0)</f>
        <v>245</v>
      </c>
      <c r="B248" s="39">
        <f>IFERROR(__xludf.DUMMYFUNCTION("""COMPUTED_VALUE"""),45937.0)</f>
        <v>45937</v>
      </c>
      <c r="C248" s="30">
        <f>IFERROR(__xludf.DUMMYFUNCTION("""COMPUTED_VALUE"""),2.0)</f>
        <v>2</v>
      </c>
      <c r="D248" s="30" t="str">
        <f>IFERROR(__xludf.DUMMYFUNCTION("""COMPUTED_VALUE"""),"CT CŨ")</f>
        <v>CT CŨ</v>
      </c>
      <c r="E248" s="30"/>
      <c r="F248" s="2"/>
      <c r="G248" s="2" t="str">
        <f>IFERROR(__xludf.DUMMYFUNCTION("""COMPUTED_VALUE"""),"HH4179")</f>
        <v>HH4179</v>
      </c>
      <c r="H248" s="2" t="str">
        <f>IFERROR(__xludf.DUMMYFUNCTION("""COMPUTED_VALUE"""),"GC - IV - 4179 - CTY THIÊN DI - DƯỠNG CHẤT CHUYÊN DÙNG CHO SẦU RIÊNG (Nước tím đỏ) - 500ml - 40")</f>
        <v>GC - IV - 4179 - CTY THIÊN DI - DƯỠNG CHẤT CHUYÊN DÙNG CHO SẦU RIÊNG (Nước tím đỏ) - 500ml - 40</v>
      </c>
      <c r="I248" s="2" t="str">
        <f>IFERROR(__xludf.DUMMYFUNCTION("""COMPUTED_VALUE"""),"#N/A")</f>
        <v>#N/A</v>
      </c>
      <c r="J248" s="2"/>
      <c r="K248" s="2"/>
      <c r="L248" s="2" t="str">
        <f>IFERROR(__xludf.DUMMYFUNCTION("""COMPUTED_VALUE"""),"A01090425")</f>
        <v>A01090425</v>
      </c>
      <c r="M248" s="2" t="str">
        <f>IFERROR(__xludf.DUMMYFUNCTION("""COMPUTED_VALUE"""),"DƯỠNG CHẤT VÔ CƠ CHUYÊN SẦU RIÊNG")</f>
        <v>DƯỠNG CHẤT VÔ CƠ CHUYÊN SẦU RIÊNG</v>
      </c>
      <c r="N248" s="2" t="str">
        <f>IFERROR(__xludf.DUMMYFUNCTION("""COMPUTED_VALUE"""),"19DD0018V1")</f>
        <v>19DD0018V1</v>
      </c>
      <c r="O248" s="2" t="str">
        <f>IFERROR(__xludf.DUMMYFUNCTION("""COMPUTED_VALUE"""),"Phân bón Hỗn hợp NP AGAMA-AP")</f>
        <v>Phân bón Hỗn hợp NP AGAMA-AP</v>
      </c>
      <c r="P248" s="2" t="str">
        <f>IFERROR(__xludf.DUMMYFUNCTION("""COMPUTED_VALUE"""),"#N/A")</f>
        <v>#N/A</v>
      </c>
      <c r="Q248" s="30" t="str">
        <f>IFERROR(__xludf.DUMMYFUNCTION("""COMPUTED_VALUE"""),"KHÔNG KHỚP")</f>
        <v>KHÔNG KHỚP</v>
      </c>
      <c r="R248" s="2"/>
      <c r="S248" s="2"/>
      <c r="T248" s="2"/>
      <c r="U248" s="2"/>
      <c r="V248" s="2"/>
      <c r="W248" s="2"/>
      <c r="X248" s="2"/>
      <c r="Y248" s="2"/>
    </row>
    <row r="249">
      <c r="A249" s="30">
        <f>IFERROR(__xludf.DUMMYFUNCTION("""COMPUTED_VALUE"""),246.0)</f>
        <v>246</v>
      </c>
      <c r="B249" s="39">
        <f>IFERROR(__xludf.DUMMYFUNCTION("""COMPUTED_VALUE"""),45971.0)</f>
        <v>45971</v>
      </c>
      <c r="C249" s="30">
        <f>IFERROR(__xludf.DUMMYFUNCTION("""COMPUTED_VALUE"""),1.0)</f>
        <v>1</v>
      </c>
      <c r="D249" s="30" t="str">
        <f>IFERROR(__xludf.DUMMYFUNCTION("""COMPUTED_VALUE"""),"CT XỬ LÝ LỖI")</f>
        <v>CT XỬ LÝ LỖI</v>
      </c>
      <c r="E249" s="30"/>
      <c r="F249" s="2"/>
      <c r="G249" s="2" t="str">
        <f>IFERROR(__xludf.DUMMYFUNCTION("""COMPUTED_VALUE"""),"HH3842")</f>
        <v>HH3842</v>
      </c>
      <c r="H249" s="2" t="str">
        <f>IFERROR(__xludf.DUMMYFUNCTION("""COMPUTED_VALUE"""),"DR.XANH - VIII - 3842 - DR.HUCO (Nước nâu đen) - 5L - 4")</f>
        <v>DR.XANH - VIII - 3842 - DR.HUCO (Nước nâu đen) - 5L - 4</v>
      </c>
      <c r="I249" s="2" t="str">
        <f>IFERROR(__xludf.DUMMYFUNCTION("""COMPUTED_VALUE"""),"#N/A")</f>
        <v>#N/A</v>
      </c>
      <c r="J249" s="2"/>
      <c r="K249" s="2"/>
      <c r="L249" s="2" t="str">
        <f>IFERROR(__xludf.DUMMYFUNCTION("""COMPUTED_VALUE"""),"XỬ LÝ BTP LỖI")</f>
        <v>XỬ LÝ BTP LỖI</v>
      </c>
      <c r="M249" s="2" t="str">
        <f>IFERROR(__xludf.DUMMYFUNCTION("""COMPUTED_VALUE"""),"DR.HUCO")</f>
        <v>DR.HUCO</v>
      </c>
      <c r="N249" s="2" t="str">
        <f>IFERROR(__xludf.DUMMYFUNCTION("""COMPUTED_VALUE"""),"01RR0041V1-470725-1")</f>
        <v>01RR0041V1-470725-1</v>
      </c>
      <c r="O249" s="2" t="str">
        <f>IFERROR(__xludf.DUMMYFUNCTION("""COMPUTED_VALUE"""),"Phân bón Hữu cơ ORGANIC BM GOLD FW")</f>
        <v>Phân bón Hữu cơ ORGANIC BM GOLD FW</v>
      </c>
      <c r="P249" s="2" t="str">
        <f>IFERROR(__xludf.DUMMYFUNCTION("""COMPUTED_VALUE"""),"#N/A")</f>
        <v>#N/A</v>
      </c>
      <c r="Q249" s="30" t="str">
        <f>IFERROR(__xludf.DUMMYFUNCTION("""COMPUTED_VALUE"""),"KHÔNG KHỚP")</f>
        <v>KHÔNG KHỚP</v>
      </c>
      <c r="R249" s="2"/>
      <c r="S249" s="2"/>
      <c r="T249" s="2"/>
      <c r="U249" s="2"/>
      <c r="V249" s="2"/>
      <c r="W249" s="2"/>
      <c r="X249" s="2"/>
      <c r="Y249" s="2"/>
    </row>
    <row r="250">
      <c r="A250" s="30">
        <f>IFERROR(__xludf.DUMMYFUNCTION("""COMPUTED_VALUE"""),247.0)</f>
        <v>247</v>
      </c>
      <c r="B250" s="39">
        <f>IFERROR(__xludf.DUMMYFUNCTION("""COMPUTED_VALUE"""),45971.0)</f>
        <v>45971</v>
      </c>
      <c r="C250" s="30">
        <f>IFERROR(__xludf.DUMMYFUNCTION("""COMPUTED_VALUE"""),2.0)</f>
        <v>2</v>
      </c>
      <c r="D250" s="30" t="str">
        <f>IFERROR(__xludf.DUMMYFUNCTION("""COMPUTED_VALUE"""),"CT XỬ LÝ LỖI")</f>
        <v>CT XỬ LÝ LỖI</v>
      </c>
      <c r="E250" s="30"/>
      <c r="F250" s="2"/>
      <c r="G250" s="2" t="str">
        <f>IFERROR(__xludf.DUMMYFUNCTION("""COMPUTED_VALUE"""),"HH3842")</f>
        <v>HH3842</v>
      </c>
      <c r="H250" s="2" t="str">
        <f>IFERROR(__xludf.DUMMYFUNCTION("""COMPUTED_VALUE"""),"DR.XANH - VIII - 3842 - DR.HUCO (Nước nâu đen) - 5L - 4")</f>
        <v>DR.XANH - VIII - 3842 - DR.HUCO (Nước nâu đen) - 5L - 4</v>
      </c>
      <c r="I250" s="2" t="str">
        <f>IFERROR(__xludf.DUMMYFUNCTION("""COMPUTED_VALUE"""),"#N/A")</f>
        <v>#N/A</v>
      </c>
      <c r="J250" s="2"/>
      <c r="K250" s="2"/>
      <c r="L250" s="2" t="str">
        <f>IFERROR(__xludf.DUMMYFUNCTION("""COMPUTED_VALUE"""),"XỬ LÝ BTP LỖI")</f>
        <v>XỬ LÝ BTP LỖI</v>
      </c>
      <c r="M250" s="2" t="str">
        <f>IFERROR(__xludf.DUMMYFUNCTION("""COMPUTED_VALUE"""),"DR.HUCO")</f>
        <v>DR.HUCO</v>
      </c>
      <c r="N250" s="2" t="str">
        <f>IFERROR(__xludf.DUMMYFUNCTION("""COMPUTED_VALUE"""),"01RR0041V1-470725-1")</f>
        <v>01RR0041V1-470725-1</v>
      </c>
      <c r="O250" s="2" t="str">
        <f>IFERROR(__xludf.DUMMYFUNCTION("""COMPUTED_VALUE"""),"Phân bón Hữu cơ ORGANIC BM GOLD FW")</f>
        <v>Phân bón Hữu cơ ORGANIC BM GOLD FW</v>
      </c>
      <c r="P250" s="2" t="str">
        <f>IFERROR(__xludf.DUMMYFUNCTION("""COMPUTED_VALUE"""),"#N/A")</f>
        <v>#N/A</v>
      </c>
      <c r="Q250" s="30" t="str">
        <f>IFERROR(__xludf.DUMMYFUNCTION("""COMPUTED_VALUE"""),"KHÔNG KHỚP")</f>
        <v>KHÔNG KHỚP</v>
      </c>
      <c r="R250" s="2"/>
      <c r="S250" s="2"/>
      <c r="T250" s="2"/>
      <c r="U250" s="2"/>
      <c r="V250" s="2"/>
      <c r="W250" s="2"/>
      <c r="X250" s="2"/>
      <c r="Y250" s="2"/>
    </row>
    <row r="251">
      <c r="A251" s="30">
        <f>IFERROR(__xludf.DUMMYFUNCTION("""COMPUTED_VALUE"""),248.0)</f>
        <v>248</v>
      </c>
      <c r="B251" s="39">
        <f>IFERROR(__xludf.DUMMYFUNCTION("""COMPUTED_VALUE"""),45940.0)</f>
        <v>45940</v>
      </c>
      <c r="C251" s="30">
        <f>IFERROR(__xludf.DUMMYFUNCTION("""COMPUTED_VALUE"""),2.0)</f>
        <v>2</v>
      </c>
      <c r="D251" s="30" t="str">
        <f>IFERROR(__xludf.DUMMYFUNCTION("""COMPUTED_VALUE"""),"CT CŨ")</f>
        <v>CT CŨ</v>
      </c>
      <c r="E251" s="30"/>
      <c r="F251" s="2"/>
      <c r="G251" s="2" t="str">
        <f>IFERROR(__xludf.DUMMYFUNCTION("""COMPUTED_VALUE"""),"HH4311")</f>
        <v>HH4311</v>
      </c>
      <c r="H251" s="2" t="str">
        <f>IFERROR(__xludf.DUMMYFUNCTION("""COMPUTED_VALUE"""),"BAMBOO - VI - 4311 - BAMBOO 777 TE (chưa xác định) - 1L - 20")</f>
        <v>BAMBOO - VI - 4311 - BAMBOO 777 TE (chưa xác định) - 1L - 20</v>
      </c>
      <c r="I251" s="39" t="str">
        <f>IFERROR(__xludf.DUMMYFUNCTION("""COMPUTED_VALUE"""),"lá NPK-vi lượng GNC19")</f>
        <v>lá NPK-vi lượng GNC19</v>
      </c>
      <c r="J251" s="2"/>
      <c r="K251" s="2"/>
      <c r="L251" s="2" t="str">
        <f>IFERROR(__xludf.DUMMYFUNCTION("""COMPUTED_VALUE"""),"BB25040725")</f>
        <v>BB25040725</v>
      </c>
      <c r="M251" s="2" t="str">
        <f>IFERROR(__xludf.DUMMYFUNCTION("""COMPUTED_VALUE"""),"BAMBOO 777 TE")</f>
        <v>BAMBOO 777 TE</v>
      </c>
      <c r="N251" s="2" t="str">
        <f>IFERROR(__xludf.DUMMYFUNCTION("""COMPUTED_VALUE"""),"03DD0015V1")</f>
        <v>03DD0015V1</v>
      </c>
      <c r="O251" s="2" t="str">
        <f>IFERROR(__xludf.DUMMYFUNCTION("""COMPUTED_VALUE"""),"Phân bón lá NPK-Vi lượng GNC 19")</f>
        <v>Phân bón lá NPK-Vi lượng GNC 19</v>
      </c>
      <c r="P251" s="2" t="str">
        <f>IFERROR(__xludf.DUMMYFUNCTION("""COMPUTED_VALUE"""),"Phân bón lá NPK-vi lượng GNC19")</f>
        <v>Phân bón lá NPK-vi lượng GNC19</v>
      </c>
      <c r="Q251" s="30" t="str">
        <f>IFERROR(__xludf.DUMMYFUNCTION("""COMPUTED_VALUE"""),"KHÔNG KHỚP")</f>
        <v>KHÔNG KHỚP</v>
      </c>
      <c r="R251" s="2"/>
      <c r="S251" s="2"/>
      <c r="T251" s="2"/>
      <c r="U251" s="2"/>
      <c r="V251" s="2"/>
      <c r="W251" s="2"/>
      <c r="X251" s="2"/>
      <c r="Y251" s="2"/>
    </row>
    <row r="252">
      <c r="A252" s="30">
        <f>IFERROR(__xludf.DUMMYFUNCTION("""COMPUTED_VALUE"""),249.0)</f>
        <v>249</v>
      </c>
      <c r="B252" s="39">
        <f>IFERROR(__xludf.DUMMYFUNCTION("""COMPUTED_VALUE"""),45889.0)</f>
        <v>45889</v>
      </c>
      <c r="C252" s="30">
        <f>IFERROR(__xludf.DUMMYFUNCTION("""COMPUTED_VALUE"""),1.0)</f>
        <v>1</v>
      </c>
      <c r="D252" s="30" t="str">
        <f>IFERROR(__xludf.DUMMYFUNCTION("""COMPUTED_VALUE"""),"CT CŨ")</f>
        <v>CT CŨ</v>
      </c>
      <c r="E252" s="30"/>
      <c r="F252" s="2"/>
      <c r="G252" s="2" t="str">
        <f>IFERROR(__xludf.DUMMYFUNCTION("""COMPUTED_VALUE"""),"HH3006")</f>
        <v>HH3006</v>
      </c>
      <c r="H252" s="2" t="str">
        <f>IFERROR(__xludf.DUMMYFUNCTION("""COMPUTED_VALUE"""),"GC - IV - 3006 - Cty Quang Đăng Agriculture - LOCK GROW QĐ DURI (Nước nâu đen) - 1L - 20")</f>
        <v>GC - IV - 3006 - Cty Quang Đăng Agriculture - LOCK GROW QĐ DURI (Nước nâu đen) - 1L - 20</v>
      </c>
      <c r="I252" s="2" t="str">
        <f>IFERROR(__xludf.DUMMYFUNCTION("""COMPUTED_VALUE"""),"#N/A")</f>
        <v>#N/A</v>
      </c>
      <c r="J252" s="2"/>
      <c r="K252" s="2"/>
      <c r="L252" s="2" t="str">
        <f>IFERROR(__xludf.DUMMYFUNCTION("""COMPUTED_VALUE"""),"CHẶN ĐỌT DÒNG V2")</f>
        <v>CHẶN ĐỌT DÒNG V2</v>
      </c>
      <c r="M252" s="2" t="str">
        <f>IFERROR(__xludf.DUMMYFUNCTION("""COMPUTED_VALUE"""),"STOP UP
MT STOP
AGRI STOP
STOP ĐỌT
SIÊU CHẶN ĐỌT
MASTER STOP
UNI STOP ONE
BAMBOO DOUBLE STOP")</f>
        <v>STOP UP
MT STOP
AGRI STOP
STOP ĐỌT
SIÊU CHẶN ĐỌT
MASTER STOP
UNI STOP ONE
BAMBOO DOUBLE STOP</v>
      </c>
      <c r="N252" s="2" t="str">
        <f>IFERROR(__xludf.DUMMYFUNCTION("""COMPUTED_VALUE"""),"06CD0009V1")</f>
        <v>06CD0009V1</v>
      </c>
      <c r="O252" s="2" t="str">
        <f>IFERROR(__xludf.DUMMYFUNCTION("""COMPUTED_VALUE"""),"Phân bón Vi lượng Quantity New")</f>
        <v>Phân bón Vi lượng Quantity New</v>
      </c>
      <c r="P252" s="2" t="str">
        <f>IFERROR(__xludf.DUMMYFUNCTION("""COMPUTED_VALUE"""),"#N/A")</f>
        <v>#N/A</v>
      </c>
      <c r="Q252" s="30" t="str">
        <f>IFERROR(__xludf.DUMMYFUNCTION("""COMPUTED_VALUE"""),"KHÔNG KHỚP")</f>
        <v>KHÔNG KHỚP</v>
      </c>
      <c r="R252" s="2"/>
      <c r="S252" s="2"/>
      <c r="T252" s="2"/>
      <c r="U252" s="2"/>
      <c r="V252" s="2"/>
      <c r="W252" s="2"/>
      <c r="X252" s="2"/>
      <c r="Y252" s="2"/>
    </row>
    <row r="253">
      <c r="A253" s="30">
        <f>IFERROR(__xludf.DUMMYFUNCTION("""COMPUTED_VALUE"""),250.0)</f>
        <v>250</v>
      </c>
      <c r="B253" s="39">
        <f>IFERROR(__xludf.DUMMYFUNCTION("""COMPUTED_VALUE"""),45979.0)</f>
        <v>45979</v>
      </c>
      <c r="C253" s="30">
        <f>IFERROR(__xludf.DUMMYFUNCTION("""COMPUTED_VALUE"""),2.0)</f>
        <v>2</v>
      </c>
      <c r="D253" s="30" t="str">
        <f>IFERROR(__xludf.DUMMYFUNCTION("""COMPUTED_VALUE"""),"CT MỚI")</f>
        <v>CT MỚI</v>
      </c>
      <c r="E253" s="30"/>
      <c r="F253" s="2"/>
      <c r="G253" s="2" t="str">
        <f>IFERROR(__xludf.DUMMYFUNCTION("""COMPUTED_VALUE"""),"HH4138")</f>
        <v>HH4138</v>
      </c>
      <c r="H253" s="2" t="str">
        <f>IFERROR(__xludf.DUMMYFUNCTION("""COMPUTED_VALUE"""),"GC - IV - 4138 - Cty Newtex - VÔ GẠO T9 (Dạng SC - Xanh lá) - 500ml - 40")</f>
        <v>GC - IV - 4138 - Cty Newtex - VÔ GẠO T9 (Dạng SC - Xanh lá) - 500ml - 40</v>
      </c>
      <c r="I253" s="2" t="str">
        <f>IFERROR(__xludf.DUMMYFUNCTION("""COMPUTED_VALUE"""),"#N/A")</f>
        <v>#N/A</v>
      </c>
      <c r="J253" s="2"/>
      <c r="K253" s="2"/>
      <c r="L253" s="2" t="str">
        <f>IFERROR(__xludf.DUMMYFUNCTION("""COMPUTED_VALUE"""),"A01301025")</f>
        <v>A01301025</v>
      </c>
      <c r="M253" s="2" t="str">
        <f>IFERROR(__xludf.DUMMYFUNCTION("""COMPUTED_VALUE"""),"VÔ GẠO T9")</f>
        <v>VÔ GẠO T9</v>
      </c>
      <c r="N253" s="2" t="str">
        <f>IFERROR(__xludf.DUMMYFUNCTION("""COMPUTED_VALUE"""),"04VG0040V1")</f>
        <v>04VG0040V1</v>
      </c>
      <c r="O253" s="2" t="str">
        <f>IFERROR(__xludf.DUMMYFUNCTION("""COMPUTED_VALUE"""),"Phân bón hỗn hợp NPK GNC 101")</f>
        <v>Phân bón hỗn hợp NPK GNC 101</v>
      </c>
      <c r="P253" s="2" t="str">
        <f>IFERROR(__xludf.DUMMYFUNCTION("""COMPUTED_VALUE"""),"#N/A")</f>
        <v>#N/A</v>
      </c>
      <c r="Q253" s="30" t="str">
        <f>IFERROR(__xludf.DUMMYFUNCTION("""COMPUTED_VALUE"""),"KHÔNG KHỚP")</f>
        <v>KHÔNG KHỚP</v>
      </c>
      <c r="R253" s="2"/>
      <c r="S253" s="2"/>
      <c r="T253" s="2"/>
      <c r="U253" s="2"/>
      <c r="V253" s="2"/>
      <c r="W253" s="2"/>
      <c r="X253" s="2"/>
      <c r="Y253" s="2"/>
    </row>
    <row r="254">
      <c r="A254" s="30">
        <f>IFERROR(__xludf.DUMMYFUNCTION("""COMPUTED_VALUE"""),251.0)</f>
        <v>251</v>
      </c>
      <c r="B254" s="39">
        <f>IFERROR(__xludf.DUMMYFUNCTION("""COMPUTED_VALUE"""),45896.0)</f>
        <v>45896</v>
      </c>
      <c r="C254" s="30">
        <f>IFERROR(__xludf.DUMMYFUNCTION("""COMPUTED_VALUE"""),2.0)</f>
        <v>2</v>
      </c>
      <c r="D254" s="30" t="str">
        <f>IFERROR(__xludf.DUMMYFUNCTION("""COMPUTED_VALUE"""),"CT CŨ")</f>
        <v>CT CŨ</v>
      </c>
      <c r="E254" s="30"/>
      <c r="F254" s="2"/>
      <c r="G254" s="2" t="str">
        <f>IFERROR(__xludf.DUMMYFUNCTION("""COMPUTED_VALUE"""),"HH4172")</f>
        <v>HH4172</v>
      </c>
      <c r="H254" s="2" t="str">
        <f>IFERROR(__xludf.DUMMYFUNCTION("""COMPUTED_VALUE"""),"GC - IV - 4172 - CTY DONA VINA - CANXIBO ĐỒNG KẼM (Nước trắng sữa) - 500ml - 40")</f>
        <v>GC - IV - 4172 - CTY DONA VINA - CANXIBO ĐỒNG KẼM (Nước trắng sữa) - 500ml - 40</v>
      </c>
      <c r="I254" s="2" t="str">
        <f>IFERROR(__xludf.DUMMYFUNCTION("""COMPUTED_VALUE"""),"#N/A")</f>
        <v>#N/A</v>
      </c>
      <c r="J254" s="2"/>
      <c r="K254" s="2"/>
      <c r="L254" s="2" t="str">
        <f>IFERROR(__xludf.DUMMYFUNCTION("""COMPUTED_VALUE"""),"A02160725")</f>
        <v>A02160725</v>
      </c>
      <c r="M254" s="2" t="str">
        <f>IFERROR(__xludf.DUMMYFUNCTION("""COMPUTED_VALUE"""),"AGAMA-CANXI BO
(KIM NGỌC)")</f>
        <v>AGAMA-CANXI BO
(KIM NGỌC)</v>
      </c>
      <c r="N254" s="2" t="str">
        <f>IFERROR(__xludf.DUMMYFUNCTION("""COMPUTED_VALUE"""),"10CR0021")</f>
        <v>10CR0021</v>
      </c>
      <c r="O254" s="2" t="str">
        <f>IFERROR(__xludf.DUMMYFUNCTION("""COMPUTED_VALUE"""),"Phân bón Vi lượng AGAMA-CANXI BO")</f>
        <v>Phân bón Vi lượng AGAMA-CANXI BO</v>
      </c>
      <c r="P254" s="2" t="str">
        <f>IFERROR(__xludf.DUMMYFUNCTION("""COMPUTED_VALUE"""),"#N/A")</f>
        <v>#N/A</v>
      </c>
      <c r="Q254" s="30" t="str">
        <f>IFERROR(__xludf.DUMMYFUNCTION("""COMPUTED_VALUE"""),"KHÔNG KHỚP")</f>
        <v>KHÔNG KHỚP</v>
      </c>
      <c r="R254" s="2"/>
      <c r="S254" s="2"/>
      <c r="T254" s="2"/>
      <c r="U254" s="2"/>
      <c r="V254" s="2"/>
      <c r="W254" s="2"/>
      <c r="X254" s="2"/>
      <c r="Y254" s="2"/>
    </row>
    <row r="255">
      <c r="A255" s="30">
        <f>IFERROR(__xludf.DUMMYFUNCTION("""COMPUTED_VALUE"""),252.0)</f>
        <v>252</v>
      </c>
      <c r="B255" s="39">
        <f>IFERROR(__xludf.DUMMYFUNCTION("""COMPUTED_VALUE"""),45889.0)</f>
        <v>45889</v>
      </c>
      <c r="C255" s="30">
        <f>IFERROR(__xludf.DUMMYFUNCTION("""COMPUTED_VALUE"""),2.0)</f>
        <v>2</v>
      </c>
      <c r="D255" s="30" t="str">
        <f>IFERROR(__xludf.DUMMYFUNCTION("""COMPUTED_VALUE"""),"CT CŨ")</f>
        <v>CT CŨ</v>
      </c>
      <c r="E255" s="30"/>
      <c r="F255" s="2"/>
      <c r="G255" s="2" t="str">
        <f>IFERROR(__xludf.DUMMYFUNCTION("""COMPUTED_VALUE"""),"HH4285")</f>
        <v>HH4285</v>
      </c>
      <c r="H255" s="2" t="str">
        <f>IFERROR(__xludf.DUMMYFUNCTION("""COMPUTED_VALUE"""),"IDA Global - I - 4285 - STOP UP (Nước nâu đen) - 1L - 20")</f>
        <v>IDA Global - I - 4285 - STOP UP (Nước nâu đen) - 1L - 20</v>
      </c>
      <c r="I255" s="2" t="str">
        <f>IFERROR(__xludf.DUMMYFUNCTION("""COMPUTED_VALUE"""),"#N/A")</f>
        <v>#N/A</v>
      </c>
      <c r="J255" s="2"/>
      <c r="K255" s="2"/>
      <c r="L255" s="2" t="str">
        <f>IFERROR(__xludf.DUMMYFUNCTION("""COMPUTED_VALUE"""),"CHẶN ĐỌT DÒNG V2")</f>
        <v>CHẶN ĐỌT DÒNG V2</v>
      </c>
      <c r="M255" s="2" t="str">
        <f>IFERROR(__xludf.DUMMYFUNCTION("""COMPUTED_VALUE"""),"STOP UP
MT STOP
AGRI STOP
STOP ĐỌT
SIÊU CHẶN ĐỌT
MASTER STOP
UNI STOP ONE
BAMBOO DOUBLE STOP")</f>
        <v>STOP UP
MT STOP
AGRI STOP
STOP ĐỌT
SIÊU CHẶN ĐỌT
MASTER STOP
UNI STOP ONE
BAMBOO DOUBLE STOP</v>
      </c>
      <c r="N255" s="2" t="str">
        <f>IFERROR(__xludf.DUMMYFUNCTION("""COMPUTED_VALUE"""),"06CD0009V1")</f>
        <v>06CD0009V1</v>
      </c>
      <c r="O255" s="2" t="str">
        <f>IFERROR(__xludf.DUMMYFUNCTION("""COMPUTED_VALUE"""),"Phân bón Vi lượng Quantity New")</f>
        <v>Phân bón Vi lượng Quantity New</v>
      </c>
      <c r="P255" s="2" t="str">
        <f>IFERROR(__xludf.DUMMYFUNCTION("""COMPUTED_VALUE"""),"#N/A")</f>
        <v>#N/A</v>
      </c>
      <c r="Q255" s="30" t="str">
        <f>IFERROR(__xludf.DUMMYFUNCTION("""COMPUTED_VALUE"""),"KHÔNG KHỚP")</f>
        <v>KHÔNG KHỚP</v>
      </c>
      <c r="R255" s="2"/>
      <c r="S255" s="2"/>
      <c r="T255" s="2"/>
      <c r="U255" s="2"/>
      <c r="V255" s="2"/>
      <c r="W255" s="2"/>
      <c r="X255" s="2"/>
      <c r="Y255" s="2"/>
    </row>
    <row r="256">
      <c r="A256" s="30">
        <f>IFERROR(__xludf.DUMMYFUNCTION("""COMPUTED_VALUE"""),253.0)</f>
        <v>253</v>
      </c>
      <c r="B256" s="39">
        <f>IFERROR(__xludf.DUMMYFUNCTION("""COMPUTED_VALUE"""),45892.0)</f>
        <v>45892</v>
      </c>
      <c r="C256" s="30">
        <f>IFERROR(__xludf.DUMMYFUNCTION("""COMPUTED_VALUE"""),3.0)</f>
        <v>3</v>
      </c>
      <c r="D256" s="30" t="str">
        <f>IFERROR(__xludf.DUMMYFUNCTION("""COMPUTED_VALUE"""),"CT CŨ")</f>
        <v>CT CŨ</v>
      </c>
      <c r="E256" s="30"/>
      <c r="F256" s="2"/>
      <c r="G256" s="2" t="str">
        <f>IFERROR(__xludf.DUMMYFUNCTION("""COMPUTED_VALUE"""),"HH3877")</f>
        <v>HH3877</v>
      </c>
      <c r="H256" s="2" t="str">
        <f>IFERROR(__xludf.DUMMYFUNCTION("""COMPUTED_VALUE"""),"GC - II - 3877 - GC.NANOFISH - STOP 25 (nước nâu đen) - 1L - 20")</f>
        <v>GC - II - 3877 - GC.NANOFISH - STOP 25 (nước nâu đen) - 1L - 20</v>
      </c>
      <c r="I256" s="2" t="str">
        <f>IFERROR(__xludf.DUMMYFUNCTION("""COMPUTED_VALUE"""),"#N/A")</f>
        <v>#N/A</v>
      </c>
      <c r="J256" s="2"/>
      <c r="K256" s="2"/>
      <c r="L256" s="2" t="str">
        <f>IFERROR(__xludf.DUMMYFUNCTION("""COMPUTED_VALUE"""),"CHẶN ĐỌT DÒNG V3")</f>
        <v>CHẶN ĐỌT DÒNG V3</v>
      </c>
      <c r="M256" s="2" t="str">
        <f>IFERROR(__xludf.DUMMYFUNCTION("""COMPUTED_VALUE"""),"KODO STOP
SIÊU CHẶN ĐỌT
STOP 25
UNI STOP
UNI STOP 25")</f>
        <v>KODO STOP
SIÊU CHẶN ĐỌT
STOP 25
UNI STOP
UNI STOP 25</v>
      </c>
      <c r="N256" s="2" t="str">
        <f>IFERROR(__xludf.DUMMYFUNCTION("""COMPUTED_VALUE"""),"06CD0007")</f>
        <v>06CD0007</v>
      </c>
      <c r="O256" s="2" t="str">
        <f>IFERROR(__xludf.DUMMYFUNCTION("""COMPUTED_VALUE"""),"Phân bón Vi lượng Quantity New")</f>
        <v>Phân bón Vi lượng Quantity New</v>
      </c>
      <c r="P256" s="2" t="str">
        <f>IFERROR(__xludf.DUMMYFUNCTION("""COMPUTED_VALUE"""),"#N/A")</f>
        <v>#N/A</v>
      </c>
      <c r="Q256" s="30" t="str">
        <f>IFERROR(__xludf.DUMMYFUNCTION("""COMPUTED_VALUE"""),"KHÔNG KHỚP")</f>
        <v>KHÔNG KHỚP</v>
      </c>
      <c r="R256" s="2"/>
      <c r="S256" s="2"/>
      <c r="T256" s="2"/>
      <c r="U256" s="2"/>
      <c r="V256" s="2"/>
      <c r="W256" s="2"/>
      <c r="X256" s="2"/>
      <c r="Y256" s="2"/>
    </row>
    <row r="257">
      <c r="A257" s="30">
        <f>IFERROR(__xludf.DUMMYFUNCTION("""COMPUTED_VALUE"""),254.0)</f>
        <v>254</v>
      </c>
      <c r="B257" s="39">
        <f>IFERROR(__xludf.DUMMYFUNCTION("""COMPUTED_VALUE"""),45889.0)</f>
        <v>45889</v>
      </c>
      <c r="C257" s="30">
        <f>IFERROR(__xludf.DUMMYFUNCTION("""COMPUTED_VALUE"""),1.0)</f>
        <v>1</v>
      </c>
      <c r="D257" s="30" t="str">
        <f>IFERROR(__xludf.DUMMYFUNCTION("""COMPUTED_VALUE"""),"CT CŨ")</f>
        <v>CT CŨ</v>
      </c>
      <c r="E257" s="30"/>
      <c r="F257" s="2"/>
      <c r="G257" s="2" t="str">
        <f>IFERROR(__xludf.DUMMYFUNCTION("""COMPUTED_VALUE"""),"HH4372")</f>
        <v>HH4372</v>
      </c>
      <c r="H257" s="2" t="str">
        <f>IFERROR(__xludf.DUMMYFUNCTION("""COMPUTED_VALUE"""),"GC ABA - THÀNH CÔNG AGRI - Vi lượng Quantity New - MASTER STOP - 1L - 20")</f>
        <v>GC ABA - THÀNH CÔNG AGRI - Vi lượng Quantity New - MASTER STOP - 1L - 20</v>
      </c>
      <c r="I257" s="2" t="str">
        <f>IFERROR(__xludf.DUMMYFUNCTION("""COMPUTED_VALUE"""),"#N/A")</f>
        <v>#N/A</v>
      </c>
      <c r="J257" s="2"/>
      <c r="K257" s="2"/>
      <c r="L257" s="2" t="str">
        <f>IFERROR(__xludf.DUMMYFUNCTION("""COMPUTED_VALUE"""),"CHẶN ĐỌT DÒNG V2")</f>
        <v>CHẶN ĐỌT DÒNG V2</v>
      </c>
      <c r="M257" s="2" t="str">
        <f>IFERROR(__xludf.DUMMYFUNCTION("""COMPUTED_VALUE"""),"STOP UP
MT STOP
AGRI STOP
STOP ĐỌT
SIÊU CHẶN ĐỌT
MASTER STOP
UNI STOP ONE
BAMBOO DOUBLE STOP")</f>
        <v>STOP UP
MT STOP
AGRI STOP
STOP ĐỌT
SIÊU CHẶN ĐỌT
MASTER STOP
UNI STOP ONE
BAMBOO DOUBLE STOP</v>
      </c>
      <c r="N257" s="2" t="str">
        <f>IFERROR(__xludf.DUMMYFUNCTION("""COMPUTED_VALUE"""),"06CD0009V1")</f>
        <v>06CD0009V1</v>
      </c>
      <c r="O257" s="2" t="str">
        <f>IFERROR(__xludf.DUMMYFUNCTION("""COMPUTED_VALUE"""),"Phân bón Vi lượng Quantity New")</f>
        <v>Phân bón Vi lượng Quantity New</v>
      </c>
      <c r="P257" s="2" t="str">
        <f>IFERROR(__xludf.DUMMYFUNCTION("""COMPUTED_VALUE"""),"#N/A")</f>
        <v>#N/A</v>
      </c>
      <c r="Q257" s="30" t="str">
        <f>IFERROR(__xludf.DUMMYFUNCTION("""COMPUTED_VALUE"""),"KHÔNG KHỚP")</f>
        <v>KHÔNG KHỚP</v>
      </c>
      <c r="R257" s="2"/>
      <c r="S257" s="2"/>
      <c r="T257" s="2"/>
      <c r="U257" s="2"/>
      <c r="V257" s="2"/>
      <c r="W257" s="2"/>
      <c r="X257" s="2"/>
      <c r="Y257" s="2"/>
    </row>
    <row r="258">
      <c r="A258" s="30">
        <f>IFERROR(__xludf.DUMMYFUNCTION("""COMPUTED_VALUE"""),255.0)</f>
        <v>255</v>
      </c>
      <c r="B258" s="39">
        <f>IFERROR(__xludf.DUMMYFUNCTION("""COMPUTED_VALUE"""),45976.0)</f>
        <v>45976</v>
      </c>
      <c r="C258" s="30">
        <f>IFERROR(__xludf.DUMMYFUNCTION("""COMPUTED_VALUE"""),1.0)</f>
        <v>1</v>
      </c>
      <c r="D258" s="30" t="str">
        <f>IFERROR(__xludf.DUMMYFUNCTION("""COMPUTED_VALUE"""),"CT CŨ")</f>
        <v>CT CŨ</v>
      </c>
      <c r="E258" s="30"/>
      <c r="F258" s="2"/>
      <c r="G258" s="2" t="str">
        <f>IFERROR(__xludf.DUMMYFUNCTION("""COMPUTED_VALUE"""),"HH4357")</f>
        <v>HH4357</v>
      </c>
      <c r="H258" s="2" t="str">
        <f>IFERROR(__xludf.DUMMYFUNCTION("""COMPUTED_VALUE"""),"IDA Global - I - 4357 - ĐL LÊ NGUYỄN 2 - SIÊU CỨNG CÂY (Nước nâu đen) - 500ml - 40")</f>
        <v>IDA Global - I - 4357 - ĐL LÊ NGUYỄN 2 - SIÊU CỨNG CÂY (Nước nâu đen) - 500ml - 40</v>
      </c>
      <c r="I258" s="2" t="str">
        <f>IFERROR(__xludf.DUMMYFUNCTION("""COMPUTED_VALUE"""),"#N/A")</f>
        <v>#N/A</v>
      </c>
      <c r="J258" s="2"/>
      <c r="K258" s="2"/>
      <c r="L258" s="2" t="str">
        <f>IFERROR(__xludf.DUMMYFUNCTION("""COMPUTED_VALUE"""),"L01261124")</f>
        <v>L01261124</v>
      </c>
      <c r="M258" s="2" t="str">
        <f>IFERROR(__xludf.DUMMYFUNCTION("""COMPUTED_VALUE"""),"CỨNG CÂY 304")</f>
        <v>CỨNG CÂY 304</v>
      </c>
      <c r="N258" s="2" t="str">
        <f>IFERROR(__xludf.DUMMYFUNCTION("""COMPUTED_VALUE"""),"02CC0002V2")</f>
        <v>02CC0002V2</v>
      </c>
      <c r="O258" s="2" t="str">
        <f>IFERROR(__xludf.DUMMYFUNCTION("""COMPUTED_VALUE"""),"Phân bón Hữu cơ SH Agro Organic Fertilizer 20")</f>
        <v>Phân bón Hữu cơ SH Agro Organic Fertilizer 20</v>
      </c>
      <c r="P258" s="2" t="str">
        <f>IFERROR(__xludf.DUMMYFUNCTION("""COMPUTED_VALUE"""),"#N/A")</f>
        <v>#N/A</v>
      </c>
      <c r="Q258" s="30" t="str">
        <f>IFERROR(__xludf.DUMMYFUNCTION("""COMPUTED_VALUE"""),"KHÔNG KHỚP")</f>
        <v>KHÔNG KHỚP</v>
      </c>
      <c r="R258" s="2"/>
      <c r="S258" s="2"/>
      <c r="T258" s="2"/>
      <c r="U258" s="2"/>
      <c r="V258" s="2"/>
      <c r="W258" s="2"/>
      <c r="X258" s="2"/>
      <c r="Y258" s="2"/>
    </row>
    <row r="259">
      <c r="A259" s="30">
        <f>IFERROR(__xludf.DUMMYFUNCTION("""COMPUTED_VALUE"""),256.0)</f>
        <v>256</v>
      </c>
      <c r="B259" s="39">
        <f>IFERROR(__xludf.DUMMYFUNCTION("""COMPUTED_VALUE"""),45946.0)</f>
        <v>45946</v>
      </c>
      <c r="C259" s="30">
        <f>IFERROR(__xludf.DUMMYFUNCTION("""COMPUTED_VALUE"""),2.0)</f>
        <v>2</v>
      </c>
      <c r="D259" s="30" t="str">
        <f>IFERROR(__xludf.DUMMYFUNCTION("""COMPUTED_VALUE"""),"CT CŨ")</f>
        <v>CT CŨ</v>
      </c>
      <c r="E259" s="30"/>
      <c r="F259" s="2"/>
      <c r="G259" s="2" t="str">
        <f>IFERROR(__xludf.DUMMYFUNCTION("""COMPUTED_VALUE"""),"HH4278")</f>
        <v>HH4278</v>
      </c>
      <c r="H259" s="2" t="str">
        <f>IFERROR(__xludf.DUMMYFUNCTION("""COMPUTED_VALUE"""),"GC - IV - 4278 - CTY CAPY GLOBAL - DR.H2 (Nước nâu đen) - 1L - 20")</f>
        <v>GC - IV - 4278 - CTY CAPY GLOBAL - DR.H2 (Nước nâu đen) - 1L - 20</v>
      </c>
      <c r="I259" s="2" t="str">
        <f>IFERROR(__xludf.DUMMYFUNCTION("""COMPUTED_VALUE"""),"#N/A")</f>
        <v>#N/A</v>
      </c>
      <c r="J259" s="2"/>
      <c r="K259" s="2"/>
      <c r="L259" s="2" t="str">
        <f>IFERROR(__xludf.DUMMYFUNCTION("""COMPUTED_VALUE"""),"CHẶN ĐỌT DÒNG V1")</f>
        <v>CHẶN ĐỌT DÒNG V1</v>
      </c>
      <c r="M259" s="2" t="str">
        <f>IFERROR(__xludf.DUMMYFUNCTION("""COMPUTED_VALUE"""),"KODO STOP
DR.STOP
DR.H2")</f>
        <v>KODO STOP
DR.STOP
DR.H2</v>
      </c>
      <c r="N259" s="2" t="str">
        <f>IFERROR(__xludf.DUMMYFUNCTION("""COMPUTED_VALUE"""),"06CD0006V1")</f>
        <v>06CD0006V1</v>
      </c>
      <c r="O259" s="2" t="str">
        <f>IFERROR(__xludf.DUMMYFUNCTION("""COMPUTED_VALUE"""),"Phân bón Vi lượng Quantity New")</f>
        <v>Phân bón Vi lượng Quantity New</v>
      </c>
      <c r="P259" s="2" t="str">
        <f>IFERROR(__xludf.DUMMYFUNCTION("""COMPUTED_VALUE"""),"#N/A")</f>
        <v>#N/A</v>
      </c>
      <c r="Q259" s="30" t="str">
        <f>IFERROR(__xludf.DUMMYFUNCTION("""COMPUTED_VALUE"""),"KHÔNG KHỚP")</f>
        <v>KHÔNG KHỚP</v>
      </c>
      <c r="R259" s="2"/>
      <c r="S259" s="2"/>
      <c r="T259" s="2"/>
      <c r="U259" s="2"/>
      <c r="V259" s="2"/>
      <c r="W259" s="2"/>
      <c r="X259" s="2"/>
      <c r="Y259" s="2"/>
    </row>
    <row r="260">
      <c r="A260" s="30">
        <f>IFERROR(__xludf.DUMMYFUNCTION("""COMPUTED_VALUE"""),257.0)</f>
        <v>257</v>
      </c>
      <c r="B260" s="39">
        <f>IFERROR(__xludf.DUMMYFUNCTION("""COMPUTED_VALUE"""),45887.0)</f>
        <v>45887</v>
      </c>
      <c r="C260" s="30">
        <f>IFERROR(__xludf.DUMMYFUNCTION("""COMPUTED_VALUE"""),1.0)</f>
        <v>1</v>
      </c>
      <c r="D260" s="30" t="str">
        <f>IFERROR(__xludf.DUMMYFUNCTION("""COMPUTED_VALUE"""),"CT CŨ")</f>
        <v>CT CŨ</v>
      </c>
      <c r="E260" s="30"/>
      <c r="F260" s="2"/>
      <c r="G260" s="2" t="str">
        <f>IFERROR(__xludf.DUMMYFUNCTION("""COMPUTED_VALUE"""),"HH4375")</f>
        <v>HH4375</v>
      </c>
      <c r="H260" s="2" t="str">
        <f>IFERROR(__xludf.DUMMYFUNCTION("""COMPUTED_VALUE"""),"BAMBOO - VI - 4375 - BAMBOO CANXI BO MASTER (Nước trắng sữa) - 1L - 20")</f>
        <v>BAMBOO - VI - 4375 - BAMBOO CANXI BO MASTER (Nước trắng sữa) - 1L - 20</v>
      </c>
      <c r="I260" s="39" t="str">
        <f>IFERROR(__xludf.DUMMYFUNCTION("""COMPUTED_VALUE"""),"Vi lượng AGAMA-CANXI BO")</f>
        <v>Vi lượng AGAMA-CANXI BO</v>
      </c>
      <c r="J260" s="2"/>
      <c r="K260" s="2"/>
      <c r="L260" s="2"/>
      <c r="M260" s="2" t="str">
        <f>IFERROR(__xludf.DUMMYFUNCTION("""COMPUTED_VALUE"""),"CANXI BO MASTER")</f>
        <v>CANXI BO MASTER</v>
      </c>
      <c r="N260" s="2" t="str">
        <f>IFERROR(__xludf.DUMMYFUNCTION("""COMPUTED_VALUE"""),"10CR0015")</f>
        <v>10CR0015</v>
      </c>
      <c r="O260" s="2" t="str">
        <f>IFERROR(__xludf.DUMMYFUNCTION("""COMPUTED_VALUE"""),"Phân bón Vi lượng AGAMA-CANXI BO")</f>
        <v>Phân bón Vi lượng AGAMA-CANXI BO</v>
      </c>
      <c r="P260" s="2" t="str">
        <f>IFERROR(__xludf.DUMMYFUNCTION("""COMPUTED_VALUE"""),"Phân bón Vi lượng AGAMA-CANXI BO")</f>
        <v>Phân bón Vi lượng AGAMA-CANXI BO</v>
      </c>
      <c r="Q260" s="30" t="str">
        <f>IFERROR(__xludf.DUMMYFUNCTION("""COMPUTED_VALUE"""),"KHỚP")</f>
        <v>KHỚP</v>
      </c>
      <c r="R260" s="2"/>
      <c r="S260" s="2"/>
      <c r="T260" s="2"/>
      <c r="U260" s="2"/>
      <c r="V260" s="2"/>
      <c r="W260" s="2"/>
      <c r="X260" s="2"/>
      <c r="Y260" s="2"/>
    </row>
    <row r="261">
      <c r="A261" s="30">
        <f>IFERROR(__xludf.DUMMYFUNCTION("""COMPUTED_VALUE"""),258.0)</f>
        <v>258</v>
      </c>
      <c r="B261" s="39">
        <f>IFERROR(__xludf.DUMMYFUNCTION("""COMPUTED_VALUE"""),45896.0)</f>
        <v>45896</v>
      </c>
      <c r="C261" s="30">
        <f>IFERROR(__xludf.DUMMYFUNCTION("""COMPUTED_VALUE"""),1.0)</f>
        <v>1</v>
      </c>
      <c r="D261" s="30" t="str">
        <f>IFERROR(__xludf.DUMMYFUNCTION("""COMPUTED_VALUE"""),"CT CŨ")</f>
        <v>CT CŨ</v>
      </c>
      <c r="E261" s="30"/>
      <c r="F261" s="2"/>
      <c r="G261" s="2" t="str">
        <f>IFERROR(__xludf.DUMMYFUNCTION("""COMPUTED_VALUE"""),"HH4374")</f>
        <v>HH4374</v>
      </c>
      <c r="H261" s="2" t="str">
        <f>IFERROR(__xludf.DUMMYFUNCTION("""COMPUTED_VALUE"""),"GC - IV - 4374 - KIM NGỌC - AGAMA-CANXI BO (Nước trắng sữa) - 500ml - 40")</f>
        <v>GC - IV - 4374 - KIM NGỌC - AGAMA-CANXI BO (Nước trắng sữa) - 500ml - 40</v>
      </c>
      <c r="I261" s="2" t="str">
        <f>IFERROR(__xludf.DUMMYFUNCTION("""COMPUTED_VALUE"""),"#N/A")</f>
        <v>#N/A</v>
      </c>
      <c r="J261" s="2"/>
      <c r="K261" s="2"/>
      <c r="L261" s="2" t="str">
        <f>IFERROR(__xludf.DUMMYFUNCTION("""COMPUTED_VALUE"""),"A02160725")</f>
        <v>A02160725</v>
      </c>
      <c r="M261" s="2" t="str">
        <f>IFERROR(__xludf.DUMMYFUNCTION("""COMPUTED_VALUE"""),"AGAMA-CANXI BO
(KIM NGỌC)")</f>
        <v>AGAMA-CANXI BO
(KIM NGỌC)</v>
      </c>
      <c r="N261" s="2" t="str">
        <f>IFERROR(__xludf.DUMMYFUNCTION("""COMPUTED_VALUE"""),"10CR0021")</f>
        <v>10CR0021</v>
      </c>
      <c r="O261" s="2" t="str">
        <f>IFERROR(__xludf.DUMMYFUNCTION("""COMPUTED_VALUE"""),"Phân bón Vi lượng AGAMA-CANXI BO")</f>
        <v>Phân bón Vi lượng AGAMA-CANXI BO</v>
      </c>
      <c r="P261" s="2" t="str">
        <f>IFERROR(__xludf.DUMMYFUNCTION("""COMPUTED_VALUE"""),"#N/A")</f>
        <v>#N/A</v>
      </c>
      <c r="Q261" s="30" t="str">
        <f>IFERROR(__xludf.DUMMYFUNCTION("""COMPUTED_VALUE"""),"KHÔNG KHỚP")</f>
        <v>KHÔNG KHỚP</v>
      </c>
      <c r="R261" s="2"/>
      <c r="S261" s="2"/>
      <c r="T261" s="2"/>
      <c r="U261" s="2"/>
      <c r="V261" s="2"/>
      <c r="W261" s="2"/>
      <c r="X261" s="2"/>
      <c r="Y261" s="2"/>
    </row>
    <row r="262">
      <c r="A262" s="30">
        <f>IFERROR(__xludf.DUMMYFUNCTION("""COMPUTED_VALUE"""),259.0)</f>
        <v>259</v>
      </c>
      <c r="B262" s="39">
        <f>IFERROR(__xludf.DUMMYFUNCTION("""COMPUTED_VALUE"""),45986.0)</f>
        <v>45986</v>
      </c>
      <c r="C262" s="30">
        <f>IFERROR(__xludf.DUMMYFUNCTION("""COMPUTED_VALUE"""),1.0)</f>
        <v>1</v>
      </c>
      <c r="D262" s="30" t="str">
        <f>IFERROR(__xludf.DUMMYFUNCTION("""COMPUTED_VALUE"""),"CT MỚI")</f>
        <v>CT MỚI</v>
      </c>
      <c r="E262" s="30"/>
      <c r="F262" s="2"/>
      <c r="G262" s="2" t="str">
        <f>IFERROR(__xludf.DUMMYFUNCTION("""COMPUTED_VALUE"""),"HH4342")</f>
        <v>HH4342</v>
      </c>
      <c r="H262" s="2" t="str">
        <f>IFERROR(__xludf.DUMMYFUNCTION("""COMPUTED_VALUE"""),"GC - IV - 4342 - CTY LÂM THÀNH - LÊN CƠM (Bột trắng) - 10kg - 1")</f>
        <v>GC - IV - 4342 - CTY LÂM THÀNH - LÊN CƠM (Bột trắng) - 10kg - 1</v>
      </c>
      <c r="I262" s="2" t="str">
        <f>IFERROR(__xludf.DUMMYFUNCTION("""COMPUTED_VALUE"""),"#N/A")</f>
        <v>#N/A</v>
      </c>
      <c r="J262" s="2" t="str">
        <f>IFERROR(__xludf.DUMMYFUNCTION("""COMPUTED_VALUE"""),"A02011125")</f>
        <v>A02011125</v>
      </c>
      <c r="K262" s="2"/>
      <c r="L262" s="2" t="str">
        <f>IFERROR(__xludf.DUMMYFUNCTION("""COMPUTED_VALUE"""),"A02011125")</f>
        <v>A02011125</v>
      </c>
      <c r="M262" s="2" t="str">
        <f>IFERROR(__xludf.DUMMYFUNCTION("""COMPUTED_VALUE"""),"NUÔI TRÁI SẦU RIÊNG ( LÊN CƠM )")</f>
        <v>NUÔI TRÁI SẦU RIÊNG ( LÊN CƠM )</v>
      </c>
      <c r="N262" s="2" t="str">
        <f>IFERROR(__xludf.DUMMYFUNCTION("""COMPUTED_VALUE"""),"11TT0019")</f>
        <v>11TT0019</v>
      </c>
      <c r="O262" s="2" t="str">
        <f>IFERROR(__xludf.DUMMYFUNCTION("""COMPUTED_VALUE"""),"Phân bón hỗn hợp NPK GNC 102")</f>
        <v>Phân bón hỗn hợp NPK GNC 102</v>
      </c>
      <c r="P262" s="2" t="str">
        <f>IFERROR(__xludf.DUMMYFUNCTION("""COMPUTED_VALUE"""),"#N/A")</f>
        <v>#N/A</v>
      </c>
      <c r="Q262" s="30" t="str">
        <f>IFERROR(__xludf.DUMMYFUNCTION("""COMPUTED_VALUE"""),"KHÔNG KHỚP")</f>
        <v>KHÔNG KHỚP</v>
      </c>
      <c r="R262" s="2"/>
      <c r="S262" s="2"/>
      <c r="T262" s="2"/>
      <c r="U262" s="2"/>
      <c r="V262" s="2"/>
      <c r="W262" s="2"/>
      <c r="X262" s="2"/>
      <c r="Y262" s="2"/>
    </row>
    <row r="263">
      <c r="A263" s="30">
        <f>IFERROR(__xludf.DUMMYFUNCTION("""COMPUTED_VALUE"""),260.0)</f>
        <v>260</v>
      </c>
      <c r="B263" s="39">
        <f>IFERROR(__xludf.DUMMYFUNCTION("""COMPUTED_VALUE"""),45889.0)</f>
        <v>45889</v>
      </c>
      <c r="C263" s="30">
        <f>IFERROR(__xludf.DUMMYFUNCTION("""COMPUTED_VALUE"""),1.0)</f>
        <v>1</v>
      </c>
      <c r="D263" s="30" t="str">
        <f>IFERROR(__xludf.DUMMYFUNCTION("""COMPUTED_VALUE"""),"CT CŨ")</f>
        <v>CT CŨ</v>
      </c>
      <c r="E263" s="30"/>
      <c r="F263" s="2"/>
      <c r="G263" s="2" t="str">
        <f>IFERROR(__xludf.DUMMYFUNCTION("""COMPUTED_VALUE"""),"HH4379")</f>
        <v>HH4379</v>
      </c>
      <c r="H263" s="2" t="str">
        <f>IFERROR(__xludf.DUMMYFUNCTION("""COMPUTED_VALUE"""),"GC - IV - 4379 - THÀNH CÔNG AGRI - MT STOP (Nước nâu đen) - 1L - 20")</f>
        <v>GC - IV - 4379 - THÀNH CÔNG AGRI - MT STOP (Nước nâu đen) - 1L - 20</v>
      </c>
      <c r="I263" s="39" t="str">
        <f>IFERROR(__xludf.DUMMYFUNCTION("""COMPUTED_VALUE"""),"Vi lượng Quantity New")</f>
        <v>Vi lượng Quantity New</v>
      </c>
      <c r="J263" s="2" t="str">
        <f>IFERROR(__xludf.DUMMYFUNCTION("""COMPUTED_VALUE"""),"Chặn đọt dòng V2")</f>
        <v>Chặn đọt dòng V2</v>
      </c>
      <c r="K263" s="2"/>
      <c r="L263" s="2" t="str">
        <f>IFERROR(__xludf.DUMMYFUNCTION("""COMPUTED_VALUE"""),"CHẶN ĐỌT DÒNG V2")</f>
        <v>CHẶN ĐỌT DÒNG V2</v>
      </c>
      <c r="M263" s="2" t="str">
        <f>IFERROR(__xludf.DUMMYFUNCTION("""COMPUTED_VALUE"""),"STOP UP
MT STOP
AGRI STOP
STOP ĐỌT
SIÊU CHẶN ĐỌT
MASTER STOP
UNI STOP ONE
BAMBOO DOUBLE STOP")</f>
        <v>STOP UP
MT STOP
AGRI STOP
STOP ĐỌT
SIÊU CHẶN ĐỌT
MASTER STOP
UNI STOP ONE
BAMBOO DOUBLE STOP</v>
      </c>
      <c r="N263" s="2" t="str">
        <f>IFERROR(__xludf.DUMMYFUNCTION("""COMPUTED_VALUE"""),"06CD0009V1")</f>
        <v>06CD0009V1</v>
      </c>
      <c r="O263" s="2" t="str">
        <f>IFERROR(__xludf.DUMMYFUNCTION("""COMPUTED_VALUE"""),"Phân bón Vi lượng Quantity New")</f>
        <v>Phân bón Vi lượng Quantity New</v>
      </c>
      <c r="P263" s="2" t="str">
        <f>IFERROR(__xludf.DUMMYFUNCTION("""COMPUTED_VALUE"""),"Phân bón Vi lượng Quantity New")</f>
        <v>Phân bón Vi lượng Quantity New</v>
      </c>
      <c r="Q263" s="30" t="str">
        <f>IFERROR(__xludf.DUMMYFUNCTION("""COMPUTED_VALUE"""),"KHỚP")</f>
        <v>KHỚP</v>
      </c>
      <c r="R263" s="2"/>
      <c r="S263" s="2"/>
      <c r="T263" s="2"/>
      <c r="U263" s="2"/>
      <c r="V263" s="2"/>
      <c r="W263" s="2"/>
      <c r="X263" s="2"/>
      <c r="Y263" s="2"/>
    </row>
    <row r="264">
      <c r="A264" s="30">
        <f>IFERROR(__xludf.DUMMYFUNCTION("""COMPUTED_VALUE"""),261.0)</f>
        <v>261</v>
      </c>
      <c r="B264" s="39">
        <f>IFERROR(__xludf.DUMMYFUNCTION("""COMPUTED_VALUE"""),45911.0)</f>
        <v>45911</v>
      </c>
      <c r="C264" s="30">
        <f>IFERROR(__xludf.DUMMYFUNCTION("""COMPUTED_VALUE"""),1.0)</f>
        <v>1</v>
      </c>
      <c r="D264" s="30" t="str">
        <f>IFERROR(__xludf.DUMMYFUNCTION("""COMPUTED_VALUE"""),"CT CŨ")</f>
        <v>CT CŨ</v>
      </c>
      <c r="E264" s="30"/>
      <c r="F264" s="2"/>
      <c r="G264" s="2" t="str">
        <f>IFERROR(__xludf.DUMMYFUNCTION("""COMPUTED_VALUE"""),"HH4291")</f>
        <v>HH4291</v>
      </c>
      <c r="H264" s="2" t="str">
        <f>IFERROR(__xludf.DUMMYFUNCTION("""COMPUTED_VALUE"""),"GC - IV - 4291 - NHP GROUP - pH++ (Gel nâu đen) - 1L - 20")</f>
        <v>GC - IV - 4291 - NHP GROUP - pH++ (Gel nâu đen) - 1L - 20</v>
      </c>
      <c r="I264" s="2" t="str">
        <f>IFERROR(__xludf.DUMMYFUNCTION("""COMPUTED_VALUE"""),"#N/A")</f>
        <v>#N/A</v>
      </c>
      <c r="J264" s="2" t="str">
        <f>IFERROR(__xludf.DUMMYFUNCTION("""COMPUTED_VALUE"""),"A01090625 cùng ruột 3801 TAK09")</f>
        <v>A01090625 cùng ruột 3801 TAK09</v>
      </c>
      <c r="K264" s="2"/>
      <c r="L264" s="2" t="str">
        <f>IFERROR(__xludf.DUMMYFUNCTION("""COMPUTED_VALUE"""),"A01090625")</f>
        <v>A01090625</v>
      </c>
      <c r="M264" s="2" t="str">
        <f>IFERROR(__xludf.DUMMYFUNCTION("""COMPUTED_VALUE"""),"TAK09")</f>
        <v>TAK09</v>
      </c>
      <c r="N264" s="2" t="str">
        <f>IFERROR(__xludf.DUMMYFUNCTION("""COMPUTED_VALUE"""),"01RR0055")</f>
        <v>01RR0055</v>
      </c>
      <c r="O264" s="2" t="str">
        <f>IFERROR(__xludf.DUMMYFUNCTION("""COMPUTED_VALUE"""),"Phân bón Hữu cơ SH Agro Organic Fertilizer 20")</f>
        <v>Phân bón Hữu cơ SH Agro Organic Fertilizer 20</v>
      </c>
      <c r="P264" s="2" t="str">
        <f>IFERROR(__xludf.DUMMYFUNCTION("""COMPUTED_VALUE"""),"#N/A")</f>
        <v>#N/A</v>
      </c>
      <c r="Q264" s="30" t="str">
        <f>IFERROR(__xludf.DUMMYFUNCTION("""COMPUTED_VALUE"""),"KHÔNG KHỚP")</f>
        <v>KHÔNG KHỚP</v>
      </c>
      <c r="R264" s="2"/>
      <c r="S264" s="2"/>
      <c r="T264" s="2"/>
      <c r="U264" s="2"/>
      <c r="V264" s="2"/>
      <c r="W264" s="2"/>
      <c r="X264" s="2"/>
      <c r="Y264" s="2"/>
    </row>
    <row r="265">
      <c r="A265" s="30">
        <f>IFERROR(__xludf.DUMMYFUNCTION("""COMPUTED_VALUE"""),262.0)</f>
        <v>262</v>
      </c>
      <c r="B265" s="39">
        <f>IFERROR(__xludf.DUMMYFUNCTION("""COMPUTED_VALUE"""),45978.0)</f>
        <v>45978</v>
      </c>
      <c r="C265" s="30">
        <f>IFERROR(__xludf.DUMMYFUNCTION("""COMPUTED_VALUE"""),1.0)</f>
        <v>1</v>
      </c>
      <c r="D265" s="30" t="str">
        <f>IFERROR(__xludf.DUMMYFUNCTION("""COMPUTED_VALUE"""),"CT CŨ")</f>
        <v>CT CŨ</v>
      </c>
      <c r="E265" s="30"/>
      <c r="F265" s="2"/>
      <c r="G265" s="2" t="str">
        <f>IFERROR(__xludf.DUMMYFUNCTION("""COMPUTED_VALUE"""),"HH4338")</f>
        <v>HH4338</v>
      </c>
      <c r="H265" s="2" t="str">
        <f>IFERROR(__xludf.DUMMYFUNCTION("""COMPUTED_VALUE"""),"GC - IV - 4338 - NHP Group - BUD P02 (Gel màu tím) - 500ml - 40")</f>
        <v>GC - IV - 4338 - NHP Group - BUD P02 (Gel màu tím) - 500ml - 40</v>
      </c>
      <c r="I265" s="2" t="str">
        <f>IFERROR(__xludf.DUMMYFUNCTION("""COMPUTED_VALUE"""),"#N/A")</f>
        <v>#N/A</v>
      </c>
      <c r="J265" s="2" t="str">
        <f>IFERROR(__xludf.DUMMYFUNCTION("""COMPUTED_VALUE"""),"Cùng ruột HH3160, 4179")</f>
        <v>Cùng ruột HH3160, 4179</v>
      </c>
      <c r="K265" s="2"/>
      <c r="L265" s="2" t="str">
        <f>IFERROR(__xludf.DUMMYFUNCTION("""COMPUTED_VALUE"""),"A01090425")</f>
        <v>A01090425</v>
      </c>
      <c r="M265" s="2" t="str">
        <f>IFERROR(__xludf.DUMMYFUNCTION("""COMPUTED_VALUE"""),"DƯỠNG CHẤT VÔ CƠ CHUYÊN SẦU RIÊNG")</f>
        <v>DƯỠNG CHẤT VÔ CƠ CHUYÊN SẦU RIÊNG</v>
      </c>
      <c r="N265" s="2" t="str">
        <f>IFERROR(__xludf.DUMMYFUNCTION("""COMPUTED_VALUE"""),"19DD0018V2")</f>
        <v>19DD0018V2</v>
      </c>
      <c r="O265" s="2" t="str">
        <f>IFERROR(__xludf.DUMMYFUNCTION("""COMPUTED_VALUE"""),"Phân bón Hỗn hợp NP AGAMA-AP")</f>
        <v>Phân bón Hỗn hợp NP AGAMA-AP</v>
      </c>
      <c r="P265" s="2" t="str">
        <f>IFERROR(__xludf.DUMMYFUNCTION("""COMPUTED_VALUE"""),"#N/A")</f>
        <v>#N/A</v>
      </c>
      <c r="Q265" s="30" t="str">
        <f>IFERROR(__xludf.DUMMYFUNCTION("""COMPUTED_VALUE"""),"KHÔNG KHỚP")</f>
        <v>KHÔNG KHỚP</v>
      </c>
      <c r="R265" s="2"/>
      <c r="S265" s="2"/>
      <c r="T265" s="2"/>
      <c r="U265" s="2"/>
      <c r="V265" s="2"/>
      <c r="W265" s="2"/>
      <c r="X265" s="2"/>
      <c r="Y265" s="2"/>
    </row>
    <row r="266">
      <c r="A266" s="30">
        <f>IFERROR(__xludf.DUMMYFUNCTION("""COMPUTED_VALUE"""),263.0)</f>
        <v>263</v>
      </c>
      <c r="B266" s="39">
        <f>IFERROR(__xludf.DUMMYFUNCTION("""COMPUTED_VALUE"""),45889.0)</f>
        <v>45889</v>
      </c>
      <c r="C266" s="30">
        <f>IFERROR(__xludf.DUMMYFUNCTION("""COMPUTED_VALUE"""),1.0)</f>
        <v>1</v>
      </c>
      <c r="D266" s="30" t="str">
        <f>IFERROR(__xludf.DUMMYFUNCTION("""COMPUTED_VALUE"""),"CT CŨ")</f>
        <v>CT CŨ</v>
      </c>
      <c r="E266" s="30"/>
      <c r="F266" s="2"/>
      <c r="G266" s="2" t="str">
        <f>IFERROR(__xludf.DUMMYFUNCTION("""COMPUTED_VALUE"""),"HH4380")</f>
        <v>HH4380</v>
      </c>
      <c r="H266" s="2" t="str">
        <f>IFERROR(__xludf.DUMMYFUNCTION("""COMPUTED_VALUE"""),"GC - IV - 4380 - Cty Thành Công Agri - MASTER STOP (nước nâu đen V2) - 1L - 20")</f>
        <v>GC - IV - 4380 - Cty Thành Công Agri - MASTER STOP (nước nâu đen V2) - 1L - 20</v>
      </c>
      <c r="I266" s="39" t="str">
        <f>IFERROR(__xludf.DUMMYFUNCTION("""COMPUTED_VALUE"""),"Vi lượng Quantity New")</f>
        <v>Vi lượng Quantity New</v>
      </c>
      <c r="J266" s="2" t="str">
        <f>IFERROR(__xludf.DUMMYFUNCTION("""COMPUTED_VALUE"""),"CHẶN ĐỌT DÒNG V2")</f>
        <v>CHẶN ĐỌT DÒNG V2</v>
      </c>
      <c r="K266" s="2"/>
      <c r="L266" s="2" t="str">
        <f>IFERROR(__xludf.DUMMYFUNCTION("""COMPUTED_VALUE"""),"CHẶN ĐỌT DÒNG V2")</f>
        <v>CHẶN ĐỌT DÒNG V2</v>
      </c>
      <c r="M266" s="2" t="str">
        <f>IFERROR(__xludf.DUMMYFUNCTION("""COMPUTED_VALUE"""),"STOP UP
MT STOP
AGRI STOP
STOP ĐỌT
SIÊU CHẶN ĐỌT
MASTER STOP
UNI STOP ONE
BAMBOO DOUBLE STOP")</f>
        <v>STOP UP
MT STOP
AGRI STOP
STOP ĐỌT
SIÊU CHẶN ĐỌT
MASTER STOP
UNI STOP ONE
BAMBOO DOUBLE STOP</v>
      </c>
      <c r="N266" s="2" t="str">
        <f>IFERROR(__xludf.DUMMYFUNCTION("""COMPUTED_VALUE"""),"06CD0009V1")</f>
        <v>06CD0009V1</v>
      </c>
      <c r="O266" s="2" t="str">
        <f>IFERROR(__xludf.DUMMYFUNCTION("""COMPUTED_VALUE"""),"Phân bón Vi lượng Quantity New")</f>
        <v>Phân bón Vi lượng Quantity New</v>
      </c>
      <c r="P266" s="2" t="str">
        <f>IFERROR(__xludf.DUMMYFUNCTION("""COMPUTED_VALUE"""),"Phân bón Vi lượng Quantity New")</f>
        <v>Phân bón Vi lượng Quantity New</v>
      </c>
      <c r="Q266" s="30" t="str">
        <f>IFERROR(__xludf.DUMMYFUNCTION("""COMPUTED_VALUE"""),"KHỚP")</f>
        <v>KHỚP</v>
      </c>
      <c r="R266" s="2"/>
      <c r="S266" s="2"/>
      <c r="T266" s="2"/>
      <c r="U266" s="2"/>
      <c r="V266" s="2"/>
      <c r="W266" s="2"/>
      <c r="X266" s="2"/>
      <c r="Y266" s="2"/>
    </row>
    <row r="267">
      <c r="A267" s="30">
        <f>IFERROR(__xludf.DUMMYFUNCTION("""COMPUTED_VALUE"""),264.0)</f>
        <v>264</v>
      </c>
      <c r="B267" s="39">
        <f>IFERROR(__xludf.DUMMYFUNCTION("""COMPUTED_VALUE"""),45922.0)</f>
        <v>45922</v>
      </c>
      <c r="C267" s="30">
        <f>IFERROR(__xludf.DUMMYFUNCTION("""COMPUTED_VALUE"""),1.0)</f>
        <v>1</v>
      </c>
      <c r="D267" s="30" t="str">
        <f>IFERROR(__xludf.DUMMYFUNCTION("""COMPUTED_VALUE"""),"CT CŨ")</f>
        <v>CT CŨ</v>
      </c>
      <c r="E267" s="30"/>
      <c r="F267" s="2"/>
      <c r="G267" s="2" t="str">
        <f>IFERROR(__xludf.DUMMYFUNCTION("""COMPUTED_VALUE"""),"HH4376")</f>
        <v>HH4376</v>
      </c>
      <c r="H267" s="2" t="str">
        <f>IFERROR(__xludf.DUMMYFUNCTION("""COMPUTED_VALUE"""),"GC - IV - 4376 - Japan Crop Science - CỨNG HƠN TRỤ THÉP (gel nâu đen) - 500ml - 30")</f>
        <v>GC - IV - 4376 - Japan Crop Science - CỨNG HƠN TRỤ THÉP (gel nâu đen) - 500ml - 30</v>
      </c>
      <c r="I267" s="39" t="str">
        <f>IFERROR(__xludf.DUMMYFUNCTION("""COMPUTED_VALUE"""),"Vi lượng Quantity New")</f>
        <v>Vi lượng Quantity New</v>
      </c>
      <c r="J267" s="2" t="str">
        <f>IFERROR(__xludf.DUMMYFUNCTION("""COMPUTED_VALUE"""),"Dòng phụ gia thấp V1 cùng ruột 1907
")</f>
        <v>Dòng phụ gia thấp V1 cùng ruột 1907
</v>
      </c>
      <c r="K267" s="2"/>
      <c r="L267" s="2" t="str">
        <f>IFERROR(__xludf.DUMMYFUNCTION("""COMPUTED_VALUE"""),"DÒNG PHỤ GIA THẤP V1")</f>
        <v>DÒNG PHỤ GIA THẤP V1</v>
      </c>
      <c r="M267" s="2" t="str">
        <f>IFERROR(__xludf.DUMMYFUNCTION("""COMPUTED_VALUE"""),"SUMO SIÊU CỨNG
CỨNG NHƯ ĐẠN
CỨNG HƠN TRỤ THÉP")</f>
        <v>SUMO SIÊU CỨNG
CỨNG NHƯ ĐẠN
CỨNG HƠN TRỤ THÉP</v>
      </c>
      <c r="N267" s="2" t="str">
        <f>IFERROR(__xludf.DUMMYFUNCTION("""COMPUTED_VALUE"""),"02CC0001V2")</f>
        <v>02CC0001V2</v>
      </c>
      <c r="O267" s="2" t="str">
        <f>IFERROR(__xludf.DUMMYFUNCTION("""COMPUTED_VALUE"""),"Phân bón Vi lượng Quantity New")</f>
        <v>Phân bón Vi lượng Quantity New</v>
      </c>
      <c r="P267" s="2" t="str">
        <f>IFERROR(__xludf.DUMMYFUNCTION("""COMPUTED_VALUE"""),"Phân bón Vi lượng Quantity New")</f>
        <v>Phân bón Vi lượng Quantity New</v>
      </c>
      <c r="Q267" s="30" t="str">
        <f>IFERROR(__xludf.DUMMYFUNCTION("""COMPUTED_VALUE"""),"KHỚP")</f>
        <v>KHỚP</v>
      </c>
      <c r="R267" s="2"/>
      <c r="S267" s="2"/>
      <c r="T267" s="2"/>
      <c r="U267" s="2"/>
      <c r="V267" s="2"/>
      <c r="W267" s="2"/>
      <c r="X267" s="2"/>
      <c r="Y267" s="2"/>
    </row>
    <row r="268">
      <c r="A268" s="30">
        <f>IFERROR(__xludf.DUMMYFUNCTION("""COMPUTED_VALUE"""),265.0)</f>
        <v>265</v>
      </c>
      <c r="B268" s="39">
        <f>IFERROR(__xludf.DUMMYFUNCTION("""COMPUTED_VALUE"""),45979.0)</f>
        <v>45979</v>
      </c>
      <c r="C268" s="30">
        <f>IFERROR(__xludf.DUMMYFUNCTION("""COMPUTED_VALUE"""),1.0)</f>
        <v>1</v>
      </c>
      <c r="D268" s="30" t="str">
        <f>IFERROR(__xludf.DUMMYFUNCTION("""COMPUTED_VALUE"""),"CT MỚI")</f>
        <v>CT MỚI</v>
      </c>
      <c r="E268" s="30"/>
      <c r="F268" s="2"/>
      <c r="G268" s="2" t="str">
        <f>IFERROR(__xludf.DUMMYFUNCTION("""COMPUTED_VALUE"""),"HH4383")</f>
        <v>HH4383</v>
      </c>
      <c r="H268" s="2" t="str">
        <f>IFERROR(__xludf.DUMMYFUNCTION("""COMPUTED_VALUE"""),"GC - IV - 4383 - Cty Sen Hồng (A.Diễn) - CỨNG CÂY 4.0 (Nước nâu đen) - 400ml - 30")</f>
        <v>GC - IV - 4383 - Cty Sen Hồng (A.Diễn) - CỨNG CÂY 4.0 (Nước nâu đen) - 400ml - 30</v>
      </c>
      <c r="I268" s="2" t="str">
        <f>IFERROR(__xludf.DUMMYFUNCTION("""COMPUTED_VALUE"""),"#N/A")</f>
        <v>#N/A</v>
      </c>
      <c r="J268" s="2" t="str">
        <f>IFERROR(__xludf.DUMMYFUNCTION("""COMPUTED_VALUE"""),"Cùng ruột HH2231")</f>
        <v>Cùng ruột HH2231</v>
      </c>
      <c r="K268" s="2"/>
      <c r="L268" s="2"/>
      <c r="M268" s="2" t="str">
        <f>IFERROR(__xludf.DUMMYFUNCTION("""COMPUTED_VALUE"""),"NANO 4.0 SIÊU CỨNG CÂY")</f>
        <v>NANO 4.0 SIÊU CỨNG CÂY</v>
      </c>
      <c r="N268" s="2" t="str">
        <f>IFERROR(__xludf.DUMMYFUNCTION("""COMPUTED_VALUE"""),"02CC0004V1")</f>
        <v>02CC0004V1</v>
      </c>
      <c r="O268" s="2" t="str">
        <f>IFERROR(__xludf.DUMMYFUNCTION("""COMPUTED_VALUE"""),"Phân bón Vi lượng Quantity New")</f>
        <v>Phân bón Vi lượng Quantity New</v>
      </c>
      <c r="P268" s="2" t="str">
        <f>IFERROR(__xludf.DUMMYFUNCTION("""COMPUTED_VALUE"""),"#N/A")</f>
        <v>#N/A</v>
      </c>
      <c r="Q268" s="30" t="str">
        <f>IFERROR(__xludf.DUMMYFUNCTION("""COMPUTED_VALUE"""),"KHÔNG KHỚP")</f>
        <v>KHÔNG KHỚP</v>
      </c>
      <c r="R268" s="2"/>
      <c r="S268" s="2"/>
      <c r="T268" s="2"/>
      <c r="U268" s="2"/>
      <c r="V268" s="2"/>
      <c r="W268" s="2"/>
      <c r="X268" s="2"/>
      <c r="Y268" s="2"/>
    </row>
    <row r="269">
      <c r="A269" s="30">
        <f>IFERROR(__xludf.DUMMYFUNCTION("""COMPUTED_VALUE"""),266.0)</f>
        <v>266</v>
      </c>
      <c r="B269" s="39">
        <f>IFERROR(__xludf.DUMMYFUNCTION("""COMPUTED_VALUE"""),45908.0)</f>
        <v>45908</v>
      </c>
      <c r="C269" s="30">
        <f>IFERROR(__xludf.DUMMYFUNCTION("""COMPUTED_VALUE"""),2.0)</f>
        <v>2</v>
      </c>
      <c r="D269" s="30" t="str">
        <f>IFERROR(__xludf.DUMMYFUNCTION("""COMPUTED_VALUE"""),"CT CŨ")</f>
        <v>CT CŨ</v>
      </c>
      <c r="E269" s="30"/>
      <c r="F269" s="2"/>
      <c r="G269" s="2" t="str">
        <f>IFERROR(__xludf.DUMMYFUNCTION("""COMPUTED_VALUE"""),"HH4209")</f>
        <v>HH4209</v>
      </c>
      <c r="H269" s="2" t="str">
        <f>IFERROR(__xludf.DUMMYFUNCTION("""COMPUTED_VALUE"""),"GC - IV - 4209 - Cty Quang Đăng Agriculture - KÍCH RỄ NỞ BỤI + (Nước nâu đen) - 1L - 20")</f>
        <v>GC - IV - 4209 - Cty Quang Đăng Agriculture - KÍCH RỄ NỞ BỤI + (Nước nâu đen) - 1L - 20</v>
      </c>
      <c r="I269" s="2" t="str">
        <f>IFERROR(__xludf.DUMMYFUNCTION("""COMPUTED_VALUE"""),"#N/A")</f>
        <v>#N/A</v>
      </c>
      <c r="J269" s="2" t="str">
        <f>IFERROR(__xludf.DUMMYFUNCTION("""COMPUTED_VALUE"""),"A20280225")</f>
        <v>A20280225</v>
      </c>
      <c r="K269" s="2"/>
      <c r="L269" s="2" t="str">
        <f>IFERROR(__xludf.DUMMYFUNCTION("""COMPUTED_VALUE"""),"A20280225")</f>
        <v>A20280225</v>
      </c>
      <c r="M269" s="2" t="str">
        <f>IFERROR(__xludf.DUMMYFUNCTION("""COMPUTED_VALUE"""),"BETA VUA RỄ")</f>
        <v>BETA VUA RỄ</v>
      </c>
      <c r="N269" s="2" t="str">
        <f>IFERROR(__xludf.DUMMYFUNCTION("""COMPUTED_VALUE"""),"01RR0050")</f>
        <v>01RR0050</v>
      </c>
      <c r="O269" s="2" t="str">
        <f>IFERROR(__xludf.DUMMYFUNCTION("""COMPUTED_VALUE"""),"Phân bón Hỗn hợp NP AGAMA-AP")</f>
        <v>Phân bón Hỗn hợp NP AGAMA-AP</v>
      </c>
      <c r="P269" s="2" t="str">
        <f>IFERROR(__xludf.DUMMYFUNCTION("""COMPUTED_VALUE"""),"#N/A")</f>
        <v>#N/A</v>
      </c>
      <c r="Q269" s="30" t="str">
        <f>IFERROR(__xludf.DUMMYFUNCTION("""COMPUTED_VALUE"""),"KHÔNG KHỚP")</f>
        <v>KHÔNG KHỚP</v>
      </c>
      <c r="R269" s="2"/>
      <c r="S269" s="2"/>
      <c r="T269" s="2"/>
      <c r="U269" s="2"/>
      <c r="V269" s="2"/>
      <c r="W269" s="2"/>
      <c r="X269" s="2"/>
      <c r="Y269" s="2"/>
    </row>
    <row r="270">
      <c r="A270" s="30">
        <f>IFERROR(__xludf.DUMMYFUNCTION("""COMPUTED_VALUE"""),267.0)</f>
        <v>267</v>
      </c>
      <c r="B270" s="39">
        <f>IFERROR(__xludf.DUMMYFUNCTION("""COMPUTED_VALUE"""),45923.0)</f>
        <v>45923</v>
      </c>
      <c r="C270" s="30">
        <f>IFERROR(__xludf.DUMMYFUNCTION("""COMPUTED_VALUE"""),2.0)</f>
        <v>2</v>
      </c>
      <c r="D270" s="30" t="str">
        <f>IFERROR(__xludf.DUMMYFUNCTION("""COMPUTED_VALUE"""),"CT CŨ")</f>
        <v>CT CŨ</v>
      </c>
      <c r="E270" s="30"/>
      <c r="F270" s="2"/>
      <c r="G270" s="2" t="str">
        <f>IFERROR(__xludf.DUMMYFUNCTION("""COMPUTED_VALUE"""),"HH4125")</f>
        <v>HH4125</v>
      </c>
      <c r="H270" s="2" t="str">
        <f>IFERROR(__xludf.DUMMYFUNCTION("""COMPUTED_VALUE"""),"GC - IV - 4125 - Cty Quang Đăng Agriculture - ĐL LÂM THANH TRÍ - QĐ-PHOSKA (Nước xanh dương nhạt) - 500ml - 40")</f>
        <v>GC - IV - 4125 - Cty Quang Đăng Agriculture - ĐL LÂM THANH TRÍ - QĐ-PHOSKA (Nước xanh dương nhạt) - 500ml - 40</v>
      </c>
      <c r="I270" s="2" t="str">
        <f>IFERROR(__xludf.DUMMYFUNCTION("""COMPUTED_VALUE"""),"#N/A")</f>
        <v>#N/A</v>
      </c>
      <c r="J270" s="2" t="str">
        <f>IFERROR(__xludf.DUMMYFUNCTION("""COMPUTED_VALUE"""),"A03160925")</f>
        <v>A03160925</v>
      </c>
      <c r="K270" s="2"/>
      <c r="L270" s="2" t="str">
        <f>IFERROR(__xludf.DUMMYFUNCTION("""COMPUTED_VALUE"""),"A03160925 ")</f>
        <v>A03160925 </v>
      </c>
      <c r="M270" s="2" t="str">
        <f>IFERROR(__xludf.DUMMYFUNCTION("""COMPUTED_VALUE"""),"LÂN 2 CHIỀU  - 01")</f>
        <v>LÂN 2 CHIỀU  - 01</v>
      </c>
      <c r="N270" s="2" t="str">
        <f>IFERROR(__xludf.DUMMYFUNCTION("""COMPUTED_VALUE"""),"08TM0025")</f>
        <v>08TM0025</v>
      </c>
      <c r="O270" s="2" t="str">
        <f>IFERROR(__xludf.DUMMYFUNCTION("""COMPUTED_VALUE"""),"Phân bón lá hỗn hợp PK AGRI FOS AB")</f>
        <v>Phân bón lá hỗn hợp PK AGRI FOS AB</v>
      </c>
      <c r="P270" s="2" t="str">
        <f>IFERROR(__xludf.DUMMYFUNCTION("""COMPUTED_VALUE"""),"#N/A")</f>
        <v>#N/A</v>
      </c>
      <c r="Q270" s="30" t="str">
        <f>IFERROR(__xludf.DUMMYFUNCTION("""COMPUTED_VALUE"""),"KHÔNG KHỚP")</f>
        <v>KHÔNG KHỚP</v>
      </c>
      <c r="R270" s="2"/>
      <c r="S270" s="2"/>
      <c r="T270" s="2"/>
      <c r="U270" s="2"/>
      <c r="V270" s="2"/>
      <c r="W270" s="2"/>
      <c r="X270" s="2"/>
      <c r="Y270" s="2"/>
    </row>
    <row r="271">
      <c r="A271" s="30">
        <f>IFERROR(__xludf.DUMMYFUNCTION("""COMPUTED_VALUE"""),268.0)</f>
        <v>268</v>
      </c>
      <c r="B271" s="39">
        <f>IFERROR(__xludf.DUMMYFUNCTION("""COMPUTED_VALUE"""),45908.0)</f>
        <v>45908</v>
      </c>
      <c r="C271" s="30">
        <f>IFERROR(__xludf.DUMMYFUNCTION("""COMPUTED_VALUE"""),1.0)</f>
        <v>1</v>
      </c>
      <c r="D271" s="30" t="str">
        <f>IFERROR(__xludf.DUMMYFUNCTION("""COMPUTED_VALUE"""),"CT CŨ")</f>
        <v>CT CŨ</v>
      </c>
      <c r="E271" s="30"/>
      <c r="F271" s="2"/>
      <c r="G271" s="2" t="str">
        <f>IFERROR(__xludf.DUMMYFUNCTION("""COMPUTED_VALUE"""),"HH4350")</f>
        <v>HH4350</v>
      </c>
      <c r="H271" s="2" t="str">
        <f>IFERROR(__xludf.DUMMYFUNCTION("""COMPUTED_VALUE"""),"GC ABA - CTY NAUY - Hỗn Hợp NP AGAMA-AP - TỐT RỄ - 500ml - 40")</f>
        <v>GC ABA - CTY NAUY - Hỗn Hợp NP AGAMA-AP - TỐT RỄ - 500ml - 40</v>
      </c>
      <c r="I271" s="2" t="str">
        <f>IFERROR(__xludf.DUMMYFUNCTION("""COMPUTED_VALUE"""),"#N/A")</f>
        <v>#N/A</v>
      </c>
      <c r="J271" s="2" t="str">
        <f>IFERROR(__xludf.DUMMYFUNCTION("""COMPUTED_VALUE"""),"A20280225 cùng ruột 4213")</f>
        <v>A20280225 cùng ruột 4213</v>
      </c>
      <c r="K271" s="2"/>
      <c r="L271" s="2" t="str">
        <f>IFERROR(__xludf.DUMMYFUNCTION("""COMPUTED_VALUE"""),"A20280225")</f>
        <v>A20280225</v>
      </c>
      <c r="M271" s="2" t="str">
        <f>IFERROR(__xludf.DUMMYFUNCTION("""COMPUTED_VALUE"""),"BETA VUA RỄ")</f>
        <v>BETA VUA RỄ</v>
      </c>
      <c r="N271" s="2" t="str">
        <f>IFERROR(__xludf.DUMMYFUNCTION("""COMPUTED_VALUE"""),"01RR0050")</f>
        <v>01RR0050</v>
      </c>
      <c r="O271" s="2" t="str">
        <f>IFERROR(__xludf.DUMMYFUNCTION("""COMPUTED_VALUE"""),"Phân bón Hỗn hợp NP AGAMA-AP")</f>
        <v>Phân bón Hỗn hợp NP AGAMA-AP</v>
      </c>
      <c r="P271" s="2" t="str">
        <f>IFERROR(__xludf.DUMMYFUNCTION("""COMPUTED_VALUE"""),"#N/A")</f>
        <v>#N/A</v>
      </c>
      <c r="Q271" s="30" t="str">
        <f>IFERROR(__xludf.DUMMYFUNCTION("""COMPUTED_VALUE"""),"KHÔNG KHỚP")</f>
        <v>KHÔNG KHỚP</v>
      </c>
      <c r="R271" s="2"/>
      <c r="S271" s="2"/>
      <c r="T271" s="2"/>
      <c r="U271" s="2"/>
      <c r="V271" s="2"/>
      <c r="W271" s="2"/>
      <c r="X271" s="2"/>
      <c r="Y271" s="2"/>
    </row>
    <row r="272">
      <c r="A272" s="30">
        <f>IFERROR(__xludf.DUMMYFUNCTION("""COMPUTED_VALUE"""),269.0)</f>
        <v>269</v>
      </c>
      <c r="B272" s="39">
        <f>IFERROR(__xludf.DUMMYFUNCTION("""COMPUTED_VALUE"""),45983.0)</f>
        <v>45983</v>
      </c>
      <c r="C272" s="30">
        <f>IFERROR(__xludf.DUMMYFUNCTION("""COMPUTED_VALUE"""),1.0)</f>
        <v>1</v>
      </c>
      <c r="D272" s="30" t="str">
        <f>IFERROR(__xludf.DUMMYFUNCTION("""COMPUTED_VALUE"""),"CT MỚI")</f>
        <v>CT MỚI</v>
      </c>
      <c r="E272" s="30"/>
      <c r="F272" s="2"/>
      <c r="G272" s="2" t="str">
        <f>IFERROR(__xludf.DUMMYFUNCTION("""COMPUTED_VALUE"""),"HH4354")</f>
        <v>HH4354</v>
      </c>
      <c r="H272" s="2" t="str">
        <f>IFERROR(__xludf.DUMMYFUNCTION("""COMPUTED_VALUE"""),"GC ABA - CTY NAUY - Hữu Cơ Organic ĐGP 01 - KALI NAUY - 500ml - 40")</f>
        <v>GC ABA - CTY NAUY - Hữu Cơ Organic ĐGP 01 - KALI NAUY - 500ml - 40</v>
      </c>
      <c r="I272" s="2" t="str">
        <f>IFERROR(__xludf.DUMMYFUNCTION("""COMPUTED_VALUE"""),"#N/A")</f>
        <v>#N/A</v>
      </c>
      <c r="J272" s="2" t="str">
        <f>IFERROR(__xludf.DUMMYFUNCTION("""COMPUTED_VALUE"""),"A02181025")</f>
        <v>A02181025</v>
      </c>
      <c r="K272" s="2"/>
      <c r="L272" s="2" t="str">
        <f>IFERROR(__xludf.DUMMYFUNCTION("""COMPUTED_VALUE"""),"A02181025")</f>
        <v>A02181025</v>
      </c>
      <c r="M272" s="2" t="str">
        <f>IFERROR(__xludf.DUMMYFUNCTION("""COMPUTED_VALUE"""),"VÔ GẠO 03 - NAUY")</f>
        <v>VÔ GẠO 03 - NAUY</v>
      </c>
      <c r="N272" s="2" t="str">
        <f>IFERROR(__xludf.DUMMYFUNCTION("""COMPUTED_VALUE"""),"04VG0043")</f>
        <v>04VG0043</v>
      </c>
      <c r="O272" s="2" t="str">
        <f>IFERROR(__xludf.DUMMYFUNCTION("""COMPUTED_VALUE"""),"Phân bón Hữu cơ ORGANIC ĐGP 01 ")</f>
        <v>Phân bón Hữu cơ ORGANIC ĐGP 01 </v>
      </c>
      <c r="P272" s="2" t="str">
        <f>IFERROR(__xludf.DUMMYFUNCTION("""COMPUTED_VALUE"""),"#N/A")</f>
        <v>#N/A</v>
      </c>
      <c r="Q272" s="30" t="str">
        <f>IFERROR(__xludf.DUMMYFUNCTION("""COMPUTED_VALUE"""),"KHÔNG KHỚP")</f>
        <v>KHÔNG KHỚP</v>
      </c>
      <c r="R272" s="2"/>
      <c r="S272" s="2"/>
      <c r="T272" s="2"/>
      <c r="U272" s="2"/>
      <c r="V272" s="2"/>
      <c r="W272" s="2"/>
      <c r="X272" s="2"/>
      <c r="Y272" s="2"/>
    </row>
    <row r="273">
      <c r="A273" s="30">
        <f>IFERROR(__xludf.DUMMYFUNCTION("""COMPUTED_VALUE"""),270.0)</f>
        <v>270</v>
      </c>
      <c r="B273" s="39">
        <f>IFERROR(__xludf.DUMMYFUNCTION("""COMPUTED_VALUE"""),45980.0)</f>
        <v>45980</v>
      </c>
      <c r="C273" s="30">
        <f>IFERROR(__xludf.DUMMYFUNCTION("""COMPUTED_VALUE"""),1.0)</f>
        <v>1</v>
      </c>
      <c r="D273" s="30" t="str">
        <f>IFERROR(__xludf.DUMMYFUNCTION("""COMPUTED_VALUE"""),"CT MỚI")</f>
        <v>CT MỚI</v>
      </c>
      <c r="E273" s="30"/>
      <c r="F273" s="2"/>
      <c r="G273" s="2" t="str">
        <f>IFERROR(__xludf.DUMMYFUNCTION("""COMPUTED_VALUE"""),"HH4207")</f>
        <v>HH4207</v>
      </c>
      <c r="H273" s="2" t="str">
        <f>IFERROR(__xludf.DUMMYFUNCTION("""COMPUTED_VALUE"""),"GC - IV - 4207 - Cty Quang Đăng Agriculture - NUÔI ĐÒNG TRỔ THOÁT + (Nước nâu đen) - 1L - 20")</f>
        <v>GC - IV - 4207 - Cty Quang Đăng Agriculture - NUÔI ĐÒNG TRỔ THOÁT + (Nước nâu đen) - 1L - 20</v>
      </c>
      <c r="I273" s="2" t="str">
        <f>IFERROR(__xludf.DUMMYFUNCTION("""COMPUTED_VALUE"""),"#N/A")</f>
        <v>#N/A</v>
      </c>
      <c r="J273" s="2" t="str">
        <f>IFERROR(__xludf.DUMMYFUNCTION("""COMPUTED_VALUE"""),"A06230425")</f>
        <v>A06230425</v>
      </c>
      <c r="K273" s="2"/>
      <c r="L273" s="2" t="str">
        <f>IFERROR(__xludf.DUMMYFUNCTION("""COMPUTED_VALUE"""),"A06230425")</f>
        <v>A06230425</v>
      </c>
      <c r="M273" s="2" t="str">
        <f>IFERROR(__xludf.DUMMYFUNCTION("""COMPUTED_VALUE"""),"NUÔI ĐÒNG TRỔ THOÁT")</f>
        <v>NUÔI ĐÒNG TRỔ THOÁT</v>
      </c>
      <c r="N273" s="2" t="str">
        <f>IFERROR(__xludf.DUMMYFUNCTION("""COMPUTED_VALUE"""),"03DD0008V2")</f>
        <v>03DD0008V2</v>
      </c>
      <c r="O273" s="2" t="str">
        <f>IFERROR(__xludf.DUMMYFUNCTION("""COMPUTED_VALUE"""),"Phân bón Vi lượng HELP FARMER_3")</f>
        <v>Phân bón Vi lượng HELP FARMER_3</v>
      </c>
      <c r="P273" s="2" t="str">
        <f>IFERROR(__xludf.DUMMYFUNCTION("""COMPUTED_VALUE"""),"#N/A")</f>
        <v>#N/A</v>
      </c>
      <c r="Q273" s="30" t="str">
        <f>IFERROR(__xludf.DUMMYFUNCTION("""COMPUTED_VALUE"""),"KHÔNG KHỚP")</f>
        <v>KHÔNG KHỚP</v>
      </c>
      <c r="R273" s="2"/>
      <c r="S273" s="2"/>
      <c r="T273" s="2"/>
      <c r="U273" s="2"/>
      <c r="V273" s="2"/>
      <c r="W273" s="2"/>
      <c r="X273" s="2"/>
      <c r="Y273" s="2"/>
    </row>
    <row r="274">
      <c r="A274" s="30">
        <f>IFERROR(__xludf.DUMMYFUNCTION("""COMPUTED_VALUE"""),271.0)</f>
        <v>271</v>
      </c>
      <c r="B274" s="39">
        <f>IFERROR(__xludf.DUMMYFUNCTION("""COMPUTED_VALUE"""),45980.0)</f>
        <v>45980</v>
      </c>
      <c r="C274" s="30">
        <f>IFERROR(__xludf.DUMMYFUNCTION("""COMPUTED_VALUE"""),1.0)</f>
        <v>1</v>
      </c>
      <c r="D274" s="30" t="str">
        <f>IFERROR(__xludf.DUMMYFUNCTION("""COMPUTED_VALUE"""),"CT MỚI")</f>
        <v>CT MỚI</v>
      </c>
      <c r="E274" s="30"/>
      <c r="F274" s="2"/>
      <c r="G274" s="2" t="str">
        <f>IFERROR(__xludf.DUMMYFUNCTION("""COMPUTED_VALUE"""),"HH4208")</f>
        <v>HH4208</v>
      </c>
      <c r="H274" s="2" t="str">
        <f>IFERROR(__xludf.DUMMYFUNCTION("""COMPUTED_VALUE"""),"GC - IV - 4208 - Cty Quang Đăng Agriculture - SUPER VÔ GẠO + (Nước vàng cam) - 1L - 20")</f>
        <v>GC - IV - 4208 - Cty Quang Đăng Agriculture - SUPER VÔ GẠO + (Nước vàng cam) - 1L - 20</v>
      </c>
      <c r="I274" s="2" t="str">
        <f>IFERROR(__xludf.DUMMYFUNCTION("""COMPUTED_VALUE"""),"#N/A")</f>
        <v>#N/A</v>
      </c>
      <c r="J274" s="2" t="str">
        <f>IFERROR(__xludf.DUMMYFUNCTION("""COMPUTED_VALUE"""),"Cùng ruột 2882")</f>
        <v>Cùng ruột 2882</v>
      </c>
      <c r="K274" s="2"/>
      <c r="L274" s="2" t="str">
        <f>IFERROR(__xludf.DUMMYFUNCTION("""COMPUTED_VALUE"""),"SỬ DỤNG BTP TỒN")</f>
        <v>SỬ DỤNG BTP TỒN</v>
      </c>
      <c r="M274" s="2" t="str">
        <f>IFERROR(__xludf.DUMMYFUNCTION("""COMPUTED_VALUE"""),"SUPER VÔ GẠO")</f>
        <v>SUPER VÔ GẠO</v>
      </c>
      <c r="N274" s="2" t="str">
        <f>IFERROR(__xludf.DUMMYFUNCTION("""COMPUTED_VALUE"""),"04VG0019-1")</f>
        <v>04VG0019-1</v>
      </c>
      <c r="O274" s="2" t="str">
        <f>IFERROR(__xludf.DUMMYFUNCTION("""COMPUTED_VALUE"""),"Phân bón NPK-Vi lượng MASSIVE-BLUE")</f>
        <v>Phân bón NPK-Vi lượng MASSIVE-BLUE</v>
      </c>
      <c r="P274" s="2" t="str">
        <f>IFERROR(__xludf.DUMMYFUNCTION("""COMPUTED_VALUE"""),"#N/A")</f>
        <v>#N/A</v>
      </c>
      <c r="Q274" s="30" t="str">
        <f>IFERROR(__xludf.DUMMYFUNCTION("""COMPUTED_VALUE"""),"KHÔNG KHỚP")</f>
        <v>KHÔNG KHỚP</v>
      </c>
      <c r="R274" s="2"/>
      <c r="S274" s="2"/>
      <c r="T274" s="2"/>
      <c r="U274" s="2"/>
      <c r="V274" s="2"/>
      <c r="W274" s="2"/>
      <c r="X274" s="2"/>
      <c r="Y274" s="2"/>
    </row>
    <row r="275">
      <c r="A275" s="30">
        <f>IFERROR(__xludf.DUMMYFUNCTION("""COMPUTED_VALUE"""),272.0)</f>
        <v>272</v>
      </c>
      <c r="B275" s="39">
        <f>IFERROR(__xludf.DUMMYFUNCTION("""COMPUTED_VALUE"""),45946.0)</f>
        <v>45946</v>
      </c>
      <c r="C275" s="30">
        <f>IFERROR(__xludf.DUMMYFUNCTION("""COMPUTED_VALUE"""),5.0)</f>
        <v>5</v>
      </c>
      <c r="D275" s="30" t="str">
        <f>IFERROR(__xludf.DUMMYFUNCTION("""COMPUTED_VALUE"""),"CT CŨ")</f>
        <v>CT CŨ</v>
      </c>
      <c r="E275" s="30"/>
      <c r="F275" s="2"/>
      <c r="G275" s="2" t="str">
        <f>IFERROR(__xludf.DUMMYFUNCTION("""COMPUTED_VALUE"""),"HH4235")</f>
        <v>HH4235</v>
      </c>
      <c r="H275" s="2" t="str">
        <f>IFERROR(__xludf.DUMMYFUNCTION("""COMPUTED_VALUE"""),"GC - II - 4235 - LOT AGC (CAPY GLOBAL) - DR.STOP (Nước nâu đen) - 1L - 20")</f>
        <v>GC - II - 4235 - LOT AGC (CAPY GLOBAL) - DR.STOP (Nước nâu đen) - 1L - 20</v>
      </c>
      <c r="I275" s="39" t="str">
        <f>IFERROR(__xludf.DUMMYFUNCTION("""COMPUTED_VALUE"""),"Vi lượng Quantity New")</f>
        <v>Vi lượng Quantity New</v>
      </c>
      <c r="J275" s="2" t="str">
        <f>IFERROR(__xludf.DUMMYFUNCTION("""COMPUTED_VALUE"""),"Cùng ruột HH4155")</f>
        <v>Cùng ruột HH4155</v>
      </c>
      <c r="K275" s="2"/>
      <c r="L275" s="2" t="str">
        <f>IFERROR(__xludf.DUMMYFUNCTION("""COMPUTED_VALUE"""),"CHẶN ĐỌT DÒNG V1")</f>
        <v>CHẶN ĐỌT DÒNG V1</v>
      </c>
      <c r="M275" s="2" t="str">
        <f>IFERROR(__xludf.DUMMYFUNCTION("""COMPUTED_VALUE"""),"KODO STOP
DR.STOP
DR.H2")</f>
        <v>KODO STOP
DR.STOP
DR.H2</v>
      </c>
      <c r="N275" s="2" t="str">
        <f>IFERROR(__xludf.DUMMYFUNCTION("""COMPUTED_VALUE"""),"06CD0006V1")</f>
        <v>06CD0006V1</v>
      </c>
      <c r="O275" s="2" t="str">
        <f>IFERROR(__xludf.DUMMYFUNCTION("""COMPUTED_VALUE"""),"Phân bón Vi lượng Quantity New")</f>
        <v>Phân bón Vi lượng Quantity New</v>
      </c>
      <c r="P275" s="2" t="str">
        <f>IFERROR(__xludf.DUMMYFUNCTION("""COMPUTED_VALUE"""),"Phân bón Vi lượng Quantity New")</f>
        <v>Phân bón Vi lượng Quantity New</v>
      </c>
      <c r="Q275" s="30" t="str">
        <f>IFERROR(__xludf.DUMMYFUNCTION("""COMPUTED_VALUE"""),"KHỚP")</f>
        <v>KHỚP</v>
      </c>
      <c r="R275" s="2"/>
      <c r="S275" s="2"/>
      <c r="T275" s="2"/>
      <c r="U275" s="2"/>
      <c r="V275" s="2"/>
      <c r="W275" s="2"/>
      <c r="X275" s="2"/>
      <c r="Y275" s="2"/>
    </row>
    <row r="276">
      <c r="A276" s="30">
        <f>IFERROR(__xludf.DUMMYFUNCTION("""COMPUTED_VALUE"""),273.0)</f>
        <v>273</v>
      </c>
      <c r="B276" s="39">
        <f>IFERROR(__xludf.DUMMYFUNCTION("""COMPUTED_VALUE"""),45983.0)</f>
        <v>45983</v>
      </c>
      <c r="C276" s="30">
        <f>IFERROR(__xludf.DUMMYFUNCTION("""COMPUTED_VALUE"""),1.0)</f>
        <v>1</v>
      </c>
      <c r="D276" s="30" t="str">
        <f>IFERROR(__xludf.DUMMYFUNCTION("""COMPUTED_VALUE"""),"CT CŨ")</f>
        <v>CT CŨ</v>
      </c>
      <c r="E276" s="30"/>
      <c r="F276" s="2"/>
      <c r="G276" s="2" t="str">
        <f>IFERROR(__xludf.DUMMYFUNCTION("""COMPUTED_VALUE"""),"HH4390")</f>
        <v>HH4390</v>
      </c>
      <c r="H276" s="2" t="str">
        <f>IFERROR(__xludf.DUMMYFUNCTION("""COMPUTED_VALUE"""),"GC - II - 4390 - GC.NANOFISH - STOP 25 (nước nâu đen) - 1L - 20")</f>
        <v>GC - II - 4390 - GC.NANOFISH - STOP 25 (nước nâu đen) - 1L - 20</v>
      </c>
      <c r="I276" s="2" t="str">
        <f>IFERROR(__xludf.DUMMYFUNCTION("""COMPUTED_VALUE"""),"#N/A")</f>
        <v>#N/A</v>
      </c>
      <c r="J276" s="2" t="str">
        <f>IFERROR(__xludf.DUMMYFUNCTION("""COMPUTED_VALUE"""),"06CD0007 CHẶN ĐỌT DÒNG V3")</f>
        <v>06CD0007 CHẶN ĐỌT DÒNG V3</v>
      </c>
      <c r="K276" s="2"/>
      <c r="L276" s="2" t="str">
        <f>IFERROR(__xludf.DUMMYFUNCTION("""COMPUTED_VALUE"""),"CHẶN ĐỌT DÒNG V3")</f>
        <v>CHẶN ĐỌT DÒNG V3</v>
      </c>
      <c r="M276" s="2" t="str">
        <f>IFERROR(__xludf.DUMMYFUNCTION("""COMPUTED_VALUE"""),"KODO STOP
SIÊU CHẶN ĐỌT
STOP 25
UNI STOP
UNI STOP 25")</f>
        <v>KODO STOP
SIÊU CHẶN ĐỌT
STOP 25
UNI STOP
UNI STOP 25</v>
      </c>
      <c r="N276" s="2" t="str">
        <f>IFERROR(__xludf.DUMMYFUNCTION("""COMPUTED_VALUE"""),"06CD0007V1")</f>
        <v>06CD0007V1</v>
      </c>
      <c r="O276" s="2" t="str">
        <f>IFERROR(__xludf.DUMMYFUNCTION("""COMPUTED_VALUE"""),"Phân bón Vi lượng Quantity New")</f>
        <v>Phân bón Vi lượng Quantity New</v>
      </c>
      <c r="P276" s="2" t="str">
        <f>IFERROR(__xludf.DUMMYFUNCTION("""COMPUTED_VALUE"""),"#N/A")</f>
        <v>#N/A</v>
      </c>
      <c r="Q276" s="30" t="str">
        <f>IFERROR(__xludf.DUMMYFUNCTION("""COMPUTED_VALUE"""),"KHÔNG KHỚP")</f>
        <v>KHÔNG KHỚP</v>
      </c>
      <c r="R276" s="2"/>
      <c r="S276" s="2"/>
      <c r="T276" s="2"/>
      <c r="U276" s="2"/>
      <c r="V276" s="2"/>
      <c r="W276" s="2"/>
      <c r="X276" s="2"/>
      <c r="Y276" s="2"/>
    </row>
    <row r="277">
      <c r="A277" s="30">
        <f>IFERROR(__xludf.DUMMYFUNCTION("""COMPUTED_VALUE"""),274.0)</f>
        <v>274</v>
      </c>
      <c r="B277" s="39">
        <f>IFERROR(__xludf.DUMMYFUNCTION("""COMPUTED_VALUE"""),45981.0)</f>
        <v>45981</v>
      </c>
      <c r="C277" s="30">
        <f>IFERROR(__xludf.DUMMYFUNCTION("""COMPUTED_VALUE"""),1.0)</f>
        <v>1</v>
      </c>
      <c r="D277" s="30" t="str">
        <f>IFERROR(__xludf.DUMMYFUNCTION("""COMPUTED_VALUE"""),"CT MỚI")</f>
        <v>CT MỚI</v>
      </c>
      <c r="E277" s="30"/>
      <c r="F277" s="2"/>
      <c r="G277" s="2" t="str">
        <f>IFERROR(__xludf.DUMMYFUNCTION("""COMPUTED_VALUE"""),"HH4318")</f>
        <v>HH4318</v>
      </c>
      <c r="H277" s="2" t="str">
        <f>IFERROR(__xludf.DUMMYFUNCTION("""COMPUTED_VALUE"""),"GC - IV - 4318 - CTY QUANG ĐĂNG AGRICULTURE - ROOTS GROW+ QĐ.SOLID (Nước nâu đen) - 500ml")</f>
        <v>GC - IV - 4318 - CTY QUANG ĐĂNG AGRICULTURE - ROOTS GROW+ QĐ.SOLID (Nước nâu đen) - 500ml</v>
      </c>
      <c r="I277" s="2" t="str">
        <f>IFERROR(__xludf.DUMMYFUNCTION("""COMPUTED_VALUE"""),"#N/A")</f>
        <v>#N/A</v>
      </c>
      <c r="J277" s="2" t="str">
        <f>IFERROR(__xludf.DUMMYFUNCTION("""COMPUTED_VALUE"""),"A04161024
Cùng ruột 3375")</f>
        <v>A04161024
Cùng ruột 3375</v>
      </c>
      <c r="K277" s="2"/>
      <c r="L277" s="2" t="str">
        <f>IFERROR(__xludf.DUMMYFUNCTION("""COMPUTED_VALUE"""),"A04161024")</f>
        <v>A04161024</v>
      </c>
      <c r="M277" s="2" t="str">
        <f>IFERROR(__xludf.DUMMYFUNCTION("""COMPUTED_VALUE"""),"VỌT ĐỌT-MẬP CHỒI
VỌT ĐỌT SUPER")</f>
        <v>VỌT ĐỌT-MẬP CHỒI
VỌT ĐỌT SUPER</v>
      </c>
      <c r="N277" s="2" t="str">
        <f>IFERROR(__xludf.DUMMYFUNCTION("""COMPUTED_VALUE"""),"19DD0024V1")</f>
        <v>19DD0024V1</v>
      </c>
      <c r="O277" s="2" t="str">
        <f>IFERROR(__xludf.DUMMYFUNCTION("""COMPUTED_VALUE"""),"Phân bón Vi lượng AGAMA-SUPPORT")</f>
        <v>Phân bón Vi lượng AGAMA-SUPPORT</v>
      </c>
      <c r="P277" s="2" t="str">
        <f>IFERROR(__xludf.DUMMYFUNCTION("""COMPUTED_VALUE"""),"#N/A")</f>
        <v>#N/A</v>
      </c>
      <c r="Q277" s="30" t="str">
        <f>IFERROR(__xludf.DUMMYFUNCTION("""COMPUTED_VALUE"""),"KHÔNG KHỚP")</f>
        <v>KHÔNG KHỚP</v>
      </c>
      <c r="R277" s="2"/>
      <c r="S277" s="2"/>
      <c r="T277" s="2"/>
      <c r="U277" s="2"/>
      <c r="V277" s="2"/>
      <c r="W277" s="2"/>
      <c r="X277" s="2"/>
      <c r="Y277" s="2"/>
    </row>
    <row r="278">
      <c r="A278" s="30">
        <f>IFERROR(__xludf.DUMMYFUNCTION("""COMPUTED_VALUE"""),275.0)</f>
        <v>275</v>
      </c>
      <c r="B278" s="39">
        <f>IFERROR(__xludf.DUMMYFUNCTION("""COMPUTED_VALUE"""),45983.0)</f>
        <v>45983</v>
      </c>
      <c r="C278" s="30">
        <f>IFERROR(__xludf.DUMMYFUNCTION("""COMPUTED_VALUE"""),4.0)</f>
        <v>4</v>
      </c>
      <c r="D278" s="30" t="str">
        <f>IFERROR(__xludf.DUMMYFUNCTION("""COMPUTED_VALUE"""),"CT XỬ LÝ LỖI")</f>
        <v>CT XỬ LÝ LỖI</v>
      </c>
      <c r="E278" s="30"/>
      <c r="F278" s="2"/>
      <c r="G278" s="2" t="str">
        <f>IFERROR(__xludf.DUMMYFUNCTION("""COMPUTED_VALUE"""),"HH3982")</f>
        <v>HH3982</v>
      </c>
      <c r="H278" s="2" t="str">
        <f>IFERROR(__xludf.DUMMYFUNCTION("""COMPUTED_VALUE"""),"DR.XANH - VIII - 3982 - ROBUST EXTRA (Gel nâu đen) - 500ml - 40")</f>
        <v>DR.XANH - VIII - 3982 - ROBUST EXTRA (Gel nâu đen) - 500ml - 40</v>
      </c>
      <c r="I278" s="2" t="str">
        <f>IFERROR(__xludf.DUMMYFUNCTION("""COMPUTED_VALUE"""),"#N/A")</f>
        <v>#N/A</v>
      </c>
      <c r="J278" s="2" t="str">
        <f>IFERROR(__xludf.DUMMYFUNCTION("""COMPUTED_VALUE"""),"Xử lý lại độ nhớt 
Lô 241025 
Date 13/10/2027")</f>
        <v>Xử lý lại độ nhớt 
Lô 241025 
Date 13/10/2027</v>
      </c>
      <c r="K278" s="2"/>
      <c r="L278" s="2" t="str">
        <f>IFERROR(__xludf.DUMMYFUNCTION("""COMPUTED_VALUE"""),"XỬ LÝ BTP LỖI")</f>
        <v>XỬ LÝ BTP LỖI</v>
      </c>
      <c r="M278" s="2" t="str">
        <f>IFERROR(__xludf.DUMMYFUNCTION("""COMPUTED_VALUE"""),"ROBUST EXTRA")</f>
        <v>ROBUST EXTRA</v>
      </c>
      <c r="N278" s="2" t="str">
        <f>IFERROR(__xludf.DUMMYFUNCTION("""COMPUTED_VALUE"""),"01RR0071V5-410925/241025/511025-1")</f>
        <v>01RR0071V5-410925/241025/511025-1</v>
      </c>
      <c r="O278" s="2" t="str">
        <f>IFERROR(__xludf.DUMMYFUNCTION("""COMPUTED_VALUE"""),"Phân bón hữu cơ ROOTS US90")</f>
        <v>Phân bón hữu cơ ROOTS US90</v>
      </c>
      <c r="P278" s="2" t="str">
        <f>IFERROR(__xludf.DUMMYFUNCTION("""COMPUTED_VALUE"""),"#N/A")</f>
        <v>#N/A</v>
      </c>
      <c r="Q278" s="30" t="str">
        <f>IFERROR(__xludf.DUMMYFUNCTION("""COMPUTED_VALUE"""),"KHÔNG KHỚP")</f>
        <v>KHÔNG KHỚP</v>
      </c>
      <c r="R278" s="2"/>
      <c r="S278" s="2"/>
      <c r="T278" s="2"/>
      <c r="U278" s="2"/>
      <c r="V278" s="2"/>
      <c r="W278" s="2"/>
      <c r="X278" s="2"/>
      <c r="Y278" s="2"/>
    </row>
    <row r="279">
      <c r="A279" s="30">
        <f>IFERROR(__xludf.DUMMYFUNCTION("""COMPUTED_VALUE"""),276.0)</f>
        <v>276</v>
      </c>
      <c r="B279" s="39">
        <f>IFERROR(__xludf.DUMMYFUNCTION("""COMPUTED_VALUE"""),45983.0)</f>
        <v>45983</v>
      </c>
      <c r="C279" s="30">
        <f>IFERROR(__xludf.DUMMYFUNCTION("""COMPUTED_VALUE"""),5.0)</f>
        <v>5</v>
      </c>
      <c r="D279" s="30" t="str">
        <f>IFERROR(__xludf.DUMMYFUNCTION("""COMPUTED_VALUE"""),"CT XỬ LÝ LỖI")</f>
        <v>CT XỬ LÝ LỖI</v>
      </c>
      <c r="E279" s="30"/>
      <c r="F279" s="2"/>
      <c r="G279" s="2" t="str">
        <f>IFERROR(__xludf.DUMMYFUNCTION("""COMPUTED_VALUE"""),"HH3983")</f>
        <v>HH3983</v>
      </c>
      <c r="H279" s="2" t="str">
        <f>IFERROR(__xludf.DUMMYFUNCTION("""COMPUTED_VALUE"""),"DR.XANH - VIII - 3983 - ROBUST EXTRA (Gel nâu đen) - 250ml - 40")</f>
        <v>DR.XANH - VIII - 3983 - ROBUST EXTRA (Gel nâu đen) - 250ml - 40</v>
      </c>
      <c r="I279" s="2" t="str">
        <f>IFERROR(__xludf.DUMMYFUNCTION("""COMPUTED_VALUE"""),"#N/A")</f>
        <v>#N/A</v>
      </c>
      <c r="J279" s="2" t="str">
        <f>IFERROR(__xludf.DUMMYFUNCTION("""COMPUTED_VALUE"""),"Xử lý lại độ nhớt 
Lô 410924 
Date 15/9/2027")</f>
        <v>Xử lý lại độ nhớt 
Lô 410924 
Date 15/9/2027</v>
      </c>
      <c r="K279" s="2"/>
      <c r="L279" s="2" t="str">
        <f>IFERROR(__xludf.DUMMYFUNCTION("""COMPUTED_VALUE"""),"XỬ LÝ BTP LỖI")</f>
        <v>XỬ LÝ BTP LỖI</v>
      </c>
      <c r="M279" s="2" t="str">
        <f>IFERROR(__xludf.DUMMYFUNCTION("""COMPUTED_VALUE"""),"ROBUST EXTRA")</f>
        <v>ROBUST EXTRA</v>
      </c>
      <c r="N279" s="2" t="str">
        <f>IFERROR(__xludf.DUMMYFUNCTION("""COMPUTED_VALUE"""),"01RR0071V5-410925/241025/511025-1")</f>
        <v>01RR0071V5-410925/241025/511025-1</v>
      </c>
      <c r="O279" s="2" t="str">
        <f>IFERROR(__xludf.DUMMYFUNCTION("""COMPUTED_VALUE"""),"Phân bón hữu cơ ROOTS US90")</f>
        <v>Phân bón hữu cơ ROOTS US90</v>
      </c>
      <c r="P279" s="2" t="str">
        <f>IFERROR(__xludf.DUMMYFUNCTION("""COMPUTED_VALUE"""),"#N/A")</f>
        <v>#N/A</v>
      </c>
      <c r="Q279" s="30" t="str">
        <f>IFERROR(__xludf.DUMMYFUNCTION("""COMPUTED_VALUE"""),"KHÔNG KHỚP")</f>
        <v>KHÔNG KHỚP</v>
      </c>
      <c r="R279" s="2"/>
      <c r="S279" s="2"/>
      <c r="T279" s="2"/>
      <c r="U279" s="2"/>
      <c r="V279" s="2"/>
      <c r="W279" s="2"/>
      <c r="X279" s="2"/>
      <c r="Y279" s="2"/>
    </row>
    <row r="280">
      <c r="A280" s="30">
        <f>IFERROR(__xludf.DUMMYFUNCTION("""COMPUTED_VALUE"""),277.0)</f>
        <v>277</v>
      </c>
      <c r="B280" s="39">
        <f>IFERROR(__xludf.DUMMYFUNCTION("""COMPUTED_VALUE"""),45983.0)</f>
        <v>45983</v>
      </c>
      <c r="C280" s="30">
        <f>IFERROR(__xludf.DUMMYFUNCTION("""COMPUTED_VALUE"""),6.0)</f>
        <v>6</v>
      </c>
      <c r="D280" s="30" t="str">
        <f>IFERROR(__xludf.DUMMYFUNCTION("""COMPUTED_VALUE"""),"CT XỬ LÝ LỖI")</f>
        <v>CT XỬ LÝ LỖI</v>
      </c>
      <c r="E280" s="30"/>
      <c r="F280" s="2"/>
      <c r="G280" s="2" t="str">
        <f>IFERROR(__xludf.DUMMYFUNCTION("""COMPUTED_VALUE"""),"HH3983")</f>
        <v>HH3983</v>
      </c>
      <c r="H280" s="2" t="str">
        <f>IFERROR(__xludf.DUMMYFUNCTION("""COMPUTED_VALUE"""),"DR.XANH - VIII - 3983 - ROBUST EXTRA (Gel nâu đen) - 250ml - 40")</f>
        <v>DR.XANH - VIII - 3983 - ROBUST EXTRA (Gel nâu đen) - 250ml - 40</v>
      </c>
      <c r="I280" s="2" t="str">
        <f>IFERROR(__xludf.DUMMYFUNCTION("""COMPUTED_VALUE"""),"#N/A")</f>
        <v>#N/A</v>
      </c>
      <c r="J280" s="2" t="str">
        <f>IFERROR(__xludf.DUMMYFUNCTION("""COMPUTED_VALUE"""),"Xử lý lại độ nhớt 
Lô 511025
Date 24/10/27")</f>
        <v>Xử lý lại độ nhớt 
Lô 511025
Date 24/10/27</v>
      </c>
      <c r="K280" s="2"/>
      <c r="L280" s="2" t="str">
        <f>IFERROR(__xludf.DUMMYFUNCTION("""COMPUTED_VALUE"""),"XỬ LÝ BTP LỖI")</f>
        <v>XỬ LÝ BTP LỖI</v>
      </c>
      <c r="M280" s="2" t="str">
        <f>IFERROR(__xludf.DUMMYFUNCTION("""COMPUTED_VALUE"""),"ROBUST EXTRA")</f>
        <v>ROBUST EXTRA</v>
      </c>
      <c r="N280" s="2" t="str">
        <f>IFERROR(__xludf.DUMMYFUNCTION("""COMPUTED_VALUE"""),"01RR0071V5-410925/241025/511025-1")</f>
        <v>01RR0071V5-410925/241025/511025-1</v>
      </c>
      <c r="O280" s="2" t="str">
        <f>IFERROR(__xludf.DUMMYFUNCTION("""COMPUTED_VALUE"""),"Phân bón hữu cơ ROOTS US90")</f>
        <v>Phân bón hữu cơ ROOTS US90</v>
      </c>
      <c r="P280" s="2" t="str">
        <f>IFERROR(__xludf.DUMMYFUNCTION("""COMPUTED_VALUE"""),"#N/A")</f>
        <v>#N/A</v>
      </c>
      <c r="Q280" s="30" t="str">
        <f>IFERROR(__xludf.DUMMYFUNCTION("""COMPUTED_VALUE"""),"KHÔNG KHỚP")</f>
        <v>KHÔNG KHỚP</v>
      </c>
      <c r="R280" s="2"/>
      <c r="S280" s="2"/>
      <c r="T280" s="2"/>
      <c r="U280" s="2"/>
      <c r="V280" s="2"/>
      <c r="W280" s="2"/>
      <c r="X280" s="2"/>
      <c r="Y280" s="2"/>
    </row>
    <row r="281">
      <c r="A281" s="30">
        <f>IFERROR(__xludf.DUMMYFUNCTION("""COMPUTED_VALUE"""),278.0)</f>
        <v>278</v>
      </c>
      <c r="B281" s="39">
        <f>IFERROR(__xludf.DUMMYFUNCTION("""COMPUTED_VALUE"""),45983.0)</f>
        <v>45983</v>
      </c>
      <c r="C281" s="30">
        <f>IFERROR(__xludf.DUMMYFUNCTION("""COMPUTED_VALUE"""),2.0)</f>
        <v>2</v>
      </c>
      <c r="D281" s="30" t="str">
        <f>IFERROR(__xludf.DUMMYFUNCTION("""COMPUTED_VALUE"""),"CT XỬ LÝ LỖI")</f>
        <v>CT XỬ LÝ LỖI</v>
      </c>
      <c r="E281" s="30"/>
      <c r="F281" s="2"/>
      <c r="G281" s="2" t="str">
        <f>IFERROR(__xludf.DUMMYFUNCTION("""COMPUTED_VALUE"""),"HH4206")</f>
        <v>HH4206</v>
      </c>
      <c r="H281" s="2" t="str">
        <f>IFERROR(__xludf.DUMMYFUNCTION("""COMPUTED_VALUE"""),"DR.XANH - VIII - 4206 - ROBUST EXTRA (Gel nâu đen) - 250ml - 40")</f>
        <v>DR.XANH - VIII - 4206 - ROBUST EXTRA (Gel nâu đen) - 250ml - 40</v>
      </c>
      <c r="I281" s="2" t="str">
        <f>IFERROR(__xludf.DUMMYFUNCTION("""COMPUTED_VALUE"""),"#N/A")</f>
        <v>#N/A</v>
      </c>
      <c r="J281" s="2" t="str">
        <f>IFERROR(__xludf.DUMMYFUNCTION("""COMPUTED_VALUE"""),"Xử lý lại độ nhớt 
Lô 511025
Date 30/10/27")</f>
        <v>Xử lý lại độ nhớt 
Lô 511025
Date 30/10/27</v>
      </c>
      <c r="K281" s="2"/>
      <c r="L281" s="2" t="str">
        <f>IFERROR(__xludf.DUMMYFUNCTION("""COMPUTED_VALUE"""),"XỬ LÝ BTP LỖI")</f>
        <v>XỬ LÝ BTP LỖI</v>
      </c>
      <c r="M281" s="2" t="str">
        <f>IFERROR(__xludf.DUMMYFUNCTION("""COMPUTED_VALUE"""),"ROBUST EXTRA")</f>
        <v>ROBUST EXTRA</v>
      </c>
      <c r="N281" s="2" t="str">
        <f>IFERROR(__xludf.DUMMYFUNCTION("""COMPUTED_VALUE"""),"01RR0071V5-410925/241025/511025-1")</f>
        <v>01RR0071V5-410925/241025/511025-1</v>
      </c>
      <c r="O281" s="2" t="str">
        <f>IFERROR(__xludf.DUMMYFUNCTION("""COMPUTED_VALUE"""),"Phân bón hữu cơ ROOTS US90")</f>
        <v>Phân bón hữu cơ ROOTS US90</v>
      </c>
      <c r="P281" s="2" t="str">
        <f>IFERROR(__xludf.DUMMYFUNCTION("""COMPUTED_VALUE"""),"#N/A")</f>
        <v>#N/A</v>
      </c>
      <c r="Q281" s="30" t="str">
        <f>IFERROR(__xludf.DUMMYFUNCTION("""COMPUTED_VALUE"""),"KHÔNG KHỚP")</f>
        <v>KHÔNG KHỚP</v>
      </c>
      <c r="R281" s="2"/>
      <c r="S281" s="2"/>
      <c r="T281" s="2"/>
      <c r="U281" s="2"/>
      <c r="V281" s="2"/>
      <c r="W281" s="2"/>
      <c r="X281" s="2"/>
      <c r="Y281" s="2"/>
    </row>
    <row r="282">
      <c r="A282" s="30">
        <f>IFERROR(__xludf.DUMMYFUNCTION("""COMPUTED_VALUE"""),279.0)</f>
        <v>279</v>
      </c>
      <c r="B282" s="39">
        <f>IFERROR(__xludf.DUMMYFUNCTION("""COMPUTED_VALUE"""),45982.0)</f>
        <v>45982</v>
      </c>
      <c r="C282" s="30">
        <f>IFERROR(__xludf.DUMMYFUNCTION("""COMPUTED_VALUE"""),1.0)</f>
        <v>1</v>
      </c>
      <c r="D282" s="30" t="str">
        <f>IFERROR(__xludf.DUMMYFUNCTION("""COMPUTED_VALUE"""),"CT XỬ LÝ LỖI")</f>
        <v>CT XỬ LÝ LỖI</v>
      </c>
      <c r="E282" s="30"/>
      <c r="F282" s="2"/>
      <c r="G282" s="2" t="str">
        <f>IFERROR(__xludf.DUMMYFUNCTION("""COMPUTED_VALUE"""),"HH4034")</f>
        <v>HH4034</v>
      </c>
      <c r="H282" s="2" t="str">
        <f>IFERROR(__xludf.DUMMYFUNCTION("""COMPUTED_VALUE"""),"DR.XANH - VIII - 4034 - ROBUST EXTRA (Gel nâu đen) - 500ml - 40")</f>
        <v>DR.XANH - VIII - 4034 - ROBUST EXTRA (Gel nâu đen) - 500ml - 40</v>
      </c>
      <c r="I282" s="2" t="str">
        <f>IFERROR(__xludf.DUMMYFUNCTION("""COMPUTED_VALUE"""),"#N/A")</f>
        <v>#N/A</v>
      </c>
      <c r="J282" s="2" t="str">
        <f>IFERROR(__xludf.DUMMYFUNCTION("""COMPUTED_VALUE"""),"Xử lý lại độ nhớt 
Lô 180825
Date 20/08/2027")</f>
        <v>Xử lý lại độ nhớt 
Lô 180825
Date 20/08/2027</v>
      </c>
      <c r="K282" s="2"/>
      <c r="L282" s="2" t="str">
        <f>IFERROR(__xludf.DUMMYFUNCTION("""COMPUTED_VALUE"""),"XỬ LÝ BTP LỖI")</f>
        <v>XỬ LÝ BTP LỖI</v>
      </c>
      <c r="M282" s="2" t="str">
        <f>IFERROR(__xludf.DUMMYFUNCTION("""COMPUTED_VALUE"""),"ROBUST EXTRA")</f>
        <v>ROBUST EXTRA</v>
      </c>
      <c r="N282" s="2" t="str">
        <f>IFERROR(__xludf.DUMMYFUNCTION("""COMPUTED_VALUE"""),"01RR0015V3-180825/420825-1")</f>
        <v>01RR0015V3-180825/420825-1</v>
      </c>
      <c r="O282" s="2" t="str">
        <f>IFERROR(__xludf.DUMMYFUNCTION("""COMPUTED_VALUE"""),"Phân bón Vi lượng Quantity New")</f>
        <v>Phân bón Vi lượng Quantity New</v>
      </c>
      <c r="P282" s="2" t="str">
        <f>IFERROR(__xludf.DUMMYFUNCTION("""COMPUTED_VALUE"""),"#N/A")</f>
        <v>#N/A</v>
      </c>
      <c r="Q282" s="30" t="str">
        <f>IFERROR(__xludf.DUMMYFUNCTION("""COMPUTED_VALUE"""),"KHÔNG KHỚP")</f>
        <v>KHÔNG KHỚP</v>
      </c>
      <c r="R282" s="2"/>
      <c r="S282" s="2"/>
      <c r="T282" s="2"/>
      <c r="U282" s="2"/>
      <c r="V282" s="2"/>
      <c r="W282" s="2"/>
      <c r="X282" s="2"/>
      <c r="Y282" s="2"/>
    </row>
    <row r="283">
      <c r="A283" s="30">
        <f>IFERROR(__xludf.DUMMYFUNCTION("""COMPUTED_VALUE"""),280.0)</f>
        <v>280</v>
      </c>
      <c r="B283" s="39">
        <f>IFERROR(__xludf.DUMMYFUNCTION("""COMPUTED_VALUE"""),45982.0)</f>
        <v>45982</v>
      </c>
      <c r="C283" s="30">
        <f>IFERROR(__xludf.DUMMYFUNCTION("""COMPUTED_VALUE"""),1.0)</f>
        <v>1</v>
      </c>
      <c r="D283" s="30" t="str">
        <f>IFERROR(__xludf.DUMMYFUNCTION("""COMPUTED_VALUE"""),"CT XỬ LÝ LỖI")</f>
        <v>CT XỬ LÝ LỖI</v>
      </c>
      <c r="E283" s="30"/>
      <c r="F283" s="2"/>
      <c r="G283" s="2" t="str">
        <f>IFERROR(__xludf.DUMMYFUNCTION("""COMPUTED_VALUE"""),"HH4033")</f>
        <v>HH4033</v>
      </c>
      <c r="H283" s="2" t="str">
        <f>IFERROR(__xludf.DUMMYFUNCTION("""COMPUTED_VALUE"""),"DR.XANH - VIII - 4033 - ROBUST EXTRA (Gel nâu đen) - 250ml - 40")</f>
        <v>DR.XANH - VIII - 4033 - ROBUST EXTRA (Gel nâu đen) - 250ml - 40</v>
      </c>
      <c r="I283" s="2" t="str">
        <f>IFERROR(__xludf.DUMMYFUNCTION("""COMPUTED_VALUE"""),"#N/A")</f>
        <v>#N/A</v>
      </c>
      <c r="J283" s="2" t="str">
        <f>IFERROR(__xludf.DUMMYFUNCTION("""COMPUTED_VALUE"""),"Xử lý lại độ nhớt 
Lô 420825
Date 21/08/2027")</f>
        <v>Xử lý lại độ nhớt 
Lô 420825
Date 21/08/2027</v>
      </c>
      <c r="K283" s="2"/>
      <c r="L283" s="2" t="str">
        <f>IFERROR(__xludf.DUMMYFUNCTION("""COMPUTED_VALUE"""),"XỬ LÝ BTP LỖI")</f>
        <v>XỬ LÝ BTP LỖI</v>
      </c>
      <c r="M283" s="2" t="str">
        <f>IFERROR(__xludf.DUMMYFUNCTION("""COMPUTED_VALUE"""),"ROBUST EXTRA")</f>
        <v>ROBUST EXTRA</v>
      </c>
      <c r="N283" s="2" t="str">
        <f>IFERROR(__xludf.DUMMYFUNCTION("""COMPUTED_VALUE"""),"01RR0015V3-180825/420825-1")</f>
        <v>01RR0015V3-180825/420825-1</v>
      </c>
      <c r="O283" s="2" t="str">
        <f>IFERROR(__xludf.DUMMYFUNCTION("""COMPUTED_VALUE"""),"Phân bón Vi lượng Quantity New")</f>
        <v>Phân bón Vi lượng Quantity New</v>
      </c>
      <c r="P283" s="2" t="str">
        <f>IFERROR(__xludf.DUMMYFUNCTION("""COMPUTED_VALUE"""),"#N/A")</f>
        <v>#N/A</v>
      </c>
      <c r="Q283" s="30" t="str">
        <f>IFERROR(__xludf.DUMMYFUNCTION("""COMPUTED_VALUE"""),"KHÔNG KHỚP")</f>
        <v>KHÔNG KHỚP</v>
      </c>
      <c r="R283" s="2"/>
      <c r="S283" s="2"/>
      <c r="T283" s="2"/>
      <c r="U283" s="2"/>
      <c r="V283" s="2"/>
      <c r="W283" s="2"/>
      <c r="X283" s="2"/>
      <c r="Y283" s="2"/>
    </row>
    <row r="284">
      <c r="A284" s="30">
        <f>IFERROR(__xludf.DUMMYFUNCTION("""COMPUTED_VALUE"""),281.0)</f>
        <v>281</v>
      </c>
      <c r="B284" s="39">
        <f>IFERROR(__xludf.DUMMYFUNCTION("""COMPUTED_VALUE"""),45986.0)</f>
        <v>45986</v>
      </c>
      <c r="C284" s="30">
        <f>IFERROR(__xludf.DUMMYFUNCTION("""COMPUTED_VALUE"""),1.0)</f>
        <v>1</v>
      </c>
      <c r="D284" s="30" t="str">
        <f>IFERROR(__xludf.DUMMYFUNCTION("""COMPUTED_VALUE"""),"CT MỚI")</f>
        <v>CT MỚI</v>
      </c>
      <c r="E284" s="30"/>
      <c r="F284" s="2"/>
      <c r="G284" s="2" t="str">
        <f>IFERROR(__xludf.DUMMYFUNCTION("""COMPUTED_VALUE"""),"HH4389")</f>
        <v>HH4389</v>
      </c>
      <c r="H284" s="2" t="str">
        <f>IFERROR(__xludf.DUMMYFUNCTION("""COMPUTED_VALUE"""),"GC ABA - CTY GNH - A THỜI - Hữu cơ SH Agro Organic Fertilizer 20 - SIÊU BUNG ĐỌT - 5L - 4")</f>
        <v>GC ABA - CTY GNH - A THỜI - Hữu cơ SH Agro Organic Fertilizer 20 - SIÊU BUNG ĐỌT - 5L - 4</v>
      </c>
      <c r="I284" s="2" t="str">
        <f>IFERROR(__xludf.DUMMYFUNCTION("""COMPUTED_VALUE"""),"#N/A")</f>
        <v>#N/A</v>
      </c>
      <c r="J284" s="2" t="str">
        <f>IFERROR(__xludf.DUMMYFUNCTION("""COMPUTED_VALUE"""),"A06260225")</f>
        <v>A06260225</v>
      </c>
      <c r="K284" s="2"/>
      <c r="L284" s="2" t="str">
        <f>IFERROR(__xludf.DUMMYFUNCTION("""COMPUTED_VALUE"""),"SỬ DỤNG BTP TỒN")</f>
        <v>SỬ DỤNG BTP TỒN</v>
      </c>
      <c r="M284" s="2" t="str">
        <f>IFERROR(__xludf.DUMMYFUNCTION("""COMPUTED_VALUE"""),"SIÊU BUNG ĐỌT")</f>
        <v>SIÊU BUNG ĐỌT</v>
      </c>
      <c r="N284" s="2" t="str">
        <f>IFERROR(__xludf.DUMMYFUNCTION("""COMPUTED_VALUE"""),"01RR0045-060325-1")</f>
        <v>01RR0045-060325-1</v>
      </c>
      <c r="O284" s="2" t="str">
        <f>IFERROR(__xludf.DUMMYFUNCTION("""COMPUTED_VALUE"""),"Phân bón Hữu cơ SH Agro Organic Fertilizer 20")</f>
        <v>Phân bón Hữu cơ SH Agro Organic Fertilizer 20</v>
      </c>
      <c r="P284" s="2" t="str">
        <f>IFERROR(__xludf.DUMMYFUNCTION("""COMPUTED_VALUE"""),"#N/A")</f>
        <v>#N/A</v>
      </c>
      <c r="Q284" s="30" t="str">
        <f>IFERROR(__xludf.DUMMYFUNCTION("""COMPUTED_VALUE"""),"KHÔNG KHỚP")</f>
        <v>KHÔNG KHỚP</v>
      </c>
      <c r="R284" s="2"/>
      <c r="S284" s="2"/>
      <c r="T284" s="2"/>
      <c r="U284" s="2"/>
      <c r="V284" s="2"/>
      <c r="W284" s="2"/>
      <c r="X284" s="2"/>
      <c r="Y284" s="2"/>
    </row>
    <row r="285">
      <c r="A285" s="30">
        <f>IFERROR(__xludf.DUMMYFUNCTION("""COMPUTED_VALUE"""),282.0)</f>
        <v>282</v>
      </c>
      <c r="B285" s="39">
        <f>IFERROR(__xludf.DUMMYFUNCTION("""COMPUTED_VALUE"""),45953.0)</f>
        <v>45953</v>
      </c>
      <c r="C285" s="30">
        <f>IFERROR(__xludf.DUMMYFUNCTION("""COMPUTED_VALUE"""),2.0)</f>
        <v>2</v>
      </c>
      <c r="D285" s="30" t="str">
        <f>IFERROR(__xludf.DUMMYFUNCTION("""COMPUTED_VALUE"""),"CT CŨ")</f>
        <v>CT CŨ</v>
      </c>
      <c r="E285" s="30"/>
      <c r="F285" s="2"/>
      <c r="G285" s="2" t="str">
        <f>IFERROR(__xludf.DUMMYFUNCTION("""COMPUTED_VALUE"""),"HH4267")</f>
        <v>HH4267</v>
      </c>
      <c r="H285" s="2" t="str">
        <f>IFERROR(__xludf.DUMMYFUNCTION("""COMPUTED_VALUE"""),"GC - IV - 4267 - CSSX An Khang (A.Dinh) - TAK06 (Gel nâu đen) - 20L - 1")</f>
        <v>GC - IV - 4267 - CSSX An Khang (A.Dinh) - TAK06 (Gel nâu đen) - 20L - 1</v>
      </c>
      <c r="I285" s="2" t="str">
        <f>IFERROR(__xludf.DUMMYFUNCTION("""COMPUTED_VALUE"""),"#N/A")</f>
        <v>#N/A</v>
      </c>
      <c r="J285" s="2" t="str">
        <f>IFERROR(__xludf.DUMMYFUNCTION("""COMPUTED_VALUE"""),"Cùng ruột HH3863")</f>
        <v>Cùng ruột HH3863</v>
      </c>
      <c r="K285" s="2"/>
      <c r="L285" s="2" t="str">
        <f>IFERROR(__xludf.DUMMYFUNCTION("""COMPUTED_VALUE"""),"A02251124")</f>
        <v>A02251124</v>
      </c>
      <c r="M285" s="2" t="str">
        <f>IFERROR(__xludf.DUMMYFUNCTION("""COMPUTED_VALUE"""),"TAK06")</f>
        <v>TAK06</v>
      </c>
      <c r="N285" s="2" t="str">
        <f>IFERROR(__xludf.DUMMYFUNCTION("""COMPUTED_VALUE"""),"19DD0014V2")</f>
        <v>19DD0014V2</v>
      </c>
      <c r="O285" s="2" t="str">
        <f>IFERROR(__xludf.DUMMYFUNCTION("""COMPUTED_VALUE"""),"Phân bón Vi lượng Run Fast")</f>
        <v>Phân bón Vi lượng Run Fast</v>
      </c>
      <c r="P285" s="2" t="str">
        <f>IFERROR(__xludf.DUMMYFUNCTION("""COMPUTED_VALUE"""),"#N/A")</f>
        <v>#N/A</v>
      </c>
      <c r="Q285" s="30" t="str">
        <f>IFERROR(__xludf.DUMMYFUNCTION("""COMPUTED_VALUE"""),"KHÔNG KHỚP")</f>
        <v>KHÔNG KHỚP</v>
      </c>
      <c r="R285" s="2"/>
      <c r="S285" s="2"/>
      <c r="T285" s="2"/>
      <c r="U285" s="2"/>
      <c r="V285" s="2"/>
      <c r="W285" s="2"/>
      <c r="X285" s="2"/>
      <c r="Y285" s="2"/>
    </row>
    <row r="286">
      <c r="A286" s="30">
        <f>IFERROR(__xludf.DUMMYFUNCTION("""COMPUTED_VALUE"""),283.0)</f>
        <v>283</v>
      </c>
      <c r="B286" s="39">
        <f>IFERROR(__xludf.DUMMYFUNCTION("""COMPUTED_VALUE"""),45982.0)</f>
        <v>45982</v>
      </c>
      <c r="C286" s="30">
        <f>IFERROR(__xludf.DUMMYFUNCTION("""COMPUTED_VALUE"""),1.0)</f>
        <v>1</v>
      </c>
      <c r="D286" s="30" t="str">
        <f>IFERROR(__xludf.DUMMYFUNCTION("""COMPUTED_VALUE"""),"CT MỚI")</f>
        <v>CT MỚI</v>
      </c>
      <c r="E286" s="30"/>
      <c r="F286" s="2"/>
      <c r="G286" s="2" t="str">
        <f>IFERROR(__xludf.DUMMYFUNCTION("""COMPUTED_VALUE"""),"HH4398")</f>
        <v>HH4398</v>
      </c>
      <c r="H286" s="2" t="str">
        <f>IFERROR(__xludf.DUMMYFUNCTION("""COMPUTED_VALUE"""),"GC ABA - MASTER WIN - Hữu cơ WIN STALK - SUPER F1 - 500ml - 40")</f>
        <v>GC ABA - MASTER WIN - Hữu cơ WIN STALK - SUPER F1 - 500ml - 40</v>
      </c>
      <c r="I286" s="2" t="str">
        <f>IFERROR(__xludf.DUMMYFUNCTION("""COMPUTED_VALUE"""),"#N/A")</f>
        <v>#N/A</v>
      </c>
      <c r="J286" s="2" t="str">
        <f>IFERROR(__xludf.DUMMYFUNCTION("""COMPUTED_VALUE"""),"A03080325
Cùng ruột 3283")</f>
        <v>A03080325
Cùng ruột 3283</v>
      </c>
      <c r="K286" s="2"/>
      <c r="L286" s="2" t="str">
        <f>IFERROR(__xludf.DUMMYFUNCTION("""COMPUTED_VALUE"""),"A03080325")</f>
        <v>A03080325</v>
      </c>
      <c r="M286" s="2" t="str">
        <f>IFERROR(__xludf.DUMMYFUNCTION("""COMPUTED_VALUE"""),"SUPER F1")</f>
        <v>SUPER F1</v>
      </c>
      <c r="N286" s="2" t="str">
        <f>IFERROR(__xludf.DUMMYFUNCTION("""COMPUTED_VALUE"""),"05KC0013")</f>
        <v>05KC0013</v>
      </c>
      <c r="O286" s="2" t="str">
        <f>IFERROR(__xludf.DUMMYFUNCTION("""COMPUTED_VALUE"""),"Phân bón Hữu cơ WIN STALK")</f>
        <v>Phân bón Hữu cơ WIN STALK</v>
      </c>
      <c r="P286" s="2" t="str">
        <f>IFERROR(__xludf.DUMMYFUNCTION("""COMPUTED_VALUE"""),"#N/A")</f>
        <v>#N/A</v>
      </c>
      <c r="Q286" s="30" t="str">
        <f>IFERROR(__xludf.DUMMYFUNCTION("""COMPUTED_VALUE"""),"KHÔNG KHỚP")</f>
        <v>KHÔNG KHỚP</v>
      </c>
      <c r="R286" s="2"/>
      <c r="S286" s="2"/>
      <c r="T286" s="2"/>
      <c r="U286" s="2"/>
      <c r="V286" s="2"/>
      <c r="W286" s="2"/>
      <c r="X286" s="2"/>
      <c r="Y286" s="2"/>
    </row>
    <row r="287">
      <c r="A287" s="30">
        <f>IFERROR(__xludf.DUMMYFUNCTION("""COMPUTED_VALUE"""),284.0)</f>
        <v>284</v>
      </c>
      <c r="B287" s="39">
        <f>IFERROR(__xludf.DUMMYFUNCTION("""COMPUTED_VALUE"""),45986.0)</f>
        <v>45986</v>
      </c>
      <c r="C287" s="30">
        <f>IFERROR(__xludf.DUMMYFUNCTION("""COMPUTED_VALUE"""),1.0)</f>
        <v>1</v>
      </c>
      <c r="D287" s="30" t="str">
        <f>IFERROR(__xludf.DUMMYFUNCTION("""COMPUTED_VALUE"""),"CT MỚI")</f>
        <v>CT MỚI</v>
      </c>
      <c r="E287" s="30"/>
      <c r="F287" s="2"/>
      <c r="G287" s="2" t="str">
        <f>IFERROR(__xludf.DUMMYFUNCTION("""COMPUTED_VALUE"""),"HH4367")</f>
        <v>HH4367</v>
      </c>
      <c r="H287" s="2" t="str">
        <f>IFERROR(__xludf.DUMMYFUNCTION("""COMPUTED_VALUE"""),"CTY HẠT GIỐNG C.P VN - VII - 4367 - AGRI FOS AB (Nước hồng) - 50ml - 250")</f>
        <v>CTY HẠT GIỐNG C.P VN - VII - 4367 - AGRI FOS AB (Nước hồng) - 50ml - 250</v>
      </c>
      <c r="I287" s="2" t="str">
        <f>IFERROR(__xludf.DUMMYFUNCTION("""COMPUTED_VALUE"""),"#N/A")</f>
        <v>#N/A</v>
      </c>
      <c r="J287" s="2" t="str">
        <f>IFERROR(__xludf.DUMMYFUNCTION("""COMPUTED_VALUE"""),"CP_0.38.7: Dạng lỏng")</f>
        <v>CP_0.38.7: Dạng lỏng</v>
      </c>
      <c r="K287" s="2"/>
      <c r="L287" s="2"/>
      <c r="M287" s="2" t="str">
        <f>IFERROR(__xludf.DUMMYFUNCTION("""COMPUTED_VALUE"""),"0-38-7")</f>
        <v>0-38-7</v>
      </c>
      <c r="N287" s="2" t="str">
        <f>IFERROR(__xludf.DUMMYFUNCTION("""COMPUTED_VALUE"""),"CP_0.38.7_V1")</f>
        <v>CP_0.38.7_V1</v>
      </c>
      <c r="O287" s="2" t="str">
        <f>IFERROR(__xludf.DUMMYFUNCTION("""COMPUTED_VALUE"""),"Phân bón lá hỗn hợp PK AGRI FOS AB")</f>
        <v>Phân bón lá hỗn hợp PK AGRI FOS AB</v>
      </c>
      <c r="P287" s="2" t="str">
        <f>IFERROR(__xludf.DUMMYFUNCTION("""COMPUTED_VALUE"""),"#N/A")</f>
        <v>#N/A</v>
      </c>
      <c r="Q287" s="30" t="str">
        <f>IFERROR(__xludf.DUMMYFUNCTION("""COMPUTED_VALUE"""),"KHÔNG KHỚP")</f>
        <v>KHÔNG KHỚP</v>
      </c>
      <c r="R287" s="2"/>
      <c r="S287" s="2"/>
      <c r="T287" s="2"/>
      <c r="U287" s="2"/>
      <c r="V287" s="2"/>
      <c r="W287" s="2"/>
      <c r="X287" s="2"/>
      <c r="Y287" s="2"/>
    </row>
    <row r="288">
      <c r="A288" s="30">
        <f>IFERROR(__xludf.DUMMYFUNCTION("""COMPUTED_VALUE"""),285.0)</f>
        <v>285</v>
      </c>
      <c r="B288" s="39">
        <f>IFERROR(__xludf.DUMMYFUNCTION("""COMPUTED_VALUE"""),45979.0)</f>
        <v>45979</v>
      </c>
      <c r="C288" s="30">
        <f>IFERROR(__xludf.DUMMYFUNCTION("""COMPUTED_VALUE"""),1.0)</f>
        <v>1</v>
      </c>
      <c r="D288" s="30" t="str">
        <f>IFERROR(__xludf.DUMMYFUNCTION("""COMPUTED_VALUE"""),"CT MỚI")</f>
        <v>CT MỚI</v>
      </c>
      <c r="E288" s="30"/>
      <c r="F288" s="2"/>
      <c r="G288" s="2" t="str">
        <f>IFERROR(__xludf.DUMMYFUNCTION("""COMPUTED_VALUE"""),"HH4368")</f>
        <v>HH4368</v>
      </c>
      <c r="H288" s="2" t="str">
        <f>IFERROR(__xludf.DUMMYFUNCTION("""COMPUTED_VALUE"""),"CTY HẠT GIỐNG C.P VN - VII - 4368 - 30-10-10 (Bột trắng) - 50gr - 250")</f>
        <v>CTY HẠT GIỐNG C.P VN - VII - 4368 - 30-10-10 (Bột trắng) - 50gr - 250</v>
      </c>
      <c r="I288" s="2" t="str">
        <f>IFERROR(__xludf.DUMMYFUNCTION("""COMPUTED_VALUE"""),"#N/A")</f>
        <v>#N/A</v>
      </c>
      <c r="J288" s="2" t="str">
        <f>IFERROR(__xludf.DUMMYFUNCTION("""COMPUTED_VALUE"""),"CP_30.10.10: Dạng bột")</f>
        <v>CP_30.10.10: Dạng bột</v>
      </c>
      <c r="K288" s="2"/>
      <c r="L288" s="2"/>
      <c r="M288" s="2" t="str">
        <f>IFERROR(__xludf.DUMMYFUNCTION("""COMPUTED_VALUE"""),"30-10-10")</f>
        <v>30-10-10</v>
      </c>
      <c r="N288" s="2" t="str">
        <f>IFERROR(__xludf.DUMMYFUNCTION("""COMPUTED_VALUE"""),"CP_30.10.10")</f>
        <v>CP_30.10.10</v>
      </c>
      <c r="O288" s="2" t="str">
        <f>IFERROR(__xludf.DUMMYFUNCTION("""COMPUTED_VALUE"""),"Phân bón hỗn hợp NPK SIAMB 16")</f>
        <v>Phân bón hỗn hợp NPK SIAMB 16</v>
      </c>
      <c r="P288" s="2" t="str">
        <f>IFERROR(__xludf.DUMMYFUNCTION("""COMPUTED_VALUE"""),"#N/A")</f>
        <v>#N/A</v>
      </c>
      <c r="Q288" s="30" t="str">
        <f>IFERROR(__xludf.DUMMYFUNCTION("""COMPUTED_VALUE"""),"KHÔNG KHỚP")</f>
        <v>KHÔNG KHỚP</v>
      </c>
      <c r="R288" s="2"/>
      <c r="S288" s="2"/>
      <c r="T288" s="2"/>
      <c r="U288" s="2"/>
      <c r="V288" s="2"/>
      <c r="W288" s="2"/>
      <c r="X288" s="2"/>
      <c r="Y288" s="2"/>
    </row>
    <row r="289">
      <c r="A289" s="30">
        <f>IFERROR(__xludf.DUMMYFUNCTION("""COMPUTED_VALUE"""),286.0)</f>
        <v>286</v>
      </c>
      <c r="B289" s="39">
        <f>IFERROR(__xludf.DUMMYFUNCTION("""COMPUTED_VALUE"""),45887.0)</f>
        <v>45887</v>
      </c>
      <c r="C289" s="30">
        <f>IFERROR(__xludf.DUMMYFUNCTION("""COMPUTED_VALUE"""),1.0)</f>
        <v>1</v>
      </c>
      <c r="D289" s="30" t="str">
        <f>IFERROR(__xludf.DUMMYFUNCTION("""COMPUTED_VALUE"""),"CT CŨ")</f>
        <v>CT CŨ</v>
      </c>
      <c r="E289" s="30"/>
      <c r="F289" s="2"/>
      <c r="G289" s="2" t="str">
        <f>IFERROR(__xludf.DUMMYFUNCTION("""COMPUTED_VALUE"""),"HH4333")</f>
        <v>HH4333</v>
      </c>
      <c r="H289" s="2" t="str">
        <f>IFERROR(__xludf.DUMMYFUNCTION("""COMPUTED_VALUE"""),"IDA Global - I - 4333 - ĐL PHƯỚC THẠNH - WINNER X2 (Nước đỏ cam) - 500ml - 40")</f>
        <v>IDA Global - I - 4333 - ĐL PHƯỚC THẠNH - WINNER X2 (Nước đỏ cam) - 500ml - 40</v>
      </c>
      <c r="I289" s="2" t="str">
        <f>IFERROR(__xludf.DUMMYFUNCTION("""COMPUTED_VALUE"""),"#N/A")</f>
        <v>#N/A</v>
      </c>
      <c r="J289" s="2" t="str">
        <f>IFERROR(__xludf.DUMMYFUNCTION("""COMPUTED_VALUE"""),"Chung ruột HH3905")</f>
        <v>Chung ruột HH3905</v>
      </c>
      <c r="K289" s="2"/>
      <c r="L289" s="2"/>
      <c r="M289" s="2" t="str">
        <f>IFERROR(__xludf.DUMMYFUNCTION("""COMPUTED_VALUE"""),"WINNER X2")</f>
        <v>WINNER X2</v>
      </c>
      <c r="N289" s="2" t="str">
        <f>IFERROR(__xludf.DUMMYFUNCTION("""COMPUTED_VALUE"""),"04VG0015")</f>
        <v>04VG0015</v>
      </c>
      <c r="O289" s="2" t="str">
        <f>IFERROR(__xludf.DUMMYFUNCTION("""COMPUTED_VALUE"""),"Phân bón NPK-Vi lượng MASSIVE-BLUE")</f>
        <v>Phân bón NPK-Vi lượng MASSIVE-BLUE</v>
      </c>
      <c r="P289" s="2" t="str">
        <f>IFERROR(__xludf.DUMMYFUNCTION("""COMPUTED_VALUE"""),"#N/A")</f>
        <v>#N/A</v>
      </c>
      <c r="Q289" s="30" t="str">
        <f>IFERROR(__xludf.DUMMYFUNCTION("""COMPUTED_VALUE"""),"KHÔNG KHỚP")</f>
        <v>KHÔNG KHỚP</v>
      </c>
      <c r="R289" s="2"/>
      <c r="S289" s="2"/>
      <c r="T289" s="2"/>
      <c r="U289" s="2"/>
      <c r="V289" s="2"/>
      <c r="W289" s="2"/>
      <c r="X289" s="2"/>
      <c r="Y289" s="2"/>
    </row>
    <row r="290">
      <c r="A290" s="30">
        <f>IFERROR(__xludf.DUMMYFUNCTION("""COMPUTED_VALUE"""),287.0)</f>
        <v>287</v>
      </c>
      <c r="B290" s="39">
        <f>IFERROR(__xludf.DUMMYFUNCTION("""COMPUTED_VALUE"""),45953.0)</f>
        <v>45953</v>
      </c>
      <c r="C290" s="30">
        <f>IFERROR(__xludf.DUMMYFUNCTION("""COMPUTED_VALUE"""),1.0)</f>
        <v>1</v>
      </c>
      <c r="D290" s="30" t="str">
        <f>IFERROR(__xludf.DUMMYFUNCTION("""COMPUTED_VALUE"""),"CT CŨ")</f>
        <v>CT CŨ</v>
      </c>
      <c r="E290" s="30"/>
      <c r="F290" s="2"/>
      <c r="G290" s="2" t="str">
        <f>IFERROR(__xludf.DUMMYFUNCTION("""COMPUTED_VALUE"""),"HH3859")</f>
        <v>HH3859</v>
      </c>
      <c r="H290" s="2" t="str">
        <f>IFERROR(__xludf.DUMMYFUNCTION("""COMPUTED_VALUE"""),"GC - II - 3859 - CSSX An Khang (A.Dinh) - TAK06 (Gel nâu đen) - 5L - 4")</f>
        <v>GC - II - 3859 - CSSX An Khang (A.Dinh) - TAK06 (Gel nâu đen) - 5L - 4</v>
      </c>
      <c r="I290" s="2" t="str">
        <f>IFERROR(__xludf.DUMMYFUNCTION("""COMPUTED_VALUE"""),"#N/A")</f>
        <v>#N/A</v>
      </c>
      <c r="J290" s="2" t="str">
        <f>IFERROR(__xludf.DUMMYFUNCTION("""COMPUTED_VALUE"""),"A02251124")</f>
        <v>A02251124</v>
      </c>
      <c r="K290" s="2"/>
      <c r="L290" s="2" t="str">
        <f>IFERROR(__xludf.DUMMYFUNCTION("""COMPUTED_VALUE"""),"A02251124")</f>
        <v>A02251124</v>
      </c>
      <c r="M290" s="2" t="str">
        <f>IFERROR(__xludf.DUMMYFUNCTION("""COMPUTED_VALUE"""),"TAK06")</f>
        <v>TAK06</v>
      </c>
      <c r="N290" s="2" t="str">
        <f>IFERROR(__xludf.DUMMYFUNCTION("""COMPUTED_VALUE"""),"19DD0014V2")</f>
        <v>19DD0014V2</v>
      </c>
      <c r="O290" s="2" t="str">
        <f>IFERROR(__xludf.DUMMYFUNCTION("""COMPUTED_VALUE"""),"Phân bón Vi lượng Run Fast")</f>
        <v>Phân bón Vi lượng Run Fast</v>
      </c>
      <c r="P290" s="2" t="str">
        <f>IFERROR(__xludf.DUMMYFUNCTION("""COMPUTED_VALUE"""),"#N/A")</f>
        <v>#N/A</v>
      </c>
      <c r="Q290" s="30" t="str">
        <f>IFERROR(__xludf.DUMMYFUNCTION("""COMPUTED_VALUE"""),"KHÔNG KHỚP")</f>
        <v>KHÔNG KHỚP</v>
      </c>
      <c r="R290" s="2"/>
      <c r="S290" s="2"/>
      <c r="T290" s="2"/>
      <c r="U290" s="2"/>
      <c r="V290" s="2"/>
      <c r="W290" s="2"/>
      <c r="X290" s="2"/>
      <c r="Y290" s="2"/>
    </row>
    <row r="291">
      <c r="A291" s="30">
        <f>IFERROR(__xludf.DUMMYFUNCTION("""COMPUTED_VALUE"""),288.0)</f>
        <v>288</v>
      </c>
      <c r="B291" s="39">
        <f>IFERROR(__xludf.DUMMYFUNCTION("""COMPUTED_VALUE"""),45887.0)</f>
        <v>45887</v>
      </c>
      <c r="C291" s="30">
        <f>IFERROR(__xludf.DUMMYFUNCTION("""COMPUTED_VALUE"""),1.0)</f>
        <v>1</v>
      </c>
      <c r="D291" s="30" t="str">
        <f>IFERROR(__xludf.DUMMYFUNCTION("""COMPUTED_VALUE"""),"CT CŨ")</f>
        <v>CT CŨ</v>
      </c>
      <c r="E291" s="30"/>
      <c r="F291" s="2"/>
      <c r="G291" s="2" t="str">
        <f>IFERROR(__xludf.DUMMYFUNCTION("""COMPUTED_VALUE"""),"HH4388")</f>
        <v>HH4388</v>
      </c>
      <c r="H291" s="2" t="str">
        <f>IFERROR(__xludf.DUMMYFUNCTION("""COMPUTED_VALUE"""),"IDA (ĐL PHƯỚC THẠNH) - Vi lượng AGAMA-CANXI BO - CANXI BO LIQUID - 250ml - 40")</f>
        <v>IDA (ĐL PHƯỚC THẠNH) - Vi lượng AGAMA-CANXI BO - CANXI BO LIQUID - 250ml - 40</v>
      </c>
      <c r="I291" s="2" t="str">
        <f>IFERROR(__xludf.DUMMYFUNCTION("""COMPUTED_VALUE"""),"#N/A")</f>
        <v>#N/A</v>
      </c>
      <c r="J291" s="2" t="str">
        <f>IFERROR(__xludf.DUMMYFUNCTION("""COMPUTED_VALUE"""),"Chung ruột HH4003")</f>
        <v>Chung ruột HH4003</v>
      </c>
      <c r="K291" s="2"/>
      <c r="L291" s="2"/>
      <c r="M291" s="2" t="str">
        <f>IFERROR(__xludf.DUMMYFUNCTION("""COMPUTED_VALUE"""),"CANXI BO MASTER")</f>
        <v>CANXI BO MASTER</v>
      </c>
      <c r="N291" s="2" t="str">
        <f>IFERROR(__xludf.DUMMYFUNCTION("""COMPUTED_VALUE"""),"10CR0015")</f>
        <v>10CR0015</v>
      </c>
      <c r="O291" s="2" t="str">
        <f>IFERROR(__xludf.DUMMYFUNCTION("""COMPUTED_VALUE"""),"Phân bón Vi lượng AGAMA-CANXI BO")</f>
        <v>Phân bón Vi lượng AGAMA-CANXI BO</v>
      </c>
      <c r="P291" s="2" t="str">
        <f>IFERROR(__xludf.DUMMYFUNCTION("""COMPUTED_VALUE"""),"#N/A")</f>
        <v>#N/A</v>
      </c>
      <c r="Q291" s="30" t="str">
        <f>IFERROR(__xludf.DUMMYFUNCTION("""COMPUTED_VALUE"""),"KHÔNG KHỚP")</f>
        <v>KHÔNG KHỚP</v>
      </c>
      <c r="R291" s="2"/>
      <c r="S291" s="2"/>
      <c r="T291" s="2"/>
      <c r="U291" s="2"/>
      <c r="V291" s="2"/>
      <c r="W291" s="2"/>
      <c r="X291" s="2"/>
      <c r="Y291" s="2"/>
    </row>
    <row r="292">
      <c r="A292" s="30">
        <f>IFERROR(__xludf.DUMMYFUNCTION("""COMPUTED_VALUE"""),289.0)</f>
        <v>289</v>
      </c>
      <c r="B292" s="39">
        <f>IFERROR(__xludf.DUMMYFUNCTION("""COMPUTED_VALUE"""),45896.0)</f>
        <v>45896</v>
      </c>
      <c r="C292" s="30">
        <f>IFERROR(__xludf.DUMMYFUNCTION("""COMPUTED_VALUE"""),1.0)</f>
        <v>1</v>
      </c>
      <c r="D292" s="30" t="str">
        <f>IFERROR(__xludf.DUMMYFUNCTION("""COMPUTED_VALUE"""),"CT CŨ")</f>
        <v>CT CŨ</v>
      </c>
      <c r="E292" s="30"/>
      <c r="F292" s="2"/>
      <c r="G292" s="2" t="str">
        <f>IFERROR(__xludf.DUMMYFUNCTION("""COMPUTED_VALUE"""),"HH4391")</f>
        <v>HH4391</v>
      </c>
      <c r="H292" s="2" t="str">
        <f>IFERROR(__xludf.DUMMYFUNCTION("""COMPUTED_VALUE"""),"GC ABA - CTY NEWTEX - Vi lượng AGAMA-CANXI BO - CANXI BO KẼM T8 - 1L - 20")</f>
        <v>GC ABA - CTY NEWTEX - Vi lượng AGAMA-CANXI BO - CANXI BO KẼM T8 - 1L - 20</v>
      </c>
      <c r="I292" s="2" t="str">
        <f>IFERROR(__xludf.DUMMYFUNCTION("""COMPUTED_VALUE"""),"#N/A")</f>
        <v>#N/A</v>
      </c>
      <c r="J292" s="2" t="str">
        <f>IFERROR(__xludf.DUMMYFUNCTION("""COMPUTED_VALUE"""),"A02160725")</f>
        <v>A02160725</v>
      </c>
      <c r="K292" s="2"/>
      <c r="L292" s="2" t="str">
        <f>IFERROR(__xludf.DUMMYFUNCTION("""COMPUTED_VALUE"""),"A02160725")</f>
        <v>A02160725</v>
      </c>
      <c r="M292" s="2" t="str">
        <f>IFERROR(__xludf.DUMMYFUNCTION("""COMPUTED_VALUE"""),"AGAMA-CANXI BO
(KIM NGỌC)")</f>
        <v>AGAMA-CANXI BO
(KIM NGỌC)</v>
      </c>
      <c r="N292" s="2" t="str">
        <f>IFERROR(__xludf.DUMMYFUNCTION("""COMPUTED_VALUE"""),"10CR0021")</f>
        <v>10CR0021</v>
      </c>
      <c r="O292" s="2" t="str">
        <f>IFERROR(__xludf.DUMMYFUNCTION("""COMPUTED_VALUE"""),"Phân bón Vi lượng AGAMA-CANXI BO")</f>
        <v>Phân bón Vi lượng AGAMA-CANXI BO</v>
      </c>
      <c r="P292" s="2" t="str">
        <f>IFERROR(__xludf.DUMMYFUNCTION("""COMPUTED_VALUE"""),"#N/A")</f>
        <v>#N/A</v>
      </c>
      <c r="Q292" s="30" t="str">
        <f>IFERROR(__xludf.DUMMYFUNCTION("""COMPUTED_VALUE"""),"KHÔNG KHỚP")</f>
        <v>KHÔNG KHỚP</v>
      </c>
      <c r="R292" s="2"/>
      <c r="S292" s="2"/>
      <c r="T292" s="2"/>
      <c r="U292" s="2"/>
      <c r="V292" s="2"/>
      <c r="W292" s="2"/>
      <c r="X292" s="2"/>
      <c r="Y292" s="2"/>
    </row>
    <row r="293">
      <c r="A293" s="30">
        <f>IFERROR(__xludf.DUMMYFUNCTION("""COMPUTED_VALUE"""),290.0)</f>
        <v>290</v>
      </c>
      <c r="B293" s="39">
        <f>IFERROR(__xludf.DUMMYFUNCTION("""COMPUTED_VALUE"""),-618775.0)</f>
        <v>-618775</v>
      </c>
      <c r="C293" s="30">
        <f>IFERROR(__xludf.DUMMYFUNCTION("""COMPUTED_VALUE"""),1.0)</f>
        <v>1</v>
      </c>
      <c r="D293" s="30" t="str">
        <f>IFERROR(__xludf.DUMMYFUNCTION("""COMPUTED_VALUE"""),"CT CŨ")</f>
        <v>CT CŨ</v>
      </c>
      <c r="E293" s="30"/>
      <c r="F293" s="2"/>
      <c r="G293" s="2" t="str">
        <f>IFERROR(__xludf.DUMMYFUNCTION("""COMPUTED_VALUE"""),"HH4351")</f>
        <v>HH4351</v>
      </c>
      <c r="H293" s="2" t="str">
        <f>IFERROR(__xludf.DUMMYFUNCTION("""COMPUTED_VALUE"""),"GC - IV - 4351 - CTY NAUY - PHÁO ĐÀI (Nước nâu đen) - 500ml - 40")</f>
        <v>GC - IV - 4351 - CTY NAUY - PHÁO ĐÀI (Nước nâu đen) - 500ml - 40</v>
      </c>
      <c r="I293" s="2" t="str">
        <f>IFERROR(__xludf.DUMMYFUNCTION("""COMPUTED_VALUE"""),"#N/A")</f>
        <v>#N/A</v>
      </c>
      <c r="J293" s="2" t="str">
        <f>IFERROR(__xludf.DUMMYFUNCTION("""COMPUTED_VALUE"""),"A05301025
Cùng ruột 4297")</f>
        <v>A05301025
Cùng ruột 4297</v>
      </c>
      <c r="K293" s="2"/>
      <c r="L293" s="2" t="str">
        <f>IFERROR(__xludf.DUMMYFUNCTION("""COMPUTED_VALUE"""),"A05301025")</f>
        <v>A05301025</v>
      </c>
      <c r="M293" s="2" t="str">
        <f>IFERROR(__xludf.DUMMYFUNCTION("""COMPUTED_VALUE"""),"CỨNG CÂY CROP CARE 02")</f>
        <v>CỨNG CÂY CROP CARE 02</v>
      </c>
      <c r="N293" s="2" t="str">
        <f>IFERROR(__xludf.DUMMYFUNCTION("""COMPUTED_VALUE"""),"02CC0013")</f>
        <v>02CC0013</v>
      </c>
      <c r="O293" s="2" t="str">
        <f>IFERROR(__xludf.DUMMYFUNCTION("""COMPUTED_VALUE"""),"Phân bón Hữu cơ CROPS CARE")</f>
        <v>Phân bón Hữu cơ CROPS CARE</v>
      </c>
      <c r="P293" s="2" t="str">
        <f>IFERROR(__xludf.DUMMYFUNCTION("""COMPUTED_VALUE"""),"#N/A")</f>
        <v>#N/A</v>
      </c>
      <c r="Q293" s="30" t="str">
        <f>IFERROR(__xludf.DUMMYFUNCTION("""COMPUTED_VALUE"""),"KHÔNG KHỚP")</f>
        <v>KHÔNG KHỚP</v>
      </c>
      <c r="R293" s="2"/>
      <c r="S293" s="2"/>
      <c r="T293" s="2"/>
      <c r="U293" s="2"/>
      <c r="V293" s="2"/>
      <c r="W293" s="2"/>
      <c r="X293" s="2"/>
      <c r="Y293" s="2"/>
    </row>
    <row r="294">
      <c r="A294" s="30">
        <f>IFERROR(__xludf.DUMMYFUNCTION("""COMPUTED_VALUE"""),291.0)</f>
        <v>291</v>
      </c>
      <c r="B294" s="39">
        <f>IFERROR(__xludf.DUMMYFUNCTION("""COMPUTED_VALUE"""),45983.0)</f>
        <v>45983</v>
      </c>
      <c r="C294" s="30">
        <f>IFERROR(__xludf.DUMMYFUNCTION("""COMPUTED_VALUE"""),2.0)</f>
        <v>2</v>
      </c>
      <c r="D294" s="30" t="str">
        <f>IFERROR(__xludf.DUMMYFUNCTION("""COMPUTED_VALUE"""),"CT CŨ")</f>
        <v>CT CŨ</v>
      </c>
      <c r="E294" s="30"/>
      <c r="F294" s="2"/>
      <c r="G294" s="2" t="str">
        <f>IFERROR(__xludf.DUMMYFUNCTION("""COMPUTED_VALUE"""),"HH4217")</f>
        <v>HH4217</v>
      </c>
      <c r="H294" s="2" t="str">
        <f>IFERROR(__xludf.DUMMYFUNCTION("""COMPUTED_VALUE"""),"GC - IV - 4217 - HƯƠNG NÔNG - HN Stop (Gel nâu đen) - 1L - 20")</f>
        <v>GC - IV - 4217 - HƯƠNG NÔNG - HN Stop (Gel nâu đen) - 1L - 20</v>
      </c>
      <c r="I294" s="2" t="str">
        <f>IFERROR(__xludf.DUMMYFUNCTION("""COMPUTED_VALUE"""),"#N/A")</f>
        <v>#N/A</v>
      </c>
      <c r="J294" s="2" t="str">
        <f>IFERROR(__xludf.DUMMYFUNCTION("""COMPUTED_VALUE"""),"Chặn đọt V3 06CD0007")</f>
        <v>Chặn đọt V3 06CD0007</v>
      </c>
      <c r="K294" s="2"/>
      <c r="L294" s="2" t="str">
        <f>IFERROR(__xludf.DUMMYFUNCTION("""COMPUTED_VALUE"""),"CHẶN ĐỌT DÒNG V3")</f>
        <v>CHẶN ĐỌT DÒNG V3</v>
      </c>
      <c r="M294" s="2" t="str">
        <f>IFERROR(__xludf.DUMMYFUNCTION("""COMPUTED_VALUE"""),"KODO STOP
SIÊU CHẶN ĐỌT
STOP 25
UNI STOP
UNI STOP 25")</f>
        <v>KODO STOP
SIÊU CHẶN ĐỌT
STOP 25
UNI STOP
UNI STOP 25</v>
      </c>
      <c r="N294" s="2" t="str">
        <f>IFERROR(__xludf.DUMMYFUNCTION("""COMPUTED_VALUE"""),"06CD0007V1")</f>
        <v>06CD0007V1</v>
      </c>
      <c r="O294" s="2" t="str">
        <f>IFERROR(__xludf.DUMMYFUNCTION("""COMPUTED_VALUE"""),"Phân bón Vi lượng Quantity New")</f>
        <v>Phân bón Vi lượng Quantity New</v>
      </c>
      <c r="P294" s="2" t="str">
        <f>IFERROR(__xludf.DUMMYFUNCTION("""COMPUTED_VALUE"""),"#N/A")</f>
        <v>#N/A</v>
      </c>
      <c r="Q294" s="30" t="str">
        <f>IFERROR(__xludf.DUMMYFUNCTION("""COMPUTED_VALUE"""),"KHÔNG KHỚP")</f>
        <v>KHÔNG KHỚP</v>
      </c>
      <c r="R294" s="2"/>
      <c r="S294" s="2"/>
      <c r="T294" s="2"/>
      <c r="U294" s="2"/>
      <c r="V294" s="2"/>
      <c r="W294" s="2"/>
      <c r="X294" s="2"/>
      <c r="Y294" s="2"/>
    </row>
    <row r="295">
      <c r="A295" s="30">
        <f>IFERROR(__xludf.DUMMYFUNCTION("""COMPUTED_VALUE"""),292.0)</f>
        <v>292</v>
      </c>
      <c r="B295" s="39">
        <f>IFERROR(__xludf.DUMMYFUNCTION("""COMPUTED_VALUE"""),45938.0)</f>
        <v>45938</v>
      </c>
      <c r="C295" s="30">
        <f>IFERROR(__xludf.DUMMYFUNCTION("""COMPUTED_VALUE"""),2.0)</f>
        <v>2</v>
      </c>
      <c r="D295" s="30" t="str">
        <f>IFERROR(__xludf.DUMMYFUNCTION("""COMPUTED_VALUE"""),"CT CŨ")</f>
        <v>CT CŨ</v>
      </c>
      <c r="E295" s="30"/>
      <c r="F295" s="2"/>
      <c r="G295" s="2" t="str">
        <f>IFERROR(__xludf.DUMMYFUNCTION("""COMPUTED_VALUE"""),"HH4194")</f>
        <v>HH4194</v>
      </c>
      <c r="H295" s="2" t="str">
        <f>IFERROR(__xludf.DUMMYFUNCTION("""COMPUTED_VALUE"""),"GC - IV - 4194 - HƯƠNG NÔNG - Tạo Mầm (Nước nâu đen) - 1L - 20")</f>
        <v>GC - IV - 4194 - HƯƠNG NÔNG - Tạo Mầm (Nước nâu đen) - 1L - 20</v>
      </c>
      <c r="I295" s="2" t="str">
        <f>IFERROR(__xludf.DUMMYFUNCTION("""COMPUTED_VALUE"""),"#N/A")</f>
        <v>#N/A</v>
      </c>
      <c r="J295" s="2" t="str">
        <f>IFERROR(__xludf.DUMMYFUNCTION("""COMPUTED_VALUE"""),"Tạo mầm cùng ruột HH3606 Siêu tạo mầm")</f>
        <v>Tạo mầm cùng ruột HH3606 Siêu tạo mầm</v>
      </c>
      <c r="K295" s="2"/>
      <c r="L295" s="2"/>
      <c r="M295" s="2" t="str">
        <f>IFERROR(__xludf.DUMMYFUNCTION("""COMPUTED_VALUE"""),"SIÊU TẠO MẦM
TẠO MẦM")</f>
        <v>SIÊU TẠO MẦM
TẠO MẦM</v>
      </c>
      <c r="N295" s="2" t="str">
        <f>IFERROR(__xludf.DUMMYFUNCTION("""COMPUTED_VALUE"""),"08TM0007V1")</f>
        <v>08TM0007V1</v>
      </c>
      <c r="O295" s="2" t="str">
        <f>IFERROR(__xludf.DUMMYFUNCTION("""COMPUTED_VALUE"""),"Phân bón Vi lượng Quantity New")</f>
        <v>Phân bón Vi lượng Quantity New</v>
      </c>
      <c r="P295" s="2" t="str">
        <f>IFERROR(__xludf.DUMMYFUNCTION("""COMPUTED_VALUE"""),"#N/A")</f>
        <v>#N/A</v>
      </c>
      <c r="Q295" s="30" t="str">
        <f>IFERROR(__xludf.DUMMYFUNCTION("""COMPUTED_VALUE"""),"KHÔNG KHỚP")</f>
        <v>KHÔNG KHỚP</v>
      </c>
      <c r="R295" s="2"/>
      <c r="S295" s="2"/>
      <c r="T295" s="2"/>
      <c r="U295" s="2"/>
      <c r="V295" s="2"/>
      <c r="W295" s="2"/>
      <c r="X295" s="2"/>
      <c r="Y295" s="2"/>
    </row>
    <row r="296">
      <c r="A296" s="30">
        <f>IFERROR(__xludf.DUMMYFUNCTION("""COMPUTED_VALUE"""),293.0)</f>
        <v>293</v>
      </c>
      <c r="B296" s="39">
        <f>IFERROR(__xludf.DUMMYFUNCTION("""COMPUTED_VALUE"""),45976.0)</f>
        <v>45976</v>
      </c>
      <c r="C296" s="30">
        <f>IFERROR(__xludf.DUMMYFUNCTION("""COMPUTED_VALUE"""),2.0)</f>
        <v>2</v>
      </c>
      <c r="D296" s="30" t="str">
        <f>IFERROR(__xludf.DUMMYFUNCTION("""COMPUTED_VALUE"""),"CT CŨ")</f>
        <v>CT CŨ</v>
      </c>
      <c r="E296" s="30"/>
      <c r="F296" s="2"/>
      <c r="G296" s="2" t="str">
        <f>IFERROR(__xludf.DUMMYFUNCTION("""COMPUTED_VALUE"""),"HH4380")</f>
        <v>HH4380</v>
      </c>
      <c r="H296" s="2" t="str">
        <f>IFERROR(__xludf.DUMMYFUNCTION("""COMPUTED_VALUE"""),"GC - IV - 4380 - Cty Thành Công Agri - MASTER STOP (nước nâu đen V2) - 1L - 20")</f>
        <v>GC - IV - 4380 - Cty Thành Công Agri - MASTER STOP (nước nâu đen V2) - 1L - 20</v>
      </c>
      <c r="I296" s="39" t="str">
        <f>IFERROR(__xludf.DUMMYFUNCTION("""COMPUTED_VALUE"""),"Vi lượng Quantity New")</f>
        <v>Vi lượng Quantity New</v>
      </c>
      <c r="J296" s="2" t="str">
        <f>IFERROR(__xludf.DUMMYFUNCTION("""COMPUTED_VALUE"""),"CHẶN ĐỌT DÒNG V2")</f>
        <v>CHẶN ĐỌT DÒNG V2</v>
      </c>
      <c r="K296" s="2"/>
      <c r="L296" s="2" t="str">
        <f>IFERROR(__xludf.DUMMYFUNCTION("""COMPUTED_VALUE"""),"CHẶN ĐỌT DÒNG V2")</f>
        <v>CHẶN ĐỌT DÒNG V2</v>
      </c>
      <c r="M296" s="2" t="str">
        <f>IFERROR(__xludf.DUMMYFUNCTION("""COMPUTED_VALUE"""),"STOP UP
MT STOP
AGRI STOP
STOP ĐỌT
SIÊU CHẶN ĐỌT
MASTER STOP
UNI STOP ONE
BAMBOO DOUBLE STOP")</f>
        <v>STOP UP
MT STOP
AGRI STOP
STOP ĐỌT
SIÊU CHẶN ĐỌT
MASTER STOP
UNI STOP ONE
BAMBOO DOUBLE STOP</v>
      </c>
      <c r="N296" s="2" t="str">
        <f>IFERROR(__xludf.DUMMYFUNCTION("""COMPUTED_VALUE"""),"06CD0009V2")</f>
        <v>06CD0009V2</v>
      </c>
      <c r="O296" s="2" t="str">
        <f>IFERROR(__xludf.DUMMYFUNCTION("""COMPUTED_VALUE"""),"Phân bón Vi lượng Quantity New")</f>
        <v>Phân bón Vi lượng Quantity New</v>
      </c>
      <c r="P296" s="2" t="str">
        <f>IFERROR(__xludf.DUMMYFUNCTION("""COMPUTED_VALUE"""),"Phân bón Vi lượng Quantity New")</f>
        <v>Phân bón Vi lượng Quantity New</v>
      </c>
      <c r="Q296" s="30" t="str">
        <f>IFERROR(__xludf.DUMMYFUNCTION("""COMPUTED_VALUE"""),"KHỚP")</f>
        <v>KHỚP</v>
      </c>
      <c r="R296" s="2"/>
      <c r="S296" s="2"/>
      <c r="T296" s="2"/>
      <c r="U296" s="2"/>
      <c r="V296" s="2"/>
      <c r="W296" s="2"/>
      <c r="X296" s="2"/>
      <c r="Y296" s="2"/>
    </row>
    <row r="297">
      <c r="A297" s="30">
        <f>IFERROR(__xludf.DUMMYFUNCTION("""COMPUTED_VALUE"""),294.0)</f>
        <v>294</v>
      </c>
      <c r="B297" s="39">
        <f>IFERROR(__xludf.DUMMYFUNCTION("""COMPUTED_VALUE"""),45983.0)</f>
        <v>45983</v>
      </c>
      <c r="C297" s="30">
        <f>IFERROR(__xludf.DUMMYFUNCTION("""COMPUTED_VALUE"""),3.0)</f>
        <v>3</v>
      </c>
      <c r="D297" s="30" t="str">
        <f>IFERROR(__xludf.DUMMYFUNCTION("""COMPUTED_VALUE"""),"CT CŨ")</f>
        <v>CT CŨ</v>
      </c>
      <c r="E297" s="30"/>
      <c r="F297" s="2"/>
      <c r="G297" s="2" t="str">
        <f>IFERROR(__xludf.DUMMYFUNCTION("""COMPUTED_VALUE"""),"HH3933")</f>
        <v>HH3933</v>
      </c>
      <c r="H297" s="2" t="str">
        <f>IFERROR(__xludf.DUMMYFUNCTION("""COMPUTED_VALUE"""),"LOTUS AGROCHEM - VII - 3933 - LOTUS DIỆP LỤC (Nước trắng sữa) - 500ml - 40")</f>
        <v>LOTUS AGROCHEM - VII - 3933 - LOTUS DIỆP LỤC (Nước trắng sữa) - 500ml - 40</v>
      </c>
      <c r="I297" s="2" t="str">
        <f>IFERROR(__xludf.DUMMYFUNCTION("""COMPUTED_VALUE"""),"#N/A")</f>
        <v>#N/A</v>
      </c>
      <c r="J297" s="2"/>
      <c r="K297" s="2"/>
      <c r="L297" s="2" t="str">
        <f>IFERROR(__xludf.DUMMYFUNCTION("""COMPUTED_VALUE"""),"BB26040725")</f>
        <v>BB26040725</v>
      </c>
      <c r="M297" s="2" t="str">
        <f>IFERROR(__xludf.DUMMYFUNCTION("""COMPUTED_VALUE"""),"BAMBOO MG KẼM
LOTUS DIỆP LỤC")</f>
        <v>BAMBOO MG KẼM
LOTUS DIỆP LỤC</v>
      </c>
      <c r="N297" s="2" t="str">
        <f>IFERROR(__xludf.DUMMYFUNCTION("""COMPUTED_VALUE"""),"13XL0017V2")</f>
        <v>13XL0017V2</v>
      </c>
      <c r="O297" s="2" t="str">
        <f>IFERROR(__xludf.DUMMYFUNCTION("""COMPUTED_VALUE"""),"Phân bón vi lượng Phú Sĩ FJ-09 Kẽm Mg")</f>
        <v>Phân bón vi lượng Phú Sĩ FJ-09 Kẽm Mg</v>
      </c>
      <c r="P297" s="2" t="str">
        <f>IFERROR(__xludf.DUMMYFUNCTION("""COMPUTED_VALUE"""),"#N/A")</f>
        <v>#N/A</v>
      </c>
      <c r="Q297" s="30" t="str">
        <f>IFERROR(__xludf.DUMMYFUNCTION("""COMPUTED_VALUE"""),"KHÔNG KHỚP")</f>
        <v>KHÔNG KHỚP</v>
      </c>
      <c r="R297" s="2"/>
      <c r="S297" s="2"/>
      <c r="T297" s="2"/>
      <c r="U297" s="2"/>
      <c r="V297" s="2"/>
      <c r="W297" s="2"/>
      <c r="X297" s="2"/>
      <c r="Y297" s="2"/>
    </row>
    <row r="298">
      <c r="A298" s="30">
        <f>IFERROR(__xludf.DUMMYFUNCTION("""COMPUTED_VALUE"""),295.0)</f>
        <v>295</v>
      </c>
      <c r="B298" s="39">
        <f>IFERROR(__xludf.DUMMYFUNCTION("""COMPUTED_VALUE"""),45964.0)</f>
        <v>45964</v>
      </c>
      <c r="C298" s="30">
        <f>IFERROR(__xludf.DUMMYFUNCTION("""COMPUTED_VALUE"""),1.0)</f>
        <v>1</v>
      </c>
      <c r="D298" s="30" t="str">
        <f>IFERROR(__xludf.DUMMYFUNCTION("""COMPUTED_VALUE"""),"CT MỚI")</f>
        <v>CT MỚI</v>
      </c>
      <c r="E298" s="30"/>
      <c r="F298" s="2"/>
      <c r="G298" s="2" t="str">
        <f>IFERROR(__xludf.DUMMYFUNCTION("""COMPUTED_VALUE"""),"HH4001")</f>
        <v>HH4001</v>
      </c>
      <c r="H298" s="2" t="str">
        <f>IFERROR(__xludf.DUMMYFUNCTION("""COMPUTED_VALUE"""),"GC - IV - 4001 - CTY NAUY - NANO PROMAX (Vô gạo) (Nước nâu đen) - 500ml - 40")</f>
        <v>GC - IV - 4001 - CTY NAUY - NANO PROMAX (Vô gạo) (Nước nâu đen) - 500ml - 40</v>
      </c>
      <c r="I298" s="2" t="str">
        <f>IFERROR(__xludf.DUMMYFUNCTION("""COMPUTED_VALUE"""),"#N/A")</f>
        <v>#N/A</v>
      </c>
      <c r="J298" s="2" t="str">
        <f>IFERROR(__xludf.DUMMYFUNCTION("""COMPUTED_VALUE"""),"A05190825")</f>
        <v>A05190825</v>
      </c>
      <c r="K298" s="2"/>
      <c r="L298" s="2" t="str">
        <f>IFERROR(__xludf.DUMMYFUNCTION("""COMPUTED_VALUE"""),"A05190825")</f>
        <v>A05190825</v>
      </c>
      <c r="M298" s="2" t="str">
        <f>IFERROR(__xludf.DUMMYFUNCTION("""COMPUTED_VALUE"""),"SUPER NANO VÔ GẠO
0 - 5 - 18 ")</f>
        <v>SUPER NANO VÔ GẠO
0 - 5 - 18 </v>
      </c>
      <c r="N298" s="2" t="str">
        <f>IFERROR(__xludf.DUMMYFUNCTION("""COMPUTED_VALUE"""),"04VG0045")</f>
        <v>04VG0045</v>
      </c>
      <c r="O298" s="2" t="str">
        <f>IFERROR(__xludf.DUMMYFUNCTION("""COMPUTED_VALUE"""),"Phân bón lá PK-Vi lượng SV 5-18")</f>
        <v>Phân bón lá PK-Vi lượng SV 5-18</v>
      </c>
      <c r="P298" s="2" t="str">
        <f>IFERROR(__xludf.DUMMYFUNCTION("""COMPUTED_VALUE"""),"#N/A")</f>
        <v>#N/A</v>
      </c>
      <c r="Q298" s="30" t="str">
        <f>IFERROR(__xludf.DUMMYFUNCTION("""COMPUTED_VALUE"""),"KHÔNG KHỚP")</f>
        <v>KHÔNG KHỚP</v>
      </c>
      <c r="R298" s="2"/>
      <c r="S298" s="2"/>
      <c r="T298" s="2"/>
      <c r="U298" s="2"/>
      <c r="V298" s="2"/>
      <c r="W298" s="2"/>
      <c r="X298" s="2"/>
      <c r="Y298" s="2"/>
    </row>
    <row r="299">
      <c r="A299" s="30">
        <f>IFERROR(__xludf.DUMMYFUNCTION("""COMPUTED_VALUE"""),296.0)</f>
        <v>296</v>
      </c>
      <c r="B299" s="39">
        <f>IFERROR(__xludf.DUMMYFUNCTION("""COMPUTED_VALUE"""),45915.0)</f>
        <v>45915</v>
      </c>
      <c r="C299" s="30">
        <f>IFERROR(__xludf.DUMMYFUNCTION("""COMPUTED_VALUE"""),1.0)</f>
        <v>1</v>
      </c>
      <c r="D299" s="30" t="str">
        <f>IFERROR(__xludf.DUMMYFUNCTION("""COMPUTED_VALUE"""),"CT CŨ")</f>
        <v>CT CŨ</v>
      </c>
      <c r="E299" s="30"/>
      <c r="F299" s="2"/>
      <c r="G299" s="2" t="str">
        <f>IFERROR(__xludf.DUMMYFUNCTION("""COMPUTED_VALUE"""),"HH4378")</f>
        <v>HH4378</v>
      </c>
      <c r="H299" s="2" t="str">
        <f>IFERROR(__xludf.DUMMYFUNCTION("""COMPUTED_VALUE"""),"GC ABA - HÓA NÔNG SHINO - Vi lượng Quantity New - TRỢ LỰC D1 - 60ml - 100")</f>
        <v>GC ABA - HÓA NÔNG SHINO - Vi lượng Quantity New - TRỢ LỰC D1 - 60ml - 100</v>
      </c>
      <c r="I299" s="2" t="str">
        <f>IFERROR(__xludf.DUMMYFUNCTION("""COMPUTED_VALUE"""),"#N/A")</f>
        <v>#N/A</v>
      </c>
      <c r="J299" s="2" t="str">
        <f>IFERROR(__xludf.DUMMYFUNCTION("""COMPUTED_VALUE"""),"Cùng ruột 2576")</f>
        <v>Cùng ruột 2576</v>
      </c>
      <c r="K299" s="2"/>
      <c r="L299" s="2"/>
      <c r="M299" s="2" t="str">
        <f>IFERROR(__xludf.DUMMYFUNCTION("""COMPUTED_VALUE"""),"TRỢ LỰC D1")</f>
        <v>TRỢ LỰC D1</v>
      </c>
      <c r="N299" s="2" t="str">
        <f>IFERROR(__xludf.DUMMYFUNCTION("""COMPUTED_VALUE"""),"18TL0004V1")</f>
        <v>18TL0004V1</v>
      </c>
      <c r="O299" s="2" t="str">
        <f>IFERROR(__xludf.DUMMYFUNCTION("""COMPUTED_VALUE"""),"Phân bón Vi lượng Quantity New")</f>
        <v>Phân bón Vi lượng Quantity New</v>
      </c>
      <c r="P299" s="2" t="str">
        <f>IFERROR(__xludf.DUMMYFUNCTION("""COMPUTED_VALUE"""),"#N/A")</f>
        <v>#N/A</v>
      </c>
      <c r="Q299" s="30" t="str">
        <f>IFERROR(__xludf.DUMMYFUNCTION("""COMPUTED_VALUE"""),"KHÔNG KHỚP")</f>
        <v>KHÔNG KHỚP</v>
      </c>
      <c r="R299" s="2"/>
      <c r="S299" s="2"/>
      <c r="T299" s="2"/>
      <c r="U299" s="2"/>
      <c r="V299" s="2"/>
      <c r="W299" s="2"/>
      <c r="X299" s="2"/>
      <c r="Y299" s="2"/>
    </row>
    <row r="300">
      <c r="A300" s="30">
        <f>IFERROR(__xludf.DUMMYFUNCTION("""COMPUTED_VALUE"""),297.0)</f>
        <v>297</v>
      </c>
      <c r="B300" s="39">
        <f>IFERROR(__xludf.DUMMYFUNCTION("""COMPUTED_VALUE"""),45985.0)</f>
        <v>45985</v>
      </c>
      <c r="C300" s="30">
        <f>IFERROR(__xludf.DUMMYFUNCTION("""COMPUTED_VALUE"""),2.0)</f>
        <v>2</v>
      </c>
      <c r="D300" s="30" t="str">
        <f>IFERROR(__xludf.DUMMYFUNCTION("""COMPUTED_VALUE"""),"CT XỬ LÝ LỖI")</f>
        <v>CT XỬ LÝ LỖI</v>
      </c>
      <c r="E300" s="30"/>
      <c r="F300" s="2"/>
      <c r="G300" s="2" t="str">
        <f>IFERROR(__xludf.DUMMYFUNCTION("""COMPUTED_VALUE"""),"HH4232")</f>
        <v>HH4232</v>
      </c>
      <c r="H300" s="2" t="str">
        <f>IFERROR(__xludf.DUMMYFUNCTION("""COMPUTED_VALUE"""),"GC - IV - 4232 - CTY R3 - R3 BLOOM  (Nước xanh bơ sữa) - 330ml - 40")</f>
        <v>GC - IV - 4232 - CTY R3 - R3 BLOOM  (Nước xanh bơ sữa) - 330ml - 40</v>
      </c>
      <c r="I300" s="2" t="str">
        <f>IFERROR(__xludf.DUMMYFUNCTION("""COMPUTED_VALUE"""),"#N/A")</f>
        <v>#N/A</v>
      </c>
      <c r="J300" s="2"/>
      <c r="K300" s="2"/>
      <c r="L300" s="2" t="str">
        <f>IFERROR(__xludf.DUMMYFUNCTION("""COMPUTED_VALUE"""),"XỬ LÝ BTP LỖI")</f>
        <v>XỬ LÝ BTP LỖI</v>
      </c>
      <c r="M300" s="2" t="str">
        <f>IFERROR(__xludf.DUMMYFUNCTION("""COMPUTED_VALUE"""),"R3 BLOOM")</f>
        <v>R3 BLOOM</v>
      </c>
      <c r="N300" s="2" t="str">
        <f>IFERROR(__xludf.DUMMYFUNCTION("""COMPUTED_VALUE"""),"03DD0017V2-051125-1")</f>
        <v>03DD0017V2-051125-1</v>
      </c>
      <c r="O300" s="2" t="str">
        <f>IFERROR(__xludf.DUMMYFUNCTION("""COMPUTED_VALUE"""),"Phân bón lá NPK-Vi lượng GNC 19")</f>
        <v>Phân bón lá NPK-Vi lượng GNC 19</v>
      </c>
      <c r="P300" s="2" t="str">
        <f>IFERROR(__xludf.DUMMYFUNCTION("""COMPUTED_VALUE"""),"#N/A")</f>
        <v>#N/A</v>
      </c>
      <c r="Q300" s="30" t="str">
        <f>IFERROR(__xludf.DUMMYFUNCTION("""COMPUTED_VALUE"""),"KHÔNG KHỚP")</f>
        <v>KHÔNG KHỚP</v>
      </c>
      <c r="R300" s="2"/>
      <c r="S300" s="2"/>
      <c r="T300" s="2"/>
      <c r="U300" s="2"/>
      <c r="V300" s="2"/>
      <c r="W300" s="2"/>
      <c r="X300" s="2"/>
      <c r="Y300" s="2"/>
    </row>
    <row r="301">
      <c r="A301" s="30">
        <f>IFERROR(__xludf.DUMMYFUNCTION("""COMPUTED_VALUE"""),298.0)</f>
        <v>298</v>
      </c>
      <c r="B301" s="39">
        <f>IFERROR(__xludf.DUMMYFUNCTION("""COMPUTED_VALUE"""),45993.0)</f>
        <v>45993</v>
      </c>
      <c r="C301" s="30">
        <f>IFERROR(__xludf.DUMMYFUNCTION("""COMPUTED_VALUE"""),1.0)</f>
        <v>1</v>
      </c>
      <c r="D301" s="30" t="str">
        <f>IFERROR(__xludf.DUMMYFUNCTION("""COMPUTED_VALUE"""),"CT MỚI")</f>
        <v>CT MỚI</v>
      </c>
      <c r="E301" s="30"/>
      <c r="F301" s="2"/>
      <c r="G301" s="2" t="str">
        <f>IFERROR(__xludf.DUMMYFUNCTION("""COMPUTED_VALUE"""),"HH4411")</f>
        <v>HH4411</v>
      </c>
      <c r="H301" s="2" t="str">
        <f>IFERROR(__xludf.DUMMYFUNCTION("""COMPUTED_VALUE"""),"GC - IV - 4411 - CTY HƯƠNG NÔNG - FRESH UP (Nước nâu đen) - 250ml - 40")</f>
        <v>GC - IV - 4411 - CTY HƯƠNG NÔNG - FRESH UP (Nước nâu đen) - 250ml - 40</v>
      </c>
      <c r="I301" s="2" t="str">
        <f>IFERROR(__xludf.DUMMYFUNCTION("""COMPUTED_VALUE"""),"#N/A")</f>
        <v>#N/A</v>
      </c>
      <c r="J301" s="2" t="str">
        <f>IFERROR(__xludf.DUMMYFUNCTION("""COMPUTED_VALUE"""),"A01200225-02
Cùng ruột 3922, 4126")</f>
        <v>A01200225-02
Cùng ruột 3922, 4126</v>
      </c>
      <c r="K301" s="2"/>
      <c r="L301" s="2" t="str">
        <f>IFERROR(__xludf.DUMMYFUNCTION("""COMPUTED_VALUE"""),"A01200225-02")</f>
        <v>A01200225-02</v>
      </c>
      <c r="M301" s="2" t="str">
        <f>IFERROR(__xludf.DUMMYFUNCTION("""COMPUTED_VALUE"""),"BOOMGOLD
AGRI BOOST")</f>
        <v>BOOMGOLD
AGRI BOOST</v>
      </c>
      <c r="N301" s="2" t="str">
        <f>IFERROR(__xludf.DUMMYFUNCTION("""COMPUTED_VALUE"""),"10CR0019V1")</f>
        <v>10CR0019V1</v>
      </c>
      <c r="O301" s="2" t="str">
        <f>IFERROR(__xludf.DUMMYFUNCTION("""COMPUTED_VALUE"""),"Phân bón Hữu cơ SH Agro Organic Fertilizer 20")</f>
        <v>Phân bón Hữu cơ SH Agro Organic Fertilizer 20</v>
      </c>
      <c r="P301" s="2" t="str">
        <f>IFERROR(__xludf.DUMMYFUNCTION("""COMPUTED_VALUE"""),"#N/A")</f>
        <v>#N/A</v>
      </c>
      <c r="Q301" s="30" t="str">
        <f>IFERROR(__xludf.DUMMYFUNCTION("""COMPUTED_VALUE"""),"KHÔNG KHỚP")</f>
        <v>KHÔNG KHỚP</v>
      </c>
      <c r="R301" s="2"/>
      <c r="S301" s="2"/>
      <c r="T301" s="2"/>
      <c r="U301" s="2"/>
      <c r="V301" s="2"/>
      <c r="W301" s="2"/>
      <c r="X301" s="2"/>
      <c r="Y301" s="2"/>
    </row>
    <row r="302">
      <c r="A302" s="30">
        <f>IFERROR(__xludf.DUMMYFUNCTION("""COMPUTED_VALUE"""),299.0)</f>
        <v>299</v>
      </c>
      <c r="B302" s="39">
        <f>IFERROR(__xludf.DUMMYFUNCTION("""COMPUTED_VALUE"""),45964.0)</f>
        <v>45964</v>
      </c>
      <c r="C302" s="30">
        <f>IFERROR(__xludf.DUMMYFUNCTION("""COMPUTED_VALUE"""),1.0)</f>
        <v>1</v>
      </c>
      <c r="D302" s="30" t="str">
        <f>IFERROR(__xludf.DUMMYFUNCTION("""COMPUTED_VALUE"""),"CT MỚI")</f>
        <v>CT MỚI</v>
      </c>
      <c r="E302" s="30"/>
      <c r="F302" s="2"/>
      <c r="G302" s="2" t="str">
        <f>IFERROR(__xludf.DUMMYFUNCTION("""COMPUTED_VALUE"""),"HH4417")</f>
        <v>HH4417</v>
      </c>
      <c r="H302" s="2" t="str">
        <f>IFERROR(__xludf.DUMMYFUNCTION("""COMPUTED_VALUE"""),"GC - IV - 4417 - AGRITECH HÀ LAN - Phân bón hữu cơ AGRITECH HL NUÔI TRÁI (Nước nâu đen) - 500ml - 40")</f>
        <v>GC - IV - 4417 - AGRITECH HÀ LAN - Phân bón hữu cơ AGRITECH HL NUÔI TRÁI (Nước nâu đen) - 500ml - 40</v>
      </c>
      <c r="I302" s="2" t="str">
        <f>IFERROR(__xludf.DUMMYFUNCTION("""COMPUTED_VALUE"""),"#N/A")</f>
        <v>#N/A</v>
      </c>
      <c r="J302" s="2" t="str">
        <f>IFERROR(__xludf.DUMMYFUNCTION("""COMPUTED_VALUE"""),"A01011025")</f>
        <v>A01011025</v>
      </c>
      <c r="K302" s="2"/>
      <c r="L302" s="2" t="str">
        <f>IFERROR(__xludf.DUMMYFUNCTION("""COMPUTED_VALUE"""),"A01011025")</f>
        <v>A01011025</v>
      </c>
      <c r="M302" s="2" t="str">
        <f>IFERROR(__xludf.DUMMYFUNCTION("""COMPUTED_VALUE"""),"NUÔI TRÁI - AGRITECH HÀ LAN")</f>
        <v>NUÔI TRÁI - AGRITECH HÀ LAN</v>
      </c>
      <c r="N302" s="2" t="str">
        <f>IFERROR(__xludf.DUMMYFUNCTION("""COMPUTED_VALUE"""),"11TT0016V1")</f>
        <v>11TT0016V1</v>
      </c>
      <c r="O302" s="2" t="str">
        <f>IFERROR(__xludf.DUMMYFUNCTION("""COMPUTED_VALUE"""),"Phân bón Hữu cơ AGRITECH HL NUÔI TRÁI")</f>
        <v>Phân bón Hữu cơ AGRITECH HL NUÔI TRÁI</v>
      </c>
      <c r="P302" s="2" t="str">
        <f>IFERROR(__xludf.DUMMYFUNCTION("""COMPUTED_VALUE"""),"#N/A")</f>
        <v>#N/A</v>
      </c>
      <c r="Q302" s="30" t="str">
        <f>IFERROR(__xludf.DUMMYFUNCTION("""COMPUTED_VALUE"""),"KHÔNG KHỚP")</f>
        <v>KHÔNG KHỚP</v>
      </c>
      <c r="R302" s="2"/>
      <c r="S302" s="2"/>
      <c r="T302" s="2"/>
      <c r="U302" s="2"/>
      <c r="V302" s="2"/>
      <c r="W302" s="2"/>
      <c r="X302" s="2"/>
      <c r="Y302" s="2"/>
    </row>
    <row r="303">
      <c r="A303" s="30">
        <f>IFERROR(__xludf.DUMMYFUNCTION("""COMPUTED_VALUE"""),300.0)</f>
        <v>300</v>
      </c>
      <c r="B303" s="39">
        <f>IFERROR(__xludf.DUMMYFUNCTION("""COMPUTED_VALUE"""),45988.0)</f>
        <v>45988</v>
      </c>
      <c r="C303" s="30">
        <f>IFERROR(__xludf.DUMMYFUNCTION("""COMPUTED_VALUE"""),1.0)</f>
        <v>1</v>
      </c>
      <c r="D303" s="30" t="str">
        <f>IFERROR(__xludf.DUMMYFUNCTION("""COMPUTED_VALUE"""),"CT MỚI")</f>
        <v>CT MỚI</v>
      </c>
      <c r="E303" s="30"/>
      <c r="F303" s="2"/>
      <c r="G303" s="2" t="str">
        <f>IFERROR(__xludf.DUMMYFUNCTION("""COMPUTED_VALUE"""),"HH4421")</f>
        <v>HH4421</v>
      </c>
      <c r="H303" s="2" t="str">
        <f>IFERROR(__xludf.DUMMYFUNCTION("""COMPUTED_VALUE"""),"GC - IV - 4421 - CTY NAUY - THẦN ĐÒNG (Nước nâu đen) - 500ml - 40")</f>
        <v>GC - IV - 4421 - CTY NAUY - THẦN ĐÒNG (Nước nâu đen) - 500ml - 40</v>
      </c>
      <c r="I303" s="2" t="str">
        <f>IFERROR(__xludf.DUMMYFUNCTION("""COMPUTED_VALUE"""),"#N/A")</f>
        <v>#N/A</v>
      </c>
      <c r="J303" s="2" t="str">
        <f>IFERROR(__xludf.DUMMYFUNCTION("""COMPUTED_VALUE"""),"03DD0009
Cùng ruột 3567")</f>
        <v>03DD0009
Cùng ruột 3567</v>
      </c>
      <c r="K303" s="2"/>
      <c r="L303" s="2" t="str">
        <f>IFERROR(__xludf.DUMMYFUNCTION("""COMPUTED_VALUE"""),"S01281024")</f>
        <v>S01281024</v>
      </c>
      <c r="M303" s="2" t="str">
        <f>IFERROR(__xludf.DUMMYFUNCTION("""COMPUTED_VALUE"""),"DƯỠNG ĐÒNG-NAUY")</f>
        <v>DƯỠNG ĐÒNG-NAUY</v>
      </c>
      <c r="N303" s="2" t="str">
        <f>IFERROR(__xludf.DUMMYFUNCTION("""COMPUTED_VALUE"""),"03DD0009")</f>
        <v>03DD0009</v>
      </c>
      <c r="O303" s="2" t="str">
        <f>IFERROR(__xludf.DUMMYFUNCTION("""COMPUTED_VALUE"""),"Phân bón Vi lượng AGAMA-SUPPORT")</f>
        <v>Phân bón Vi lượng AGAMA-SUPPORT</v>
      </c>
      <c r="P303" s="2" t="str">
        <f>IFERROR(__xludf.DUMMYFUNCTION("""COMPUTED_VALUE"""),"#N/A")</f>
        <v>#N/A</v>
      </c>
      <c r="Q303" s="30" t="str">
        <f>IFERROR(__xludf.DUMMYFUNCTION("""COMPUTED_VALUE"""),"KHÔNG KHỚP")</f>
        <v>KHÔNG KHỚP</v>
      </c>
      <c r="R303" s="2"/>
      <c r="S303" s="2"/>
      <c r="T303" s="2"/>
      <c r="U303" s="2"/>
      <c r="V303" s="2"/>
      <c r="W303" s="2"/>
      <c r="X303" s="2"/>
      <c r="Y303" s="2"/>
    </row>
    <row r="304">
      <c r="A304" s="30">
        <f>IFERROR(__xludf.DUMMYFUNCTION("""COMPUTED_VALUE"""),301.0)</f>
        <v>301</v>
      </c>
      <c r="B304" s="39">
        <f>IFERROR(__xludf.DUMMYFUNCTION("""COMPUTED_VALUE"""),45944.0)</f>
        <v>45944</v>
      </c>
      <c r="C304" s="30">
        <f>IFERROR(__xludf.DUMMYFUNCTION("""COMPUTED_VALUE"""),6.0)</f>
        <v>6</v>
      </c>
      <c r="D304" s="30" t="str">
        <f>IFERROR(__xludf.DUMMYFUNCTION("""COMPUTED_VALUE"""),"CT CŨ")</f>
        <v>CT CŨ</v>
      </c>
      <c r="E304" s="30"/>
      <c r="F304" s="2"/>
      <c r="G304" s="2" t="str">
        <f>IFERROR(__xludf.DUMMYFUNCTION("""COMPUTED_VALUE"""),"HH4211")</f>
        <v>HH4211</v>
      </c>
      <c r="H304" s="2" t="str">
        <f>IFERROR(__xludf.DUMMYFUNCTION("""COMPUTED_VALUE"""),"GC - IV - 4211 - Cty Capy Global - TOP SPROUT (nước nâu đen) - 500ml - 40")</f>
        <v>GC - IV - 4211 - Cty Capy Global - TOP SPROUT (nước nâu đen) - 500ml - 40</v>
      </c>
      <c r="I304" s="39" t="str">
        <f>IFERROR(__xludf.DUMMYFUNCTION("""COMPUTED_VALUE"""),"Vi lượng Run Fast")</f>
        <v>Vi lượng Run Fast</v>
      </c>
      <c r="J304" s="2" t="str">
        <f>IFERROR(__xludf.DUMMYFUNCTION("""COMPUTED_VALUE"""),"cùng ruột HH2666")</f>
        <v>cùng ruột HH2666</v>
      </c>
      <c r="K304" s="2"/>
      <c r="L304" s="2"/>
      <c r="M304" s="2" t="str">
        <f>IFERROR(__xludf.DUMMYFUNCTION("""COMPUTED_VALUE"""),"TOP SPROUT")</f>
        <v>TOP SPROUT</v>
      </c>
      <c r="N304" s="2" t="str">
        <f>IFERROR(__xludf.DUMMYFUNCTION("""COMPUTED_VALUE"""),"08TM0004V1")</f>
        <v>08TM0004V1</v>
      </c>
      <c r="O304" s="2" t="str">
        <f>IFERROR(__xludf.DUMMYFUNCTION("""COMPUTED_VALUE"""),"Phân bón Vi lượng Run Fast")</f>
        <v>Phân bón Vi lượng Run Fast</v>
      </c>
      <c r="P304" s="2" t="str">
        <f>IFERROR(__xludf.DUMMYFUNCTION("""COMPUTED_VALUE"""),"Phân bón Vi lượng Run Fast")</f>
        <v>Phân bón Vi lượng Run Fast</v>
      </c>
      <c r="Q304" s="30" t="str">
        <f>IFERROR(__xludf.DUMMYFUNCTION("""COMPUTED_VALUE"""),"KHỚP")</f>
        <v>KHỚP</v>
      </c>
      <c r="R304" s="2"/>
      <c r="S304" s="2"/>
      <c r="T304" s="2"/>
      <c r="U304" s="2"/>
      <c r="V304" s="2"/>
      <c r="W304" s="2"/>
      <c r="X304" s="2"/>
      <c r="Y304" s="2"/>
    </row>
    <row r="305">
      <c r="A305" s="30">
        <f>IFERROR(__xludf.DUMMYFUNCTION("""COMPUTED_VALUE"""),302.0)</f>
        <v>302</v>
      </c>
      <c r="B305" s="39">
        <f>IFERROR(__xludf.DUMMYFUNCTION("""COMPUTED_VALUE"""),45940.0)</f>
        <v>45940</v>
      </c>
      <c r="C305" s="30">
        <f>IFERROR(__xludf.DUMMYFUNCTION("""COMPUTED_VALUE"""),3.0)</f>
        <v>3</v>
      </c>
      <c r="D305" s="30" t="str">
        <f>IFERROR(__xludf.DUMMYFUNCTION("""COMPUTED_VALUE"""),"CT CŨ")</f>
        <v>CT CŨ</v>
      </c>
      <c r="E305" s="30"/>
      <c r="F305" s="2"/>
      <c r="G305" s="2" t="str">
        <f>IFERROR(__xludf.DUMMYFUNCTION("""COMPUTED_VALUE"""),"HH4283")</f>
        <v>HH4283</v>
      </c>
      <c r="H305" s="2" t="str">
        <f>IFERROR(__xludf.DUMMYFUNCTION("""COMPUTED_VALUE"""),"GC - IX - 4283 - N2SBIO - N2 MG ZN-70 (Nước xanh lá) - 500ml - 40")</f>
        <v>GC - IX - 4283 - N2SBIO - N2 MG ZN-70 (Nước xanh lá) - 500ml - 40</v>
      </c>
      <c r="I305" s="2" t="str">
        <f>IFERROR(__xludf.DUMMYFUNCTION("""COMPUTED_VALUE"""),"#N/A")</f>
        <v>#N/A</v>
      </c>
      <c r="J305" s="2" t="str">
        <f>IFERROR(__xludf.DUMMYFUNCTION("""COMPUTED_VALUE"""),"N01080825")</f>
        <v>N01080825</v>
      </c>
      <c r="K305" s="2"/>
      <c r="L305" s="2" t="str">
        <f>IFERROR(__xludf.DUMMYFUNCTION("""COMPUTED_VALUE"""),"N01080825")</f>
        <v>N01080825</v>
      </c>
      <c r="M305" s="2" t="str">
        <f>IFERROR(__xludf.DUMMYFUNCTION("""COMPUTED_VALUE"""),"N2 MgZn-52")</f>
        <v>N2 MgZn-52</v>
      </c>
      <c r="N305" s="2" t="str">
        <f>IFERROR(__xludf.DUMMYFUNCTION("""COMPUTED_VALUE"""),"23GS0002V1")</f>
        <v>23GS0002V1</v>
      </c>
      <c r="O305" s="2" t="str">
        <f>IFERROR(__xludf.DUMMYFUNCTION("""COMPUTED_VALUE"""),"Phân bón vi lượng Phú Sĩ FJ-09 Kẽm Mg")</f>
        <v>Phân bón vi lượng Phú Sĩ FJ-09 Kẽm Mg</v>
      </c>
      <c r="P305" s="2" t="str">
        <f>IFERROR(__xludf.DUMMYFUNCTION("""COMPUTED_VALUE"""),"#N/A")</f>
        <v>#N/A</v>
      </c>
      <c r="Q305" s="30" t="str">
        <f>IFERROR(__xludf.DUMMYFUNCTION("""COMPUTED_VALUE"""),"KHÔNG KHỚP")</f>
        <v>KHÔNG KHỚP</v>
      </c>
      <c r="R305" s="2"/>
      <c r="S305" s="2"/>
      <c r="T305" s="2"/>
      <c r="U305" s="2"/>
      <c r="V305" s="2"/>
      <c r="W305" s="2"/>
      <c r="X305" s="2"/>
      <c r="Y305" s="2"/>
    </row>
    <row r="306">
      <c r="A306" s="30">
        <f>IFERROR(__xludf.DUMMYFUNCTION("""COMPUTED_VALUE"""),303.0)</f>
        <v>303</v>
      </c>
      <c r="B306" s="39">
        <f>IFERROR(__xludf.DUMMYFUNCTION("""COMPUTED_VALUE"""),45981.0)</f>
        <v>45981</v>
      </c>
      <c r="C306" s="30">
        <f>IFERROR(__xludf.DUMMYFUNCTION("""COMPUTED_VALUE"""),2.0)</f>
        <v>2</v>
      </c>
      <c r="D306" s="30" t="str">
        <f>IFERROR(__xludf.DUMMYFUNCTION("""COMPUTED_VALUE"""),"CT CŨ")</f>
        <v>CT CŨ</v>
      </c>
      <c r="E306" s="30"/>
      <c r="F306" s="2"/>
      <c r="G306" s="2" t="str">
        <f>IFERROR(__xludf.DUMMYFUNCTION("""COMPUTED_VALUE"""),"HH4318")</f>
        <v>HH4318</v>
      </c>
      <c r="H306" s="2" t="str">
        <f>IFERROR(__xludf.DUMMYFUNCTION("""COMPUTED_VALUE"""),"GC - IV - 4318 - CTY QUANG ĐĂNG AGRICULTURE - ROOTS GROW+ QĐ.SOLID (Nước nâu đen) - 500ml")</f>
        <v>GC - IV - 4318 - CTY QUANG ĐĂNG AGRICULTURE - ROOTS GROW+ QĐ.SOLID (Nước nâu đen) - 500ml</v>
      </c>
      <c r="I306" s="2" t="str">
        <f>IFERROR(__xludf.DUMMYFUNCTION("""COMPUTED_VALUE"""),"#N/A")</f>
        <v>#N/A</v>
      </c>
      <c r="J306" s="2" t="str">
        <f>IFERROR(__xludf.DUMMYFUNCTION("""COMPUTED_VALUE"""),"A04161024
Cùng ruột 3375")</f>
        <v>A04161024
Cùng ruột 3375</v>
      </c>
      <c r="K306" s="2"/>
      <c r="L306" s="2" t="str">
        <f>IFERROR(__xludf.DUMMYFUNCTION("""COMPUTED_VALUE"""),"A04161024")</f>
        <v>A04161024</v>
      </c>
      <c r="M306" s="2" t="str">
        <f>IFERROR(__xludf.DUMMYFUNCTION("""COMPUTED_VALUE"""),"VỌT ĐỌT-MẬP CHỒI
VỌT ĐỌT SUPER")</f>
        <v>VỌT ĐỌT-MẬP CHỒI
VỌT ĐỌT SUPER</v>
      </c>
      <c r="N306" s="2" t="str">
        <f>IFERROR(__xludf.DUMMYFUNCTION("""COMPUTED_VALUE"""),"19DD0024V1")</f>
        <v>19DD0024V1</v>
      </c>
      <c r="O306" s="2" t="str">
        <f>IFERROR(__xludf.DUMMYFUNCTION("""COMPUTED_VALUE"""),"Phân bón Vi lượng AGAMA-SUPPORT")</f>
        <v>Phân bón Vi lượng AGAMA-SUPPORT</v>
      </c>
      <c r="P306" s="2" t="str">
        <f>IFERROR(__xludf.DUMMYFUNCTION("""COMPUTED_VALUE"""),"#N/A")</f>
        <v>#N/A</v>
      </c>
      <c r="Q306" s="30" t="str">
        <f>IFERROR(__xludf.DUMMYFUNCTION("""COMPUTED_VALUE"""),"KHÔNG KHỚP")</f>
        <v>KHÔNG KHỚP</v>
      </c>
      <c r="R306" s="2"/>
      <c r="S306" s="2"/>
      <c r="T306" s="2"/>
      <c r="U306" s="2"/>
      <c r="V306" s="2"/>
      <c r="W306" s="2"/>
      <c r="X306" s="2"/>
      <c r="Y306" s="2"/>
    </row>
    <row r="307">
      <c r="A307" s="30">
        <f>IFERROR(__xludf.DUMMYFUNCTION("""COMPUTED_VALUE"""),304.0)</f>
        <v>304</v>
      </c>
      <c r="B307" s="39">
        <f>IFERROR(__xludf.DUMMYFUNCTION("""COMPUTED_VALUE"""),45953.0)</f>
        <v>45953</v>
      </c>
      <c r="C307" s="30">
        <f>IFERROR(__xludf.DUMMYFUNCTION("""COMPUTED_VALUE"""),1.0)</f>
        <v>1</v>
      </c>
      <c r="D307" s="30" t="str">
        <f>IFERROR(__xludf.DUMMYFUNCTION("""COMPUTED_VALUE"""),"CT CŨ")</f>
        <v>CT CŨ</v>
      </c>
      <c r="E307" s="30"/>
      <c r="F307" s="2"/>
      <c r="G307" s="2" t="str">
        <f>IFERROR(__xludf.DUMMYFUNCTION("""COMPUTED_VALUE"""),"HH4303")</f>
        <v>HH4303</v>
      </c>
      <c r="H307" s="2" t="str">
        <f>IFERROR(__xludf.DUMMYFUNCTION("""COMPUTED_VALUE"""),"GC - IV - 4303 - CSSX An Khang (A.Dinh) - TAK06 (Gel nâu đen) - 5L - 4")</f>
        <v>GC - IV - 4303 - CSSX An Khang (A.Dinh) - TAK06 (Gel nâu đen) - 5L - 4</v>
      </c>
      <c r="I307" s="2" t="str">
        <f>IFERROR(__xludf.DUMMYFUNCTION("""COMPUTED_VALUE"""),"#N/A")</f>
        <v>#N/A</v>
      </c>
      <c r="J307" s="2" t="str">
        <f>IFERROR(__xludf.DUMMYFUNCTION("""COMPUTED_VALUE"""),"A02251124")</f>
        <v>A02251124</v>
      </c>
      <c r="K307" s="2"/>
      <c r="L307" s="2" t="str">
        <f>IFERROR(__xludf.DUMMYFUNCTION("""COMPUTED_VALUE"""),"A02251124")</f>
        <v>A02251124</v>
      </c>
      <c r="M307" s="2" t="str">
        <f>IFERROR(__xludf.DUMMYFUNCTION("""COMPUTED_VALUE"""),"TAK06")</f>
        <v>TAK06</v>
      </c>
      <c r="N307" s="2" t="str">
        <f>IFERROR(__xludf.DUMMYFUNCTION("""COMPUTED_VALUE"""),"19DD0014V2")</f>
        <v>19DD0014V2</v>
      </c>
      <c r="O307" s="2" t="str">
        <f>IFERROR(__xludf.DUMMYFUNCTION("""COMPUTED_VALUE"""),"Phân bón Vi lượng Run Fast")</f>
        <v>Phân bón Vi lượng Run Fast</v>
      </c>
      <c r="P307" s="2" t="str">
        <f>IFERROR(__xludf.DUMMYFUNCTION("""COMPUTED_VALUE"""),"#N/A")</f>
        <v>#N/A</v>
      </c>
      <c r="Q307" s="30" t="str">
        <f>IFERROR(__xludf.DUMMYFUNCTION("""COMPUTED_VALUE"""),"KHÔNG KHỚP")</f>
        <v>KHÔNG KHỚP</v>
      </c>
      <c r="R307" s="2"/>
      <c r="S307" s="2"/>
      <c r="T307" s="2"/>
      <c r="U307" s="2"/>
      <c r="V307" s="2"/>
      <c r="W307" s="2"/>
      <c r="X307" s="2"/>
      <c r="Y307" s="2"/>
    </row>
    <row r="308">
      <c r="A308" s="30">
        <f>IFERROR(__xludf.DUMMYFUNCTION("""COMPUTED_VALUE"""),305.0)</f>
        <v>305</v>
      </c>
      <c r="B308" s="39">
        <f>IFERROR(__xludf.DUMMYFUNCTION("""COMPUTED_VALUE"""),45983.0)</f>
        <v>45983</v>
      </c>
      <c r="C308" s="30">
        <f>IFERROR(__xludf.DUMMYFUNCTION("""COMPUTED_VALUE"""),2.0)</f>
        <v>2</v>
      </c>
      <c r="D308" s="30" t="str">
        <f>IFERROR(__xludf.DUMMYFUNCTION("""COMPUTED_VALUE"""),"CT CŨ")</f>
        <v>CT CŨ</v>
      </c>
      <c r="E308" s="30"/>
      <c r="F308" s="2"/>
      <c r="G308" s="2" t="str">
        <f>IFERROR(__xludf.DUMMYFUNCTION("""COMPUTED_VALUE"""),"HH4205")</f>
        <v>HH4205</v>
      </c>
      <c r="H308" s="2" t="str">
        <f>IFERROR(__xludf.DUMMYFUNCTION("""COMPUTED_VALUE"""),"GC - IV - 4205 - THÀNH CÔNG AGRI - PT-STOP (Nước nâu đen) - 500ml - 30")</f>
        <v>GC - IV - 4205 - THÀNH CÔNG AGRI - PT-STOP (Nước nâu đen) - 500ml - 30</v>
      </c>
      <c r="I308" s="2" t="str">
        <f>IFERROR(__xludf.DUMMYFUNCTION("""COMPUTED_VALUE"""),"#N/A")</f>
        <v>#N/A</v>
      </c>
      <c r="J308" s="2" t="str">
        <f>IFERROR(__xludf.DUMMYFUNCTION("""COMPUTED_VALUE"""),"Dòng V3
cùng ruột HH3877")</f>
        <v>Dòng V3
cùng ruột HH3877</v>
      </c>
      <c r="K308" s="2"/>
      <c r="L308" s="2" t="str">
        <f>IFERROR(__xludf.DUMMYFUNCTION("""COMPUTED_VALUE"""),"CHẶN ĐỌT DÒNG V3")</f>
        <v>CHẶN ĐỌT DÒNG V3</v>
      </c>
      <c r="M308" s="2" t="str">
        <f>IFERROR(__xludf.DUMMYFUNCTION("""COMPUTED_VALUE"""),"KODO STOP
SIÊU CHẶN ĐỌT
STOP 25
UNI STOP
UNI STOP 25")</f>
        <v>KODO STOP
SIÊU CHẶN ĐỌT
STOP 25
UNI STOP
UNI STOP 25</v>
      </c>
      <c r="N308" s="2" t="str">
        <f>IFERROR(__xludf.DUMMYFUNCTION("""COMPUTED_VALUE"""),"06CD0007V1")</f>
        <v>06CD0007V1</v>
      </c>
      <c r="O308" s="2" t="str">
        <f>IFERROR(__xludf.DUMMYFUNCTION("""COMPUTED_VALUE"""),"Phân bón Vi lượng Quantity New")</f>
        <v>Phân bón Vi lượng Quantity New</v>
      </c>
      <c r="P308" s="2" t="str">
        <f>IFERROR(__xludf.DUMMYFUNCTION("""COMPUTED_VALUE"""),"#N/A")</f>
        <v>#N/A</v>
      </c>
      <c r="Q308" s="30" t="str">
        <f>IFERROR(__xludf.DUMMYFUNCTION("""COMPUTED_VALUE"""),"KHÔNG KHỚP")</f>
        <v>KHÔNG KHỚP</v>
      </c>
      <c r="R308" s="2"/>
      <c r="S308" s="2"/>
      <c r="T308" s="2"/>
      <c r="U308" s="2"/>
      <c r="V308" s="2"/>
      <c r="W308" s="2"/>
      <c r="X308" s="2"/>
      <c r="Y308" s="2"/>
    </row>
    <row r="309">
      <c r="A309" s="30">
        <f>IFERROR(__xludf.DUMMYFUNCTION("""COMPUTED_VALUE"""),306.0)</f>
        <v>306</v>
      </c>
      <c r="B309" s="39">
        <f>IFERROR(__xludf.DUMMYFUNCTION("""COMPUTED_VALUE"""),46000.0)</f>
        <v>46000</v>
      </c>
      <c r="C309" s="30">
        <f>IFERROR(__xludf.DUMMYFUNCTION("""COMPUTED_VALUE"""),2.0)</f>
        <v>2</v>
      </c>
      <c r="D309" s="30" t="str">
        <f>IFERROR(__xludf.DUMMYFUNCTION("""COMPUTED_VALUE"""),"CT CŨ")</f>
        <v>CT CŨ</v>
      </c>
      <c r="E309" s="30"/>
      <c r="F309" s="2"/>
      <c r="G309" s="2" t="str">
        <f>IFERROR(__xludf.DUMMYFUNCTION("""COMPUTED_VALUE"""),"HH4012")</f>
        <v>HH4012</v>
      </c>
      <c r="H309" s="2" t="str">
        <f>IFERROR(__xludf.DUMMYFUNCTION("""COMPUTED_VALUE"""),"GC - V - 4012 - N2SBIO - N2 PHYTO PLUS (Nước nâu đen) - 500ml - 40")</f>
        <v>GC - V - 4012 - N2SBIO - N2 PHYTO PLUS (Nước nâu đen) - 500ml - 40</v>
      </c>
      <c r="I309" s="2" t="str">
        <f>IFERROR(__xludf.DUMMYFUNCTION("""COMPUTED_VALUE"""),"#N/A")</f>
        <v>#N/A</v>
      </c>
      <c r="J309" s="2" t="str">
        <f>IFERROR(__xludf.DUMMYFUNCTION("""COMPUTED_VALUE"""),"N05181224")</f>
        <v>N05181224</v>
      </c>
      <c r="K309" s="2"/>
      <c r="L309" s="2" t="str">
        <f>IFERROR(__xludf.DUMMYFUNCTION("""COMPUTED_VALUE"""),"N05181224
X06121224")</f>
        <v>N05181224
X06121224</v>
      </c>
      <c r="M309" s="2" t="str">
        <f>IFERROR(__xludf.DUMMYFUNCTION("""COMPUTED_VALUE"""),"N2 PHYTO PLUS
DR.AB MAGSI")</f>
        <v>N2 PHYTO PLUS
DR.AB MAGSI</v>
      </c>
      <c r="N309" s="2" t="str">
        <f>IFERROR(__xludf.DUMMYFUNCTION("""COMPUTED_VALUE"""),"02CC0009V3")</f>
        <v>02CC0009V3</v>
      </c>
      <c r="O309" s="2" t="str">
        <f>IFERROR(__xludf.DUMMYFUNCTION("""COMPUTED_VALUE"""),"Phân bón Hữu cơ SH Agro Organic Fertilizer 20")</f>
        <v>Phân bón Hữu cơ SH Agro Organic Fertilizer 20</v>
      </c>
      <c r="P309" s="2" t="str">
        <f>IFERROR(__xludf.DUMMYFUNCTION("""COMPUTED_VALUE"""),"#N/A")</f>
        <v>#N/A</v>
      </c>
      <c r="Q309" s="30" t="str">
        <f>IFERROR(__xludf.DUMMYFUNCTION("""COMPUTED_VALUE"""),"KHÔNG KHỚP")</f>
        <v>KHÔNG KHỚP</v>
      </c>
      <c r="R309" s="2"/>
      <c r="S309" s="2"/>
      <c r="T309" s="2"/>
      <c r="U309" s="2"/>
      <c r="V309" s="2"/>
      <c r="W309" s="2"/>
      <c r="X309" s="2"/>
      <c r="Y309" s="2"/>
    </row>
    <row r="310">
      <c r="A310" s="30">
        <f>IFERROR(__xludf.DUMMYFUNCTION("""COMPUTED_VALUE"""),307.0)</f>
        <v>307</v>
      </c>
      <c r="B310" s="39">
        <f>IFERROR(__xludf.DUMMYFUNCTION("""COMPUTED_VALUE"""),45994.0)</f>
        <v>45994</v>
      </c>
      <c r="C310" s="30">
        <f>IFERROR(__xludf.DUMMYFUNCTION("""COMPUTED_VALUE"""),1.0)</f>
        <v>1</v>
      </c>
      <c r="D310" s="30" t="str">
        <f>IFERROR(__xludf.DUMMYFUNCTION("""COMPUTED_VALUE"""),"CT CŨ")</f>
        <v>CT CŨ</v>
      </c>
      <c r="E310" s="30"/>
      <c r="F310" s="2"/>
      <c r="G310" s="2" t="str">
        <f>IFERROR(__xludf.DUMMYFUNCTION("""COMPUTED_VALUE"""),"HH3833")</f>
        <v>HH3833</v>
      </c>
      <c r="H310" s="2" t="str">
        <f>IFERROR(__xludf.DUMMYFUNCTION("""COMPUTED_VALUE"""),"GC - V - 3833 - N2SBIO - N2 BOOSTER (Nước nâu đen) - 5L - 4")</f>
        <v>GC - V - 3833 - N2SBIO - N2 BOOSTER (Nước nâu đen) - 5L - 4</v>
      </c>
      <c r="I310" s="2" t="str">
        <f>IFERROR(__xludf.DUMMYFUNCTION("""COMPUTED_VALUE"""),"#N/A")</f>
        <v>#N/A</v>
      </c>
      <c r="J310" s="2" t="str">
        <f>IFERROR(__xludf.DUMMYFUNCTION("""COMPUTED_VALUE"""),"N04181224")</f>
        <v>N04181224</v>
      </c>
      <c r="K310" s="2"/>
      <c r="L310" s="2" t="str">
        <f>IFERROR(__xludf.DUMMYFUNCTION("""COMPUTED_VALUE"""),"N04181224
X05121224")</f>
        <v>N04181224
X05121224</v>
      </c>
      <c r="M310" s="2" t="str">
        <f>IFERROR(__xludf.DUMMYFUNCTION("""COMPUTED_VALUE"""),"N2 BOOSTER
DR.HUCO")</f>
        <v>N2 BOOSTER
DR.HUCO</v>
      </c>
      <c r="N310" s="2" t="str">
        <f>IFERROR(__xludf.DUMMYFUNCTION("""COMPUTED_VALUE"""),"01RR0041V2")</f>
        <v>01RR0041V2</v>
      </c>
      <c r="O310" s="2" t="str">
        <f>IFERROR(__xludf.DUMMYFUNCTION("""COMPUTED_VALUE"""),"Phân bón Hữu cơ ORGANIC BM GOLD FW")</f>
        <v>Phân bón Hữu cơ ORGANIC BM GOLD FW</v>
      </c>
      <c r="P310" s="2" t="str">
        <f>IFERROR(__xludf.DUMMYFUNCTION("""COMPUTED_VALUE"""),"#N/A")</f>
        <v>#N/A</v>
      </c>
      <c r="Q310" s="30" t="str">
        <f>IFERROR(__xludf.DUMMYFUNCTION("""COMPUTED_VALUE"""),"KHÔNG KHỚP")</f>
        <v>KHÔNG KHỚP</v>
      </c>
      <c r="R310" s="2"/>
      <c r="S310" s="2"/>
      <c r="T310" s="2"/>
      <c r="U310" s="2"/>
      <c r="V310" s="2"/>
      <c r="W310" s="2"/>
      <c r="X310" s="2"/>
      <c r="Y310" s="2"/>
    </row>
    <row r="311">
      <c r="A311" s="30">
        <f>IFERROR(__xludf.DUMMYFUNCTION("""COMPUTED_VALUE"""),308.0)</f>
        <v>308</v>
      </c>
      <c r="B311" s="39">
        <f>IFERROR(__xludf.DUMMYFUNCTION("""COMPUTED_VALUE"""),45908.0)</f>
        <v>45908</v>
      </c>
      <c r="C311" s="30">
        <f>IFERROR(__xludf.DUMMYFUNCTION("""COMPUTED_VALUE"""),1.0)</f>
        <v>1</v>
      </c>
      <c r="D311" s="30" t="str">
        <f>IFERROR(__xludf.DUMMYFUNCTION("""COMPUTED_VALUE"""),"CT CŨ")</f>
        <v>CT CŨ</v>
      </c>
      <c r="E311" s="30"/>
      <c r="F311" s="2"/>
      <c r="G311" s="2" t="str">
        <f>IFERROR(__xludf.DUMMYFUNCTION("""COMPUTED_VALUE"""),"HH4433")</f>
        <v>HH4433</v>
      </c>
      <c r="H311" s="2" t="str">
        <f>IFERROR(__xludf.DUMMYFUNCTION("""COMPUTED_VALUE"""),"AGRITECH - ANH TRƯƠNG - Hỗn Hợp NP AGAMA-AP - NUTI ROOTS 02 - 1L - 20")</f>
        <v>AGRITECH - ANH TRƯƠNG - Hỗn Hợp NP AGAMA-AP - NUTI ROOTS 02 - 1L - 20</v>
      </c>
      <c r="I311" s="2" t="str">
        <f>IFERROR(__xludf.DUMMYFUNCTION("""COMPUTED_VALUE"""),"#N/A")</f>
        <v>#N/A</v>
      </c>
      <c r="J311" s="2" t="str">
        <f>IFERROR(__xludf.DUMMYFUNCTION("""COMPUTED_VALUE"""),"Cùng ruột 
HH4052")</f>
        <v>Cùng ruột 
HH4052</v>
      </c>
      <c r="K311" s="2"/>
      <c r="L311" s="2" t="str">
        <f>IFERROR(__xludf.DUMMYFUNCTION("""COMPUTED_VALUE"""),"A20280225")</f>
        <v>A20280225</v>
      </c>
      <c r="M311" s="2" t="str">
        <f>IFERROR(__xludf.DUMMYFUNCTION("""COMPUTED_VALUE"""),"BETA VUA RỄ")</f>
        <v>BETA VUA RỄ</v>
      </c>
      <c r="N311" s="2" t="str">
        <f>IFERROR(__xludf.DUMMYFUNCTION("""COMPUTED_VALUE"""),"01RR0050")</f>
        <v>01RR0050</v>
      </c>
      <c r="O311" s="2" t="str">
        <f>IFERROR(__xludf.DUMMYFUNCTION("""COMPUTED_VALUE"""),"Phân bón Hỗn hợp NP AGAMA-AP")</f>
        <v>Phân bón Hỗn hợp NP AGAMA-AP</v>
      </c>
      <c r="P311" s="2" t="str">
        <f>IFERROR(__xludf.DUMMYFUNCTION("""COMPUTED_VALUE"""),"#N/A")</f>
        <v>#N/A</v>
      </c>
      <c r="Q311" s="30" t="str">
        <f>IFERROR(__xludf.DUMMYFUNCTION("""COMPUTED_VALUE"""),"KHÔNG KHỚP")</f>
        <v>KHÔNG KHỚP</v>
      </c>
      <c r="R311" s="2"/>
      <c r="S311" s="2"/>
      <c r="T311" s="2"/>
      <c r="U311" s="2"/>
      <c r="V311" s="2"/>
      <c r="W311" s="2"/>
      <c r="X311" s="2"/>
      <c r="Y311" s="2"/>
    </row>
    <row r="312">
      <c r="A312" s="30">
        <f>IFERROR(__xludf.DUMMYFUNCTION("""COMPUTED_VALUE"""),309.0)</f>
        <v>309</v>
      </c>
      <c r="B312" s="39">
        <f>IFERROR(__xludf.DUMMYFUNCTION("""COMPUTED_VALUE"""),45993.0)</f>
        <v>45993</v>
      </c>
      <c r="C312" s="30">
        <f>IFERROR(__xludf.DUMMYFUNCTION("""COMPUTED_VALUE"""),2.0)</f>
        <v>2</v>
      </c>
      <c r="D312" s="30" t="str">
        <f>IFERROR(__xludf.DUMMYFUNCTION("""COMPUTED_VALUE"""),"CT MỚI")</f>
        <v>CT MỚI</v>
      </c>
      <c r="E312" s="30"/>
      <c r="F312" s="2"/>
      <c r="G312" s="2" t="str">
        <f>IFERROR(__xludf.DUMMYFUNCTION("""COMPUTED_VALUE"""),"HH4091")</f>
        <v>HH4091</v>
      </c>
      <c r="H312" s="2" t="str">
        <f>IFERROR(__xludf.DUMMYFUNCTION("""COMPUTED_VALUE"""),"IDA Global - I - 4091 - KG - ORGANIC X2 (Nước nâu đen) - 1L - 20")</f>
        <v>IDA Global - I - 4091 - KG - ORGANIC X2 (Nước nâu đen) - 1L - 20</v>
      </c>
      <c r="I312" s="2" t="str">
        <f>IFERROR(__xludf.DUMMYFUNCTION("""COMPUTED_VALUE"""),"#N/A")</f>
        <v>#N/A</v>
      </c>
      <c r="J312" s="2" t="str">
        <f>IFERROR(__xludf.DUMMYFUNCTION("""COMPUTED_VALUE"""),"đóng như đơn gần nhất")</f>
        <v>đóng như đơn gần nhất</v>
      </c>
      <c r="K312" s="2"/>
      <c r="L312" s="2"/>
      <c r="M312" s="2" t="str">
        <f>IFERROR(__xludf.DUMMYFUNCTION("""COMPUTED_VALUE"""),"ORGANIC X2")</f>
        <v>ORGANIC X2</v>
      </c>
      <c r="N312" s="2" t="str">
        <f>IFERROR(__xludf.DUMMYFUNCTION("""COMPUTED_VALUE"""),"01RR0044V3")</f>
        <v>01RR0044V3</v>
      </c>
      <c r="O312" s="2" t="str">
        <f>IFERROR(__xludf.DUMMYFUNCTION("""COMPUTED_VALUE"""),"Phân bón Hữu cơ SH Agro Organic Fertilizer 20")</f>
        <v>Phân bón Hữu cơ SH Agro Organic Fertilizer 20</v>
      </c>
      <c r="P312" s="2" t="str">
        <f>IFERROR(__xludf.DUMMYFUNCTION("""COMPUTED_VALUE"""),"#N/A")</f>
        <v>#N/A</v>
      </c>
      <c r="Q312" s="30" t="str">
        <f>IFERROR(__xludf.DUMMYFUNCTION("""COMPUTED_VALUE"""),"KHÔNG KHỚP")</f>
        <v>KHÔNG KHỚP</v>
      </c>
      <c r="R312" s="2"/>
      <c r="S312" s="2"/>
      <c r="T312" s="2"/>
      <c r="U312" s="2"/>
      <c r="V312" s="2"/>
      <c r="W312" s="2"/>
      <c r="X312" s="2"/>
      <c r="Y312" s="2"/>
    </row>
    <row r="313">
      <c r="A313" s="30">
        <f>IFERROR(__xludf.DUMMYFUNCTION("""COMPUTED_VALUE"""),310.0)</f>
        <v>310</v>
      </c>
      <c r="B313" s="39">
        <f>IFERROR(__xludf.DUMMYFUNCTION("""COMPUTED_VALUE"""),45885.0)</f>
        <v>45885</v>
      </c>
      <c r="C313" s="30">
        <f>IFERROR(__xludf.DUMMYFUNCTION("""COMPUTED_VALUE"""),3.0)</f>
        <v>3</v>
      </c>
      <c r="D313" s="30" t="str">
        <f>IFERROR(__xludf.DUMMYFUNCTION("""COMPUTED_VALUE"""),"CT CŨ")</f>
        <v>CT CŨ</v>
      </c>
      <c r="E313" s="30"/>
      <c r="F313" s="2"/>
      <c r="G313" s="2" t="str">
        <f>IFERROR(__xludf.DUMMYFUNCTION("""COMPUTED_VALUE"""),"HH4075")</f>
        <v>HH4075</v>
      </c>
      <c r="H313" s="2" t="str">
        <f>IFERROR(__xludf.DUMMYFUNCTION("""COMPUTED_VALUE"""),"IDA Global - I - 4075 - CỨNG CÂY 304 (Nước nâu đen) - 500ml - 40")</f>
        <v>IDA Global - I - 4075 - CỨNG CÂY 304 (Nước nâu đen) - 500ml - 40</v>
      </c>
      <c r="I313" s="2" t="str">
        <f>IFERROR(__xludf.DUMMYFUNCTION("""COMPUTED_VALUE"""),"#N/A")</f>
        <v>#N/A</v>
      </c>
      <c r="J313" s="2" t="str">
        <f>IFERROR(__xludf.DUMMYFUNCTION("""COMPUTED_VALUE"""),"đóng như đơn gần nhất")</f>
        <v>đóng như đơn gần nhất</v>
      </c>
      <c r="K313" s="2"/>
      <c r="L313" s="2" t="str">
        <f>IFERROR(__xludf.DUMMYFUNCTION("""COMPUTED_VALUE"""),"L01261124")</f>
        <v>L01261124</v>
      </c>
      <c r="M313" s="2" t="str">
        <f>IFERROR(__xludf.DUMMYFUNCTION("""COMPUTED_VALUE"""),"CỨNG CÂY 304")</f>
        <v>CỨNG CÂY 304</v>
      </c>
      <c r="N313" s="2" t="str">
        <f>IFERROR(__xludf.DUMMYFUNCTION("""COMPUTED_VALUE"""),"02CC0002V1")</f>
        <v>02CC0002V1</v>
      </c>
      <c r="O313" s="2" t="str">
        <f>IFERROR(__xludf.DUMMYFUNCTION("""COMPUTED_VALUE"""),"Phân bón Hữu cơ SH Agro Organic Fertilizer 20")</f>
        <v>Phân bón Hữu cơ SH Agro Organic Fertilizer 20</v>
      </c>
      <c r="P313" s="2" t="str">
        <f>IFERROR(__xludf.DUMMYFUNCTION("""COMPUTED_VALUE"""),"#N/A")</f>
        <v>#N/A</v>
      </c>
      <c r="Q313" s="30" t="str">
        <f>IFERROR(__xludf.DUMMYFUNCTION("""COMPUTED_VALUE"""),"KHÔNG KHỚP")</f>
        <v>KHÔNG KHỚP</v>
      </c>
      <c r="R313" s="2"/>
      <c r="S313" s="2"/>
      <c r="T313" s="2"/>
      <c r="U313" s="2"/>
      <c r="V313" s="2"/>
      <c r="W313" s="2"/>
      <c r="X313" s="2"/>
      <c r="Y313" s="2"/>
    </row>
    <row r="314">
      <c r="A314" s="30">
        <f>IFERROR(__xludf.DUMMYFUNCTION("""COMPUTED_VALUE"""),311.0)</f>
        <v>311</v>
      </c>
      <c r="B314" s="39">
        <f>IFERROR(__xludf.DUMMYFUNCTION("""COMPUTED_VALUE"""),45994.0)</f>
        <v>45994</v>
      </c>
      <c r="C314" s="30">
        <f>IFERROR(__xludf.DUMMYFUNCTION("""COMPUTED_VALUE"""),1.0)</f>
        <v>1</v>
      </c>
      <c r="D314" s="30" t="str">
        <f>IFERROR(__xludf.DUMMYFUNCTION("""COMPUTED_VALUE"""),"CT MỚI")</f>
        <v>CT MỚI</v>
      </c>
      <c r="E314" s="30"/>
      <c r="F314" s="2"/>
      <c r="G314" s="2" t="str">
        <f>IFERROR(__xludf.DUMMYFUNCTION("""COMPUTED_VALUE"""),"HH4434")</f>
        <v>HH4434</v>
      </c>
      <c r="H314" s="2" t="str">
        <f>IFERROR(__xludf.DUMMYFUNCTION("""COMPUTED_VALUE"""),"GC - IV - 4434 - AGRITECH - NUTI RICE MAX (Gel vàng cam) - 1L - 20")</f>
        <v>GC - IV - 4434 - AGRITECH - NUTI RICE MAX (Gel vàng cam) - 1L - 20</v>
      </c>
      <c r="I314" s="2" t="str">
        <f>IFERROR(__xludf.DUMMYFUNCTION("""COMPUTED_VALUE"""),"#N/A")</f>
        <v>#N/A</v>
      </c>
      <c r="J314" s="2" t="str">
        <f>IFERROR(__xludf.DUMMYFUNCTION("""COMPUTED_VALUE"""),"Cùng ruột 
HH2881")</f>
        <v>Cùng ruột 
HH2881</v>
      </c>
      <c r="K314" s="2"/>
      <c r="L314" s="2"/>
      <c r="M314" s="2" t="str">
        <f>IFERROR(__xludf.DUMMYFUNCTION("""COMPUTED_VALUE"""),"NUTI RICE MAX")</f>
        <v>NUTI RICE MAX</v>
      </c>
      <c r="N314" s="2" t="str">
        <f>IFERROR(__xludf.DUMMYFUNCTION("""COMPUTED_VALUE"""),"04VG0018V1")</f>
        <v>04VG0018V1</v>
      </c>
      <c r="O314" s="2" t="str">
        <f>IFERROR(__xludf.DUMMYFUNCTION("""COMPUTED_VALUE"""),"Phân bón Vi lượng Run Fast")</f>
        <v>Phân bón Vi lượng Run Fast</v>
      </c>
      <c r="P314" s="2" t="str">
        <f>IFERROR(__xludf.DUMMYFUNCTION("""COMPUTED_VALUE"""),"#N/A")</f>
        <v>#N/A</v>
      </c>
      <c r="Q314" s="30" t="str">
        <f>IFERROR(__xludf.DUMMYFUNCTION("""COMPUTED_VALUE"""),"KHÔNG KHỚP")</f>
        <v>KHÔNG KHỚP</v>
      </c>
      <c r="R314" s="2"/>
      <c r="S314" s="2"/>
      <c r="T314" s="2"/>
      <c r="U314" s="2"/>
      <c r="V314" s="2"/>
      <c r="W314" s="2"/>
      <c r="X314" s="2"/>
      <c r="Y314" s="2"/>
    </row>
    <row r="315">
      <c r="A315" s="30">
        <f>IFERROR(__xludf.DUMMYFUNCTION("""COMPUTED_VALUE"""),312.0)</f>
        <v>312</v>
      </c>
      <c r="B315" s="39">
        <f>IFERROR(__xludf.DUMMYFUNCTION("""COMPUTED_VALUE"""),45911.0)</f>
        <v>45911</v>
      </c>
      <c r="C315" s="30">
        <f>IFERROR(__xludf.DUMMYFUNCTION("""COMPUTED_VALUE"""),1.0)</f>
        <v>1</v>
      </c>
      <c r="D315" s="30" t="str">
        <f>IFERROR(__xludf.DUMMYFUNCTION("""COMPUTED_VALUE"""),"CT CŨ")</f>
        <v>CT CŨ</v>
      </c>
      <c r="E315" s="30"/>
      <c r="F315" s="2"/>
      <c r="G315" s="2" t="str">
        <f>IFERROR(__xludf.DUMMYFUNCTION("""COMPUTED_VALUE"""),"HH4443")</f>
        <v>HH4443</v>
      </c>
      <c r="H315" s="2" t="str">
        <f>IFERROR(__xludf.DUMMYFUNCTION("""COMPUTED_VALUE"""),"GC ABA - NHP GROUP - Hữu cơ SH Agro Organic Fertilizer 20 - pH++ - 1L - 20")</f>
        <v>GC ABA - NHP GROUP - Hữu cơ SH Agro Organic Fertilizer 20 - pH++ - 1L - 20</v>
      </c>
      <c r="I315" s="2" t="str">
        <f>IFERROR(__xludf.DUMMYFUNCTION("""COMPUTED_VALUE"""),"#N/A")</f>
        <v>#N/A</v>
      </c>
      <c r="J315" s="2" t="str">
        <f>IFERROR(__xludf.DUMMYFUNCTION("""COMPUTED_VALUE"""),"Cùng ruột 3801
TAK09")</f>
        <v>Cùng ruột 3801
TAK09</v>
      </c>
      <c r="K315" s="2"/>
      <c r="L315" s="2" t="str">
        <f>IFERROR(__xludf.DUMMYFUNCTION("""COMPUTED_VALUE"""),"A01090625")</f>
        <v>A01090625</v>
      </c>
      <c r="M315" s="2" t="str">
        <f>IFERROR(__xludf.DUMMYFUNCTION("""COMPUTED_VALUE"""),"TAK09")</f>
        <v>TAK09</v>
      </c>
      <c r="N315" s="2" t="str">
        <f>IFERROR(__xludf.DUMMYFUNCTION("""COMPUTED_VALUE"""),"01RR0055")</f>
        <v>01RR0055</v>
      </c>
      <c r="O315" s="2" t="str">
        <f>IFERROR(__xludf.DUMMYFUNCTION("""COMPUTED_VALUE"""),"Phân bón Hữu cơ SH Agro Organic Fertilizer 20")</f>
        <v>Phân bón Hữu cơ SH Agro Organic Fertilizer 20</v>
      </c>
      <c r="P315" s="2" t="str">
        <f>IFERROR(__xludf.DUMMYFUNCTION("""COMPUTED_VALUE"""),"#N/A")</f>
        <v>#N/A</v>
      </c>
      <c r="Q315" s="30" t="str">
        <f>IFERROR(__xludf.DUMMYFUNCTION("""COMPUTED_VALUE"""),"KHÔNG KHỚP")</f>
        <v>KHÔNG KHỚP</v>
      </c>
      <c r="R315" s="2"/>
      <c r="S315" s="2"/>
      <c r="T315" s="2"/>
      <c r="U315" s="2"/>
      <c r="V315" s="2"/>
      <c r="W315" s="2"/>
      <c r="X315" s="2"/>
      <c r="Y315" s="2"/>
    </row>
    <row r="316">
      <c r="A316" s="30">
        <f>IFERROR(__xludf.DUMMYFUNCTION("""COMPUTED_VALUE"""),313.0)</f>
        <v>313</v>
      </c>
      <c r="B316" s="39">
        <f>IFERROR(__xludf.DUMMYFUNCTION("""COMPUTED_VALUE"""),45994.0)</f>
        <v>45994</v>
      </c>
      <c r="C316" s="30">
        <f>IFERROR(__xludf.DUMMYFUNCTION("""COMPUTED_VALUE"""),1.0)</f>
        <v>1</v>
      </c>
      <c r="D316" s="30" t="str">
        <f>IFERROR(__xludf.DUMMYFUNCTION("""COMPUTED_VALUE"""),"CT MỚI")</f>
        <v>CT MỚI</v>
      </c>
      <c r="E316" s="30"/>
      <c r="F316" s="2"/>
      <c r="G316" s="2" t="str">
        <f>IFERROR(__xludf.DUMMYFUNCTION("""COMPUTED_VALUE"""),"HH4446")</f>
        <v>HH4446</v>
      </c>
      <c r="H316" s="2" t="str">
        <f>IFERROR(__xludf.DUMMYFUNCTION("""COMPUTED_VALUE"""),"GC - IV - 4446 - CTY NAUY - ZN++ GOLD (Nước xanh lá sữa) - 250ml - 40")</f>
        <v>GC - IV - 4446 - CTY NAUY - ZN++ GOLD (Nước xanh lá sữa) - 250ml - 40</v>
      </c>
      <c r="I316" s="2" t="str">
        <f>IFERROR(__xludf.DUMMYFUNCTION("""COMPUTED_VALUE"""),"#N/A")</f>
        <v>#N/A</v>
      </c>
      <c r="J316" s="2" t="str">
        <f>IFERROR(__xludf.DUMMYFUNCTION("""COMPUTED_VALUE"""),"Cùng ruột 
HH3709")</f>
        <v>Cùng ruột 
HH3709</v>
      </c>
      <c r="K316" s="2"/>
      <c r="L316" s="2" t="str">
        <f>IFERROR(__xludf.DUMMYFUNCTION("""COMPUTED_VALUE"""),"A09291024")</f>
        <v>A09291024</v>
      </c>
      <c r="M316" s="2" t="str">
        <f>IFERROR(__xludf.DUMMYFUNCTION("""COMPUTED_VALUE"""),"BETA AMINO KẼM
ZN++ GOLD")</f>
        <v>BETA AMINO KẼM
ZN++ GOLD</v>
      </c>
      <c r="N316" s="2" t="str">
        <f>IFERROR(__xludf.DUMMYFUNCTION("""COMPUTED_VALUE"""),"13XL0011V1")</f>
        <v>13XL0011V1</v>
      </c>
      <c r="O316" s="2" t="str">
        <f>IFERROR(__xludf.DUMMYFUNCTION("""COMPUTED_VALUE"""),"Phân bón Vi lượng MICKEY")</f>
        <v>Phân bón Vi lượng MICKEY</v>
      </c>
      <c r="P316" s="2" t="str">
        <f>IFERROR(__xludf.DUMMYFUNCTION("""COMPUTED_VALUE"""),"#N/A")</f>
        <v>#N/A</v>
      </c>
      <c r="Q316" s="30" t="str">
        <f>IFERROR(__xludf.DUMMYFUNCTION("""COMPUTED_VALUE"""),"KHÔNG KHỚP")</f>
        <v>KHÔNG KHỚP</v>
      </c>
      <c r="R316" s="2"/>
      <c r="S316" s="2"/>
      <c r="T316" s="2"/>
      <c r="U316" s="2"/>
      <c r="V316" s="2"/>
      <c r="W316" s="2"/>
      <c r="X316" s="2"/>
      <c r="Y316" s="2"/>
    </row>
    <row r="317">
      <c r="A317" s="30">
        <f>IFERROR(__xludf.DUMMYFUNCTION("""COMPUTED_VALUE"""),314.0)</f>
        <v>314</v>
      </c>
      <c r="B317" s="39">
        <f>IFERROR(__xludf.DUMMYFUNCTION("""COMPUTED_VALUE"""),45964.0)</f>
        <v>45964</v>
      </c>
      <c r="C317" s="30">
        <f>IFERROR(__xludf.DUMMYFUNCTION("""COMPUTED_VALUE"""),1.0)</f>
        <v>1</v>
      </c>
      <c r="D317" s="30" t="str">
        <f>IFERROR(__xludf.DUMMYFUNCTION("""COMPUTED_VALUE"""),"CT MỚI")</f>
        <v>CT MỚI</v>
      </c>
      <c r="E317" s="30"/>
      <c r="F317" s="2"/>
      <c r="G317" s="2" t="str">
        <f>IFERROR(__xludf.DUMMYFUNCTION("""COMPUTED_VALUE"""),"HH4432")</f>
        <v>HH4432</v>
      </c>
      <c r="H317" s="2" t="str">
        <f>IFERROR(__xludf.DUMMYFUNCTION("""COMPUTED_VALUE"""),"GC ABA - CTY NAUY - Lá PK Vi lượng SV 5-18 - SUPER GOLD - 250ml - 40")</f>
        <v>GC ABA - CTY NAUY - Lá PK Vi lượng SV 5-18 - SUPER GOLD - 250ml - 40</v>
      </c>
      <c r="I317" s="2" t="str">
        <f>IFERROR(__xludf.DUMMYFUNCTION("""COMPUTED_VALUE"""),"#N/A")</f>
        <v>#N/A</v>
      </c>
      <c r="J317" s="2" t="str">
        <f>IFERROR(__xludf.DUMMYFUNCTION("""COMPUTED_VALUE"""),"Cùng ruột 
HH4001")</f>
        <v>Cùng ruột 
HH4001</v>
      </c>
      <c r="K317" s="2"/>
      <c r="L317" s="2" t="str">
        <f>IFERROR(__xludf.DUMMYFUNCTION("""COMPUTED_VALUE"""),"A05190825")</f>
        <v>A05190825</v>
      </c>
      <c r="M317" s="2" t="str">
        <f>IFERROR(__xludf.DUMMYFUNCTION("""COMPUTED_VALUE"""),"SUPER NANO VÔ GẠO
0 - 5 - 18 ")</f>
        <v>SUPER NANO VÔ GẠO
0 - 5 - 18 </v>
      </c>
      <c r="N317" s="2" t="str">
        <f>IFERROR(__xludf.DUMMYFUNCTION("""COMPUTED_VALUE"""),"04VG0045")</f>
        <v>04VG0045</v>
      </c>
      <c r="O317" s="2" t="str">
        <f>IFERROR(__xludf.DUMMYFUNCTION("""COMPUTED_VALUE"""),"Phân bón lá PK-Vi lượng SV 5-18")</f>
        <v>Phân bón lá PK-Vi lượng SV 5-18</v>
      </c>
      <c r="P317" s="2" t="str">
        <f>IFERROR(__xludf.DUMMYFUNCTION("""COMPUTED_VALUE"""),"#N/A")</f>
        <v>#N/A</v>
      </c>
      <c r="Q317" s="30" t="str">
        <f>IFERROR(__xludf.DUMMYFUNCTION("""COMPUTED_VALUE"""),"KHÔNG KHỚP")</f>
        <v>KHÔNG KHỚP</v>
      </c>
      <c r="R317" s="2"/>
      <c r="S317" s="2"/>
      <c r="T317" s="2"/>
      <c r="U317" s="2"/>
      <c r="V317" s="2"/>
      <c r="W317" s="2"/>
      <c r="X317" s="2"/>
      <c r="Y317" s="2"/>
    </row>
    <row r="318">
      <c r="A318" s="30">
        <f>IFERROR(__xludf.DUMMYFUNCTION("""COMPUTED_VALUE"""),315.0)</f>
        <v>315</v>
      </c>
      <c r="B318" s="39">
        <f>IFERROR(__xludf.DUMMYFUNCTION("""COMPUTED_VALUE"""),46000.0)</f>
        <v>46000</v>
      </c>
      <c r="C318" s="30">
        <f>IFERROR(__xludf.DUMMYFUNCTION("""COMPUTED_VALUE"""),1.0)</f>
        <v>1</v>
      </c>
      <c r="D318" s="30" t="str">
        <f>IFERROR(__xludf.DUMMYFUNCTION("""COMPUTED_VALUE"""),"CT MỚI")</f>
        <v>CT MỚI</v>
      </c>
      <c r="E318" s="30"/>
      <c r="F318" s="2"/>
      <c r="G318" s="2" t="str">
        <f>IFERROR(__xludf.DUMMYFUNCTION("""COMPUTED_VALUE"""),"HH4422")</f>
        <v>HH4422</v>
      </c>
      <c r="H318" s="2" t="str">
        <f>IFERROR(__xludf.DUMMYFUNCTION("""COMPUTED_VALUE"""),"GC - IV - 4422 - CTY JAPAN CROPS SCIENCE - DƯỠNG ĐÒNG (Dạng SC - Xanh dương) - 500ml - 40")</f>
        <v>GC - IV - 4422 - CTY JAPAN CROPS SCIENCE - DƯỠNG ĐÒNG (Dạng SC - Xanh dương) - 500ml - 40</v>
      </c>
      <c r="I318" s="2" t="str">
        <f>IFERROR(__xludf.DUMMYFUNCTION("""COMPUTED_VALUE"""),"#N/A")</f>
        <v>#N/A</v>
      </c>
      <c r="J318" s="2" t="str">
        <f>IFERROR(__xludf.DUMMYFUNCTION("""COMPUTED_VALUE"""),"A01041025
SC Hồng")</f>
        <v>A01041025
SC Hồng</v>
      </c>
      <c r="K318" s="2"/>
      <c r="L318" s="2" t="str">
        <f>IFERROR(__xludf.DUMMYFUNCTION("""COMPUTED_VALUE"""),"A01041025")</f>
        <v>A01041025</v>
      </c>
      <c r="M318" s="2" t="str">
        <f>IFERROR(__xludf.DUMMYFUNCTION("""COMPUTED_VALUE"""),"DƯỠNG ĐÒNG - TRỔ THOÁT ")</f>
        <v>DƯỠNG ĐÒNG - TRỔ THOÁT </v>
      </c>
      <c r="N318" s="2" t="str">
        <f>IFERROR(__xludf.DUMMYFUNCTION("""COMPUTED_VALUE"""),"19DD0028")</f>
        <v>19DD0028</v>
      </c>
      <c r="O318" s="2" t="str">
        <f>IFERROR(__xludf.DUMMYFUNCTION("""COMPUTED_VALUE"""),"Phân bón Vi lượng MICKEY")</f>
        <v>Phân bón Vi lượng MICKEY</v>
      </c>
      <c r="P318" s="2" t="str">
        <f>IFERROR(__xludf.DUMMYFUNCTION("""COMPUTED_VALUE"""),"#N/A")</f>
        <v>#N/A</v>
      </c>
      <c r="Q318" s="30" t="str">
        <f>IFERROR(__xludf.DUMMYFUNCTION("""COMPUTED_VALUE"""),"KHÔNG KHỚP")</f>
        <v>KHÔNG KHỚP</v>
      </c>
      <c r="R318" s="2"/>
      <c r="S318" s="2"/>
      <c r="T318" s="2"/>
      <c r="U318" s="2"/>
      <c r="V318" s="2"/>
      <c r="W318" s="2"/>
      <c r="X318" s="2"/>
      <c r="Y318" s="2"/>
    </row>
    <row r="319">
      <c r="A319" s="30">
        <f>IFERROR(__xludf.DUMMYFUNCTION("""COMPUTED_VALUE"""),316.0)</f>
        <v>316</v>
      </c>
      <c r="B319" s="39">
        <f>IFERROR(__xludf.DUMMYFUNCTION("""COMPUTED_VALUE"""),46000.0)</f>
        <v>46000</v>
      </c>
      <c r="C319" s="30">
        <f>IFERROR(__xludf.DUMMYFUNCTION("""COMPUTED_VALUE"""),1.0)</f>
        <v>1</v>
      </c>
      <c r="D319" s="30" t="str">
        <f>IFERROR(__xludf.DUMMYFUNCTION("""COMPUTED_VALUE"""),"CT MỚI")</f>
        <v>CT MỚI</v>
      </c>
      <c r="E319" s="30"/>
      <c r="F319" s="2"/>
      <c r="G319" s="2" t="str">
        <f>IFERROR(__xludf.DUMMYFUNCTION("""COMPUTED_VALUE"""),"HH4423")</f>
        <v>HH4423</v>
      </c>
      <c r="H319" s="2" t="str">
        <f>IFERROR(__xludf.DUMMYFUNCTION("""COMPUTED_VALUE"""),"GC - IV - 4423 - CTY JAPAN CROPS SCIENCE - VÔ GẠO (Dạng SC - Vàng) - 500ml - 40")</f>
        <v>GC - IV - 4423 - CTY JAPAN CROPS SCIENCE - VÔ GẠO (Dạng SC - Vàng) - 500ml - 40</v>
      </c>
      <c r="I319" s="2" t="str">
        <f>IFERROR(__xludf.DUMMYFUNCTION("""COMPUTED_VALUE"""),"#N/A")</f>
        <v>#N/A</v>
      </c>
      <c r="J319" s="2" t="str">
        <f>IFERROR(__xludf.DUMMYFUNCTION("""COMPUTED_VALUE"""),"A10260925
SC vàng")</f>
        <v>A10260925
SC vàng</v>
      </c>
      <c r="K319" s="2"/>
      <c r="L319" s="2" t="str">
        <f>IFERROR(__xludf.DUMMYFUNCTION("""COMPUTED_VALUE"""),"A10260925")</f>
        <v>A10260925</v>
      </c>
      <c r="M319" s="2" t="str">
        <f>IFERROR(__xludf.DUMMYFUNCTION("""COMPUTED_VALUE"""),"VÔ GẠO - SRH ")</f>
        <v>VÔ GẠO - SRH </v>
      </c>
      <c r="N319" s="2" t="str">
        <f>IFERROR(__xludf.DUMMYFUNCTION("""COMPUTED_VALUE"""),"04VG0046")</f>
        <v>04VG0046</v>
      </c>
      <c r="O319" s="2" t="str">
        <f>IFERROR(__xludf.DUMMYFUNCTION("""COMPUTED_VALUE"""),"Phân bón Hỗn hợp NPK AGAMA-SRH")</f>
        <v>Phân bón Hỗn hợp NPK AGAMA-SRH</v>
      </c>
      <c r="P319" s="2" t="str">
        <f>IFERROR(__xludf.DUMMYFUNCTION("""COMPUTED_VALUE"""),"#N/A")</f>
        <v>#N/A</v>
      </c>
      <c r="Q319" s="30" t="str">
        <f>IFERROR(__xludf.DUMMYFUNCTION("""COMPUTED_VALUE"""),"KHÔNG KHỚP")</f>
        <v>KHÔNG KHỚP</v>
      </c>
      <c r="R319" s="2"/>
      <c r="S319" s="2"/>
      <c r="T319" s="2"/>
      <c r="U319" s="2"/>
      <c r="V319" s="2"/>
      <c r="W319" s="2"/>
      <c r="X319" s="2"/>
      <c r="Y319" s="2"/>
    </row>
    <row r="320">
      <c r="A320" s="30">
        <f>IFERROR(__xludf.DUMMYFUNCTION("""COMPUTED_VALUE"""),317.0)</f>
        <v>317</v>
      </c>
      <c r="B320" s="39">
        <f>IFERROR(__xludf.DUMMYFUNCTION("""COMPUTED_VALUE"""),45994.0)</f>
        <v>45994</v>
      </c>
      <c r="C320" s="30">
        <f>IFERROR(__xludf.DUMMYFUNCTION("""COMPUTED_VALUE"""),1.0)</f>
        <v>1</v>
      </c>
      <c r="D320" s="30" t="str">
        <f>IFERROR(__xludf.DUMMYFUNCTION("""COMPUTED_VALUE"""),"CT MỚI")</f>
        <v>CT MỚI</v>
      </c>
      <c r="E320" s="30"/>
      <c r="F320" s="2"/>
      <c r="G320" s="2" t="str">
        <f>IFERROR(__xludf.DUMMYFUNCTION("""COMPUTED_VALUE"""),"HH4436")</f>
        <v>HH4436</v>
      </c>
      <c r="H320" s="2" t="str">
        <f>IFERROR(__xludf.DUMMYFUNCTION("""COMPUTED_VALUE"""),"AGRITECH - ANH TRƯƠNG - Vi lượng AGAMA-SUPPORT - NUTI FLOWER - 500ml - 40")</f>
        <v>AGRITECH - ANH TRƯƠNG - Vi lượng AGAMA-SUPPORT - NUTI FLOWER - 500ml - 40</v>
      </c>
      <c r="I320" s="2" t="str">
        <f>IFERROR(__xludf.DUMMYFUNCTION("""COMPUTED_VALUE"""),"#N/A")</f>
        <v>#N/A</v>
      </c>
      <c r="J320" s="2" t="str">
        <f>IFERROR(__xludf.DUMMYFUNCTION("""COMPUTED_VALUE"""),"Cùng ruột 
HH3500")</f>
        <v>Cùng ruột 
HH3500</v>
      </c>
      <c r="K320" s="2"/>
      <c r="L320" s="2" t="str">
        <f>IFERROR(__xludf.DUMMYFUNCTION("""COMPUTED_VALUE"""),"A07240824")</f>
        <v>A07240824</v>
      </c>
      <c r="M320" s="2" t="str">
        <f>IFERROR(__xludf.DUMMYFUNCTION("""COMPUTED_VALUE"""),"NUTI FLOWER")</f>
        <v>NUTI FLOWER</v>
      </c>
      <c r="N320" s="2" t="str">
        <f>IFERROR(__xludf.DUMMYFUNCTION("""COMPUTED_VALUE"""),"03DD0007V1")</f>
        <v>03DD0007V1</v>
      </c>
      <c r="O320" s="2" t="str">
        <f>IFERROR(__xludf.DUMMYFUNCTION("""COMPUTED_VALUE"""),"Phân bón Vi lượng AGAMA-SUPPORT")</f>
        <v>Phân bón Vi lượng AGAMA-SUPPORT</v>
      </c>
      <c r="P320" s="2" t="str">
        <f>IFERROR(__xludf.DUMMYFUNCTION("""COMPUTED_VALUE"""),"#N/A")</f>
        <v>#N/A</v>
      </c>
      <c r="Q320" s="30" t="str">
        <f>IFERROR(__xludf.DUMMYFUNCTION("""COMPUTED_VALUE"""),"KHÔNG KHỚP")</f>
        <v>KHÔNG KHỚP</v>
      </c>
      <c r="R320" s="2"/>
      <c r="S320" s="2"/>
      <c r="T320" s="2"/>
      <c r="U320" s="2"/>
      <c r="V320" s="2"/>
      <c r="W320" s="2"/>
      <c r="X320" s="2"/>
      <c r="Y320" s="2"/>
    </row>
    <row r="321">
      <c r="A321" s="30">
        <f>IFERROR(__xludf.DUMMYFUNCTION("""COMPUTED_VALUE"""),318.0)</f>
        <v>318</v>
      </c>
      <c r="B321" s="39">
        <f>IFERROR(__xludf.DUMMYFUNCTION("""COMPUTED_VALUE"""),45887.0)</f>
        <v>45887</v>
      </c>
      <c r="C321" s="30">
        <f>IFERROR(__xludf.DUMMYFUNCTION("""COMPUTED_VALUE"""),5.0)</f>
        <v>5</v>
      </c>
      <c r="D321" s="30" t="str">
        <f>IFERROR(__xludf.DUMMYFUNCTION("""COMPUTED_VALUE"""),"CT CŨ")</f>
        <v>CT CŨ</v>
      </c>
      <c r="E321" s="30"/>
      <c r="F321" s="2"/>
      <c r="G321" s="2" t="str">
        <f>IFERROR(__xludf.DUMMYFUNCTION("""COMPUTED_VALUE"""),"HH3790")</f>
        <v>HH3790</v>
      </c>
      <c r="H321" s="2" t="str">
        <f>IFERROR(__xludf.DUMMYFUNCTION("""COMPUTED_VALUE"""),"BAMBOO - VI - 3790 - BAMBOO CANXI BO MASTER (Nước trắng sữa) - 1L - 20")</f>
        <v>BAMBOO - VI - 3790 - BAMBOO CANXI BO MASTER (Nước trắng sữa) - 1L - 20</v>
      </c>
      <c r="I321" s="2" t="str">
        <f>IFERROR(__xludf.DUMMYFUNCTION("""COMPUTED_VALUE"""),"#N/A")</f>
        <v>#N/A</v>
      </c>
      <c r="J321" s="2"/>
      <c r="K321" s="2"/>
      <c r="L321" s="2"/>
      <c r="M321" s="2" t="str">
        <f>IFERROR(__xludf.DUMMYFUNCTION("""COMPUTED_VALUE"""),"CANXI BO MASTER")</f>
        <v>CANXI BO MASTER</v>
      </c>
      <c r="N321" s="2" t="str">
        <f>IFERROR(__xludf.DUMMYFUNCTION("""COMPUTED_VALUE"""),"10CR0015")</f>
        <v>10CR0015</v>
      </c>
      <c r="O321" s="2" t="str">
        <f>IFERROR(__xludf.DUMMYFUNCTION("""COMPUTED_VALUE"""),"Phân bón Vi lượng AGAMA-CANXI BO")</f>
        <v>Phân bón Vi lượng AGAMA-CANXI BO</v>
      </c>
      <c r="P321" s="2" t="str">
        <f>IFERROR(__xludf.DUMMYFUNCTION("""COMPUTED_VALUE"""),"#N/A")</f>
        <v>#N/A</v>
      </c>
      <c r="Q321" s="30" t="str">
        <f>IFERROR(__xludf.DUMMYFUNCTION("""COMPUTED_VALUE"""),"KHÔNG KHỚP")</f>
        <v>KHÔNG KHỚP</v>
      </c>
      <c r="R321" s="2"/>
      <c r="S321" s="2"/>
      <c r="T321" s="2"/>
      <c r="U321" s="2"/>
      <c r="V321" s="2"/>
      <c r="W321" s="2"/>
      <c r="X321" s="2"/>
      <c r="Y321" s="2"/>
    </row>
    <row r="322">
      <c r="A322" s="30">
        <f>IFERROR(__xludf.DUMMYFUNCTION("""COMPUTED_VALUE"""),319.0)</f>
        <v>319</v>
      </c>
      <c r="B322" s="39">
        <f>IFERROR(__xludf.DUMMYFUNCTION("""COMPUTED_VALUE"""),45887.0)</f>
        <v>45887</v>
      </c>
      <c r="C322" s="30">
        <f>IFERROR(__xludf.DUMMYFUNCTION("""COMPUTED_VALUE"""),6.0)</f>
        <v>6</v>
      </c>
      <c r="D322" s="30" t="str">
        <f>IFERROR(__xludf.DUMMYFUNCTION("""COMPUTED_VALUE"""),"CT CŨ")</f>
        <v>CT CŨ</v>
      </c>
      <c r="E322" s="30"/>
      <c r="F322" s="2"/>
      <c r="G322" s="2" t="str">
        <f>IFERROR(__xludf.DUMMYFUNCTION("""COMPUTED_VALUE"""),"HH3790")</f>
        <v>HH3790</v>
      </c>
      <c r="H322" s="2" t="str">
        <f>IFERROR(__xludf.DUMMYFUNCTION("""COMPUTED_VALUE"""),"BAMBOO - VI - 3790 - BAMBOO CANXI BO MASTER (Nước trắng sữa) - 1L - 20")</f>
        <v>BAMBOO - VI - 3790 - BAMBOO CANXI BO MASTER (Nước trắng sữa) - 1L - 20</v>
      </c>
      <c r="I322" s="2" t="str">
        <f>IFERROR(__xludf.DUMMYFUNCTION("""COMPUTED_VALUE"""),"#N/A")</f>
        <v>#N/A</v>
      </c>
      <c r="J322" s="2"/>
      <c r="K322" s="2"/>
      <c r="L322" s="2"/>
      <c r="M322" s="2" t="str">
        <f>IFERROR(__xludf.DUMMYFUNCTION("""COMPUTED_VALUE"""),"CANXI BO MASTER")</f>
        <v>CANXI BO MASTER</v>
      </c>
      <c r="N322" s="2" t="str">
        <f>IFERROR(__xludf.DUMMYFUNCTION("""COMPUTED_VALUE"""),"10CR0015")</f>
        <v>10CR0015</v>
      </c>
      <c r="O322" s="2" t="str">
        <f>IFERROR(__xludf.DUMMYFUNCTION("""COMPUTED_VALUE"""),"Phân bón Vi lượng AGAMA-CANXI BO")</f>
        <v>Phân bón Vi lượng AGAMA-CANXI BO</v>
      </c>
      <c r="P322" s="2" t="str">
        <f>IFERROR(__xludf.DUMMYFUNCTION("""COMPUTED_VALUE"""),"#N/A")</f>
        <v>#N/A</v>
      </c>
      <c r="Q322" s="30" t="str">
        <f>IFERROR(__xludf.DUMMYFUNCTION("""COMPUTED_VALUE"""),"KHÔNG KHỚP")</f>
        <v>KHÔNG KHỚP</v>
      </c>
      <c r="R322" s="2"/>
      <c r="S322" s="2"/>
      <c r="T322" s="2"/>
      <c r="U322" s="2"/>
      <c r="V322" s="2"/>
      <c r="W322" s="2"/>
      <c r="X322" s="2"/>
      <c r="Y322" s="2"/>
    </row>
    <row r="323">
      <c r="A323" s="30">
        <f>IFERROR(__xludf.DUMMYFUNCTION("""COMPUTED_VALUE"""),320.0)</f>
        <v>320</v>
      </c>
      <c r="B323" s="39">
        <f>IFERROR(__xludf.DUMMYFUNCTION("""COMPUTED_VALUE"""),45917.0)</f>
        <v>45917</v>
      </c>
      <c r="C323" s="30">
        <f>IFERROR(__xludf.DUMMYFUNCTION("""COMPUTED_VALUE"""),1.0)</f>
        <v>1</v>
      </c>
      <c r="D323" s="30" t="str">
        <f>IFERROR(__xludf.DUMMYFUNCTION("""COMPUTED_VALUE"""),"CT CŨ")</f>
        <v>CT CŨ</v>
      </c>
      <c r="E323" s="30"/>
      <c r="F323" s="2"/>
      <c r="G323" s="2" t="str">
        <f>IFERROR(__xludf.DUMMYFUNCTION("""COMPUTED_VALUE"""),"HH4451")</f>
        <v>HH4451</v>
      </c>
      <c r="H323" s="2" t="str">
        <f>IFERROR(__xludf.DUMMYFUNCTION("""COMPUTED_VALUE"""),"GC ABA - CSSX AN KHANG (A. DINH) - Vi lượng Run Fast - T-AK 02 - 500ml - 40")</f>
        <v>GC ABA - CSSX AN KHANG (A. DINH) - Vi lượng Run Fast - T-AK 02 - 500ml - 40</v>
      </c>
      <c r="I323" s="2" t="str">
        <f>IFERROR(__xludf.DUMMYFUNCTION("""COMPUTED_VALUE"""),"#N/A")</f>
        <v>#N/A</v>
      </c>
      <c r="J323" s="2" t="str">
        <f>IFERROR(__xludf.DUMMYFUNCTION("""COMPUTED_VALUE"""),"HH2550")</f>
        <v>HH2550</v>
      </c>
      <c r="K323" s="2"/>
      <c r="L323" s="2" t="str">
        <f>IFERROR(__xludf.DUMMYFUNCTION("""COMPUTED_VALUE"""),"A04060724")</f>
        <v>A04060724</v>
      </c>
      <c r="M323" s="2" t="str">
        <f>IFERROR(__xludf.DUMMYFUNCTION("""COMPUTED_VALUE"""),"T-AK 02
HP 06")</f>
        <v>T-AK 02
HP 06</v>
      </c>
      <c r="N323" s="2" t="str">
        <f>IFERROR(__xludf.DUMMYFUNCTION("""COMPUTED_VALUE"""),"09KH0010")</f>
        <v>09KH0010</v>
      </c>
      <c r="O323" s="2" t="str">
        <f>IFERROR(__xludf.DUMMYFUNCTION("""COMPUTED_VALUE"""),"Phân bón Vi lượng Run Fast")</f>
        <v>Phân bón Vi lượng Run Fast</v>
      </c>
      <c r="P323" s="2" t="str">
        <f>IFERROR(__xludf.DUMMYFUNCTION("""COMPUTED_VALUE"""),"#N/A")</f>
        <v>#N/A</v>
      </c>
      <c r="Q323" s="30" t="str">
        <f>IFERROR(__xludf.DUMMYFUNCTION("""COMPUTED_VALUE"""),"KHÔNG KHỚP")</f>
        <v>KHÔNG KHỚP</v>
      </c>
      <c r="R323" s="2"/>
      <c r="S323" s="2"/>
      <c r="T323" s="2"/>
      <c r="U323" s="2"/>
      <c r="V323" s="2"/>
      <c r="W323" s="2"/>
      <c r="X323" s="2"/>
      <c r="Y323" s="2"/>
    </row>
    <row r="324">
      <c r="A324" s="30">
        <f>IFERROR(__xludf.DUMMYFUNCTION("""COMPUTED_VALUE"""),321.0)</f>
        <v>321</v>
      </c>
      <c r="B324" s="39">
        <f>IFERROR(__xludf.DUMMYFUNCTION("""COMPUTED_VALUE"""),45905.0)</f>
        <v>45905</v>
      </c>
      <c r="C324" s="30">
        <f>IFERROR(__xludf.DUMMYFUNCTION("""COMPUTED_VALUE"""),5.0)</f>
        <v>5</v>
      </c>
      <c r="D324" s="30" t="str">
        <f>IFERROR(__xludf.DUMMYFUNCTION("""COMPUTED_VALUE"""),"CT CŨ")</f>
        <v>CT CŨ</v>
      </c>
      <c r="E324" s="30"/>
      <c r="F324" s="2"/>
      <c r="G324" s="2" t="str">
        <f>IFERROR(__xludf.DUMMYFUNCTION("""COMPUTED_VALUE"""),"HH4183")</f>
        <v>HH4183</v>
      </c>
      <c r="H324" s="2" t="str">
        <f>IFERROR(__xludf.DUMMYFUNCTION("""COMPUTED_VALUE"""),"GC - IV - 4183 - Cty Hương Nông - HN-pH++ (Nước nâu đen) - 5L - 4")</f>
        <v>GC - IV - 4183 - Cty Hương Nông - HN-pH++ (Nước nâu đen) - 5L - 4</v>
      </c>
      <c r="I324" s="2" t="str">
        <f>IFERROR(__xludf.DUMMYFUNCTION("""COMPUTED_VALUE"""),"#N/A")</f>
        <v>#N/A</v>
      </c>
      <c r="J324" s="2" t="str">
        <f>IFERROR(__xludf.DUMMYFUNCTION("""COMPUTED_VALUE"""),"Cùng ruột 
HH3960")</f>
        <v>Cùng ruột 
HH3960</v>
      </c>
      <c r="K324" s="2"/>
      <c r="L324" s="2"/>
      <c r="M324" s="2" t="str">
        <f>IFERROR(__xludf.DUMMYFUNCTION("""COMPUTED_VALUE"""),"HN-pH++")</f>
        <v>HN-pH++</v>
      </c>
      <c r="N324" s="2" t="str">
        <f>IFERROR(__xludf.DUMMYFUNCTION("""COMPUTED_VALUE"""),"01RR0014V4")</f>
        <v>01RR0014V4</v>
      </c>
      <c r="O324" s="2" t="str">
        <f>IFERROR(__xludf.DUMMYFUNCTION("""COMPUTED_VALUE"""),"Phân bón Hữu cơ SH Agro Organic Fertilizer 20")</f>
        <v>Phân bón Hữu cơ SH Agro Organic Fertilizer 20</v>
      </c>
      <c r="P324" s="2" t="str">
        <f>IFERROR(__xludf.DUMMYFUNCTION("""COMPUTED_VALUE"""),"#N/A")</f>
        <v>#N/A</v>
      </c>
      <c r="Q324" s="30" t="str">
        <f>IFERROR(__xludf.DUMMYFUNCTION("""COMPUTED_VALUE"""),"KHÔNG KHỚP")</f>
        <v>KHÔNG KHỚP</v>
      </c>
      <c r="R324" s="2"/>
      <c r="S324" s="2"/>
      <c r="T324" s="2"/>
      <c r="U324" s="2"/>
      <c r="V324" s="2"/>
      <c r="W324" s="2"/>
      <c r="X324" s="2"/>
      <c r="Y324" s="2"/>
    </row>
    <row r="325">
      <c r="A325" s="30">
        <f>IFERROR(__xludf.DUMMYFUNCTION("""COMPUTED_VALUE"""),322.0)</f>
        <v>322</v>
      </c>
      <c r="B325" s="39">
        <f>IFERROR(__xludf.DUMMYFUNCTION("""COMPUTED_VALUE"""),46002.0)</f>
        <v>46002</v>
      </c>
      <c r="C325" s="30">
        <f>IFERROR(__xludf.DUMMYFUNCTION("""COMPUTED_VALUE"""),3.0)</f>
        <v>3</v>
      </c>
      <c r="D325" s="30" t="str">
        <f>IFERROR(__xludf.DUMMYFUNCTION("""COMPUTED_VALUE"""),"CT CŨ")</f>
        <v>CT CŨ</v>
      </c>
      <c r="E325" s="30"/>
      <c r="F325" s="2"/>
      <c r="G325" s="2" t="str">
        <f>IFERROR(__xludf.DUMMYFUNCTION("""COMPUTED_VALUE"""),"HH4380")</f>
        <v>HH4380</v>
      </c>
      <c r="H325" s="2" t="str">
        <f>IFERROR(__xludf.DUMMYFUNCTION("""COMPUTED_VALUE"""),"GC - IV - 4380 - Cty Thành Công Agri - MASTER STOP (nước nâu đen V2) - 1L - 20")</f>
        <v>GC - IV - 4380 - Cty Thành Công Agri - MASTER STOP (nước nâu đen V2) - 1L - 20</v>
      </c>
      <c r="I325" s="39" t="str">
        <f>IFERROR(__xludf.DUMMYFUNCTION("""COMPUTED_VALUE"""),"Vi lượng Quantity New")</f>
        <v>Vi lượng Quantity New</v>
      </c>
      <c r="J325" s="2" t="str">
        <f>IFERROR(__xludf.DUMMYFUNCTION("""COMPUTED_VALUE"""),"CHẶN ĐỌT 
DÒNG V2")</f>
        <v>CHẶN ĐỌT 
DÒNG V2</v>
      </c>
      <c r="K325" s="2"/>
      <c r="L325" s="2" t="str">
        <f>IFERROR(__xludf.DUMMYFUNCTION("""COMPUTED_VALUE"""),"CHẶN ĐỌT DÒNG V2")</f>
        <v>CHẶN ĐỌT DÒNG V2</v>
      </c>
      <c r="M325" s="2" t="str">
        <f>IFERROR(__xludf.DUMMYFUNCTION("""COMPUTED_VALUE"""),"STOP UP
MT STOP
AGRI STOP
STOP ĐỌT
SIÊU CHẶN ĐỌT
MASTER STOP
UNI STOP ONE
BAMBOO DOUBLE STOP")</f>
        <v>STOP UP
MT STOP
AGRI STOP
STOP ĐỌT
SIÊU CHẶN ĐỌT
MASTER STOP
UNI STOP ONE
BAMBOO DOUBLE STOP</v>
      </c>
      <c r="N325" s="2" t="str">
        <f>IFERROR(__xludf.DUMMYFUNCTION("""COMPUTED_VALUE"""),"06CD0009V3")</f>
        <v>06CD0009V3</v>
      </c>
      <c r="O325" s="2" t="str">
        <f>IFERROR(__xludf.DUMMYFUNCTION("""COMPUTED_VALUE"""),"Phân bón Vi lượng Quantity New")</f>
        <v>Phân bón Vi lượng Quantity New</v>
      </c>
      <c r="P325" s="2" t="str">
        <f>IFERROR(__xludf.DUMMYFUNCTION("""COMPUTED_VALUE"""),"Phân bón Vi lượng Quantity New")</f>
        <v>Phân bón Vi lượng Quantity New</v>
      </c>
      <c r="Q325" s="30" t="str">
        <f>IFERROR(__xludf.DUMMYFUNCTION("""COMPUTED_VALUE"""),"KHỚP")</f>
        <v>KHỚP</v>
      </c>
      <c r="R325" s="2"/>
      <c r="S325" s="2"/>
      <c r="T325" s="2"/>
      <c r="U325" s="2"/>
      <c r="V325" s="2"/>
      <c r="W325" s="2"/>
      <c r="X325" s="2"/>
      <c r="Y325" s="2"/>
    </row>
    <row r="326">
      <c r="A326" s="30">
        <f>IFERROR(__xludf.DUMMYFUNCTION("""COMPUTED_VALUE"""),323.0)</f>
        <v>323</v>
      </c>
      <c r="B326" s="39">
        <f>IFERROR(__xludf.DUMMYFUNCTION("""COMPUTED_VALUE"""),45915.0)</f>
        <v>45915</v>
      </c>
      <c r="C326" s="30">
        <f>IFERROR(__xludf.DUMMYFUNCTION("""COMPUTED_VALUE"""),1.0)</f>
        <v>1</v>
      </c>
      <c r="D326" s="30" t="str">
        <f>IFERROR(__xludf.DUMMYFUNCTION("""COMPUTED_VALUE"""),"CT MỚI")</f>
        <v>CT MỚI</v>
      </c>
      <c r="E326" s="30"/>
      <c r="F326" s="2"/>
      <c r="G326" s="2" t="str">
        <f>IFERROR(__xludf.DUMMYFUNCTION("""COMPUTED_VALUE"""),"HH4449")</f>
        <v>HH4449</v>
      </c>
      <c r="H326" s="2" t="str">
        <f>IFERROR(__xludf.DUMMYFUNCTION("""COMPUTED_VALUE"""),"GC - IV - 4449 - CTY CAPY GLOBAL - POWER X20 (Nước vàng) - 90ml - 50")</f>
        <v>GC - IV - 4449 - CTY CAPY GLOBAL - POWER X20 (Nước vàng) - 90ml - 50</v>
      </c>
      <c r="I326" s="2" t="str">
        <f>IFERROR(__xludf.DUMMYFUNCTION("""COMPUTED_VALUE"""),"#N/A")</f>
        <v>#N/A</v>
      </c>
      <c r="J326" s="2" t="str">
        <f>IFERROR(__xludf.DUMMYFUNCTION("""COMPUTED_VALUE"""),"Cùng ruột 
HH2941")</f>
        <v>Cùng ruột 
HH2941</v>
      </c>
      <c r="K326" s="2"/>
      <c r="L326" s="2"/>
      <c r="M326" s="2" t="str">
        <f>IFERROR(__xludf.DUMMYFUNCTION("""COMPUTED_VALUE"""),"TRỢ LỰC D1")</f>
        <v>TRỢ LỰC D1</v>
      </c>
      <c r="N326" s="2" t="str">
        <f>IFERROR(__xludf.DUMMYFUNCTION("""COMPUTED_VALUE"""),"18TL0004V1")</f>
        <v>18TL0004V1</v>
      </c>
      <c r="O326" s="2" t="str">
        <f>IFERROR(__xludf.DUMMYFUNCTION("""COMPUTED_VALUE"""),"Phân bón Vi lượng Quantity New")</f>
        <v>Phân bón Vi lượng Quantity New</v>
      </c>
      <c r="P326" s="2" t="str">
        <f>IFERROR(__xludf.DUMMYFUNCTION("""COMPUTED_VALUE"""),"#N/A")</f>
        <v>#N/A</v>
      </c>
      <c r="Q326" s="30" t="str">
        <f>IFERROR(__xludf.DUMMYFUNCTION("""COMPUTED_VALUE"""),"KHÔNG KHỚP")</f>
        <v>KHÔNG KHỚP</v>
      </c>
      <c r="R326" s="2"/>
      <c r="S326" s="2"/>
      <c r="T326" s="2"/>
      <c r="U326" s="2"/>
      <c r="V326" s="2"/>
      <c r="W326" s="2"/>
      <c r="X326" s="2"/>
      <c r="Y326" s="2"/>
    </row>
    <row r="327">
      <c r="A327" s="30">
        <f>IFERROR(__xludf.DUMMYFUNCTION("""COMPUTED_VALUE"""),324.0)</f>
        <v>324</v>
      </c>
      <c r="B327" s="39">
        <f>IFERROR(__xludf.DUMMYFUNCTION("""COMPUTED_VALUE"""),46000.0)</f>
        <v>46000</v>
      </c>
      <c r="C327" s="30">
        <f>IFERROR(__xludf.DUMMYFUNCTION("""COMPUTED_VALUE"""),1.0)</f>
        <v>1</v>
      </c>
      <c r="D327" s="30" t="str">
        <f>IFERROR(__xludf.DUMMYFUNCTION("""COMPUTED_VALUE"""),"CT MỚI")</f>
        <v>CT MỚI</v>
      </c>
      <c r="E327" s="30"/>
      <c r="F327" s="2"/>
      <c r="G327" s="2" t="str">
        <f>IFERROR(__xludf.DUMMYFUNCTION("""COMPUTED_VALUE"""),"HH4448")</f>
        <v>HH4448</v>
      </c>
      <c r="H327" s="2" t="str">
        <f>IFERROR(__xludf.DUMMYFUNCTION("""COMPUTED_VALUE"""),"GC - IV - 4448 - Cty Newtex - VÔ GẠO T9 (Dạng SC - Xanh lá) - 500ml - 40")</f>
        <v>GC - IV - 4448 - Cty Newtex - VÔ GẠO T9 (Dạng SC - Xanh lá) - 500ml - 40</v>
      </c>
      <c r="I327" s="2" t="str">
        <f>IFERROR(__xludf.DUMMYFUNCTION("""COMPUTED_VALUE"""),"#N/A")</f>
        <v>#N/A</v>
      </c>
      <c r="J327" s="2" t="str">
        <f>IFERROR(__xludf.DUMMYFUNCTION("""COMPUTED_VALUE"""),"A01301025")</f>
        <v>A01301025</v>
      </c>
      <c r="K327" s="2"/>
      <c r="L327" s="2" t="str">
        <f>IFERROR(__xludf.DUMMYFUNCTION("""COMPUTED_VALUE"""),"A01301025")</f>
        <v>A01301025</v>
      </c>
      <c r="M327" s="2" t="str">
        <f>IFERROR(__xludf.DUMMYFUNCTION("""COMPUTED_VALUE"""),"VÔ GẠO T9")</f>
        <v>VÔ GẠO T9</v>
      </c>
      <c r="N327" s="2" t="str">
        <f>IFERROR(__xludf.DUMMYFUNCTION("""COMPUTED_VALUE"""),"04VG0040V2")</f>
        <v>04VG0040V2</v>
      </c>
      <c r="O327" s="2" t="str">
        <f>IFERROR(__xludf.DUMMYFUNCTION("""COMPUTED_VALUE"""),"Phân bón hỗn hợp NPK GNC 101")</f>
        <v>Phân bón hỗn hợp NPK GNC 101</v>
      </c>
      <c r="P327" s="2" t="str">
        <f>IFERROR(__xludf.DUMMYFUNCTION("""COMPUTED_VALUE"""),"#N/A")</f>
        <v>#N/A</v>
      </c>
      <c r="Q327" s="30" t="str">
        <f>IFERROR(__xludf.DUMMYFUNCTION("""COMPUTED_VALUE"""),"KHÔNG KHỚP")</f>
        <v>KHÔNG KHỚP</v>
      </c>
      <c r="R327" s="2"/>
      <c r="S327" s="2"/>
      <c r="T327" s="2"/>
      <c r="U327" s="2"/>
      <c r="V327" s="2"/>
      <c r="W327" s="2"/>
      <c r="X327" s="2"/>
      <c r="Y327" s="2"/>
    </row>
    <row r="328">
      <c r="A328" s="30">
        <f>IFERROR(__xludf.DUMMYFUNCTION("""COMPUTED_VALUE"""),325.0)</f>
        <v>325</v>
      </c>
      <c r="B328" s="39">
        <f>IFERROR(__xludf.DUMMYFUNCTION("""COMPUTED_VALUE"""),45994.0)</f>
        <v>45994</v>
      </c>
      <c r="C328" s="30">
        <f>IFERROR(__xludf.DUMMYFUNCTION("""COMPUTED_VALUE"""),1.0)</f>
        <v>1</v>
      </c>
      <c r="D328" s="30" t="str">
        <f>IFERROR(__xludf.DUMMYFUNCTION("""COMPUTED_VALUE"""),"CT MỚI")</f>
        <v>CT MỚI</v>
      </c>
      <c r="E328" s="30"/>
      <c r="F328" s="2"/>
      <c r="G328" s="2" t="str">
        <f>IFERROR(__xludf.DUMMYFUNCTION("""COMPUTED_VALUE"""),"HH4453")</f>
        <v>HH4453</v>
      </c>
      <c r="H328" s="2" t="str">
        <f>IFERROR(__xludf.DUMMYFUNCTION("""COMPUTED_VALUE"""),"GC - IV - 4453 - CTY NGỌC BẢO LONG AGRI - SIÊU RA RỄ (Nước nâu đen) - 500ml - 30")</f>
        <v>GC - IV - 4453 - CTY NGỌC BẢO LONG AGRI - SIÊU RA RỄ (Nước nâu đen) - 500ml - 30</v>
      </c>
      <c r="I328" s="2" t="str">
        <f>IFERROR(__xludf.DUMMYFUNCTION("""COMPUTED_VALUE"""),"#N/A")</f>
        <v>#N/A</v>
      </c>
      <c r="J328" s="2" t="str">
        <f>IFERROR(__xludf.DUMMYFUNCTION("""COMPUTED_VALUE"""),"A01121225
phối cải tiến")</f>
        <v>A01121225
phối cải tiến</v>
      </c>
      <c r="K328" s="2"/>
      <c r="L328" s="2" t="str">
        <f>IFERROR(__xludf.DUMMYFUNCTION("""COMPUTED_VALUE"""),"A01121225")</f>
        <v>A01121225</v>
      </c>
      <c r="M328" s="2" t="str">
        <f>IFERROR(__xludf.DUMMYFUNCTION("""COMPUTED_VALUE"""),"SIÊU RA RỄ")</f>
        <v>SIÊU RA RỄ</v>
      </c>
      <c r="N328" s="2" t="str">
        <f>IFERROR(__xludf.DUMMYFUNCTION("""COMPUTED_VALUE"""),"01RR0001V1")</f>
        <v>01RR0001V1</v>
      </c>
      <c r="O328" s="2" t="str">
        <f>IFERROR(__xludf.DUMMYFUNCTION("""COMPUTED_VALUE"""),"Phân bón Vi lượng Quantity New")</f>
        <v>Phân bón Vi lượng Quantity New</v>
      </c>
      <c r="P328" s="2" t="str">
        <f>IFERROR(__xludf.DUMMYFUNCTION("""COMPUTED_VALUE"""),"#N/A")</f>
        <v>#N/A</v>
      </c>
      <c r="Q328" s="30" t="str">
        <f>IFERROR(__xludf.DUMMYFUNCTION("""COMPUTED_VALUE"""),"KHÔNG KHỚP")</f>
        <v>KHÔNG KHỚP</v>
      </c>
      <c r="R328" s="2"/>
      <c r="S328" s="2"/>
      <c r="T328" s="2"/>
      <c r="U328" s="2"/>
      <c r="V328" s="2"/>
      <c r="W328" s="2"/>
      <c r="X328" s="2"/>
      <c r="Y328" s="2"/>
    </row>
    <row r="329">
      <c r="A329" s="30">
        <f>IFERROR(__xludf.DUMMYFUNCTION("""COMPUTED_VALUE"""),326.0)</f>
        <v>326</v>
      </c>
      <c r="B329" s="39" t="str">
        <f>IFERROR(__xludf.DUMMYFUNCTION("""COMPUTED_VALUE"""),"")</f>
        <v/>
      </c>
      <c r="C329" s="30">
        <f>IFERROR(__xludf.DUMMYFUNCTION("""COMPUTED_VALUE"""),2.0)</f>
        <v>2</v>
      </c>
      <c r="D329" s="30" t="str">
        <f>IFERROR(__xludf.DUMMYFUNCTION("""COMPUTED_VALUE"""),"CT CŨ")</f>
        <v>CT CŨ</v>
      </c>
      <c r="E329" s="30"/>
      <c r="F329" s="2"/>
      <c r="G329" s="2" t="str">
        <f>IFERROR(__xludf.DUMMYFUNCTION("""COMPUTED_VALUE"""),"HH4212")</f>
        <v>HH4212</v>
      </c>
      <c r="H329" s="2" t="str">
        <f>IFERROR(__xludf.DUMMYFUNCTION("""COMPUTED_VALUE"""),"GC - IV - 4212 - Cty CAPY GLOBAL - NUTRI BIO KING (Gel nâu đen) - 5L - 4")</f>
        <v>GC - IV - 4212 - Cty CAPY GLOBAL - NUTRI BIO KING (Gel nâu đen) - 5L - 4</v>
      </c>
      <c r="I329" s="2" t="str">
        <f>IFERROR(__xludf.DUMMYFUNCTION("""COMPUTED_VALUE"""),"#N/A")</f>
        <v>#N/A</v>
      </c>
      <c r="J329" s="2" t="str">
        <f>IFERROR(__xludf.DUMMYFUNCTION("""COMPUTED_VALUE"""),"A02131025")</f>
        <v>A02131025</v>
      </c>
      <c r="K329" s="2"/>
      <c r="L329" s="2" t="str">
        <f>IFERROR(__xludf.DUMMYFUNCTION("""COMPUTED_VALUE"""),"")</f>
        <v/>
      </c>
      <c r="M329" s="2" t="str">
        <f>IFERROR(__xludf.DUMMYFUNCTION("""COMPUTED_VALUE"""),"")</f>
        <v/>
      </c>
      <c r="N329" s="2" t="str">
        <f>IFERROR(__xludf.DUMMYFUNCTION("""COMPUTED_VALUE"""),"01RR0076 ")</f>
        <v>01RR0076 </v>
      </c>
      <c r="O329" s="2" t="str">
        <f>IFERROR(__xludf.DUMMYFUNCTION("""COMPUTED_VALUE"""),"")</f>
        <v/>
      </c>
      <c r="P329" s="2" t="str">
        <f>IFERROR(__xludf.DUMMYFUNCTION("""COMPUTED_VALUE"""),"#N/A")</f>
        <v>#N/A</v>
      </c>
      <c r="Q329" s="30" t="str">
        <f>IFERROR(__xludf.DUMMYFUNCTION("""COMPUTED_VALUE"""),"KHÔNG KHỚP")</f>
        <v>KHÔNG KHỚP</v>
      </c>
      <c r="R329" s="2"/>
      <c r="S329" s="2"/>
      <c r="T329" s="2"/>
      <c r="U329" s="2"/>
      <c r="V329" s="2"/>
      <c r="W329" s="2"/>
      <c r="X329" s="2"/>
      <c r="Y329" s="2"/>
    </row>
    <row r="330">
      <c r="A330" s="30">
        <f>IFERROR(__xludf.DUMMYFUNCTION("""COMPUTED_VALUE"""),327.0)</f>
        <v>327</v>
      </c>
      <c r="B330" s="39">
        <f>IFERROR(__xludf.DUMMYFUNCTION("""COMPUTED_VALUE"""),45937.0)</f>
        <v>45937</v>
      </c>
      <c r="C330" s="30">
        <f>IFERROR(__xludf.DUMMYFUNCTION("""COMPUTED_VALUE"""),4.0)</f>
        <v>4</v>
      </c>
      <c r="D330" s="30" t="str">
        <f>IFERROR(__xludf.DUMMYFUNCTION("""COMPUTED_VALUE"""),"CT CŨ")</f>
        <v>CT CŨ</v>
      </c>
      <c r="E330" s="30"/>
      <c r="F330" s="2"/>
      <c r="G330" s="2" t="str">
        <f>IFERROR(__xludf.DUMMYFUNCTION("""COMPUTED_VALUE"""),"HH3924")</f>
        <v>HH3924</v>
      </c>
      <c r="H330" s="2" t="str">
        <f>IFERROR(__xludf.DUMMYFUNCTION("""COMPUTED_VALUE"""),"BAMBOO - VI - 3924 - BAMBOO MG KẼM (nước xanh lá sữa) - 500ml - 40")</f>
        <v>BAMBOO - VI - 3924 - BAMBOO MG KẼM (nước xanh lá sữa) - 500ml - 40</v>
      </c>
      <c r="I330" s="2" t="str">
        <f>IFERROR(__xludf.DUMMYFUNCTION("""COMPUTED_VALUE"""),"#N/A")</f>
        <v>#N/A</v>
      </c>
      <c r="J330" s="2" t="str">
        <f>IFERROR(__xludf.DUMMYFUNCTION("""COMPUTED_VALUE"""),"đóng như đơn gần nhất")</f>
        <v>đóng như đơn gần nhất</v>
      </c>
      <c r="K330" s="2"/>
      <c r="L330" s="2" t="str">
        <f>IFERROR(__xludf.DUMMYFUNCTION("""COMPUTED_VALUE"""),"BB26040725")</f>
        <v>BB26040725</v>
      </c>
      <c r="M330" s="2" t="str">
        <f>IFERROR(__xludf.DUMMYFUNCTION("""COMPUTED_VALUE"""),"BAMBOO MG KẼM
LOTUS DIỆP LỤC")</f>
        <v>BAMBOO MG KẼM
LOTUS DIỆP LỤC</v>
      </c>
      <c r="N330" s="2" t="str">
        <f>IFERROR(__xludf.DUMMYFUNCTION("""COMPUTED_VALUE"""),"13XL0017V1")</f>
        <v>13XL0017V1</v>
      </c>
      <c r="O330" s="2" t="str">
        <f>IFERROR(__xludf.DUMMYFUNCTION("""COMPUTED_VALUE"""),"Phân bón vi lượng Phú Sĩ FJ-09 Kẽm Mg")</f>
        <v>Phân bón vi lượng Phú Sĩ FJ-09 Kẽm Mg</v>
      </c>
      <c r="P330" s="2" t="str">
        <f>IFERROR(__xludf.DUMMYFUNCTION("""COMPUTED_VALUE"""),"#N/A")</f>
        <v>#N/A</v>
      </c>
      <c r="Q330" s="30" t="str">
        <f>IFERROR(__xludf.DUMMYFUNCTION("""COMPUTED_VALUE"""),"KHÔNG KHỚP")</f>
        <v>KHÔNG KHỚP</v>
      </c>
      <c r="R330" s="2"/>
      <c r="S330" s="2"/>
      <c r="T330" s="2"/>
      <c r="U330" s="2"/>
      <c r="V330" s="2"/>
      <c r="W330" s="2"/>
      <c r="X330" s="2"/>
      <c r="Y330" s="2"/>
    </row>
    <row r="331">
      <c r="A331" s="30">
        <f>IFERROR(__xludf.DUMMYFUNCTION("""COMPUTED_VALUE"""),328.0)</f>
        <v>328</v>
      </c>
      <c r="B331" s="39">
        <f>IFERROR(__xludf.DUMMYFUNCTION("""COMPUTED_VALUE"""),45997.0)</f>
        <v>45997</v>
      </c>
      <c r="C331" s="30">
        <f>IFERROR(__xludf.DUMMYFUNCTION("""COMPUTED_VALUE"""),7.0)</f>
        <v>7</v>
      </c>
      <c r="D331" s="30" t="str">
        <f>IFERROR(__xludf.DUMMYFUNCTION("""COMPUTED_VALUE"""),"CT CŨ")</f>
        <v>CT CŨ</v>
      </c>
      <c r="E331" s="30"/>
      <c r="F331" s="2"/>
      <c r="G331" s="2" t="str">
        <f>IFERROR(__xludf.DUMMYFUNCTION("""COMPUTED_VALUE"""),"HH3790")</f>
        <v>HH3790</v>
      </c>
      <c r="H331" s="2" t="str">
        <f>IFERROR(__xludf.DUMMYFUNCTION("""COMPUTED_VALUE"""),"BAMBOO - VI - 3790 - BAMBOO CANXI BO MASTER (Nước trắng sữa) - 1L - 20")</f>
        <v>BAMBOO - VI - 3790 - BAMBOO CANXI BO MASTER (Nước trắng sữa) - 1L - 20</v>
      </c>
      <c r="I331" s="2" t="str">
        <f>IFERROR(__xludf.DUMMYFUNCTION("""COMPUTED_VALUE"""),"#N/A")</f>
        <v>#N/A</v>
      </c>
      <c r="J331" s="2"/>
      <c r="K331" s="2"/>
      <c r="L331" s="2"/>
      <c r="M331" s="2" t="str">
        <f>IFERROR(__xludf.DUMMYFUNCTION("""COMPUTED_VALUE"""),"CANXI BO MASTER")</f>
        <v>CANXI BO MASTER</v>
      </c>
      <c r="N331" s="2" t="str">
        <f>IFERROR(__xludf.DUMMYFUNCTION("""COMPUTED_VALUE"""),"10CR0015V1")</f>
        <v>10CR0015V1</v>
      </c>
      <c r="O331" s="2" t="str">
        <f>IFERROR(__xludf.DUMMYFUNCTION("""COMPUTED_VALUE"""),"Phân bón Vi lượng AGAMA-CANXI BO")</f>
        <v>Phân bón Vi lượng AGAMA-CANXI BO</v>
      </c>
      <c r="P331" s="2" t="str">
        <f>IFERROR(__xludf.DUMMYFUNCTION("""COMPUTED_VALUE"""),"#N/A")</f>
        <v>#N/A</v>
      </c>
      <c r="Q331" s="30" t="str">
        <f>IFERROR(__xludf.DUMMYFUNCTION("""COMPUTED_VALUE"""),"KHÔNG KHỚP")</f>
        <v>KHÔNG KHỚP</v>
      </c>
      <c r="R331" s="2"/>
      <c r="S331" s="2"/>
      <c r="T331" s="2"/>
      <c r="U331" s="2"/>
      <c r="V331" s="2"/>
      <c r="W331" s="2"/>
      <c r="X331" s="2"/>
      <c r="Y331" s="2"/>
    </row>
    <row r="332">
      <c r="A332" s="30">
        <f>IFERROR(__xludf.DUMMYFUNCTION("""COMPUTED_VALUE"""),329.0)</f>
        <v>329</v>
      </c>
      <c r="B332" s="39">
        <f>IFERROR(__xludf.DUMMYFUNCTION("""COMPUTED_VALUE"""),45997.0)</f>
        <v>45997</v>
      </c>
      <c r="C332" s="30">
        <f>IFERROR(__xludf.DUMMYFUNCTION("""COMPUTED_VALUE"""),2.0)</f>
        <v>2</v>
      </c>
      <c r="D332" s="30" t="str">
        <f>IFERROR(__xludf.DUMMYFUNCTION("""COMPUTED_VALUE"""),"CT CŨ")</f>
        <v>CT CŨ</v>
      </c>
      <c r="E332" s="30"/>
      <c r="F332" s="2"/>
      <c r="G332" s="2" t="str">
        <f>IFERROR(__xludf.DUMMYFUNCTION("""COMPUTED_VALUE"""),"HH4375")</f>
        <v>HH4375</v>
      </c>
      <c r="H332" s="2" t="str">
        <f>IFERROR(__xludf.DUMMYFUNCTION("""COMPUTED_VALUE"""),"BAMBOO - VI - 4375 - BAMBOO CANXI BO MASTER (Nước trắng sữa) - 1L - 20")</f>
        <v>BAMBOO - VI - 4375 - BAMBOO CANXI BO MASTER (Nước trắng sữa) - 1L - 20</v>
      </c>
      <c r="I332" s="39" t="str">
        <f>IFERROR(__xludf.DUMMYFUNCTION("""COMPUTED_VALUE"""),"Vi lượng AGAMA-CANXI BO")</f>
        <v>Vi lượng AGAMA-CANXI BO</v>
      </c>
      <c r="J332" s="2" t="str">
        <f>IFERROR(__xludf.DUMMYFUNCTION("""COMPUTED_VALUE"""),"Chung ruột HH3790")</f>
        <v>Chung ruột HH3790</v>
      </c>
      <c r="K332" s="2"/>
      <c r="L332" s="2"/>
      <c r="M332" s="2" t="str">
        <f>IFERROR(__xludf.DUMMYFUNCTION("""COMPUTED_VALUE"""),"CANXI BO MASTER")</f>
        <v>CANXI BO MASTER</v>
      </c>
      <c r="N332" s="2" t="str">
        <f>IFERROR(__xludf.DUMMYFUNCTION("""COMPUTED_VALUE"""),"10CR0015V1")</f>
        <v>10CR0015V1</v>
      </c>
      <c r="O332" s="2" t="str">
        <f>IFERROR(__xludf.DUMMYFUNCTION("""COMPUTED_VALUE"""),"Phân bón Vi lượng AGAMA-CANXI BO")</f>
        <v>Phân bón Vi lượng AGAMA-CANXI BO</v>
      </c>
      <c r="P332" s="2" t="str">
        <f>IFERROR(__xludf.DUMMYFUNCTION("""COMPUTED_VALUE"""),"Phân bón Vi lượng AGAMA-CANXI BO")</f>
        <v>Phân bón Vi lượng AGAMA-CANXI BO</v>
      </c>
      <c r="Q332" s="30" t="str">
        <f>IFERROR(__xludf.DUMMYFUNCTION("""COMPUTED_VALUE"""),"KHỚP")</f>
        <v>KHỚP</v>
      </c>
      <c r="R332" s="2"/>
      <c r="S332" s="2"/>
      <c r="T332" s="2"/>
      <c r="U332" s="2"/>
      <c r="V332" s="2"/>
      <c r="W332" s="2"/>
      <c r="X332" s="2"/>
      <c r="Y332" s="2"/>
    </row>
    <row r="333">
      <c r="A333" s="30">
        <f>IFERROR(__xludf.DUMMYFUNCTION("""COMPUTED_VALUE"""),330.0)</f>
        <v>330</v>
      </c>
      <c r="B333" s="39">
        <f>IFERROR(__xludf.DUMMYFUNCTION("""COMPUTED_VALUE"""),45994.0)</f>
        <v>45994</v>
      </c>
      <c r="C333" s="30">
        <f>IFERROR(__xludf.DUMMYFUNCTION("""COMPUTED_VALUE"""),1.0)</f>
        <v>1</v>
      </c>
      <c r="D333" s="30" t="str">
        <f>IFERROR(__xludf.DUMMYFUNCTION("""COMPUTED_VALUE"""),"CT CŨ")</f>
        <v>CT CŨ</v>
      </c>
      <c r="E333" s="30"/>
      <c r="F333" s="2"/>
      <c r="G333" s="2" t="str">
        <f>IFERROR(__xludf.DUMMYFUNCTION("""COMPUTED_VALUE"""),"HH3923")</f>
        <v>HH3923</v>
      </c>
      <c r="H333" s="2" t="str">
        <f>IFERROR(__xludf.DUMMYFUNCTION("""COMPUTED_VALUE"""),"BAMBOO - VI - 3923 - BAMBOO MAGIE FULVIC (nước nâu đen) - 1L - 20")</f>
        <v>BAMBOO - VI - 3923 - BAMBOO MAGIE FULVIC (nước nâu đen) - 1L - 20</v>
      </c>
      <c r="I333" s="2" t="str">
        <f>IFERROR(__xludf.DUMMYFUNCTION("""COMPUTED_VALUE"""),"#N/A")</f>
        <v>#N/A</v>
      </c>
      <c r="J333" s="2" t="str">
        <f>IFERROR(__xludf.DUMMYFUNCTION("""COMPUTED_VALUE"""),"đóng như đơn gần nhất")</f>
        <v>đóng như đơn gần nhất</v>
      </c>
      <c r="K333" s="2"/>
      <c r="L333" s="2" t="str">
        <f>IFERROR(__xludf.DUMMYFUNCTION("""COMPUTED_VALUE"""),"BB24040725")</f>
        <v>BB24040725</v>
      </c>
      <c r="M333" s="2" t="str">
        <f>IFERROR(__xludf.DUMMYFUNCTION("""COMPUTED_VALUE"""),"BAMBOO MAGIE FULVIC")</f>
        <v>BAMBOO MAGIE FULVIC</v>
      </c>
      <c r="N333" s="2" t="str">
        <f>IFERROR(__xludf.DUMMYFUNCTION("""COMPUTED_VALUE"""),"01RR0064V1")</f>
        <v>01RR0064V1</v>
      </c>
      <c r="O333" s="2" t="str">
        <f>IFERROR(__xludf.DUMMYFUNCTION("""COMPUTED_VALUE"""),"Phân bón hữu cơ FUSEMIN COMBI+")</f>
        <v>Phân bón hữu cơ FUSEMIN COMBI+</v>
      </c>
      <c r="P333" s="2" t="str">
        <f>IFERROR(__xludf.DUMMYFUNCTION("""COMPUTED_VALUE"""),"#N/A")</f>
        <v>#N/A</v>
      </c>
      <c r="Q333" s="30" t="str">
        <f>IFERROR(__xludf.DUMMYFUNCTION("""COMPUTED_VALUE"""),"KHÔNG KHỚP")</f>
        <v>KHÔNG KHỚP</v>
      </c>
      <c r="R333" s="2"/>
      <c r="S333" s="2"/>
      <c r="T333" s="2"/>
      <c r="U333" s="2"/>
      <c r="V333" s="2"/>
      <c r="W333" s="2"/>
      <c r="X333" s="2"/>
      <c r="Y333" s="2"/>
    </row>
    <row r="334">
      <c r="A334" s="30">
        <f>IFERROR(__xludf.DUMMYFUNCTION("""COMPUTED_VALUE"""),331.0)</f>
        <v>331</v>
      </c>
      <c r="B334" s="39">
        <f>IFERROR(__xludf.DUMMYFUNCTION("""COMPUTED_VALUE"""),45940.0)</f>
        <v>45940</v>
      </c>
      <c r="C334" s="30">
        <f>IFERROR(__xludf.DUMMYFUNCTION("""COMPUTED_VALUE"""),2.0)</f>
        <v>2</v>
      </c>
      <c r="D334" s="30" t="str">
        <f>IFERROR(__xludf.DUMMYFUNCTION("""COMPUTED_VALUE"""),"CT CŨ")</f>
        <v>CT CŨ</v>
      </c>
      <c r="E334" s="30"/>
      <c r="F334" s="2"/>
      <c r="G334" s="2" t="str">
        <f>IFERROR(__xludf.DUMMYFUNCTION("""COMPUTED_VALUE"""),"HH3966")</f>
        <v>HH3966</v>
      </c>
      <c r="H334" s="2" t="str">
        <f>IFERROR(__xludf.DUMMYFUNCTION("""COMPUTED_VALUE"""),"BAMBOO - VI - 3966 - BAMBOO 5.10.8 TE (chưa xác định) - 500ml - 40")</f>
        <v>BAMBOO - VI - 3966 - BAMBOO 5.10.8 TE (chưa xác định) - 500ml - 40</v>
      </c>
      <c r="I334" s="2" t="str">
        <f>IFERROR(__xludf.DUMMYFUNCTION("""COMPUTED_VALUE"""),"#N/A")</f>
        <v>#N/A</v>
      </c>
      <c r="J334" s="2" t="str">
        <f>IFERROR(__xludf.DUMMYFUNCTION("""COMPUTED_VALUE"""),"đóng như đơn gần nhất")</f>
        <v>đóng như đơn gần nhất</v>
      </c>
      <c r="K334" s="2"/>
      <c r="L334" s="2" t="str">
        <f>IFERROR(__xludf.DUMMYFUNCTION("""COMPUTED_VALUE"""),"BB27040725")</f>
        <v>BB27040725</v>
      </c>
      <c r="M334" s="2" t="str">
        <f>IFERROR(__xludf.DUMMYFUNCTION("""COMPUTED_VALUE"""),"BAMBOO 5.10.8 TE")</f>
        <v>BAMBOO 5.10.8 TE</v>
      </c>
      <c r="N334" s="2" t="str">
        <f>IFERROR(__xludf.DUMMYFUNCTION("""COMPUTED_VALUE"""),"03DD0016V1")</f>
        <v>03DD0016V1</v>
      </c>
      <c r="O334" s="2" t="str">
        <f>IFERROR(__xludf.DUMMYFUNCTION("""COMPUTED_VALUE"""),"Phân bón hỗn hợp NPK GBUMPER 02")</f>
        <v>Phân bón hỗn hợp NPK GBUMPER 02</v>
      </c>
      <c r="P334" s="2" t="str">
        <f>IFERROR(__xludf.DUMMYFUNCTION("""COMPUTED_VALUE"""),"#N/A")</f>
        <v>#N/A</v>
      </c>
      <c r="Q334" s="30" t="str">
        <f>IFERROR(__xludf.DUMMYFUNCTION("""COMPUTED_VALUE"""),"KHÔNG KHỚP")</f>
        <v>KHÔNG KHỚP</v>
      </c>
      <c r="R334" s="2"/>
      <c r="S334" s="2"/>
      <c r="T334" s="2"/>
      <c r="U334" s="2"/>
      <c r="V334" s="2"/>
      <c r="W334" s="2"/>
      <c r="X334" s="2"/>
      <c r="Y334" s="2"/>
    </row>
    <row r="335">
      <c r="A335" s="30">
        <f>IFERROR(__xludf.DUMMYFUNCTION("""COMPUTED_VALUE"""),332.0)</f>
        <v>332</v>
      </c>
      <c r="B335" s="39">
        <f>IFERROR(__xludf.DUMMYFUNCTION("""COMPUTED_VALUE"""),45940.0)</f>
        <v>45940</v>
      </c>
      <c r="C335" s="30">
        <f>IFERROR(__xludf.DUMMYFUNCTION("""COMPUTED_VALUE"""),2.0)</f>
        <v>2</v>
      </c>
      <c r="D335" s="30" t="str">
        <f>IFERROR(__xludf.DUMMYFUNCTION("""COMPUTED_VALUE"""),"CT CŨ")</f>
        <v>CT CŨ</v>
      </c>
      <c r="E335" s="30"/>
      <c r="F335" s="2"/>
      <c r="G335" s="2" t="str">
        <f>IFERROR(__xludf.DUMMYFUNCTION("""COMPUTED_VALUE"""),"HH3967")</f>
        <v>HH3967</v>
      </c>
      <c r="H335" s="2" t="str">
        <f>IFERROR(__xludf.DUMMYFUNCTION("""COMPUTED_VALUE"""),"BAMBOO - VI - 3967 - BAMBOO 10.10.20 TE (chưa xác định) - 500ml - 40")</f>
        <v>BAMBOO - VI - 3967 - BAMBOO 10.10.20 TE (chưa xác định) - 500ml - 40</v>
      </c>
      <c r="I335" s="2" t="str">
        <f>IFERROR(__xludf.DUMMYFUNCTION("""COMPUTED_VALUE"""),"#N/A")</f>
        <v>#N/A</v>
      </c>
      <c r="J335" s="2" t="str">
        <f>IFERROR(__xludf.DUMMYFUNCTION("""COMPUTED_VALUE"""),"đóng như đơn gần nhất")</f>
        <v>đóng như đơn gần nhất</v>
      </c>
      <c r="K335" s="2"/>
      <c r="L335" s="2" t="str">
        <f>IFERROR(__xludf.DUMMYFUNCTION("""COMPUTED_VALUE"""),"BB28040725")</f>
        <v>BB28040725</v>
      </c>
      <c r="M335" s="2" t="str">
        <f>IFERROR(__xludf.DUMMYFUNCTION("""COMPUTED_VALUE"""),"BAMBOO 10.10.20 TE")</f>
        <v>BAMBOO 10.10.20 TE</v>
      </c>
      <c r="N335" s="2" t="str">
        <f>IFERROR(__xludf.DUMMYFUNCTION("""COMPUTED_VALUE"""),"04VG0038V1")</f>
        <v>04VG0038V1</v>
      </c>
      <c r="O335" s="2" t="str">
        <f>IFERROR(__xludf.DUMMYFUNCTION("""COMPUTED_VALUE"""),"Phân bón hỗn hợp NPK GNC 102")</f>
        <v>Phân bón hỗn hợp NPK GNC 102</v>
      </c>
      <c r="P335" s="2" t="str">
        <f>IFERROR(__xludf.DUMMYFUNCTION("""COMPUTED_VALUE"""),"#N/A")</f>
        <v>#N/A</v>
      </c>
      <c r="Q335" s="30" t="str">
        <f>IFERROR(__xludf.DUMMYFUNCTION("""COMPUTED_VALUE"""),"KHÔNG KHỚP")</f>
        <v>KHÔNG KHỚP</v>
      </c>
      <c r="R335" s="2"/>
      <c r="S335" s="2"/>
      <c r="T335" s="2"/>
      <c r="U335" s="2"/>
      <c r="V335" s="2"/>
      <c r="W335" s="2"/>
      <c r="X335" s="2"/>
      <c r="Y335" s="2"/>
    </row>
    <row r="336">
      <c r="A336" s="30">
        <f>IFERROR(__xludf.DUMMYFUNCTION("""COMPUTED_VALUE"""),333.0)</f>
        <v>333</v>
      </c>
      <c r="B336" s="39">
        <f>IFERROR(__xludf.DUMMYFUNCTION("""COMPUTED_VALUE"""),45944.0)</f>
        <v>45944</v>
      </c>
      <c r="C336" s="30">
        <f>IFERROR(__xludf.DUMMYFUNCTION("""COMPUTED_VALUE"""),7.0)</f>
        <v>7</v>
      </c>
      <c r="D336" s="30" t="str">
        <f>IFERROR(__xludf.DUMMYFUNCTION("""COMPUTED_VALUE"""),"CT CŨ")</f>
        <v>CT CŨ</v>
      </c>
      <c r="E336" s="30"/>
      <c r="F336" s="2"/>
      <c r="G336" s="2" t="str">
        <f>IFERROR(__xludf.DUMMYFUNCTION("""COMPUTED_VALUE"""),"HH4211")</f>
        <v>HH4211</v>
      </c>
      <c r="H336" s="2" t="str">
        <f>IFERROR(__xludf.DUMMYFUNCTION("""COMPUTED_VALUE"""),"GC - IV - 4211 - Cty Capy Global - TOP SPROUT (nước nâu đen) - 500ml - 40")</f>
        <v>GC - IV - 4211 - Cty Capy Global - TOP SPROUT (nước nâu đen) - 500ml - 40</v>
      </c>
      <c r="I336" s="39" t="str">
        <f>IFERROR(__xludf.DUMMYFUNCTION("""COMPUTED_VALUE"""),"Vi lượng Run Fast")</f>
        <v>Vi lượng Run Fast</v>
      </c>
      <c r="J336" s="2" t="str">
        <f>IFERROR(__xludf.DUMMYFUNCTION("""COMPUTED_VALUE"""),"Cùng ruột 
HH2666")</f>
        <v>Cùng ruột 
HH2666</v>
      </c>
      <c r="K336" s="2"/>
      <c r="L336" s="2"/>
      <c r="M336" s="2" t="str">
        <f>IFERROR(__xludf.DUMMYFUNCTION("""COMPUTED_VALUE"""),"TOP SPROUT")</f>
        <v>TOP SPROUT</v>
      </c>
      <c r="N336" s="2" t="str">
        <f>IFERROR(__xludf.DUMMYFUNCTION("""COMPUTED_VALUE"""),"08TM0004V1")</f>
        <v>08TM0004V1</v>
      </c>
      <c r="O336" s="2" t="str">
        <f>IFERROR(__xludf.DUMMYFUNCTION("""COMPUTED_VALUE"""),"Phân bón Vi lượng Run Fast")</f>
        <v>Phân bón Vi lượng Run Fast</v>
      </c>
      <c r="P336" s="2" t="str">
        <f>IFERROR(__xludf.DUMMYFUNCTION("""COMPUTED_VALUE"""),"Phân bón Vi lượng Run Fast")</f>
        <v>Phân bón Vi lượng Run Fast</v>
      </c>
      <c r="Q336" s="30" t="str">
        <f>IFERROR(__xludf.DUMMYFUNCTION("""COMPUTED_VALUE"""),"KHỚP")</f>
        <v>KHỚP</v>
      </c>
      <c r="R336" s="2"/>
      <c r="S336" s="2"/>
      <c r="T336" s="2"/>
      <c r="U336" s="2"/>
      <c r="V336" s="2"/>
      <c r="W336" s="2"/>
      <c r="X336" s="2"/>
      <c r="Y336" s="2"/>
    </row>
    <row r="337">
      <c r="A337" s="30">
        <f>IFERROR(__xludf.DUMMYFUNCTION("""COMPUTED_VALUE"""),334.0)</f>
        <v>334</v>
      </c>
      <c r="B337" s="39">
        <f>IFERROR(__xludf.DUMMYFUNCTION("""COMPUTED_VALUE"""),45993.0)</f>
        <v>45993</v>
      </c>
      <c r="C337" s="30">
        <f>IFERROR(__xludf.DUMMYFUNCTION("""COMPUTED_VALUE"""),3.0)</f>
        <v>3</v>
      </c>
      <c r="D337" s="30" t="str">
        <f>IFERROR(__xludf.DUMMYFUNCTION("""COMPUTED_VALUE"""),"CT CŨ")</f>
        <v>CT CŨ</v>
      </c>
      <c r="E337" s="30"/>
      <c r="F337" s="2"/>
      <c r="G337" s="2" t="str">
        <f>IFERROR(__xludf.DUMMYFUNCTION("""COMPUTED_VALUE"""),"HH4091")</f>
        <v>HH4091</v>
      </c>
      <c r="H337" s="2" t="str">
        <f>IFERROR(__xludf.DUMMYFUNCTION("""COMPUTED_VALUE"""),"IDA Global - I - 4091 - KG - ORGANIC X2 (Nước nâu đen) - 1L - 20")</f>
        <v>IDA Global - I - 4091 - KG - ORGANIC X2 (Nước nâu đen) - 1L - 20</v>
      </c>
      <c r="I337" s="2" t="str">
        <f>IFERROR(__xludf.DUMMYFUNCTION("""COMPUTED_VALUE"""),"#N/A")</f>
        <v>#N/A</v>
      </c>
      <c r="J337" s="2" t="str">
        <f>IFERROR(__xludf.DUMMYFUNCTION("""COMPUTED_VALUE"""),"đóng như đơn gần nhất")</f>
        <v>đóng như đơn gần nhất</v>
      </c>
      <c r="K337" s="2"/>
      <c r="L337" s="2"/>
      <c r="M337" s="2" t="str">
        <f>IFERROR(__xludf.DUMMYFUNCTION("""COMPUTED_VALUE"""),"ORGANIC X2")</f>
        <v>ORGANIC X2</v>
      </c>
      <c r="N337" s="2" t="str">
        <f>IFERROR(__xludf.DUMMYFUNCTION("""COMPUTED_VALUE"""),"01RR0044V3")</f>
        <v>01RR0044V3</v>
      </c>
      <c r="O337" s="2" t="str">
        <f>IFERROR(__xludf.DUMMYFUNCTION("""COMPUTED_VALUE"""),"Phân bón Hữu cơ SH Agro Organic Fertilizer 20")</f>
        <v>Phân bón Hữu cơ SH Agro Organic Fertilizer 20</v>
      </c>
      <c r="P337" s="2" t="str">
        <f>IFERROR(__xludf.DUMMYFUNCTION("""COMPUTED_VALUE"""),"#N/A")</f>
        <v>#N/A</v>
      </c>
      <c r="Q337" s="30" t="str">
        <f>IFERROR(__xludf.DUMMYFUNCTION("""COMPUTED_VALUE"""),"KHÔNG KHỚP")</f>
        <v>KHÔNG KHỚP</v>
      </c>
      <c r="R337" s="2"/>
      <c r="S337" s="2"/>
      <c r="T337" s="2"/>
      <c r="U337" s="2"/>
      <c r="V337" s="2"/>
      <c r="W337" s="2"/>
      <c r="X337" s="2"/>
      <c r="Y337" s="2"/>
    </row>
    <row r="338">
      <c r="A338" s="30">
        <f>IFERROR(__xludf.DUMMYFUNCTION("""COMPUTED_VALUE"""),335.0)</f>
        <v>335</v>
      </c>
      <c r="B338" s="39">
        <f>IFERROR(__xludf.DUMMYFUNCTION("""COMPUTED_VALUE"""),45996.0)</f>
        <v>45996</v>
      </c>
      <c r="C338" s="30">
        <f>IFERROR(__xludf.DUMMYFUNCTION("""COMPUTED_VALUE"""),4.0)</f>
        <v>4</v>
      </c>
      <c r="D338" s="30" t="str">
        <f>IFERROR(__xludf.DUMMYFUNCTION("""COMPUTED_VALUE"""),"CT XỬ LÝ LỖI")</f>
        <v>CT XỬ LÝ LỖI</v>
      </c>
      <c r="E338" s="30"/>
      <c r="F338" s="2"/>
      <c r="G338" s="2" t="str">
        <f>IFERROR(__xludf.DUMMYFUNCTION("""COMPUTED_VALUE"""),"HH3925")</f>
        <v>HH3925</v>
      </c>
      <c r="H338" s="2" t="str">
        <f>IFERROR(__xludf.DUMMYFUNCTION("""COMPUTED_VALUE"""),"GC - IV - 3925 - Cty Newtex - ĐÒNG TO BÔNG KẸO T7 (Nước vàng nhạt) - 500ml - 40")</f>
        <v>GC - IV - 3925 - Cty Newtex - ĐÒNG TO BÔNG KẸO T7 (Nước vàng nhạt) - 500ml - 40</v>
      </c>
      <c r="I338" s="2" t="str">
        <f>IFERROR(__xludf.DUMMYFUNCTION("""COMPUTED_VALUE"""),"#N/A")</f>
        <v>#N/A</v>
      </c>
      <c r="J338" s="2" t="str">
        <f>IFERROR(__xludf.DUMMYFUNCTION("""COMPUTED_VALUE"""),"A03260525")</f>
        <v>A03260525</v>
      </c>
      <c r="K338" s="2"/>
      <c r="L338" s="2" t="str">
        <f>IFERROR(__xludf.DUMMYFUNCTION("""COMPUTED_VALUE"""),"XỬ LÝ BTP LỖI")</f>
        <v>XỬ LÝ BTP LỖI</v>
      </c>
      <c r="M338" s="2" t="str">
        <f>IFERROR(__xludf.DUMMYFUNCTION("""COMPUTED_VALUE"""),"ĐÒNG TO BÔNG KẸO")</f>
        <v>ĐÒNG TO BÔNG KẸO</v>
      </c>
      <c r="N338" s="2" t="str">
        <f>IFERROR(__xludf.DUMMYFUNCTION("""COMPUTED_VALUE"""),"03DD0017-56082503")</f>
        <v>03DD0017-56082503</v>
      </c>
      <c r="O338" s="2" t="str">
        <f>IFERROR(__xludf.DUMMYFUNCTION("""COMPUTED_VALUE"""),"Phân bón lá NPK-Vi lượng GNC 19")</f>
        <v>Phân bón lá NPK-Vi lượng GNC 19</v>
      </c>
      <c r="P338" s="2" t="str">
        <f>IFERROR(__xludf.DUMMYFUNCTION("""COMPUTED_VALUE"""),"#N/A")</f>
        <v>#N/A</v>
      </c>
      <c r="Q338" s="30" t="str">
        <f>IFERROR(__xludf.DUMMYFUNCTION("""COMPUTED_VALUE"""),"KHÔNG KHỚP")</f>
        <v>KHÔNG KHỚP</v>
      </c>
      <c r="R338" s="2"/>
      <c r="S338" s="2"/>
      <c r="T338" s="2"/>
      <c r="U338" s="2"/>
      <c r="V338" s="2"/>
      <c r="W338" s="2"/>
      <c r="X338" s="2"/>
      <c r="Y338" s="2"/>
    </row>
    <row r="339">
      <c r="A339" s="30">
        <f>IFERROR(__xludf.DUMMYFUNCTION("""COMPUTED_VALUE"""),336.0)</f>
        <v>336</v>
      </c>
      <c r="B339" s="39">
        <f>IFERROR(__xludf.DUMMYFUNCTION("""COMPUTED_VALUE"""),45999.0)</f>
        <v>45999</v>
      </c>
      <c r="C339" s="30">
        <f>IFERROR(__xludf.DUMMYFUNCTION("""COMPUTED_VALUE"""),2.0)</f>
        <v>2</v>
      </c>
      <c r="D339" s="30" t="str">
        <f>IFERROR(__xludf.DUMMYFUNCTION("""COMPUTED_VALUE"""),"CT XỬ LÝ LỖI")</f>
        <v>CT XỬ LÝ LỖI</v>
      </c>
      <c r="E339" s="30"/>
      <c r="F339" s="2"/>
      <c r="G339" s="2" t="str">
        <f>IFERROR(__xludf.DUMMYFUNCTION("""COMPUTED_VALUE"""),"HH4034")</f>
        <v>HH4034</v>
      </c>
      <c r="H339" s="2" t="str">
        <f>IFERROR(__xludf.DUMMYFUNCTION("""COMPUTED_VALUE"""),"DR.XANH - VIII - 4034 - ROBUST EXTRA (Gel nâu đen) - 500ml - 40")</f>
        <v>DR.XANH - VIII - 4034 - ROBUST EXTRA (Gel nâu đen) - 500ml - 40</v>
      </c>
      <c r="I339" s="2" t="str">
        <f>IFERROR(__xludf.DUMMYFUNCTION("""COMPUTED_VALUE"""),"#N/A")</f>
        <v>#N/A</v>
      </c>
      <c r="J339" s="2" t="str">
        <f>IFERROR(__xludf.DUMMYFUNCTION("""COMPUTED_VALUE"""),"Date: 18/07/2025-070725")</f>
        <v>Date: 18/07/2025-070725</v>
      </c>
      <c r="K339" s="2"/>
      <c r="L339" s="2" t="str">
        <f>IFERROR(__xludf.DUMMYFUNCTION("""COMPUTED_VALUE"""),"XỬ LÝ BTP LỖI")</f>
        <v>XỬ LÝ BTP LỖI</v>
      </c>
      <c r="M339" s="2" t="str">
        <f>IFERROR(__xludf.DUMMYFUNCTION("""COMPUTED_VALUE"""),"ROBUST EXTRA")</f>
        <v>ROBUST EXTRA</v>
      </c>
      <c r="N339" s="2" t="str">
        <f>IFERROR(__xludf.DUMMYFUNCTION("""COMPUTED_VALUE"""),"01RR0015V2-070725-1")</f>
        <v>01RR0015V2-070725-1</v>
      </c>
      <c r="O339" s="2" t="str">
        <f>IFERROR(__xludf.DUMMYFUNCTION("""COMPUTED_VALUE"""),"Phân bón Vi lượng Quantity New")</f>
        <v>Phân bón Vi lượng Quantity New</v>
      </c>
      <c r="P339" s="2" t="str">
        <f>IFERROR(__xludf.DUMMYFUNCTION("""COMPUTED_VALUE"""),"#N/A")</f>
        <v>#N/A</v>
      </c>
      <c r="Q339" s="30" t="str">
        <f>IFERROR(__xludf.DUMMYFUNCTION("""COMPUTED_VALUE"""),"KHÔNG KHỚP")</f>
        <v>KHÔNG KHỚP</v>
      </c>
      <c r="R339" s="2"/>
      <c r="S339" s="2"/>
      <c r="T339" s="2"/>
      <c r="U339" s="2"/>
      <c r="V339" s="2"/>
      <c r="W339" s="2"/>
      <c r="X339" s="2"/>
      <c r="Y339" s="2"/>
    </row>
    <row r="340">
      <c r="A340" s="30">
        <f>IFERROR(__xludf.DUMMYFUNCTION("""COMPUTED_VALUE"""),337.0)</f>
        <v>337</v>
      </c>
      <c r="B340" s="39">
        <f>IFERROR(__xludf.DUMMYFUNCTION("""COMPUTED_VALUE"""),45999.0)</f>
        <v>45999</v>
      </c>
      <c r="C340" s="30">
        <f>IFERROR(__xludf.DUMMYFUNCTION("""COMPUTED_VALUE"""),3.0)</f>
        <v>3</v>
      </c>
      <c r="D340" s="30" t="str">
        <f>IFERROR(__xludf.DUMMYFUNCTION("""COMPUTED_VALUE"""),"CT XỬ LÝ LỖI")</f>
        <v>CT XỬ LÝ LỖI</v>
      </c>
      <c r="E340" s="30"/>
      <c r="F340" s="2"/>
      <c r="G340" s="2" t="str">
        <f>IFERROR(__xludf.DUMMYFUNCTION("""COMPUTED_VALUE"""),"HH4206")</f>
        <v>HH4206</v>
      </c>
      <c r="H340" s="2" t="str">
        <f>IFERROR(__xludf.DUMMYFUNCTION("""COMPUTED_VALUE"""),"DR.XANH - VIII - 4206 - ROBUST EXTRA (Gel nâu đen) - 250ml - 40")</f>
        <v>DR.XANH - VIII - 4206 - ROBUST EXTRA (Gel nâu đen) - 250ml - 40</v>
      </c>
      <c r="I340" s="2" t="str">
        <f>IFERROR(__xludf.DUMMYFUNCTION("""COMPUTED_VALUE"""),"#N/A")</f>
        <v>#N/A</v>
      </c>
      <c r="J340" s="2" t="str">
        <f>IFERROR(__xludf.DUMMYFUNCTION("""COMPUTED_VALUE"""),"Date : 30/10/2025-511025")</f>
        <v>Date : 30/10/2025-511025</v>
      </c>
      <c r="K340" s="2"/>
      <c r="L340" s="2" t="str">
        <f>IFERROR(__xludf.DUMMYFUNCTION("""COMPUTED_VALUE"""),"XỬ LÝ BTP LỖI")</f>
        <v>XỬ LÝ BTP LỖI</v>
      </c>
      <c r="M340" s="2" t="str">
        <f>IFERROR(__xludf.DUMMYFUNCTION("""COMPUTED_VALUE"""),"ROBUST EXTRA")</f>
        <v>ROBUST EXTRA</v>
      </c>
      <c r="N340" s="2" t="str">
        <f>IFERROR(__xludf.DUMMYFUNCTION("""COMPUTED_VALUE"""),"01RR0071V5-511025-1")</f>
        <v>01RR0071V5-511025-1</v>
      </c>
      <c r="O340" s="2" t="str">
        <f>IFERROR(__xludf.DUMMYFUNCTION("""COMPUTED_VALUE"""),"Phân bón hữu cơ ROOTS US90")</f>
        <v>Phân bón hữu cơ ROOTS US90</v>
      </c>
      <c r="P340" s="2" t="str">
        <f>IFERROR(__xludf.DUMMYFUNCTION("""COMPUTED_VALUE"""),"#N/A")</f>
        <v>#N/A</v>
      </c>
      <c r="Q340" s="30" t="str">
        <f>IFERROR(__xludf.DUMMYFUNCTION("""COMPUTED_VALUE"""),"KHÔNG KHỚP")</f>
        <v>KHÔNG KHỚP</v>
      </c>
      <c r="R340" s="2"/>
      <c r="S340" s="2"/>
      <c r="T340" s="2"/>
      <c r="U340" s="2"/>
      <c r="V340" s="2"/>
      <c r="W340" s="2"/>
      <c r="X340" s="2"/>
      <c r="Y340" s="2"/>
    </row>
    <row r="341">
      <c r="A341" s="30">
        <f>IFERROR(__xludf.DUMMYFUNCTION("""COMPUTED_VALUE"""),338.0)</f>
        <v>338</v>
      </c>
      <c r="B341" s="39">
        <f>IFERROR(__xludf.DUMMYFUNCTION("""COMPUTED_VALUE"""),45948.0)</f>
        <v>45948</v>
      </c>
      <c r="C341" s="30">
        <f>IFERROR(__xludf.DUMMYFUNCTION("""COMPUTED_VALUE"""),0.0)</f>
        <v>0</v>
      </c>
      <c r="D341" s="30" t="str">
        <f>IFERROR(__xludf.DUMMYFUNCTION("""COMPUTED_VALUE"""),"CT MỚI")</f>
        <v>CT MỚI</v>
      </c>
      <c r="E341" s="30"/>
      <c r="F341" s="2"/>
      <c r="G341" s="2"/>
      <c r="H341" s="2" t="str">
        <f>IFERROR(__xludf.DUMMYFUNCTION("""COMPUTED_VALUE"""),"ORGANIC X2")</f>
        <v>ORGANIC X2</v>
      </c>
      <c r="I341" s="2" t="str">
        <f>IFERROR(__xludf.DUMMYFUNCTION("""COMPUTED_VALUE"""),"#N/A")</f>
        <v>#N/A</v>
      </c>
      <c r="J341" s="2"/>
      <c r="K341" s="2"/>
      <c r="L341" s="2" t="str">
        <f>IFERROR(__xludf.DUMMYFUNCTION("""COMPUTED_VALUE"""),"I01141025")</f>
        <v>I01141025</v>
      </c>
      <c r="M341" s="2" t="str">
        <f>IFERROR(__xludf.DUMMYFUNCTION("""COMPUTED_VALUE"""),"ORGANIC X2")</f>
        <v>ORGANIC X2</v>
      </c>
      <c r="N341" s="2" t="str">
        <f>IFERROR(__xludf.DUMMYFUNCTION("""COMPUTED_VALUE"""),"01RR0078")</f>
        <v>01RR0078</v>
      </c>
      <c r="O341" s="2" t="str">
        <f>IFERROR(__xludf.DUMMYFUNCTION("""COMPUTED_VALUE"""),"Phân bón Hữu cơ ORGANIC OTUKSA THREE")</f>
        <v>Phân bón Hữu cơ ORGANIC OTUKSA THREE</v>
      </c>
      <c r="P341" s="2" t="str">
        <f>IFERROR(__xludf.DUMMYFUNCTION("""COMPUTED_VALUE"""),"#N/A")</f>
        <v>#N/A</v>
      </c>
      <c r="Q341" s="30" t="str">
        <f>IFERROR(__xludf.DUMMYFUNCTION("""COMPUTED_VALUE"""),"KHÔNG KHỚP")</f>
        <v>KHÔNG KHỚP</v>
      </c>
      <c r="R341" s="2"/>
      <c r="S341" s="2"/>
      <c r="T341" s="2"/>
      <c r="U341" s="2"/>
      <c r="V341" s="2"/>
      <c r="W341" s="2"/>
      <c r="X341" s="2"/>
      <c r="Y341" s="2"/>
    </row>
    <row r="342">
      <c r="A342" s="30">
        <f>IFERROR(__xludf.DUMMYFUNCTION("""COMPUTED_VALUE"""),339.0)</f>
        <v>339</v>
      </c>
      <c r="B342" s="39">
        <f>IFERROR(__xludf.DUMMYFUNCTION("""COMPUTED_VALUE"""),45994.0)</f>
        <v>45994</v>
      </c>
      <c r="C342" s="30">
        <f>IFERROR(__xludf.DUMMYFUNCTION("""COMPUTED_VALUE"""),1.0)</f>
        <v>1</v>
      </c>
      <c r="D342" s="30" t="str">
        <f>IFERROR(__xludf.DUMMYFUNCTION("""COMPUTED_VALUE"""),"CT MỚI")</f>
        <v>CT MỚI</v>
      </c>
      <c r="E342" s="30"/>
      <c r="F342" s="2"/>
      <c r="G342" s="2" t="str">
        <f>IFERROR(__xludf.DUMMYFUNCTION("""COMPUTED_VALUE"""),"HH4320")</f>
        <v>HH4320</v>
      </c>
      <c r="H342" s="2" t="str">
        <f>IFERROR(__xludf.DUMMYFUNCTION("""COMPUTED_VALUE"""),"GC - IV - 4320 - CTY GNH - FLOWER+ (nước nâu đen) - 1L - 20")</f>
        <v>GC - IV - 4320 - CTY GNH - FLOWER+ (nước nâu đen) - 1L - 20</v>
      </c>
      <c r="I342" s="2" t="str">
        <f>IFERROR(__xludf.DUMMYFUNCTION("""COMPUTED_VALUE"""),"#N/A")</f>
        <v>#N/A</v>
      </c>
      <c r="J342" s="2" t="str">
        <f>IFERROR(__xludf.DUMMYFUNCTION("""COMPUTED_VALUE"""),"A02311025")</f>
        <v>A02311025</v>
      </c>
      <c r="K342" s="2"/>
      <c r="L342" s="2" t="str">
        <f>IFERROR(__xludf.DUMMYFUNCTION("""COMPUTED_VALUE"""),"A02311025")</f>
        <v>A02311025</v>
      </c>
      <c r="M342" s="2" t="str">
        <f>IFERROR(__xludf.DUMMYFUNCTION("""COMPUTED_VALUE"""),"FLOWER KÍCH RA HOA ")</f>
        <v>FLOWER KÍCH RA HOA </v>
      </c>
      <c r="N342" s="2" t="str">
        <f>IFERROR(__xludf.DUMMYFUNCTION("""COMPUTED_VALUE"""),"09KH0013")</f>
        <v>09KH0013</v>
      </c>
      <c r="O342" s="2" t="str">
        <f>IFERROR(__xludf.DUMMYFUNCTION("""COMPUTED_VALUE"""),"Phân bón Vi lượng HELP FARMER_3")</f>
        <v>Phân bón Vi lượng HELP FARMER_3</v>
      </c>
      <c r="P342" s="2" t="str">
        <f>IFERROR(__xludf.DUMMYFUNCTION("""COMPUTED_VALUE"""),"#N/A")</f>
        <v>#N/A</v>
      </c>
      <c r="Q342" s="30" t="str">
        <f>IFERROR(__xludf.DUMMYFUNCTION("""COMPUTED_VALUE"""),"KHÔNG KHỚP")</f>
        <v>KHÔNG KHỚP</v>
      </c>
      <c r="R342" s="2"/>
      <c r="S342" s="2"/>
      <c r="T342" s="2"/>
      <c r="U342" s="2"/>
      <c r="V342" s="2"/>
      <c r="W342" s="2"/>
      <c r="X342" s="2"/>
      <c r="Y342" s="2"/>
    </row>
    <row r="343">
      <c r="A343" s="30">
        <f>IFERROR(__xludf.DUMMYFUNCTION("""COMPUTED_VALUE"""),340.0)</f>
        <v>340</v>
      </c>
      <c r="B343" s="39">
        <f>IFERROR(__xludf.DUMMYFUNCTION("""COMPUTED_VALUE"""),45908.0)</f>
        <v>45908</v>
      </c>
      <c r="C343" s="30">
        <f>IFERROR(__xludf.DUMMYFUNCTION("""COMPUTED_VALUE"""),1.0)</f>
        <v>1</v>
      </c>
      <c r="D343" s="30" t="str">
        <f>IFERROR(__xludf.DUMMYFUNCTION("""COMPUTED_VALUE"""),"CT MỚI")</f>
        <v>CT MỚI</v>
      </c>
      <c r="E343" s="30"/>
      <c r="F343" s="2"/>
      <c r="G343" s="2" t="str">
        <f>IFERROR(__xludf.DUMMYFUNCTION("""COMPUTED_VALUE"""),"HH4447")</f>
        <v>HH4447</v>
      </c>
      <c r="H343" s="2" t="str">
        <f>IFERROR(__xludf.DUMMYFUNCTION("""COMPUTED_VALUE"""),"GC - IV - 4447 - CTY ACE VN - SIÊU LÚA 1-2 (Nước nâu đen) - 50ml - 200")</f>
        <v>GC - IV - 4447 - CTY ACE VN - SIÊU LÚA 1-2 (Nước nâu đen) - 50ml - 200</v>
      </c>
      <c r="I343" s="2" t="str">
        <f>IFERROR(__xludf.DUMMYFUNCTION("""COMPUTED_VALUE"""),"#N/A")</f>
        <v>#N/A</v>
      </c>
      <c r="J343" s="2" t="str">
        <f>IFERROR(__xludf.DUMMYFUNCTION("""COMPUTED_VALUE"""),"A20280225")</f>
        <v>A20280225</v>
      </c>
      <c r="K343" s="2"/>
      <c r="L343" s="2" t="str">
        <f>IFERROR(__xludf.DUMMYFUNCTION("""COMPUTED_VALUE"""),"A20280225")</f>
        <v>A20280225</v>
      </c>
      <c r="M343" s="2" t="str">
        <f>IFERROR(__xludf.DUMMYFUNCTION("""COMPUTED_VALUE"""),"BETA VUA RỄ")</f>
        <v>BETA VUA RỄ</v>
      </c>
      <c r="N343" s="2" t="str">
        <f>IFERROR(__xludf.DUMMYFUNCTION("""COMPUTED_VALUE"""),"01RR0050")</f>
        <v>01RR0050</v>
      </c>
      <c r="O343" s="2" t="str">
        <f>IFERROR(__xludf.DUMMYFUNCTION("""COMPUTED_VALUE"""),"Phân bón Hỗn hợp NP AGAMA-AP")</f>
        <v>Phân bón Hỗn hợp NP AGAMA-AP</v>
      </c>
      <c r="P343" s="2" t="str">
        <f>IFERROR(__xludf.DUMMYFUNCTION("""COMPUTED_VALUE"""),"#N/A")</f>
        <v>#N/A</v>
      </c>
      <c r="Q343" s="30" t="str">
        <f>IFERROR(__xludf.DUMMYFUNCTION("""COMPUTED_VALUE"""),"KHÔNG KHỚP")</f>
        <v>KHÔNG KHỚP</v>
      </c>
      <c r="R343" s="2"/>
      <c r="S343" s="2"/>
      <c r="T343" s="2"/>
      <c r="U343" s="2"/>
      <c r="V343" s="2"/>
      <c r="W343" s="2"/>
      <c r="X343" s="2"/>
      <c r="Y343" s="2"/>
    </row>
    <row r="344">
      <c r="A344" s="30">
        <f>IFERROR(__xludf.DUMMYFUNCTION("""COMPUTED_VALUE"""),341.0)</f>
        <v>341</v>
      </c>
      <c r="B344" s="39">
        <f>IFERROR(__xludf.DUMMYFUNCTION("""COMPUTED_VALUE"""),45964.0)</f>
        <v>45964</v>
      </c>
      <c r="C344" s="30">
        <f>IFERROR(__xludf.DUMMYFUNCTION("""COMPUTED_VALUE"""),1.0)</f>
        <v>1</v>
      </c>
      <c r="D344" s="30" t="str">
        <f>IFERROR(__xludf.DUMMYFUNCTION("""COMPUTED_VALUE"""),"CT MỚI")</f>
        <v>CT MỚI</v>
      </c>
      <c r="E344" s="30"/>
      <c r="F344" s="2"/>
      <c r="G344" s="2" t="str">
        <f>IFERROR(__xludf.DUMMYFUNCTION("""COMPUTED_VALUE"""),"HH4345")</f>
        <v>HH4345</v>
      </c>
      <c r="H344" s="2" t="str">
        <f>IFERROR(__xludf.DUMMYFUNCTION("""COMPUTED_VALUE"""),"GC ABA - CTY NAUY - Lá PK Vi lượng SV 5-18 - SUPER NANO - 500ml - 40")</f>
        <v>GC ABA - CTY NAUY - Lá PK Vi lượng SV 5-18 - SUPER NANO - 500ml - 40</v>
      </c>
      <c r="I344" s="2" t="str">
        <f>IFERROR(__xludf.DUMMYFUNCTION("""COMPUTED_VALUE"""),"#N/A")</f>
        <v>#N/A</v>
      </c>
      <c r="J344" s="2" t="str">
        <f>IFERROR(__xludf.DUMMYFUNCTION("""COMPUTED_VALUE"""),"Cùng ruột
4432")</f>
        <v>Cùng ruột
4432</v>
      </c>
      <c r="K344" s="2"/>
      <c r="L344" s="2" t="str">
        <f>IFERROR(__xludf.DUMMYFUNCTION("""COMPUTED_VALUE"""),"A05190825")</f>
        <v>A05190825</v>
      </c>
      <c r="M344" s="2" t="str">
        <f>IFERROR(__xludf.DUMMYFUNCTION("""COMPUTED_VALUE"""),"SUPER NANO VÔ GẠO
0 - 5 - 18 ")</f>
        <v>SUPER NANO VÔ GẠO
0 - 5 - 18 </v>
      </c>
      <c r="N344" s="2" t="str">
        <f>IFERROR(__xludf.DUMMYFUNCTION("""COMPUTED_VALUE"""),"04VG0045")</f>
        <v>04VG0045</v>
      </c>
      <c r="O344" s="2" t="str">
        <f>IFERROR(__xludf.DUMMYFUNCTION("""COMPUTED_VALUE"""),"Phân bón lá PK-Vi lượng SV 5-18")</f>
        <v>Phân bón lá PK-Vi lượng SV 5-18</v>
      </c>
      <c r="P344" s="2" t="str">
        <f>IFERROR(__xludf.DUMMYFUNCTION("""COMPUTED_VALUE"""),"#N/A")</f>
        <v>#N/A</v>
      </c>
      <c r="Q344" s="30" t="str">
        <f>IFERROR(__xludf.DUMMYFUNCTION("""COMPUTED_VALUE"""),"KHÔNG KHỚP")</f>
        <v>KHÔNG KHỚP</v>
      </c>
      <c r="R344" s="2"/>
      <c r="S344" s="2"/>
      <c r="T344" s="2"/>
      <c r="U344" s="2"/>
      <c r="V344" s="2"/>
      <c r="W344" s="2"/>
      <c r="X344" s="2"/>
      <c r="Y344" s="2"/>
    </row>
    <row r="345">
      <c r="A345" s="30">
        <f>IFERROR(__xludf.DUMMYFUNCTION("""COMPUTED_VALUE"""),342.0)</f>
        <v>342</v>
      </c>
      <c r="B345" s="39">
        <f>IFERROR(__xludf.DUMMYFUNCTION("""COMPUTED_VALUE"""),46001.0)</f>
        <v>46001</v>
      </c>
      <c r="C345" s="30">
        <f>IFERROR(__xludf.DUMMYFUNCTION("""COMPUTED_VALUE"""),2.0)</f>
        <v>2</v>
      </c>
      <c r="D345" s="30" t="str">
        <f>IFERROR(__xludf.DUMMYFUNCTION("""COMPUTED_VALUE"""),"CT CŨ")</f>
        <v>CT CŨ</v>
      </c>
      <c r="E345" s="30"/>
      <c r="F345" s="2"/>
      <c r="G345" s="2" t="str">
        <f>IFERROR(__xludf.DUMMYFUNCTION("""COMPUTED_VALUE"""),"HH4262")</f>
        <v>HH4262</v>
      </c>
      <c r="H345" s="2" t="str">
        <f>IFERROR(__xludf.DUMMYFUNCTION("""COMPUTED_VALUE"""),"GC - IV - 4262 - CTY HƯƠNG NÔNG - BIO HỮU CƠ (Nước nâu đen) - 10L - 1")</f>
        <v>GC - IV - 4262 - CTY HƯƠNG NÔNG - BIO HỮU CƠ (Nước nâu đen) - 10L - 1</v>
      </c>
      <c r="I345" s="39" t="str">
        <f>IFERROR(__xludf.DUMMYFUNCTION("""COMPUTED_VALUE"""),"Hữu cơ Organic BM Gold  FW")</f>
        <v>Hữu cơ Organic BM Gold  FW</v>
      </c>
      <c r="J345" s="2" t="str">
        <f>IFERROR(__xludf.DUMMYFUNCTION("""COMPUTED_VALUE"""),"Cùng ruột 
HH3948")</f>
        <v>Cùng ruột 
HH3948</v>
      </c>
      <c r="K345" s="2"/>
      <c r="L345" s="2" t="str">
        <f>IFERROR(__xludf.DUMMYFUNCTION("""COMPUTED_VALUE"""),"A02281124
I01240326")</f>
        <v>A02281124
I01240326</v>
      </c>
      <c r="M345" s="2" t="str">
        <f>IFERROR(__xludf.DUMMYFUNCTION("""COMPUTED_VALUE"""),"BIO HỮU CƠ")</f>
        <v>BIO HỮU CƠ</v>
      </c>
      <c r="N345" s="2" t="str">
        <f>IFERROR(__xludf.DUMMYFUNCTION("""COMPUTED_VALUE"""),"11TT0010V1")</f>
        <v>11TT0010V1</v>
      </c>
      <c r="O345" s="2" t="str">
        <f>IFERROR(__xludf.DUMMYFUNCTION("""COMPUTED_VALUE"""),"Phân bón Hữu cơ ORGANIC BM GOLD FW")</f>
        <v>Phân bón Hữu cơ ORGANIC BM GOLD FW</v>
      </c>
      <c r="P345" s="2" t="str">
        <f>IFERROR(__xludf.DUMMYFUNCTION("""COMPUTED_VALUE"""),"Phân bón Hữu cơ Organic BM Gold  FW")</f>
        <v>Phân bón Hữu cơ Organic BM Gold  FW</v>
      </c>
      <c r="Q345" s="30" t="str">
        <f>IFERROR(__xludf.DUMMYFUNCTION("""COMPUTED_VALUE"""),"KHÔNG KHỚP")</f>
        <v>KHÔNG KHỚP</v>
      </c>
      <c r="R345" s="2"/>
      <c r="S345" s="2"/>
      <c r="T345" s="2"/>
      <c r="U345" s="2"/>
      <c r="V345" s="2"/>
      <c r="W345" s="2"/>
      <c r="X345" s="2"/>
      <c r="Y345" s="2"/>
    </row>
    <row r="346">
      <c r="A346" s="30">
        <f>IFERROR(__xludf.DUMMYFUNCTION("""COMPUTED_VALUE"""),343.0)</f>
        <v>343</v>
      </c>
      <c r="B346" s="39">
        <f>IFERROR(__xludf.DUMMYFUNCTION("""COMPUTED_VALUE"""),45940.0)</f>
        <v>45940</v>
      </c>
      <c r="C346" s="30">
        <f>IFERROR(__xludf.DUMMYFUNCTION("""COMPUTED_VALUE"""),1.0)</f>
        <v>1</v>
      </c>
      <c r="D346" s="30" t="str">
        <f>IFERROR(__xludf.DUMMYFUNCTION("""COMPUTED_VALUE"""),"CT CŨ")</f>
        <v>CT CŨ</v>
      </c>
      <c r="E346" s="30"/>
      <c r="F346" s="2"/>
      <c r="G346" s="2" t="str">
        <f>IFERROR(__xludf.DUMMYFUNCTION("""COMPUTED_VALUE"""),"HH4442")</f>
        <v>HH4442</v>
      </c>
      <c r="H346" s="2" t="str">
        <f>IFERROR(__xludf.DUMMYFUNCTION("""COMPUTED_VALUE"""),"CTY N2SBIO - vi lượng Phú Sĩ FJ-09 Kẽm Mg - N2 Mg Zn - 70 - 500ml - 40")</f>
        <v>CTY N2SBIO - vi lượng Phú Sĩ FJ-09 Kẽm Mg - N2 Mg Zn - 70 - 500ml - 40</v>
      </c>
      <c r="I346" s="39" t="str">
        <f>IFERROR(__xludf.DUMMYFUNCTION("""COMPUTED_VALUE"""),"vi lượng Phú Sĩ FJ-09 Kẽm Mg")</f>
        <v>vi lượng Phú Sĩ FJ-09 Kẽm Mg</v>
      </c>
      <c r="J346" s="2" t="str">
        <f>IFERROR(__xludf.DUMMYFUNCTION("""COMPUTED_VALUE"""),"N01080825")</f>
        <v>N01080825</v>
      </c>
      <c r="K346" s="2"/>
      <c r="L346" s="2" t="str">
        <f>IFERROR(__xludf.DUMMYFUNCTION("""COMPUTED_VALUE"""),"N01080825")</f>
        <v>N01080825</v>
      </c>
      <c r="M346" s="2" t="str">
        <f>IFERROR(__xludf.DUMMYFUNCTION("""COMPUTED_VALUE"""),"N2 MgZn-52")</f>
        <v>N2 MgZn-52</v>
      </c>
      <c r="N346" s="2" t="str">
        <f>IFERROR(__xludf.DUMMYFUNCTION("""COMPUTED_VALUE"""),"23GS0002V1")</f>
        <v>23GS0002V1</v>
      </c>
      <c r="O346" s="2" t="str">
        <f>IFERROR(__xludf.DUMMYFUNCTION("""COMPUTED_VALUE"""),"Phân bón vi lượng Phú Sĩ FJ-09 Kẽm Mg")</f>
        <v>Phân bón vi lượng Phú Sĩ FJ-09 Kẽm Mg</v>
      </c>
      <c r="P346" s="2" t="str">
        <f>IFERROR(__xludf.DUMMYFUNCTION("""COMPUTED_VALUE"""),"Phân bón vi lượng Phú Sĩ FJ-09 Kẽm Mg")</f>
        <v>Phân bón vi lượng Phú Sĩ FJ-09 Kẽm Mg</v>
      </c>
      <c r="Q346" s="30" t="str">
        <f>IFERROR(__xludf.DUMMYFUNCTION("""COMPUTED_VALUE"""),"KHỚP")</f>
        <v>KHỚP</v>
      </c>
      <c r="R346" s="2"/>
      <c r="S346" s="2"/>
      <c r="T346" s="2"/>
      <c r="U346" s="2"/>
      <c r="V346" s="2"/>
      <c r="W346" s="2"/>
      <c r="X346" s="2"/>
      <c r="Y346" s="2"/>
    </row>
    <row r="347">
      <c r="A347" s="30">
        <f>IFERROR(__xludf.DUMMYFUNCTION("""COMPUTED_VALUE"""),344.0)</f>
        <v>344</v>
      </c>
      <c r="B347" s="39">
        <f>IFERROR(__xludf.DUMMYFUNCTION("""COMPUTED_VALUE"""),45959.0)</f>
        <v>45959</v>
      </c>
      <c r="C347" s="30">
        <f>IFERROR(__xludf.DUMMYFUNCTION("""COMPUTED_VALUE"""),4.0)</f>
        <v>4</v>
      </c>
      <c r="D347" s="30" t="str">
        <f>IFERROR(__xludf.DUMMYFUNCTION("""COMPUTED_VALUE"""),"CT CŨ")</f>
        <v>CT CŨ</v>
      </c>
      <c r="E347" s="30"/>
      <c r="F347" s="2"/>
      <c r="G347" s="2" t="str">
        <f>IFERROR(__xludf.DUMMYFUNCTION("""COMPUTED_VALUE"""),"HH4187")</f>
        <v>HH4187</v>
      </c>
      <c r="H347" s="2" t="str">
        <f>IFERROR(__xludf.DUMMYFUNCTION("""COMPUTED_VALUE"""),"GC - IX - 4187 - N2SBIO - N2 ULTRA LOCK (Dạng SC - Trắng sữa) - 500ml - 40")</f>
        <v>GC - IX - 4187 - N2SBIO - N2 ULTRA LOCK (Dạng SC - Trắng sữa) - 500ml - 40</v>
      </c>
      <c r="I347" s="39" t="str">
        <f>IFERROR(__xludf.DUMMYFUNCTION("""COMPUTED_VALUE"""),"Lá PK-Trung Lượng NBC-Photphonate")</f>
        <v>Lá PK-Trung Lượng NBC-Photphonate</v>
      </c>
      <c r="J347" s="2" t="str">
        <f>IFERROR(__xludf.DUMMYFUNCTION("""COMPUTED_VALUE"""),"N04290725")</f>
        <v>N04290725</v>
      </c>
      <c r="K347" s="2"/>
      <c r="L347" s="2" t="str">
        <f>IFERROR(__xludf.DUMMYFUNCTION("""COMPUTED_VALUE"""),"N04290725")</f>
        <v>N04290725</v>
      </c>
      <c r="M347" s="2" t="str">
        <f>IFERROR(__xludf.DUMMYFUNCTION("""COMPUTED_VALUE"""),"N2 ULTRA LOCK")</f>
        <v>N2 ULTRA LOCK</v>
      </c>
      <c r="N347" s="2" t="str">
        <f>IFERROR(__xludf.DUMMYFUNCTION("""COMPUTED_VALUE"""),"06CD0016V1")</f>
        <v>06CD0016V1</v>
      </c>
      <c r="O347" s="2" t="str">
        <f>IFERROR(__xludf.DUMMYFUNCTION("""COMPUTED_VALUE"""),"Phân bón lá PK-Trung lượng NBC-PHOTPHONATE")</f>
        <v>Phân bón lá PK-Trung lượng NBC-PHOTPHONATE</v>
      </c>
      <c r="P347" s="2" t="str">
        <f>IFERROR(__xludf.DUMMYFUNCTION("""COMPUTED_VALUE"""),"Phân bón Lá PK-Trung Lượng NBC-Photphonate")</f>
        <v>Phân bón Lá PK-Trung Lượng NBC-Photphonate</v>
      </c>
      <c r="Q347" s="30" t="str">
        <f>IFERROR(__xludf.DUMMYFUNCTION("""COMPUTED_VALUE"""),"KHỚP")</f>
        <v>KHỚP</v>
      </c>
      <c r="R347" s="2"/>
      <c r="S347" s="2"/>
      <c r="T347" s="2"/>
      <c r="U347" s="2"/>
      <c r="V347" s="2"/>
      <c r="W347" s="2"/>
      <c r="X347" s="2"/>
      <c r="Y347" s="2"/>
    </row>
    <row r="348">
      <c r="A348" s="30">
        <f>IFERROR(__xludf.DUMMYFUNCTION("""COMPUTED_VALUE"""),345.0)</f>
        <v>345</v>
      </c>
      <c r="B348" s="39">
        <f>IFERROR(__xludf.DUMMYFUNCTION("""COMPUTED_VALUE"""),46001.0)</f>
        <v>46001</v>
      </c>
      <c r="C348" s="30">
        <f>IFERROR(__xludf.DUMMYFUNCTION("""COMPUTED_VALUE"""),1.0)</f>
        <v>1</v>
      </c>
      <c r="D348" s="30" t="str">
        <f>IFERROR(__xludf.DUMMYFUNCTION("""COMPUTED_VALUE"""),"CT MỚI")</f>
        <v>CT MỚI</v>
      </c>
      <c r="E348" s="30"/>
      <c r="F348" s="2"/>
      <c r="G348" s="2" t="str">
        <f>IFERROR(__xludf.DUMMYFUNCTION("""COMPUTED_VALUE"""),"HH3889")</f>
        <v>HH3889</v>
      </c>
      <c r="H348" s="2" t="str">
        <f>IFERROR(__xludf.DUMMYFUNCTION("""COMPUTED_VALUE"""),"GC - V - 3889 - N2SBIO - ROOTS + (Nước nâu đen) - 100ML - 50")</f>
        <v>GC - V - 3889 - N2SBIO - ROOTS + (Nước nâu đen) - 100ML - 50</v>
      </c>
      <c r="I348" s="2" t="str">
        <f>IFERROR(__xludf.DUMMYFUNCTION("""COMPUTED_VALUE"""),"#N/A")</f>
        <v>#N/A</v>
      </c>
      <c r="J348" s="2" t="str">
        <f>IFERROR(__xludf.DUMMYFUNCTION("""COMPUTED_VALUE"""),"N01210725")</f>
        <v>N01210725</v>
      </c>
      <c r="K348" s="2"/>
      <c r="L348" s="2" t="str">
        <f>IFERROR(__xludf.DUMMYFUNCTION("""COMPUTED_VALUE"""),"N01210725")</f>
        <v>N01210725</v>
      </c>
      <c r="M348" s="2" t="str">
        <f>IFERROR(__xludf.DUMMYFUNCTION("""COMPUTED_VALUE"""),"N2 ROOT+")</f>
        <v>N2 ROOT+</v>
      </c>
      <c r="N348" s="2" t="str">
        <f>IFERROR(__xludf.DUMMYFUNCTION("""COMPUTED_VALUE"""),"01RR0057V1")</f>
        <v>01RR0057V1</v>
      </c>
      <c r="O348" s="2" t="str">
        <f>IFERROR(__xludf.DUMMYFUNCTION("""COMPUTED_VALUE"""),"Phân bón hữu cơ ROOTS US90")</f>
        <v>Phân bón hữu cơ ROOTS US90</v>
      </c>
      <c r="P348" s="2" t="str">
        <f>IFERROR(__xludf.DUMMYFUNCTION("""COMPUTED_VALUE"""),"#N/A")</f>
        <v>#N/A</v>
      </c>
      <c r="Q348" s="30" t="str">
        <f>IFERROR(__xludf.DUMMYFUNCTION("""COMPUTED_VALUE"""),"KHÔNG KHỚP")</f>
        <v>KHÔNG KHỚP</v>
      </c>
      <c r="R348" s="2"/>
      <c r="S348" s="2"/>
      <c r="T348" s="2"/>
      <c r="U348" s="2"/>
      <c r="V348" s="2"/>
      <c r="W348" s="2"/>
      <c r="X348" s="2"/>
      <c r="Y348" s="2"/>
    </row>
    <row r="349">
      <c r="A349" s="30">
        <f>IFERROR(__xludf.DUMMYFUNCTION("""COMPUTED_VALUE"""),346.0)</f>
        <v>346</v>
      </c>
      <c r="B349" s="39">
        <f>IFERROR(__xludf.DUMMYFUNCTION("""COMPUTED_VALUE"""),45946.0)</f>
        <v>45946</v>
      </c>
      <c r="C349" s="30">
        <f>IFERROR(__xludf.DUMMYFUNCTION("""COMPUTED_VALUE"""),1.0)</f>
        <v>1</v>
      </c>
      <c r="D349" s="30" t="str">
        <f>IFERROR(__xludf.DUMMYFUNCTION("""COMPUTED_VALUE"""),"CT CŨ")</f>
        <v>CT CŨ</v>
      </c>
      <c r="E349" s="30"/>
      <c r="F349" s="2"/>
      <c r="G349" s="2" t="str">
        <f>IFERROR(__xludf.DUMMYFUNCTION("""COMPUTED_VALUE"""),"HH4470")</f>
        <v>HH4470</v>
      </c>
      <c r="H349" s="2" t="str">
        <f>IFERROR(__xludf.DUMMYFUNCTION("""COMPUTED_VALUE"""),"GC - IV - 4470 - CTY R3 - R3 TANK  (Nước nâu vàng) - 300ml - 40")</f>
        <v>GC - IV - 4470 - CTY R3 - R3 TANK  (Nước nâu vàng) - 300ml - 40</v>
      </c>
      <c r="I349" s="39" t="str">
        <f>IFERROR(__xludf.DUMMYFUNCTION("""COMPUTED_VALUE"""),"vi lượng G.A 05")</f>
        <v>vi lượng G.A 05</v>
      </c>
      <c r="J349" s="2" t="str">
        <f>IFERROR(__xludf.DUMMYFUNCTION("""COMPUTED_VALUE"""),"A01200825
Cùng ruột 4231")</f>
        <v>A01200825
Cùng ruột 4231</v>
      </c>
      <c r="K349" s="2"/>
      <c r="L349" s="2" t="str">
        <f>IFERROR(__xludf.DUMMYFUNCTION("""COMPUTED_VALUE"""),"A01200825.")</f>
        <v>A01200825.</v>
      </c>
      <c r="M349" s="2" t="str">
        <f>IFERROR(__xludf.DUMMYFUNCTION("""COMPUTED_VALUE"""),"CỨNG CÂY 01 ")</f>
        <v>CỨNG CÂY 01 </v>
      </c>
      <c r="N349" s="2" t="str">
        <f>IFERROR(__xludf.DUMMYFUNCTION("""COMPUTED_VALUE"""),"02CC0012")</f>
        <v>02CC0012</v>
      </c>
      <c r="O349" s="2" t="str">
        <f>IFERROR(__xludf.DUMMYFUNCTION("""COMPUTED_VALUE"""),"Phân bón vi lượng G.A 05")</f>
        <v>Phân bón vi lượng G.A 05</v>
      </c>
      <c r="P349" s="2" t="str">
        <f>IFERROR(__xludf.DUMMYFUNCTION("""COMPUTED_VALUE"""),"Phân bón vi lượng G.A 05")</f>
        <v>Phân bón vi lượng G.A 05</v>
      </c>
      <c r="Q349" s="30" t="str">
        <f>IFERROR(__xludf.DUMMYFUNCTION("""COMPUTED_VALUE"""),"KHỚP")</f>
        <v>KHỚP</v>
      </c>
      <c r="R349" s="2"/>
      <c r="S349" s="2"/>
      <c r="T349" s="2"/>
      <c r="U349" s="2"/>
      <c r="V349" s="2"/>
      <c r="W349" s="2"/>
      <c r="X349" s="2"/>
      <c r="Y349" s="2"/>
    </row>
    <row r="350">
      <c r="A350" s="30">
        <f>IFERROR(__xludf.DUMMYFUNCTION("""COMPUTED_VALUE"""),347.0)</f>
        <v>347</v>
      </c>
      <c r="B350" s="39" t="str">
        <f>IFERROR(__xludf.DUMMYFUNCTION("""COMPUTED_VALUE"""),"")</f>
        <v/>
      </c>
      <c r="C350" s="30">
        <f>IFERROR(__xludf.DUMMYFUNCTION("""COMPUTED_VALUE"""),3.0)</f>
        <v>3</v>
      </c>
      <c r="D350" s="30" t="str">
        <f>IFERROR(__xludf.DUMMYFUNCTION("""COMPUTED_VALUE"""),"CT CŨ")</f>
        <v>CT CŨ</v>
      </c>
      <c r="E350" s="30"/>
      <c r="F350" s="2"/>
      <c r="G350" s="2" t="str">
        <f>IFERROR(__xludf.DUMMYFUNCTION("""COMPUTED_VALUE"""),"HH4212")</f>
        <v>HH4212</v>
      </c>
      <c r="H350" s="2" t="str">
        <f>IFERROR(__xludf.DUMMYFUNCTION("""COMPUTED_VALUE"""),"GC - IV - 4212 - Cty CAPY GLOBAL - NUTRI BIO KING (Gel nâu đen) - 5L - 4")</f>
        <v>GC - IV - 4212 - Cty CAPY GLOBAL - NUTRI BIO KING (Gel nâu đen) - 5L - 4</v>
      </c>
      <c r="I350" s="2" t="str">
        <f>IFERROR(__xludf.DUMMYFUNCTION("""COMPUTED_VALUE"""),"#N/A")</f>
        <v>#N/A</v>
      </c>
      <c r="J350" s="2" t="str">
        <f>IFERROR(__xludf.DUMMYFUNCTION("""COMPUTED_VALUE"""),"A02131025")</f>
        <v>A02131025</v>
      </c>
      <c r="K350" s="2"/>
      <c r="L350" s="2" t="str">
        <f>IFERROR(__xludf.DUMMYFUNCTION("""COMPUTED_VALUE"""),"")</f>
        <v/>
      </c>
      <c r="M350" s="2" t="str">
        <f>IFERROR(__xludf.DUMMYFUNCTION("""COMPUTED_VALUE"""),"")</f>
        <v/>
      </c>
      <c r="N350" s="2" t="str">
        <f>IFERROR(__xludf.DUMMYFUNCTION("""COMPUTED_VALUE"""),"01RR0076 ")</f>
        <v>01RR0076 </v>
      </c>
      <c r="O350" s="2" t="str">
        <f>IFERROR(__xludf.DUMMYFUNCTION("""COMPUTED_VALUE"""),"")</f>
        <v/>
      </c>
      <c r="P350" s="2" t="str">
        <f>IFERROR(__xludf.DUMMYFUNCTION("""COMPUTED_VALUE"""),"#N/A")</f>
        <v>#N/A</v>
      </c>
      <c r="Q350" s="30" t="str">
        <f>IFERROR(__xludf.DUMMYFUNCTION("""COMPUTED_VALUE"""),"KHÔNG KHỚP")</f>
        <v>KHÔNG KHỚP</v>
      </c>
      <c r="R350" s="2"/>
      <c r="S350" s="2"/>
      <c r="T350" s="2"/>
      <c r="U350" s="2"/>
      <c r="V350" s="2"/>
      <c r="W350" s="2"/>
      <c r="X350" s="2"/>
      <c r="Y350" s="2"/>
    </row>
    <row r="351">
      <c r="A351" s="30">
        <f>IFERROR(__xludf.DUMMYFUNCTION("""COMPUTED_VALUE"""),348.0)</f>
        <v>348</v>
      </c>
      <c r="B351" s="39">
        <f>IFERROR(__xludf.DUMMYFUNCTION("""COMPUTED_VALUE"""),45997.0)</f>
        <v>45997</v>
      </c>
      <c r="C351" s="30">
        <f>IFERROR(__xludf.DUMMYFUNCTION("""COMPUTED_VALUE"""),3.0)</f>
        <v>3</v>
      </c>
      <c r="D351" s="30" t="str">
        <f>IFERROR(__xludf.DUMMYFUNCTION("""COMPUTED_VALUE"""),"CT CŨ")</f>
        <v>CT CŨ</v>
      </c>
      <c r="E351" s="30"/>
      <c r="F351" s="2"/>
      <c r="G351" s="2" t="str">
        <f>IFERROR(__xludf.DUMMYFUNCTION("""COMPUTED_VALUE"""),"HH4375")</f>
        <v>HH4375</v>
      </c>
      <c r="H351" s="2" t="str">
        <f>IFERROR(__xludf.DUMMYFUNCTION("""COMPUTED_VALUE"""),"BAMBOO - VI - 4375 - BAMBOO CANXI BO MASTER (Nước trắng sữa) - 1L - 20")</f>
        <v>BAMBOO - VI - 4375 - BAMBOO CANXI BO MASTER (Nước trắng sữa) - 1L - 20</v>
      </c>
      <c r="I351" s="39" t="str">
        <f>IFERROR(__xludf.DUMMYFUNCTION("""COMPUTED_VALUE"""),"Vi lượng AGAMA-CANXI BO")</f>
        <v>Vi lượng AGAMA-CANXI BO</v>
      </c>
      <c r="J351" s="2" t="str">
        <f>IFERROR(__xludf.DUMMYFUNCTION("""COMPUTED_VALUE"""),"Cùng ruột HH3790")</f>
        <v>Cùng ruột HH3790</v>
      </c>
      <c r="K351" s="2"/>
      <c r="L351" s="2"/>
      <c r="M351" s="2" t="str">
        <f>IFERROR(__xludf.DUMMYFUNCTION("""COMPUTED_VALUE"""),"CANXI BO MASTER")</f>
        <v>CANXI BO MASTER</v>
      </c>
      <c r="N351" s="2" t="str">
        <f>IFERROR(__xludf.DUMMYFUNCTION("""COMPUTED_VALUE"""),"10CR0015V1")</f>
        <v>10CR0015V1</v>
      </c>
      <c r="O351" s="2" t="str">
        <f>IFERROR(__xludf.DUMMYFUNCTION("""COMPUTED_VALUE"""),"Phân bón Vi lượng AGAMA-CANXI BO")</f>
        <v>Phân bón Vi lượng AGAMA-CANXI BO</v>
      </c>
      <c r="P351" s="2" t="str">
        <f>IFERROR(__xludf.DUMMYFUNCTION("""COMPUTED_VALUE"""),"Phân bón Vi lượng AGAMA-CANXI BO")</f>
        <v>Phân bón Vi lượng AGAMA-CANXI BO</v>
      </c>
      <c r="Q351" s="30" t="str">
        <f>IFERROR(__xludf.DUMMYFUNCTION("""COMPUTED_VALUE"""),"KHỚP")</f>
        <v>KHỚP</v>
      </c>
      <c r="R351" s="2"/>
      <c r="S351" s="2"/>
      <c r="T351" s="2"/>
      <c r="U351" s="2"/>
      <c r="V351" s="2"/>
      <c r="W351" s="2"/>
      <c r="X351" s="2"/>
      <c r="Y351" s="2"/>
    </row>
    <row r="352">
      <c r="A352" s="30">
        <f>IFERROR(__xludf.DUMMYFUNCTION("""COMPUTED_VALUE"""),349.0)</f>
        <v>349</v>
      </c>
      <c r="B352" s="39">
        <f>IFERROR(__xludf.DUMMYFUNCTION("""COMPUTED_VALUE"""),45997.0)</f>
        <v>45997</v>
      </c>
      <c r="C352" s="30">
        <f>IFERROR(__xludf.DUMMYFUNCTION("""COMPUTED_VALUE"""),4.0)</f>
        <v>4</v>
      </c>
      <c r="D352" s="30" t="str">
        <f>IFERROR(__xludf.DUMMYFUNCTION("""COMPUTED_VALUE"""),"CT CŨ")</f>
        <v>CT CŨ</v>
      </c>
      <c r="E352" s="30"/>
      <c r="F352" s="2"/>
      <c r="G352" s="2" t="str">
        <f>IFERROR(__xludf.DUMMYFUNCTION("""COMPUTED_VALUE"""),"HH4375")</f>
        <v>HH4375</v>
      </c>
      <c r="H352" s="2" t="str">
        <f>IFERROR(__xludf.DUMMYFUNCTION("""COMPUTED_VALUE"""),"BAMBOO - VI - 4375 - BAMBOO CANXI BO MASTER (Nước trắng sữa) - 1L - 20")</f>
        <v>BAMBOO - VI - 4375 - BAMBOO CANXI BO MASTER (Nước trắng sữa) - 1L - 20</v>
      </c>
      <c r="I352" s="39" t="str">
        <f>IFERROR(__xludf.DUMMYFUNCTION("""COMPUTED_VALUE"""),"Vi lượng AGAMA-CANXI BO")</f>
        <v>Vi lượng AGAMA-CANXI BO</v>
      </c>
      <c r="J352" s="2" t="str">
        <f>IFERROR(__xludf.DUMMYFUNCTION("""COMPUTED_VALUE"""),"Cùng ruột HH3790")</f>
        <v>Cùng ruột HH3790</v>
      </c>
      <c r="K352" s="2"/>
      <c r="L352" s="2"/>
      <c r="M352" s="2" t="str">
        <f>IFERROR(__xludf.DUMMYFUNCTION("""COMPUTED_VALUE"""),"CANXI BO MASTER")</f>
        <v>CANXI BO MASTER</v>
      </c>
      <c r="N352" s="2" t="str">
        <f>IFERROR(__xludf.DUMMYFUNCTION("""COMPUTED_VALUE"""),"10CR0015V1")</f>
        <v>10CR0015V1</v>
      </c>
      <c r="O352" s="2" t="str">
        <f>IFERROR(__xludf.DUMMYFUNCTION("""COMPUTED_VALUE"""),"Phân bón Vi lượng AGAMA-CANXI BO")</f>
        <v>Phân bón Vi lượng AGAMA-CANXI BO</v>
      </c>
      <c r="P352" s="2" t="str">
        <f>IFERROR(__xludf.DUMMYFUNCTION("""COMPUTED_VALUE"""),"Phân bón Vi lượng AGAMA-CANXI BO")</f>
        <v>Phân bón Vi lượng AGAMA-CANXI BO</v>
      </c>
      <c r="Q352" s="30" t="str">
        <f>IFERROR(__xludf.DUMMYFUNCTION("""COMPUTED_VALUE"""),"KHỚP")</f>
        <v>KHỚP</v>
      </c>
      <c r="R352" s="2"/>
      <c r="S352" s="2"/>
      <c r="T352" s="2"/>
      <c r="U352" s="2"/>
      <c r="V352" s="2"/>
      <c r="W352" s="2"/>
      <c r="X352" s="2"/>
      <c r="Y352" s="2"/>
    </row>
    <row r="353">
      <c r="A353" s="30">
        <f>IFERROR(__xludf.DUMMYFUNCTION("""COMPUTED_VALUE"""),350.0)</f>
        <v>350</v>
      </c>
      <c r="B353" s="39">
        <f>IFERROR(__xludf.DUMMYFUNCTION("""COMPUTED_VALUE"""),45997.0)</f>
        <v>45997</v>
      </c>
      <c r="C353" s="30">
        <f>IFERROR(__xludf.DUMMYFUNCTION("""COMPUTED_VALUE"""),5.0)</f>
        <v>5</v>
      </c>
      <c r="D353" s="30" t="str">
        <f>IFERROR(__xludf.DUMMYFUNCTION("""COMPUTED_VALUE"""),"CT CŨ")</f>
        <v>CT CŨ</v>
      </c>
      <c r="E353" s="30"/>
      <c r="F353" s="2"/>
      <c r="G353" s="2" t="str">
        <f>IFERROR(__xludf.DUMMYFUNCTION("""COMPUTED_VALUE"""),"HH4375")</f>
        <v>HH4375</v>
      </c>
      <c r="H353" s="2" t="str">
        <f>IFERROR(__xludf.DUMMYFUNCTION("""COMPUTED_VALUE"""),"BAMBOO - VI - 4375 - BAMBOO CANXI BO MASTER (Nước trắng sữa) - 1L - 20")</f>
        <v>BAMBOO - VI - 4375 - BAMBOO CANXI BO MASTER (Nước trắng sữa) - 1L - 20</v>
      </c>
      <c r="I353" s="39" t="str">
        <f>IFERROR(__xludf.DUMMYFUNCTION("""COMPUTED_VALUE"""),"Vi lượng AGAMA-CANXI BO")</f>
        <v>Vi lượng AGAMA-CANXI BO</v>
      </c>
      <c r="J353" s="2" t="str">
        <f>IFERROR(__xludf.DUMMYFUNCTION("""COMPUTED_VALUE"""),"Cùng ruột HH3790")</f>
        <v>Cùng ruột HH3790</v>
      </c>
      <c r="K353" s="2"/>
      <c r="L353" s="2"/>
      <c r="M353" s="2" t="str">
        <f>IFERROR(__xludf.DUMMYFUNCTION("""COMPUTED_VALUE"""),"CANXI BO MASTER")</f>
        <v>CANXI BO MASTER</v>
      </c>
      <c r="N353" s="2" t="str">
        <f>IFERROR(__xludf.DUMMYFUNCTION("""COMPUTED_VALUE"""),"10CR0015V1")</f>
        <v>10CR0015V1</v>
      </c>
      <c r="O353" s="2" t="str">
        <f>IFERROR(__xludf.DUMMYFUNCTION("""COMPUTED_VALUE"""),"Phân bón Vi lượng AGAMA-CANXI BO")</f>
        <v>Phân bón Vi lượng AGAMA-CANXI BO</v>
      </c>
      <c r="P353" s="2" t="str">
        <f>IFERROR(__xludf.DUMMYFUNCTION("""COMPUTED_VALUE"""),"Phân bón Vi lượng AGAMA-CANXI BO")</f>
        <v>Phân bón Vi lượng AGAMA-CANXI BO</v>
      </c>
      <c r="Q353" s="30" t="str">
        <f>IFERROR(__xludf.DUMMYFUNCTION("""COMPUTED_VALUE"""),"KHỚP")</f>
        <v>KHỚP</v>
      </c>
      <c r="R353" s="2"/>
      <c r="S353" s="2"/>
      <c r="T353" s="2"/>
      <c r="U353" s="2"/>
      <c r="V353" s="2"/>
      <c r="W353" s="2"/>
      <c r="X353" s="2"/>
      <c r="Y353" s="2"/>
    </row>
    <row r="354">
      <c r="A354" s="30">
        <f>IFERROR(__xludf.DUMMYFUNCTION("""COMPUTED_VALUE"""),351.0)</f>
        <v>351</v>
      </c>
      <c r="B354" s="39">
        <f>IFERROR(__xludf.DUMMYFUNCTION("""COMPUTED_VALUE"""),45997.0)</f>
        <v>45997</v>
      </c>
      <c r="C354" s="30">
        <f>IFERROR(__xludf.DUMMYFUNCTION("""COMPUTED_VALUE"""),1.0)</f>
        <v>1</v>
      </c>
      <c r="D354" s="30" t="str">
        <f>IFERROR(__xludf.DUMMYFUNCTION("""COMPUTED_VALUE"""),"CT CŨ")</f>
        <v>CT CŨ</v>
      </c>
      <c r="E354" s="30"/>
      <c r="F354" s="2"/>
      <c r="G354" s="2" t="str">
        <f>IFERROR(__xludf.DUMMYFUNCTION("""COMPUTED_VALUE"""),"HH4478")</f>
        <v>HH4478</v>
      </c>
      <c r="H354" s="2" t="str">
        <f>IFERROR(__xludf.DUMMYFUNCTION("""COMPUTED_VALUE"""),"IDA GLOBAL - Vi lượng AGAMA-CANXI BO - CANXI BO LIQUID (LÚA) - 500ml - 40")</f>
        <v>IDA GLOBAL - Vi lượng AGAMA-CANXI BO - CANXI BO LIQUID (LÚA) - 500ml - 40</v>
      </c>
      <c r="I354" s="2" t="str">
        <f>IFERROR(__xludf.DUMMYFUNCTION("""COMPUTED_VALUE"""),"#N/A")</f>
        <v>#N/A</v>
      </c>
      <c r="J354" s="2"/>
      <c r="K354" s="2"/>
      <c r="L354" s="2"/>
      <c r="M354" s="2" t="str">
        <f>IFERROR(__xludf.DUMMYFUNCTION("""COMPUTED_VALUE"""),"CANXI BO MASTER")</f>
        <v>CANXI BO MASTER</v>
      </c>
      <c r="N354" s="2" t="str">
        <f>IFERROR(__xludf.DUMMYFUNCTION("""COMPUTED_VALUE"""),"10CR0015V1")</f>
        <v>10CR0015V1</v>
      </c>
      <c r="O354" s="2" t="str">
        <f>IFERROR(__xludf.DUMMYFUNCTION("""COMPUTED_VALUE"""),"Phân bón Vi lượng AGAMA-CANXI BO")</f>
        <v>Phân bón Vi lượng AGAMA-CANXI BO</v>
      </c>
      <c r="P354" s="2" t="str">
        <f>IFERROR(__xludf.DUMMYFUNCTION("""COMPUTED_VALUE"""),"#N/A")</f>
        <v>#N/A</v>
      </c>
      <c r="Q354" s="30" t="str">
        <f>IFERROR(__xludf.DUMMYFUNCTION("""COMPUTED_VALUE"""),"KHÔNG KHỚP")</f>
        <v>KHÔNG KHỚP</v>
      </c>
      <c r="R354" s="2"/>
      <c r="S354" s="2"/>
      <c r="T354" s="2"/>
      <c r="U354" s="2"/>
      <c r="V354" s="2"/>
      <c r="W354" s="2"/>
      <c r="X354" s="2"/>
      <c r="Y354" s="2"/>
    </row>
    <row r="355">
      <c r="A355" s="30">
        <f>IFERROR(__xludf.DUMMYFUNCTION("""COMPUTED_VALUE"""),352.0)</f>
        <v>352</v>
      </c>
      <c r="B355" s="39">
        <f>IFERROR(__xludf.DUMMYFUNCTION("""COMPUTED_VALUE"""),46001.0)</f>
        <v>46001</v>
      </c>
      <c r="C355" s="30">
        <f>IFERROR(__xludf.DUMMYFUNCTION("""COMPUTED_VALUE"""),1.0)</f>
        <v>1</v>
      </c>
      <c r="D355" s="30" t="str">
        <f>IFERROR(__xludf.DUMMYFUNCTION("""COMPUTED_VALUE"""),"CT MỚI")</f>
        <v>CT MỚI</v>
      </c>
      <c r="E355" s="30"/>
      <c r="F355" s="2"/>
      <c r="G355" s="2" t="str">
        <f>IFERROR(__xludf.DUMMYFUNCTION("""COMPUTED_VALUE"""),"HH4455")</f>
        <v>HH4455</v>
      </c>
      <c r="H355" s="2" t="str">
        <f>IFERROR(__xludf.DUMMYFUNCTION("""COMPUTED_VALUE"""),"IDA Global - I - 4455 - CỨNG CÂY 304 (Nước nâu đen) - 500ml - 40")</f>
        <v>IDA Global - I - 4455 - CỨNG CÂY 304 (Nước nâu đen) - 500ml - 40</v>
      </c>
      <c r="I355" s="39" t="str">
        <f>IFERROR(__xludf.DUMMYFUNCTION("""COMPUTED_VALUE"""),"Hữu cơ SH Agro Organic Fertilizer 20")</f>
        <v>Hữu cơ SH Agro Organic Fertilizer 20</v>
      </c>
      <c r="J355" s="2" t="str">
        <f>IFERROR(__xludf.DUMMYFUNCTION("""COMPUTED_VALUE"""),"Cùng ruột HH4075")</f>
        <v>Cùng ruột HH4075</v>
      </c>
      <c r="K355" s="2"/>
      <c r="L355" s="2"/>
      <c r="M355" s="2" t="str">
        <f>IFERROR(__xludf.DUMMYFUNCTION("""COMPUTED_VALUE"""),"CỨNG CÂY 304")</f>
        <v>CỨNG CÂY 304</v>
      </c>
      <c r="N355" s="2" t="str">
        <f>IFERROR(__xludf.DUMMYFUNCTION("""COMPUTED_VALUE"""),"02CC0002V3")</f>
        <v>02CC0002V3</v>
      </c>
      <c r="O355" s="2" t="str">
        <f>IFERROR(__xludf.DUMMYFUNCTION("""COMPUTED_VALUE"""),"Phân bón Hữu cơ SH Agro Organic Fertilizer 20")</f>
        <v>Phân bón Hữu cơ SH Agro Organic Fertilizer 20</v>
      </c>
      <c r="P355" s="2" t="str">
        <f>IFERROR(__xludf.DUMMYFUNCTION("""COMPUTED_VALUE"""),"Phân bón Hữu cơ SH Agro Organic Fertilizer 20")</f>
        <v>Phân bón Hữu cơ SH Agro Organic Fertilizer 20</v>
      </c>
      <c r="Q355" s="30" t="str">
        <f>IFERROR(__xludf.DUMMYFUNCTION("""COMPUTED_VALUE"""),"KHỚP")</f>
        <v>KHỚP</v>
      </c>
      <c r="R355" s="2"/>
      <c r="S355" s="2"/>
      <c r="T355" s="2"/>
      <c r="U355" s="2"/>
      <c r="V355" s="2"/>
      <c r="W355" s="2"/>
      <c r="X355" s="2"/>
      <c r="Y355" s="2"/>
    </row>
    <row r="356">
      <c r="A356" s="30">
        <f>IFERROR(__xludf.DUMMYFUNCTION("""COMPUTED_VALUE"""),353.0)</f>
        <v>353</v>
      </c>
      <c r="B356" s="39">
        <f>IFERROR(__xludf.DUMMYFUNCTION("""COMPUTED_VALUE"""),45939.0)</f>
        <v>45939</v>
      </c>
      <c r="C356" s="30">
        <f>IFERROR(__xludf.DUMMYFUNCTION("""COMPUTED_VALUE"""),2.0)</f>
        <v>2</v>
      </c>
      <c r="D356" s="30" t="str">
        <f>IFERROR(__xludf.DUMMYFUNCTION("""COMPUTED_VALUE"""),"CT CŨ")</f>
        <v>CT CŨ</v>
      </c>
      <c r="E356" s="30"/>
      <c r="F356" s="2"/>
      <c r="G356" s="2" t="str">
        <f>IFERROR(__xludf.DUMMYFUNCTION("""COMPUTED_VALUE"""),"HH4265")</f>
        <v>HH4265</v>
      </c>
      <c r="H356" s="2" t="str">
        <f>IFERROR(__xludf.DUMMYFUNCTION("""COMPUTED_VALUE"""),"GC - IV - 4265 - THÀNH CÔNG AGRI - PK-MAX (Nước nâu vàng) - 500ml - 30")</f>
        <v>GC - IV - 4265 - THÀNH CÔNG AGRI - PK-MAX (Nước nâu vàng) - 500ml - 30</v>
      </c>
      <c r="I356" s="2" t="str">
        <f>IFERROR(__xludf.DUMMYFUNCTION("""COMPUTED_VALUE"""),"#N/A")</f>
        <v>#N/A</v>
      </c>
      <c r="J356" s="2" t="str">
        <f>IFERROR(__xludf.DUMMYFUNCTION("""COMPUTED_VALUE"""),"A07290925")</f>
        <v>A07290925</v>
      </c>
      <c r="K356" s="2"/>
      <c r="L356" s="2" t="str">
        <f>IFERROR(__xludf.DUMMYFUNCTION("""COMPUTED_VALUE"""),"A07290925")</f>
        <v>A07290925</v>
      </c>
      <c r="M356" s="2" t="str">
        <f>IFERROR(__xludf.DUMMYFUNCTION("""COMPUTED_VALUE"""),"TẠO MẦM ")</f>
        <v>TẠO MẦM </v>
      </c>
      <c r="N356" s="2" t="str">
        <f>IFERROR(__xludf.DUMMYFUNCTION("""COMPUTED_VALUE"""),"08TM0027")</f>
        <v>08TM0027</v>
      </c>
      <c r="O356" s="2" t="str">
        <f>IFERROR(__xludf.DUMMYFUNCTION("""COMPUTED_VALUE"""),"Phân bón lá hỗn hợp PK AGRI FOS AB")</f>
        <v>Phân bón lá hỗn hợp PK AGRI FOS AB</v>
      </c>
      <c r="P356" s="2" t="str">
        <f>IFERROR(__xludf.DUMMYFUNCTION("""COMPUTED_VALUE"""),"#N/A")</f>
        <v>#N/A</v>
      </c>
      <c r="Q356" s="30" t="str">
        <f>IFERROR(__xludf.DUMMYFUNCTION("""COMPUTED_VALUE"""),"KHÔNG KHỚP")</f>
        <v>KHÔNG KHỚP</v>
      </c>
      <c r="R356" s="2"/>
      <c r="S356" s="2"/>
      <c r="T356" s="2"/>
      <c r="U356" s="2"/>
      <c r="V356" s="2"/>
      <c r="W356" s="2"/>
      <c r="X356" s="2"/>
      <c r="Y356" s="2"/>
    </row>
    <row r="357">
      <c r="A357" s="30">
        <f>IFERROR(__xludf.DUMMYFUNCTION("""COMPUTED_VALUE"""),354.0)</f>
        <v>354</v>
      </c>
      <c r="B357" s="39">
        <f>IFERROR(__xludf.DUMMYFUNCTION("""COMPUTED_VALUE"""),45896.0)</f>
        <v>45896</v>
      </c>
      <c r="C357" s="30">
        <f>IFERROR(__xludf.DUMMYFUNCTION("""COMPUTED_VALUE"""),1.0)</f>
        <v>1</v>
      </c>
      <c r="D357" s="30" t="str">
        <f>IFERROR(__xludf.DUMMYFUNCTION("""COMPUTED_VALUE"""),"CT CŨ")</f>
        <v>CT CŨ</v>
      </c>
      <c r="E357" s="30"/>
      <c r="F357" s="2"/>
      <c r="G357" s="2" t="str">
        <f>IFERROR(__xludf.DUMMYFUNCTION("""COMPUTED_VALUE"""),"HH4410")</f>
        <v>HH4410</v>
      </c>
      <c r="H357" s="2" t="str">
        <f>IFERROR(__xludf.DUMMYFUNCTION("""COMPUTED_VALUE"""),"GC - IV - 4410 - NHP Group - CANXI BO BIO PLUS (Dạng SC - Trắng sữa) - 500ml - 40")</f>
        <v>GC - IV - 4410 - NHP Group - CANXI BO BIO PLUS (Dạng SC - Trắng sữa) - 500ml - 40</v>
      </c>
      <c r="I357" s="2" t="str">
        <f>IFERROR(__xludf.DUMMYFUNCTION("""COMPUTED_VALUE"""),"#N/A")</f>
        <v>#N/A</v>
      </c>
      <c r="J357" s="2" t="str">
        <f>IFERROR(__xludf.DUMMYFUNCTION("""COMPUTED_VALUE"""),"A02160725")</f>
        <v>A02160725</v>
      </c>
      <c r="K357" s="2"/>
      <c r="L357" s="2" t="str">
        <f>IFERROR(__xludf.DUMMYFUNCTION("""COMPUTED_VALUE"""),"A02160725")</f>
        <v>A02160725</v>
      </c>
      <c r="M357" s="2" t="str">
        <f>IFERROR(__xludf.DUMMYFUNCTION("""COMPUTED_VALUE"""),"AGAMA-CANXI BO
(KIM NGỌC)")</f>
        <v>AGAMA-CANXI BO
(KIM NGỌC)</v>
      </c>
      <c r="N357" s="2" t="str">
        <f>IFERROR(__xludf.DUMMYFUNCTION("""COMPUTED_VALUE"""),"10CR0021")</f>
        <v>10CR0021</v>
      </c>
      <c r="O357" s="2" t="str">
        <f>IFERROR(__xludf.DUMMYFUNCTION("""COMPUTED_VALUE"""),"Phân bón Vi lượng AGAMA-CANXI BO")</f>
        <v>Phân bón Vi lượng AGAMA-CANXI BO</v>
      </c>
      <c r="P357" s="2" t="str">
        <f>IFERROR(__xludf.DUMMYFUNCTION("""COMPUTED_VALUE"""),"#N/A")</f>
        <v>#N/A</v>
      </c>
      <c r="Q357" s="30" t="str">
        <f>IFERROR(__xludf.DUMMYFUNCTION("""COMPUTED_VALUE"""),"KHÔNG KHỚP")</f>
        <v>KHÔNG KHỚP</v>
      </c>
      <c r="R357" s="2"/>
      <c r="S357" s="2"/>
      <c r="T357" s="2"/>
      <c r="U357" s="2"/>
      <c r="V357" s="2"/>
      <c r="W357" s="2"/>
      <c r="X357" s="2"/>
      <c r="Y357" s="2"/>
    </row>
    <row r="358">
      <c r="A358" s="30">
        <f>IFERROR(__xludf.DUMMYFUNCTION("""COMPUTED_VALUE"""),355.0)</f>
        <v>355</v>
      </c>
      <c r="B358" s="39">
        <f>IFERROR(__xludf.DUMMYFUNCTION("""COMPUTED_VALUE"""),45964.0)</f>
        <v>45964</v>
      </c>
      <c r="C358" s="30">
        <f>IFERROR(__xludf.DUMMYFUNCTION("""COMPUTED_VALUE"""),1.0)</f>
        <v>1</v>
      </c>
      <c r="D358" s="30" t="str">
        <f>IFERROR(__xludf.DUMMYFUNCTION("""COMPUTED_VALUE"""),"CT MỚI")</f>
        <v>CT MỚI</v>
      </c>
      <c r="E358" s="30"/>
      <c r="F358" s="2"/>
      <c r="G358" s="2" t="str">
        <f>IFERROR(__xludf.DUMMYFUNCTION("""COMPUTED_VALUE"""),"HH4479")</f>
        <v>HH4479</v>
      </c>
      <c r="H358" s="2" t="str">
        <f>IFERROR(__xludf.DUMMYFUNCTION("""COMPUTED_VALUE"""),"GC ABA - QUANG ĐĂNG AGRICULTURE - vi lượng Phú Sĩ FJ-09 Kẽm Mg - COMBI GREEN - 250ml - 40")</f>
        <v>GC ABA - QUANG ĐĂNG AGRICULTURE - vi lượng Phú Sĩ FJ-09 Kẽm Mg - COMBI GREEN - 250ml - 40</v>
      </c>
      <c r="I358" s="39" t="str">
        <f>IFERROR(__xludf.DUMMYFUNCTION("""COMPUTED_VALUE"""),"vi lượng Phú Sĩ FJ-09 Kẽm Mg")</f>
        <v>vi lượng Phú Sĩ FJ-09 Kẽm Mg</v>
      </c>
      <c r="J358" s="2" t="str">
        <f>IFERROR(__xludf.DUMMYFUNCTION("""COMPUTED_VALUE"""),"A02011025")</f>
        <v>A02011025</v>
      </c>
      <c r="K358" s="2"/>
      <c r="L358" s="2" t="str">
        <f>IFERROR(__xludf.DUMMYFUNCTION("""COMPUTED_VALUE"""),"A02011025")</f>
        <v>A02011025</v>
      </c>
      <c r="M358" s="2" t="str">
        <f>IFERROR(__xludf.DUMMYFUNCTION("""COMPUTED_VALUE"""),"Mg Zn Cao cấp")</f>
        <v>Mg Zn Cao cấp</v>
      </c>
      <c r="N358" s="2" t="str">
        <f>IFERROR(__xludf.DUMMYFUNCTION("""COMPUTED_VALUE"""),"23GS0015")</f>
        <v>23GS0015</v>
      </c>
      <c r="O358" s="2" t="str">
        <f>IFERROR(__xludf.DUMMYFUNCTION("""COMPUTED_VALUE"""),"Phân bón vi lượng Phú Sĩ FJ-09 Kẽm Mg")</f>
        <v>Phân bón vi lượng Phú Sĩ FJ-09 Kẽm Mg</v>
      </c>
      <c r="P358" s="2" t="str">
        <f>IFERROR(__xludf.DUMMYFUNCTION("""COMPUTED_VALUE"""),"Phân bón vi lượng Phú Sĩ FJ-09 Kẽm Mg")</f>
        <v>Phân bón vi lượng Phú Sĩ FJ-09 Kẽm Mg</v>
      </c>
      <c r="Q358" s="30" t="str">
        <f>IFERROR(__xludf.DUMMYFUNCTION("""COMPUTED_VALUE"""),"KHỚP")</f>
        <v>KHỚP</v>
      </c>
      <c r="R358" s="2"/>
      <c r="S358" s="2"/>
      <c r="T358" s="2"/>
      <c r="U358" s="2"/>
      <c r="V358" s="2"/>
      <c r="W358" s="2"/>
      <c r="X358" s="2"/>
      <c r="Y358" s="2"/>
    </row>
    <row r="359">
      <c r="A359" s="30">
        <f>IFERROR(__xludf.DUMMYFUNCTION("""COMPUTED_VALUE"""),356.0)</f>
        <v>356</v>
      </c>
      <c r="B359" s="39">
        <f>IFERROR(__xludf.DUMMYFUNCTION("""COMPUTED_VALUE"""),45964.0)</f>
        <v>45964</v>
      </c>
      <c r="C359" s="30">
        <f>IFERROR(__xludf.DUMMYFUNCTION("""COMPUTED_VALUE"""),1.0)</f>
        <v>1</v>
      </c>
      <c r="D359" s="30" t="str">
        <f>IFERROR(__xludf.DUMMYFUNCTION("""COMPUTED_VALUE"""),"CT MỚI")</f>
        <v>CT MỚI</v>
      </c>
      <c r="E359" s="30"/>
      <c r="F359" s="2"/>
      <c r="G359" s="2" t="str">
        <f>IFERROR(__xludf.DUMMYFUNCTION("""COMPUTED_VALUE"""),"HH4440")</f>
        <v>HH4440</v>
      </c>
      <c r="H359" s="2" t="str">
        <f>IFERROR(__xludf.DUMMYFUNCTION("""COMPUTED_VALUE"""),"GC - IV - 4440 - CTY QUANG ĐĂNG AGRICULTURE - COMBI.QĐ KẼM MG (Nước trắng sữa) - 250ml - 40")</f>
        <v>GC - IV - 4440 - CTY QUANG ĐĂNG AGRICULTURE - COMBI.QĐ KẼM MG (Nước trắng sữa) - 250ml - 40</v>
      </c>
      <c r="I359" s="39" t="str">
        <f>IFERROR(__xludf.DUMMYFUNCTION("""COMPUTED_VALUE"""),"vi lượng Phú Sĩ FJ-09 Kẽm Mg")</f>
        <v>vi lượng Phú Sĩ FJ-09 Kẽm Mg</v>
      </c>
      <c r="J359" s="2" t="str">
        <f>IFERROR(__xludf.DUMMYFUNCTION("""COMPUTED_VALUE"""),"A02011025")</f>
        <v>A02011025</v>
      </c>
      <c r="K359" s="2"/>
      <c r="L359" s="2" t="str">
        <f>IFERROR(__xludf.DUMMYFUNCTION("""COMPUTED_VALUE"""),"A02011025")</f>
        <v>A02011025</v>
      </c>
      <c r="M359" s="2" t="str">
        <f>IFERROR(__xludf.DUMMYFUNCTION("""COMPUTED_VALUE"""),"Mg Zn Cao cấp")</f>
        <v>Mg Zn Cao cấp</v>
      </c>
      <c r="N359" s="2" t="str">
        <f>IFERROR(__xludf.DUMMYFUNCTION("""COMPUTED_VALUE"""),"23GS0015")</f>
        <v>23GS0015</v>
      </c>
      <c r="O359" s="2" t="str">
        <f>IFERROR(__xludf.DUMMYFUNCTION("""COMPUTED_VALUE"""),"Phân bón vi lượng Phú Sĩ FJ-09 Kẽm Mg")</f>
        <v>Phân bón vi lượng Phú Sĩ FJ-09 Kẽm Mg</v>
      </c>
      <c r="P359" s="2" t="str">
        <f>IFERROR(__xludf.DUMMYFUNCTION("""COMPUTED_VALUE"""),"Phân bón vi lượng Phú Sĩ FJ-09 Kẽm Mg")</f>
        <v>Phân bón vi lượng Phú Sĩ FJ-09 Kẽm Mg</v>
      </c>
      <c r="Q359" s="30" t="str">
        <f>IFERROR(__xludf.DUMMYFUNCTION("""COMPUTED_VALUE"""),"KHỚP")</f>
        <v>KHỚP</v>
      </c>
      <c r="R359" s="2"/>
      <c r="S359" s="2"/>
      <c r="T359" s="2"/>
      <c r="U359" s="2"/>
      <c r="V359" s="2"/>
      <c r="W359" s="2"/>
      <c r="X359" s="2"/>
      <c r="Y359" s="2"/>
    </row>
    <row r="360">
      <c r="A360" s="30">
        <f>IFERROR(__xludf.DUMMYFUNCTION("""COMPUTED_VALUE"""),357.0)</f>
        <v>357</v>
      </c>
      <c r="B360" s="39">
        <f>IFERROR(__xludf.DUMMYFUNCTION("""COMPUTED_VALUE"""),45940.0)</f>
        <v>45940</v>
      </c>
      <c r="C360" s="30">
        <f>IFERROR(__xludf.DUMMYFUNCTION("""COMPUTED_VALUE"""),1.0)</f>
        <v>1</v>
      </c>
      <c r="D360" s="30" t="str">
        <f>IFERROR(__xludf.DUMMYFUNCTION("""COMPUTED_VALUE"""),"CT CŨ")</f>
        <v>CT CŨ</v>
      </c>
      <c r="E360" s="30"/>
      <c r="F360" s="2"/>
      <c r="G360" s="2" t="str">
        <f>IFERROR(__xludf.DUMMYFUNCTION("""COMPUTED_VALUE"""),"HH4328")</f>
        <v>HH4328</v>
      </c>
      <c r="H360" s="2" t="str">
        <f>IFERROR(__xludf.DUMMYFUNCTION("""COMPUTED_VALUE"""),"GC - IV - 4328 - Hóa Nông Shino - KALI SỮA (Nước hồng sữa) - 500ml - 30")</f>
        <v>GC - IV - 4328 - Hóa Nông Shino - KALI SỮA (Nước hồng sữa) - 500ml - 30</v>
      </c>
      <c r="I360" s="2" t="str">
        <f>IFERROR(__xludf.DUMMYFUNCTION("""COMPUTED_VALUE"""),"#N/A")</f>
        <v>#N/A</v>
      </c>
      <c r="J360" s="2" t="str">
        <f>IFERROR(__xludf.DUMMYFUNCTION("""COMPUTED_VALUE"""),"Cùng ruột HH3951")</f>
        <v>Cùng ruột HH3951</v>
      </c>
      <c r="K360" s="2"/>
      <c r="L360" s="2" t="str">
        <f>IFERROR(__xludf.DUMMYFUNCTION("""COMPUTED_VALUE"""),"A02020525")</f>
        <v>A02020525</v>
      </c>
      <c r="M360" s="2" t="str">
        <f>IFERROR(__xludf.DUMMYFUNCTION("""COMPUTED_VALUE"""),"KALI SỮA")</f>
        <v>KALI SỮA</v>
      </c>
      <c r="N360" s="2" t="str">
        <f>IFERROR(__xludf.DUMMYFUNCTION("""COMPUTED_VALUE"""),"04VG0026V2")</f>
        <v>04VG0026V2</v>
      </c>
      <c r="O360" s="2" t="str">
        <f>IFERROR(__xludf.DUMMYFUNCTION("""COMPUTED_VALUE"""),"Phân bón Hỗn hợp NPK AGAMA-SRH")</f>
        <v>Phân bón Hỗn hợp NPK AGAMA-SRH</v>
      </c>
      <c r="P360" s="2" t="str">
        <f>IFERROR(__xludf.DUMMYFUNCTION("""COMPUTED_VALUE"""),"#N/A")</f>
        <v>#N/A</v>
      </c>
      <c r="Q360" s="30" t="str">
        <f>IFERROR(__xludf.DUMMYFUNCTION("""COMPUTED_VALUE"""),"KHÔNG KHỚP")</f>
        <v>KHÔNG KHỚP</v>
      </c>
      <c r="R360" s="2"/>
      <c r="S360" s="2"/>
      <c r="T360" s="2"/>
      <c r="U360" s="2"/>
      <c r="V360" s="2"/>
      <c r="W360" s="2"/>
      <c r="X360" s="2"/>
      <c r="Y360" s="2"/>
    </row>
    <row r="361">
      <c r="A361" s="30">
        <f>IFERROR(__xludf.DUMMYFUNCTION("""COMPUTED_VALUE"""),358.0)</f>
        <v>358</v>
      </c>
      <c r="B361" s="39">
        <f>IFERROR(__xludf.DUMMYFUNCTION("""COMPUTED_VALUE"""),45905.0)</f>
        <v>45905</v>
      </c>
      <c r="C361" s="30">
        <f>IFERROR(__xludf.DUMMYFUNCTION("""COMPUTED_VALUE"""),1.0)</f>
        <v>1</v>
      </c>
      <c r="D361" s="30" t="str">
        <f>IFERROR(__xludf.DUMMYFUNCTION("""COMPUTED_VALUE"""),"CT CŨ")</f>
        <v>CT CŨ</v>
      </c>
      <c r="E361" s="30"/>
      <c r="F361" s="2"/>
      <c r="G361" s="2" t="str">
        <f>IFERROR(__xludf.DUMMYFUNCTION("""COMPUTED_VALUE"""),"HH4492")</f>
        <v>HH4492</v>
      </c>
      <c r="H361" s="2" t="str">
        <f>IFERROR(__xludf.DUMMYFUNCTION("""COMPUTED_VALUE"""),"GC ABA - DONA VINA - Hữu cơ SH Agro Organic Fertilizer 20 - DONA SOIL pH - 5L - 4")</f>
        <v>GC ABA - DONA VINA - Hữu cơ SH Agro Organic Fertilizer 20 - DONA SOIL pH - 5L - 4</v>
      </c>
      <c r="I361" s="2" t="str">
        <f>IFERROR(__xludf.DUMMYFUNCTION("""COMPUTED_VALUE"""),"#N/A")</f>
        <v>#N/A</v>
      </c>
      <c r="J361" s="2" t="str">
        <f>IFERROR(__xludf.DUMMYFUNCTION("""COMPUTED_VALUE"""),"Cùng ruột 2055")</f>
        <v>Cùng ruột 2055</v>
      </c>
      <c r="K361" s="2"/>
      <c r="L361" s="2"/>
      <c r="M361" s="2" t="str">
        <f>IFERROR(__xludf.DUMMYFUNCTION("""COMPUTED_VALUE"""),"HN-pH++")</f>
        <v>HN-pH++</v>
      </c>
      <c r="N361" s="2" t="str">
        <f>IFERROR(__xludf.DUMMYFUNCTION("""COMPUTED_VALUE"""),"01RR0014V4")</f>
        <v>01RR0014V4</v>
      </c>
      <c r="O361" s="2" t="str">
        <f>IFERROR(__xludf.DUMMYFUNCTION("""COMPUTED_VALUE"""),"Phân bón Hữu cơ SH Agro Organic Fertilizer 20")</f>
        <v>Phân bón Hữu cơ SH Agro Organic Fertilizer 20</v>
      </c>
      <c r="P361" s="2" t="str">
        <f>IFERROR(__xludf.DUMMYFUNCTION("""COMPUTED_VALUE"""),"#N/A")</f>
        <v>#N/A</v>
      </c>
      <c r="Q361" s="30" t="str">
        <f>IFERROR(__xludf.DUMMYFUNCTION("""COMPUTED_VALUE"""),"KHÔNG KHỚP")</f>
        <v>KHÔNG KHỚP</v>
      </c>
      <c r="R361" s="2"/>
      <c r="S361" s="2"/>
      <c r="T361" s="2"/>
      <c r="U361" s="2"/>
      <c r="V361" s="2"/>
      <c r="W361" s="2"/>
      <c r="X361" s="2"/>
      <c r="Y361" s="2"/>
    </row>
    <row r="362">
      <c r="A362" s="30">
        <f>IFERROR(__xludf.DUMMYFUNCTION("""COMPUTED_VALUE"""),359.0)</f>
        <v>359</v>
      </c>
      <c r="B362" s="39">
        <f>IFERROR(__xludf.DUMMYFUNCTION("""COMPUTED_VALUE"""),45988.0)</f>
        <v>45988</v>
      </c>
      <c r="C362" s="30">
        <f>IFERROR(__xludf.DUMMYFUNCTION("""COMPUTED_VALUE"""),1.0)</f>
        <v>1</v>
      </c>
      <c r="D362" s="30" t="str">
        <f>IFERROR(__xludf.DUMMYFUNCTION("""COMPUTED_VALUE"""),"CT CŨ")</f>
        <v>CT CŨ</v>
      </c>
      <c r="E362" s="30"/>
      <c r="F362" s="2"/>
      <c r="G362" s="2" t="str">
        <f>IFERROR(__xludf.DUMMYFUNCTION("""COMPUTED_VALUE"""),"HH4490")</f>
        <v>HH4490</v>
      </c>
      <c r="H362" s="2" t="str">
        <f>IFERROR(__xludf.DUMMYFUNCTION("""COMPUTED_VALUE"""),"GC - CTY NAUY - Vi lượng AGAMA-SUPPORT -  NAUY DƯỠNG ĐÒNG - 500ml - 40")</f>
        <v>GC - CTY NAUY - Vi lượng AGAMA-SUPPORT -  NAUY DƯỠNG ĐÒNG - 500ml - 40</v>
      </c>
      <c r="I362" s="2" t="str">
        <f>IFERROR(__xludf.DUMMYFUNCTION("""COMPUTED_VALUE"""),"#N/A")</f>
        <v>#N/A</v>
      </c>
      <c r="J362" s="2" t="str">
        <f>IFERROR(__xludf.DUMMYFUNCTION("""COMPUTED_VALUE"""),"03DD0009
Cùng ruột 3567")</f>
        <v>03DD0009
Cùng ruột 3567</v>
      </c>
      <c r="K362" s="2"/>
      <c r="L362" s="2" t="str">
        <f>IFERROR(__xludf.DUMMYFUNCTION("""COMPUTED_VALUE"""),"S01281024")</f>
        <v>S01281024</v>
      </c>
      <c r="M362" s="2" t="str">
        <f>IFERROR(__xludf.DUMMYFUNCTION("""COMPUTED_VALUE"""),"DƯỠNG ĐÒNG-NAUY")</f>
        <v>DƯỠNG ĐÒNG-NAUY</v>
      </c>
      <c r="N362" s="2" t="str">
        <f>IFERROR(__xludf.DUMMYFUNCTION("""COMPUTED_VALUE"""),"03DD0009")</f>
        <v>03DD0009</v>
      </c>
      <c r="O362" s="2" t="str">
        <f>IFERROR(__xludf.DUMMYFUNCTION("""COMPUTED_VALUE"""),"Phân bón Vi lượng AGAMA-SUPPORT")</f>
        <v>Phân bón Vi lượng AGAMA-SUPPORT</v>
      </c>
      <c r="P362" s="2" t="str">
        <f>IFERROR(__xludf.DUMMYFUNCTION("""COMPUTED_VALUE"""),"#N/A")</f>
        <v>#N/A</v>
      </c>
      <c r="Q362" s="30" t="str">
        <f>IFERROR(__xludf.DUMMYFUNCTION("""COMPUTED_VALUE"""),"KHÔNG KHỚP")</f>
        <v>KHÔNG KHỚP</v>
      </c>
      <c r="R362" s="2"/>
      <c r="S362" s="2"/>
      <c r="T362" s="2"/>
      <c r="U362" s="2"/>
      <c r="V362" s="2"/>
      <c r="W362" s="2"/>
      <c r="X362" s="2"/>
      <c r="Y362" s="2"/>
    </row>
    <row r="363">
      <c r="A363" s="30">
        <f>IFERROR(__xludf.DUMMYFUNCTION("""COMPUTED_VALUE"""),360.0)</f>
        <v>360</v>
      </c>
      <c r="B363" s="39">
        <f>IFERROR(__xludf.DUMMYFUNCTION("""COMPUTED_VALUE"""),45993.0)</f>
        <v>45993</v>
      </c>
      <c r="C363" s="30">
        <f>IFERROR(__xludf.DUMMYFUNCTION("""COMPUTED_VALUE"""),4.0)</f>
        <v>4</v>
      </c>
      <c r="D363" s="30" t="str">
        <f>IFERROR(__xludf.DUMMYFUNCTION("""COMPUTED_VALUE"""),"CT CŨ")</f>
        <v>CT CŨ</v>
      </c>
      <c r="E363" s="30"/>
      <c r="F363" s="2"/>
      <c r="G363" s="2" t="str">
        <f>IFERROR(__xludf.DUMMYFUNCTION("""COMPUTED_VALUE"""),"HH4091")</f>
        <v>HH4091</v>
      </c>
      <c r="H363" s="2" t="str">
        <f>IFERROR(__xludf.DUMMYFUNCTION("""COMPUTED_VALUE"""),"IDA Global - I - 4091 - KG - ORGANIC X2 (Nước nâu đen) - 1L - 20")</f>
        <v>IDA Global - I - 4091 - KG - ORGANIC X2 (Nước nâu đen) - 1L - 20</v>
      </c>
      <c r="I363" s="2" t="str">
        <f>IFERROR(__xludf.DUMMYFUNCTION("""COMPUTED_VALUE"""),"#N/A")</f>
        <v>#N/A</v>
      </c>
      <c r="J363" s="2"/>
      <c r="K363" s="2"/>
      <c r="L363" s="2"/>
      <c r="M363" s="2" t="str">
        <f>IFERROR(__xludf.DUMMYFUNCTION("""COMPUTED_VALUE"""),"ORGANIC X2")</f>
        <v>ORGANIC X2</v>
      </c>
      <c r="N363" s="2" t="str">
        <f>IFERROR(__xludf.DUMMYFUNCTION("""COMPUTED_VALUE"""),"01RR0044V3")</f>
        <v>01RR0044V3</v>
      </c>
      <c r="O363" s="2" t="str">
        <f>IFERROR(__xludf.DUMMYFUNCTION("""COMPUTED_VALUE"""),"Phân bón Hữu cơ SH Agro Organic Fertilizer 20")</f>
        <v>Phân bón Hữu cơ SH Agro Organic Fertilizer 20</v>
      </c>
      <c r="P363" s="2" t="str">
        <f>IFERROR(__xludf.DUMMYFUNCTION("""COMPUTED_VALUE"""),"#N/A")</f>
        <v>#N/A</v>
      </c>
      <c r="Q363" s="30" t="str">
        <f>IFERROR(__xludf.DUMMYFUNCTION("""COMPUTED_VALUE"""),"KHÔNG KHỚP")</f>
        <v>KHÔNG KHỚP</v>
      </c>
      <c r="R363" s="2"/>
      <c r="S363" s="2"/>
      <c r="T363" s="2"/>
      <c r="U363" s="2"/>
      <c r="V363" s="2"/>
      <c r="W363" s="2"/>
      <c r="X363" s="2"/>
      <c r="Y363" s="2"/>
    </row>
    <row r="364">
      <c r="A364" s="30">
        <f>IFERROR(__xludf.DUMMYFUNCTION("""COMPUTED_VALUE"""),361.0)</f>
        <v>361</v>
      </c>
      <c r="B364" s="39">
        <f>IFERROR(__xludf.DUMMYFUNCTION("""COMPUTED_VALUE"""),45940.0)</f>
        <v>45940</v>
      </c>
      <c r="C364" s="30">
        <f>IFERROR(__xludf.DUMMYFUNCTION("""COMPUTED_VALUE"""),2.0)</f>
        <v>2</v>
      </c>
      <c r="D364" s="30" t="str">
        <f>IFERROR(__xludf.DUMMYFUNCTION("""COMPUTED_VALUE"""),"CT CŨ")</f>
        <v>CT CŨ</v>
      </c>
      <c r="E364" s="30"/>
      <c r="F364" s="2"/>
      <c r="G364" s="2" t="str">
        <f>IFERROR(__xludf.DUMMYFUNCTION("""COMPUTED_VALUE"""),"HH4442")</f>
        <v>HH4442</v>
      </c>
      <c r="H364" s="2" t="str">
        <f>IFERROR(__xludf.DUMMYFUNCTION("""COMPUTED_VALUE"""),"GC - IX - 4442 - N2SBIO - N2 MG ZN-70 (Nước xanh lá) - 500ml - 40")</f>
        <v>GC - IX - 4442 - N2SBIO - N2 MG ZN-70 (Nước xanh lá) - 500ml - 40</v>
      </c>
      <c r="I364" s="39" t="str">
        <f>IFERROR(__xludf.DUMMYFUNCTION("""COMPUTED_VALUE"""),"vi lượng Phú Sĩ FJ-09 Kẽm Mg")</f>
        <v>vi lượng Phú Sĩ FJ-09 Kẽm Mg</v>
      </c>
      <c r="J364" s="2" t="str">
        <f>IFERROR(__xludf.DUMMYFUNCTION("""COMPUTED_VALUE"""),"N01080825")</f>
        <v>N01080825</v>
      </c>
      <c r="K364" s="2"/>
      <c r="L364" s="2" t="str">
        <f>IFERROR(__xludf.DUMMYFUNCTION("""COMPUTED_VALUE"""),"N01080825")</f>
        <v>N01080825</v>
      </c>
      <c r="M364" s="2" t="str">
        <f>IFERROR(__xludf.DUMMYFUNCTION("""COMPUTED_VALUE"""),"N2 MgZn-52")</f>
        <v>N2 MgZn-52</v>
      </c>
      <c r="N364" s="2" t="str">
        <f>IFERROR(__xludf.DUMMYFUNCTION("""COMPUTED_VALUE"""),"23GS0002V1")</f>
        <v>23GS0002V1</v>
      </c>
      <c r="O364" s="2" t="str">
        <f>IFERROR(__xludf.DUMMYFUNCTION("""COMPUTED_VALUE"""),"Phân bón vi lượng Phú Sĩ FJ-09 Kẽm Mg")</f>
        <v>Phân bón vi lượng Phú Sĩ FJ-09 Kẽm Mg</v>
      </c>
      <c r="P364" s="2" t="str">
        <f>IFERROR(__xludf.DUMMYFUNCTION("""COMPUTED_VALUE"""),"Phân bón vi lượng Phú Sĩ FJ-09 Kẽm Mg")</f>
        <v>Phân bón vi lượng Phú Sĩ FJ-09 Kẽm Mg</v>
      </c>
      <c r="Q364" s="30" t="str">
        <f>IFERROR(__xludf.DUMMYFUNCTION("""COMPUTED_VALUE"""),"KHỚP")</f>
        <v>KHỚP</v>
      </c>
      <c r="R364" s="2"/>
      <c r="S364" s="2"/>
      <c r="T364" s="2"/>
      <c r="U364" s="2"/>
      <c r="V364" s="2"/>
      <c r="W364" s="2"/>
      <c r="X364" s="2"/>
      <c r="Y364" s="2"/>
    </row>
    <row r="365">
      <c r="A365" s="30">
        <f>IFERROR(__xludf.DUMMYFUNCTION("""COMPUTED_VALUE"""),362.0)</f>
        <v>362</v>
      </c>
      <c r="B365" s="39">
        <f>IFERROR(__xludf.DUMMYFUNCTION("""COMPUTED_VALUE"""),45908.0)</f>
        <v>45908</v>
      </c>
      <c r="C365" s="30">
        <f>IFERROR(__xludf.DUMMYFUNCTION("""COMPUTED_VALUE"""),2.0)</f>
        <v>2</v>
      </c>
      <c r="D365" s="30" t="str">
        <f>IFERROR(__xludf.DUMMYFUNCTION("""COMPUTED_VALUE"""),"CT CŨ")</f>
        <v>CT CŨ</v>
      </c>
      <c r="E365" s="30"/>
      <c r="F365" s="2"/>
      <c r="G365" s="2" t="str">
        <f>IFERROR(__xludf.DUMMYFUNCTION("""COMPUTED_VALUE"""),"HH3994")</f>
        <v>HH3994</v>
      </c>
      <c r="H365" s="2" t="str">
        <f>IFERROR(__xludf.DUMMYFUNCTION("""COMPUTED_VALUE"""),"IDA Global - I - 3994 - RONADO (Nước tím) - 450ml - 40")</f>
        <v>IDA Global - I - 3994 - RONADO (Nước tím) - 450ml - 40</v>
      </c>
      <c r="I365" s="2" t="str">
        <f>IFERROR(__xludf.DUMMYFUNCTION("""COMPUTED_VALUE"""),"#N/A")</f>
        <v>#N/A</v>
      </c>
      <c r="J365" s="2"/>
      <c r="K365" s="2"/>
      <c r="L365" s="2" t="str">
        <f>IFERROR(__xludf.DUMMYFUNCTION("""COMPUTED_VALUE"""),"L03130525")</f>
        <v>L03130525</v>
      </c>
      <c r="M365" s="2" t="str">
        <f>IFERROR(__xludf.DUMMYFUNCTION("""COMPUTED_VALUE"""),"RONADO 
(CẢI TIẾN)")</f>
        <v>RONADO 
(CẢI TIẾN)</v>
      </c>
      <c r="N365" s="2" t="str">
        <f>IFERROR(__xludf.DUMMYFUNCTION("""COMPUTED_VALUE"""),"01RR0072")</f>
        <v>01RR0072</v>
      </c>
      <c r="O365" s="2" t="str">
        <f>IFERROR(__xludf.DUMMYFUNCTION("""COMPUTED_VALUE"""),"Phân bón Hỗn hợp NP AGAMA-AP")</f>
        <v>Phân bón Hỗn hợp NP AGAMA-AP</v>
      </c>
      <c r="P365" s="2" t="str">
        <f>IFERROR(__xludf.DUMMYFUNCTION("""COMPUTED_VALUE"""),"#N/A")</f>
        <v>#N/A</v>
      </c>
      <c r="Q365" s="30" t="str">
        <f>IFERROR(__xludf.DUMMYFUNCTION("""COMPUTED_VALUE"""),"KHÔNG KHỚP")</f>
        <v>KHÔNG KHỚP</v>
      </c>
      <c r="R365" s="2"/>
      <c r="S365" s="2"/>
      <c r="T365" s="2"/>
      <c r="U365" s="2"/>
      <c r="V365" s="2"/>
      <c r="W365" s="2"/>
      <c r="X365" s="2"/>
      <c r="Y365" s="2"/>
    </row>
    <row r="366">
      <c r="A366" s="30">
        <f>IFERROR(__xludf.DUMMYFUNCTION("""COMPUTED_VALUE"""),363.0)</f>
        <v>363</v>
      </c>
      <c r="B366" s="39">
        <f>IFERROR(__xludf.DUMMYFUNCTION("""COMPUTED_VALUE"""),45896.0)</f>
        <v>45896</v>
      </c>
      <c r="C366" s="30">
        <f>IFERROR(__xludf.DUMMYFUNCTION("""COMPUTED_VALUE"""),1.0)</f>
        <v>1</v>
      </c>
      <c r="D366" s="30" t="str">
        <f>IFERROR(__xludf.DUMMYFUNCTION("""COMPUTED_VALUE"""),"CT CŨ")</f>
        <v>CT CŨ</v>
      </c>
      <c r="E366" s="30"/>
      <c r="F366" s="2"/>
      <c r="G366" s="2" t="str">
        <f>IFERROR(__xludf.DUMMYFUNCTION("""COMPUTED_VALUE"""),"HH4493")</f>
        <v>HH4493</v>
      </c>
      <c r="H366" s="2" t="str">
        <f>IFERROR(__xludf.DUMMYFUNCTION("""COMPUTED_VALUE"""),"GC ABA - CAPY GLOBAL - Vi lượng AGAMA-CANXI BO - CANXI.BO EXTRA - 500ml - 40")</f>
        <v>GC ABA - CAPY GLOBAL - Vi lượng AGAMA-CANXI BO - CANXI.BO EXTRA - 500ml - 40</v>
      </c>
      <c r="I366" s="2" t="str">
        <f>IFERROR(__xludf.DUMMYFUNCTION("""COMPUTED_VALUE"""),"#N/A")</f>
        <v>#N/A</v>
      </c>
      <c r="J366" s="2" t="str">
        <f>IFERROR(__xludf.DUMMYFUNCTION("""COMPUTED_VALUE"""),"A02160725")</f>
        <v>A02160725</v>
      </c>
      <c r="K366" s="2"/>
      <c r="L366" s="2" t="str">
        <f>IFERROR(__xludf.DUMMYFUNCTION("""COMPUTED_VALUE"""),"A02160725")</f>
        <v>A02160725</v>
      </c>
      <c r="M366" s="2" t="str">
        <f>IFERROR(__xludf.DUMMYFUNCTION("""COMPUTED_VALUE"""),"AGAMA-CANXI BO
(KIM NGỌC)")</f>
        <v>AGAMA-CANXI BO
(KIM NGỌC)</v>
      </c>
      <c r="N366" s="2" t="str">
        <f>IFERROR(__xludf.DUMMYFUNCTION("""COMPUTED_VALUE"""),"10CR0021")</f>
        <v>10CR0021</v>
      </c>
      <c r="O366" s="2" t="str">
        <f>IFERROR(__xludf.DUMMYFUNCTION("""COMPUTED_VALUE"""),"Phân bón Vi lượng AGAMA-CANXI BO")</f>
        <v>Phân bón Vi lượng AGAMA-CANXI BO</v>
      </c>
      <c r="P366" s="2" t="str">
        <f>IFERROR(__xludf.DUMMYFUNCTION("""COMPUTED_VALUE"""),"#N/A")</f>
        <v>#N/A</v>
      </c>
      <c r="Q366" s="30" t="str">
        <f>IFERROR(__xludf.DUMMYFUNCTION("""COMPUTED_VALUE"""),"KHÔNG KHỚP")</f>
        <v>KHÔNG KHỚP</v>
      </c>
      <c r="R366" s="2"/>
      <c r="S366" s="2"/>
      <c r="T366" s="2"/>
      <c r="U366" s="2"/>
      <c r="V366" s="2"/>
      <c r="W366" s="2"/>
      <c r="X366" s="2"/>
      <c r="Y366" s="2"/>
    </row>
    <row r="367">
      <c r="A367" s="30">
        <f>IFERROR(__xludf.DUMMYFUNCTION("""COMPUTED_VALUE"""),364.0)</f>
        <v>364</v>
      </c>
      <c r="B367" s="39">
        <f>IFERROR(__xludf.DUMMYFUNCTION("""COMPUTED_VALUE"""),45929.0)</f>
        <v>45929</v>
      </c>
      <c r="C367" s="30">
        <f>IFERROR(__xludf.DUMMYFUNCTION("""COMPUTED_VALUE"""),2.0)</f>
        <v>2</v>
      </c>
      <c r="D367" s="30" t="str">
        <f>IFERROR(__xludf.DUMMYFUNCTION("""COMPUTED_VALUE"""),"CT CŨ")</f>
        <v>CT CŨ</v>
      </c>
      <c r="E367" s="30"/>
      <c r="F367" s="2"/>
      <c r="G367" s="2" t="str">
        <f>IFERROR(__xludf.DUMMYFUNCTION("""COMPUTED_VALUE"""),"HH3794")</f>
        <v>HH3794</v>
      </c>
      <c r="H367" s="2" t="str">
        <f>IFERROR(__xludf.DUMMYFUNCTION("""COMPUTED_VALUE"""),"GC - IV - 3794 - Cty Sen Hồng (A.Diễn) - VÔ GẠO TE+ (Gel đỏ cam) - 500ml - 40")</f>
        <v>GC - IV - 3794 - Cty Sen Hồng (A.Diễn) - VÔ GẠO TE+ (Gel đỏ cam) - 500ml - 40</v>
      </c>
      <c r="I367" s="2" t="str">
        <f>IFERROR(__xludf.DUMMYFUNCTION("""COMPUTED_VALUE"""),"#N/A")</f>
        <v>#N/A</v>
      </c>
      <c r="J367" s="2" t="str">
        <f>IFERROR(__xludf.DUMMYFUNCTION("""COMPUTED_VALUE"""),"chung ruột HH3525")</f>
        <v>chung ruột HH3525</v>
      </c>
      <c r="K367" s="2"/>
      <c r="L367" s="2"/>
      <c r="M367" s="2" t="str">
        <f>IFERROR(__xludf.DUMMYFUNCTION("""COMPUTED_VALUE"""),"SIÊU VÔ GẠO TE+
1 TẤN 4
SHINO 1 TẤN 4
SHINO RICE")</f>
        <v>SIÊU VÔ GẠO TE+
1 TẤN 4
SHINO 1 TẤN 4
SHINO RICE</v>
      </c>
      <c r="N367" s="2" t="str">
        <f>IFERROR(__xludf.DUMMYFUNCTION("""COMPUTED_VALUE"""),"04VG0014V1")</f>
        <v>04VG0014V1</v>
      </c>
      <c r="O367" s="2" t="str">
        <f>IFERROR(__xludf.DUMMYFUNCTION("""COMPUTED_VALUE"""),"Phân bón NPK-Vi lượng MASSIVE-BLUE")</f>
        <v>Phân bón NPK-Vi lượng MASSIVE-BLUE</v>
      </c>
      <c r="P367" s="2" t="str">
        <f>IFERROR(__xludf.DUMMYFUNCTION("""COMPUTED_VALUE"""),"#N/A")</f>
        <v>#N/A</v>
      </c>
      <c r="Q367" s="30" t="str">
        <f>IFERROR(__xludf.DUMMYFUNCTION("""COMPUTED_VALUE"""),"KHÔNG KHỚP")</f>
        <v>KHÔNG KHỚP</v>
      </c>
      <c r="R367" s="2"/>
      <c r="S367" s="2"/>
      <c r="T367" s="2"/>
      <c r="U367" s="2"/>
      <c r="V367" s="2"/>
      <c r="W367" s="2"/>
      <c r="X367" s="2"/>
      <c r="Y367" s="2"/>
    </row>
    <row r="368">
      <c r="A368" s="30">
        <f>IFERROR(__xludf.DUMMYFUNCTION("""COMPUTED_VALUE"""),365.0)</f>
        <v>365</v>
      </c>
      <c r="B368" s="39">
        <f>IFERROR(__xludf.DUMMYFUNCTION("""COMPUTED_VALUE"""),46001.0)</f>
        <v>46001</v>
      </c>
      <c r="C368" s="30">
        <f>IFERROR(__xludf.DUMMYFUNCTION("""COMPUTED_VALUE"""),1.0)</f>
        <v>1</v>
      </c>
      <c r="D368" s="30" t="str">
        <f>IFERROR(__xludf.DUMMYFUNCTION("""COMPUTED_VALUE"""),"CT CŨ")</f>
        <v>CT CŨ</v>
      </c>
      <c r="E368" s="30"/>
      <c r="F368" s="2"/>
      <c r="G368" s="2" t="str">
        <f>IFERROR(__xludf.DUMMYFUNCTION("""COMPUTED_VALUE"""),"HH4504")</f>
        <v>HH4504</v>
      </c>
      <c r="H368" s="2" t="str">
        <f>IFERROR(__xludf.DUMMYFUNCTION("""COMPUTED_VALUE"""),"N2AGRO - Hữu cơ ROOTS US90 - ROOTS + - 100ml - 50")</f>
        <v>N2AGRO - Hữu cơ ROOTS US90 - ROOTS + - 100ml - 50</v>
      </c>
      <c r="I368" s="2" t="str">
        <f>IFERROR(__xludf.DUMMYFUNCTION("""COMPUTED_VALUE"""),"#N/A")</f>
        <v>#N/A</v>
      </c>
      <c r="J368" s="2" t="str">
        <f>IFERROR(__xludf.DUMMYFUNCTION("""COMPUTED_VALUE"""),"N01210725")</f>
        <v>N01210725</v>
      </c>
      <c r="K368" s="2"/>
      <c r="L368" s="2" t="str">
        <f>IFERROR(__xludf.DUMMYFUNCTION("""COMPUTED_VALUE"""),"N01210725")</f>
        <v>N01210725</v>
      </c>
      <c r="M368" s="2" t="str">
        <f>IFERROR(__xludf.DUMMYFUNCTION("""COMPUTED_VALUE"""),"N2 ROOT+")</f>
        <v>N2 ROOT+</v>
      </c>
      <c r="N368" s="2" t="str">
        <f>IFERROR(__xludf.DUMMYFUNCTION("""COMPUTED_VALUE"""),"01RR0057V1")</f>
        <v>01RR0057V1</v>
      </c>
      <c r="O368" s="2" t="str">
        <f>IFERROR(__xludf.DUMMYFUNCTION("""COMPUTED_VALUE"""),"Phân bón hữu cơ ROOTS US90")</f>
        <v>Phân bón hữu cơ ROOTS US90</v>
      </c>
      <c r="P368" s="2" t="str">
        <f>IFERROR(__xludf.DUMMYFUNCTION("""COMPUTED_VALUE"""),"#N/A")</f>
        <v>#N/A</v>
      </c>
      <c r="Q368" s="30" t="str">
        <f>IFERROR(__xludf.DUMMYFUNCTION("""COMPUTED_VALUE"""),"KHÔNG KHỚP")</f>
        <v>KHÔNG KHỚP</v>
      </c>
      <c r="R368" s="2"/>
      <c r="S368" s="2"/>
      <c r="T368" s="2"/>
      <c r="U368" s="2"/>
      <c r="V368" s="2"/>
      <c r="W368" s="2"/>
      <c r="X368" s="2"/>
      <c r="Y368" s="2"/>
    </row>
    <row r="369">
      <c r="A369" s="30">
        <f>IFERROR(__xludf.DUMMYFUNCTION("""COMPUTED_VALUE"""),366.0)</f>
        <v>366</v>
      </c>
      <c r="B369" s="39">
        <f>IFERROR(__xludf.DUMMYFUNCTION("""COMPUTED_VALUE"""),45905.0)</f>
        <v>45905</v>
      </c>
      <c r="C369" s="30">
        <f>IFERROR(__xludf.DUMMYFUNCTION("""COMPUTED_VALUE"""),1.0)</f>
        <v>1</v>
      </c>
      <c r="D369" s="30" t="str">
        <f>IFERROR(__xludf.DUMMYFUNCTION("""COMPUTED_VALUE"""),"CT CŨ")</f>
        <v>CT CŨ</v>
      </c>
      <c r="E369" s="30"/>
      <c r="F369" s="2"/>
      <c r="G369" s="2" t="str">
        <f>IFERROR(__xludf.DUMMYFUNCTION("""COMPUTED_VALUE"""),"HH4495")</f>
        <v>HH4495</v>
      </c>
      <c r="H369" s="2" t="str">
        <f>IFERROR(__xludf.DUMMYFUNCTION("""COMPUTED_VALUE"""),"GC NANOFISH - Hữu cơ SH Agro Organic Fertilizer 20 - Ari pH - 1L - 20")</f>
        <v>GC NANOFISH - Hữu cơ SH Agro Organic Fertilizer 20 - Ari pH - 1L - 20</v>
      </c>
      <c r="I369" s="2" t="str">
        <f>IFERROR(__xludf.DUMMYFUNCTION("""COMPUTED_VALUE"""),"#N/A")</f>
        <v>#N/A</v>
      </c>
      <c r="J369" s="2" t="str">
        <f>IFERROR(__xludf.DUMMYFUNCTION("""COMPUTED_VALUE"""),"Cùng ruột 2055, 4183")</f>
        <v>Cùng ruột 2055, 4183</v>
      </c>
      <c r="K369" s="2"/>
      <c r="L369" s="2"/>
      <c r="M369" s="2" t="str">
        <f>IFERROR(__xludf.DUMMYFUNCTION("""COMPUTED_VALUE"""),"HN-pH++")</f>
        <v>HN-pH++</v>
      </c>
      <c r="N369" s="2" t="str">
        <f>IFERROR(__xludf.DUMMYFUNCTION("""COMPUTED_VALUE"""),"01RR0014V4")</f>
        <v>01RR0014V4</v>
      </c>
      <c r="O369" s="2" t="str">
        <f>IFERROR(__xludf.DUMMYFUNCTION("""COMPUTED_VALUE"""),"Phân bón Hữu cơ SH Agro Organic Fertilizer 20")</f>
        <v>Phân bón Hữu cơ SH Agro Organic Fertilizer 20</v>
      </c>
      <c r="P369" s="2" t="str">
        <f>IFERROR(__xludf.DUMMYFUNCTION("""COMPUTED_VALUE"""),"#N/A")</f>
        <v>#N/A</v>
      </c>
      <c r="Q369" s="30" t="str">
        <f>IFERROR(__xludf.DUMMYFUNCTION("""COMPUTED_VALUE"""),"KHÔNG KHỚP")</f>
        <v>KHÔNG KHỚP</v>
      </c>
      <c r="R369" s="2"/>
      <c r="S369" s="2"/>
      <c r="T369" s="2"/>
      <c r="U369" s="2"/>
      <c r="V369" s="2"/>
      <c r="W369" s="2"/>
      <c r="X369" s="2"/>
      <c r="Y369" s="2"/>
    </row>
    <row r="370">
      <c r="A370" s="30">
        <f>IFERROR(__xludf.DUMMYFUNCTION("""COMPUTED_VALUE"""),367.0)</f>
        <v>367</v>
      </c>
      <c r="B370" s="39">
        <f>IFERROR(__xludf.DUMMYFUNCTION("""COMPUTED_VALUE"""),45993.0)</f>
        <v>45993</v>
      </c>
      <c r="C370" s="30">
        <f>IFERROR(__xludf.DUMMYFUNCTION("""COMPUTED_VALUE"""),2.0)</f>
        <v>2</v>
      </c>
      <c r="D370" s="30" t="str">
        <f>IFERROR(__xludf.DUMMYFUNCTION("""COMPUTED_VALUE"""),"CT CŨ")</f>
        <v>CT CŨ</v>
      </c>
      <c r="E370" s="30"/>
      <c r="F370" s="2"/>
      <c r="G370" s="2" t="str">
        <f>IFERROR(__xludf.DUMMYFUNCTION("""COMPUTED_VALUE"""),"HH2927")</f>
        <v>HH2927</v>
      </c>
      <c r="H370" s="2" t="str">
        <f>IFERROR(__xludf.DUMMYFUNCTION("""COMPUTED_VALUE"""),"IDA Global - I - 2927 - IDA ORGANIC FEED (Nước nâu đen) - 5L - 4")</f>
        <v>IDA Global - I - 2927 - IDA ORGANIC FEED (Nước nâu đen) - 5L - 4</v>
      </c>
      <c r="I370" s="2" t="str">
        <f>IFERROR(__xludf.DUMMYFUNCTION("""COMPUTED_VALUE"""),"#N/A")</f>
        <v>#N/A</v>
      </c>
      <c r="J370" s="2" t="str">
        <f>IFERROR(__xludf.DUMMYFUNCTION("""COMPUTED_VALUE"""),"Đóng theo đơn gần nhất")</f>
        <v>Đóng theo đơn gần nhất</v>
      </c>
      <c r="K370" s="2"/>
      <c r="L370" s="2"/>
      <c r="M370" s="2" t="str">
        <f>IFERROR(__xludf.DUMMYFUNCTION("""COMPUTED_VALUE"""),"BAMBOO ORGANIC
IDA ORGANIC FEED")</f>
        <v>BAMBOO ORGANIC
IDA ORGANIC FEED</v>
      </c>
      <c r="N370" s="2" t="str">
        <f>IFERROR(__xludf.DUMMYFUNCTION("""COMPUTED_VALUE"""),"01RR0025V4")</f>
        <v>01RR0025V4</v>
      </c>
      <c r="O370" s="2" t="str">
        <f>IFERROR(__xludf.DUMMYFUNCTION("""COMPUTED_VALUE"""),"Phân bón Hữu cơ SH Agro Organic Fertilizer 20")</f>
        <v>Phân bón Hữu cơ SH Agro Organic Fertilizer 20</v>
      </c>
      <c r="P370" s="2" t="str">
        <f>IFERROR(__xludf.DUMMYFUNCTION("""COMPUTED_VALUE"""),"#N/A")</f>
        <v>#N/A</v>
      </c>
      <c r="Q370" s="30" t="str">
        <f>IFERROR(__xludf.DUMMYFUNCTION("""COMPUTED_VALUE"""),"KHÔNG KHỚP")</f>
        <v>KHÔNG KHỚP</v>
      </c>
      <c r="R370" s="2"/>
      <c r="S370" s="2"/>
      <c r="T370" s="2"/>
      <c r="U370" s="2"/>
      <c r="V370" s="2"/>
      <c r="W370" s="2"/>
      <c r="X370" s="2"/>
      <c r="Y370" s="2"/>
    </row>
    <row r="371">
      <c r="A371" s="30">
        <f>IFERROR(__xludf.DUMMYFUNCTION("""COMPUTED_VALUE"""),368.0)</f>
        <v>368</v>
      </c>
      <c r="B371" s="39">
        <f>IFERROR(__xludf.DUMMYFUNCTION("""COMPUTED_VALUE"""),45993.0)</f>
        <v>45993</v>
      </c>
      <c r="C371" s="30">
        <f>IFERROR(__xludf.DUMMYFUNCTION("""COMPUTED_VALUE"""),1.0)</f>
        <v>1</v>
      </c>
      <c r="D371" s="30" t="str">
        <f>IFERROR(__xludf.DUMMYFUNCTION("""COMPUTED_VALUE"""),"CT CŨ")</f>
        <v>CT CŨ</v>
      </c>
      <c r="E371" s="30"/>
      <c r="F371" s="2"/>
      <c r="G371" s="2" t="str">
        <f>IFERROR(__xludf.DUMMYFUNCTION("""COMPUTED_VALUE"""),"HH4507")</f>
        <v>HH4507</v>
      </c>
      <c r="H371" s="2" t="str">
        <f>IFERROR(__xludf.DUMMYFUNCTION("""COMPUTED_VALUE"""),"IDA Global - I - 4507 - KG - ORGANIC X2 (Nước nâu đen) - 1L - 20")</f>
        <v>IDA Global - I - 4507 - KG - ORGANIC X2 (Nước nâu đen) - 1L - 20</v>
      </c>
      <c r="I371" s="39" t="str">
        <f>IFERROR(__xludf.DUMMYFUNCTION("""COMPUTED_VALUE"""),"Hữu cơ SH Agro Organic Fertilizer 20")</f>
        <v>Hữu cơ SH Agro Organic Fertilizer 20</v>
      </c>
      <c r="J371" s="2" t="str">
        <f>IFERROR(__xludf.DUMMYFUNCTION("""COMPUTED_VALUE"""),"Chung ruột HH4091")</f>
        <v>Chung ruột HH4091</v>
      </c>
      <c r="K371" s="2"/>
      <c r="L371" s="2"/>
      <c r="M371" s="2" t="str">
        <f>IFERROR(__xludf.DUMMYFUNCTION("""COMPUTED_VALUE"""),"ORGANIC X2")</f>
        <v>ORGANIC X2</v>
      </c>
      <c r="N371" s="2" t="str">
        <f>IFERROR(__xludf.DUMMYFUNCTION("""COMPUTED_VALUE"""),"01RR0044V3")</f>
        <v>01RR0044V3</v>
      </c>
      <c r="O371" s="2" t="str">
        <f>IFERROR(__xludf.DUMMYFUNCTION("""COMPUTED_VALUE"""),"Phân bón Hữu cơ SH Agro Organic Fertilizer 20")</f>
        <v>Phân bón Hữu cơ SH Agro Organic Fertilizer 20</v>
      </c>
      <c r="P371" s="2" t="str">
        <f>IFERROR(__xludf.DUMMYFUNCTION("""COMPUTED_VALUE"""),"Phân bón Hữu cơ SH Agro Organic Fertilizer 20")</f>
        <v>Phân bón Hữu cơ SH Agro Organic Fertilizer 20</v>
      </c>
      <c r="Q371" s="30" t="str">
        <f>IFERROR(__xludf.DUMMYFUNCTION("""COMPUTED_VALUE"""),"KHỚP")</f>
        <v>KHỚP</v>
      </c>
      <c r="R371" s="2"/>
      <c r="S371" s="2"/>
      <c r="T371" s="2"/>
      <c r="U371" s="2"/>
      <c r="V371" s="2"/>
      <c r="W371" s="2"/>
      <c r="X371" s="2"/>
      <c r="Y371" s="2"/>
    </row>
    <row r="372">
      <c r="A372" s="30">
        <f>IFERROR(__xludf.DUMMYFUNCTION("""COMPUTED_VALUE"""),369.0)</f>
        <v>369</v>
      </c>
      <c r="B372" s="39">
        <f>IFERROR(__xludf.DUMMYFUNCTION("""COMPUTED_VALUE"""),45993.0)</f>
        <v>45993</v>
      </c>
      <c r="C372" s="30">
        <f>IFERROR(__xludf.DUMMYFUNCTION("""COMPUTED_VALUE"""),2.0)</f>
        <v>2</v>
      </c>
      <c r="D372" s="30" t="str">
        <f>IFERROR(__xludf.DUMMYFUNCTION("""COMPUTED_VALUE"""),"CT CŨ")</f>
        <v>CT CŨ</v>
      </c>
      <c r="E372" s="30"/>
      <c r="F372" s="2"/>
      <c r="G372" s="2" t="str">
        <f>IFERROR(__xludf.DUMMYFUNCTION("""COMPUTED_VALUE"""),"HH4507")</f>
        <v>HH4507</v>
      </c>
      <c r="H372" s="2" t="str">
        <f>IFERROR(__xludf.DUMMYFUNCTION("""COMPUTED_VALUE"""),"IDA Global - I - 4507 - KG - ORGANIC X2 (Nước nâu đen) - 1L - 20")</f>
        <v>IDA Global - I - 4507 - KG - ORGANIC X2 (Nước nâu đen) - 1L - 20</v>
      </c>
      <c r="I372" s="39" t="str">
        <f>IFERROR(__xludf.DUMMYFUNCTION("""COMPUTED_VALUE"""),"Hữu cơ SH Agro Organic Fertilizer 20")</f>
        <v>Hữu cơ SH Agro Organic Fertilizer 20</v>
      </c>
      <c r="J372" s="2" t="str">
        <f>IFERROR(__xludf.DUMMYFUNCTION("""COMPUTED_VALUE"""),"Chung ruột HH4091")</f>
        <v>Chung ruột HH4091</v>
      </c>
      <c r="K372" s="2"/>
      <c r="L372" s="2"/>
      <c r="M372" s="2" t="str">
        <f>IFERROR(__xludf.DUMMYFUNCTION("""COMPUTED_VALUE"""),"ORGANIC X2")</f>
        <v>ORGANIC X2</v>
      </c>
      <c r="N372" s="2" t="str">
        <f>IFERROR(__xludf.DUMMYFUNCTION("""COMPUTED_VALUE"""),"01RR0044V3")</f>
        <v>01RR0044V3</v>
      </c>
      <c r="O372" s="2" t="str">
        <f>IFERROR(__xludf.DUMMYFUNCTION("""COMPUTED_VALUE"""),"Phân bón Hữu cơ SH Agro Organic Fertilizer 20")</f>
        <v>Phân bón Hữu cơ SH Agro Organic Fertilizer 20</v>
      </c>
      <c r="P372" s="2" t="str">
        <f>IFERROR(__xludf.DUMMYFUNCTION("""COMPUTED_VALUE"""),"Phân bón Hữu cơ SH Agro Organic Fertilizer 20")</f>
        <v>Phân bón Hữu cơ SH Agro Organic Fertilizer 20</v>
      </c>
      <c r="Q372" s="30" t="str">
        <f>IFERROR(__xludf.DUMMYFUNCTION("""COMPUTED_VALUE"""),"KHỚP")</f>
        <v>KHỚP</v>
      </c>
      <c r="R372" s="2"/>
      <c r="S372" s="2"/>
      <c r="T372" s="2"/>
      <c r="U372" s="2"/>
      <c r="V372" s="2"/>
      <c r="W372" s="2"/>
      <c r="X372" s="2"/>
      <c r="Y372" s="2"/>
    </row>
    <row r="373">
      <c r="A373" s="30">
        <f>IFERROR(__xludf.DUMMYFUNCTION("""COMPUTED_VALUE"""),370.0)</f>
        <v>370</v>
      </c>
      <c r="B373" s="39">
        <f>IFERROR(__xludf.DUMMYFUNCTION("""COMPUTED_VALUE"""),45905.0)</f>
        <v>45905</v>
      </c>
      <c r="C373" s="30">
        <f>IFERROR(__xludf.DUMMYFUNCTION("""COMPUTED_VALUE"""),2.0)</f>
        <v>2</v>
      </c>
      <c r="D373" s="30" t="str">
        <f>IFERROR(__xludf.DUMMYFUNCTION("""COMPUTED_VALUE"""),"CT CŨ")</f>
        <v>CT CŨ</v>
      </c>
      <c r="E373" s="30"/>
      <c r="F373" s="2"/>
      <c r="G373" s="2" t="str">
        <f>IFERROR(__xludf.DUMMYFUNCTION("""COMPUTED_VALUE"""),"HH4495")</f>
        <v>HH4495</v>
      </c>
      <c r="H373" s="2" t="str">
        <f>IFERROR(__xludf.DUMMYFUNCTION("""COMPUTED_VALUE"""),"GC NANOFISH - Hữu cơ SH Agro Organic Fertilizer 20 - Ari pH - 1L - 20")</f>
        <v>GC NANOFISH - Hữu cơ SH Agro Organic Fertilizer 20 - Ari pH - 1L - 20</v>
      </c>
      <c r="I373" s="2" t="str">
        <f>IFERROR(__xludf.DUMMYFUNCTION("""COMPUTED_VALUE"""),"#N/A")</f>
        <v>#N/A</v>
      </c>
      <c r="J373" s="2" t="str">
        <f>IFERROR(__xludf.DUMMYFUNCTION("""COMPUTED_VALUE"""),"Cùng ruột 2055, 4183")</f>
        <v>Cùng ruột 2055, 4183</v>
      </c>
      <c r="K373" s="2"/>
      <c r="L373" s="2"/>
      <c r="M373" s="2" t="str">
        <f>IFERROR(__xludf.DUMMYFUNCTION("""COMPUTED_VALUE"""),"HN-pH++")</f>
        <v>HN-pH++</v>
      </c>
      <c r="N373" s="2" t="str">
        <f>IFERROR(__xludf.DUMMYFUNCTION("""COMPUTED_VALUE"""),"01RR0014V4")</f>
        <v>01RR0014V4</v>
      </c>
      <c r="O373" s="2" t="str">
        <f>IFERROR(__xludf.DUMMYFUNCTION("""COMPUTED_VALUE"""),"Phân bón Hữu cơ SH Agro Organic Fertilizer 20")</f>
        <v>Phân bón Hữu cơ SH Agro Organic Fertilizer 20</v>
      </c>
      <c r="P373" s="2" t="str">
        <f>IFERROR(__xludf.DUMMYFUNCTION("""COMPUTED_VALUE"""),"#N/A")</f>
        <v>#N/A</v>
      </c>
      <c r="Q373" s="30" t="str">
        <f>IFERROR(__xludf.DUMMYFUNCTION("""COMPUTED_VALUE"""),"KHÔNG KHỚP")</f>
        <v>KHÔNG KHỚP</v>
      </c>
      <c r="R373" s="2"/>
      <c r="S373" s="2"/>
      <c r="T373" s="2"/>
      <c r="U373" s="2"/>
      <c r="V373" s="2"/>
      <c r="W373" s="2"/>
      <c r="X373" s="2"/>
      <c r="Y373" s="2"/>
    </row>
    <row r="374">
      <c r="A374" s="30">
        <f>IFERROR(__xludf.DUMMYFUNCTION("""COMPUTED_VALUE"""),371.0)</f>
        <v>371</v>
      </c>
      <c r="B374" s="39">
        <f>IFERROR(__xludf.DUMMYFUNCTION("""COMPUTED_VALUE"""),46007.0)</f>
        <v>46007</v>
      </c>
      <c r="C374" s="30">
        <f>IFERROR(__xludf.DUMMYFUNCTION("""COMPUTED_VALUE"""),1.0)</f>
        <v>1</v>
      </c>
      <c r="D374" s="30" t="str">
        <f>IFERROR(__xludf.DUMMYFUNCTION("""COMPUTED_VALUE"""),"CT MỚI")</f>
        <v>CT MỚI</v>
      </c>
      <c r="E374" s="30"/>
      <c r="F374" s="2"/>
      <c r="G374" s="2" t="str">
        <f>IFERROR(__xludf.DUMMYFUNCTION("""COMPUTED_VALUE"""),"HH3928")</f>
        <v>HH3928</v>
      </c>
      <c r="H374" s="2" t="str">
        <f>IFERROR(__xludf.DUMMYFUNCTION("""COMPUTED_VALUE"""),"GC - IV - 3928 - CTY GNH - ROOT UP (Nước nâu đen) - 250ml - 40")</f>
        <v>GC - IV - 3928 - CTY GNH - ROOT UP (Nước nâu đen) - 250ml - 40</v>
      </c>
      <c r="I374" s="2" t="str">
        <f>IFERROR(__xludf.DUMMYFUNCTION("""COMPUTED_VALUE"""),"#N/A")</f>
        <v>#N/A</v>
      </c>
      <c r="J374" s="2" t="str">
        <f>IFERROR(__xludf.DUMMYFUNCTION("""COMPUTED_VALUE"""),"A06050325")</f>
        <v>A06050325</v>
      </c>
      <c r="K374" s="2"/>
      <c r="L374" s="2" t="str">
        <f>IFERROR(__xludf.DUMMYFUNCTION("""COMPUTED_VALUE"""),"A06050325")</f>
        <v>A06050325</v>
      </c>
      <c r="M374" s="2" t="str">
        <f>IFERROR(__xludf.DUMMYFUNCTION("""COMPUTED_VALUE"""),"KÍCH RỄ MAI VÀNG")</f>
        <v>KÍCH RỄ MAI VÀNG</v>
      </c>
      <c r="N374" s="2" t="str">
        <f>IFERROR(__xludf.DUMMYFUNCTION("""COMPUTED_VALUE"""),"01RR0046V1")</f>
        <v>01RR0046V1</v>
      </c>
      <c r="O374" s="2" t="str">
        <f>IFERROR(__xludf.DUMMYFUNCTION("""COMPUTED_VALUE"""),"Phân bón Hữu cơ SH Agro Organic Fertilizer 20")</f>
        <v>Phân bón Hữu cơ SH Agro Organic Fertilizer 20</v>
      </c>
      <c r="P374" s="2" t="str">
        <f>IFERROR(__xludf.DUMMYFUNCTION("""COMPUTED_VALUE"""),"#N/A")</f>
        <v>#N/A</v>
      </c>
      <c r="Q374" s="30" t="str">
        <f>IFERROR(__xludf.DUMMYFUNCTION("""COMPUTED_VALUE"""),"KHÔNG KHỚP")</f>
        <v>KHÔNG KHỚP</v>
      </c>
      <c r="R374" s="2"/>
      <c r="S374" s="2"/>
      <c r="T374" s="2"/>
      <c r="U374" s="2"/>
      <c r="V374" s="2"/>
      <c r="W374" s="2"/>
      <c r="X374" s="2"/>
      <c r="Y374" s="2"/>
    </row>
    <row r="375">
      <c r="A375" s="30">
        <f>IFERROR(__xludf.DUMMYFUNCTION("""COMPUTED_VALUE"""),372.0)</f>
        <v>372</v>
      </c>
      <c r="B375" s="39">
        <f>IFERROR(__xludf.DUMMYFUNCTION("""COMPUTED_VALUE"""),46007.0)</f>
        <v>46007</v>
      </c>
      <c r="C375" s="30">
        <f>IFERROR(__xludf.DUMMYFUNCTION("""COMPUTED_VALUE"""),1.0)</f>
        <v>1</v>
      </c>
      <c r="D375" s="30" t="str">
        <f>IFERROR(__xludf.DUMMYFUNCTION("""COMPUTED_VALUE"""),"CT MỚI")</f>
        <v>CT MỚI</v>
      </c>
      <c r="E375" s="30"/>
      <c r="F375" s="2"/>
      <c r="G375" s="2" t="str">
        <f>IFERROR(__xludf.DUMMYFUNCTION("""COMPUTED_VALUE"""),"HH3927")</f>
        <v>HH3927</v>
      </c>
      <c r="H375" s="2" t="str">
        <f>IFERROR(__xludf.DUMMYFUNCTION("""COMPUTED_VALUE"""),"GC ABA - CTY GNH - A THỜI - Hữu cơ SH Agro Organic Fertilizer 20 - ROOT UP - 100ml - 100")</f>
        <v>GC ABA - CTY GNH - A THỜI - Hữu cơ SH Agro Organic Fertilizer 20 - ROOT UP - 100ml - 100</v>
      </c>
      <c r="I375" s="2" t="str">
        <f>IFERROR(__xludf.DUMMYFUNCTION("""COMPUTED_VALUE"""),"#N/A")</f>
        <v>#N/A</v>
      </c>
      <c r="J375" s="2" t="str">
        <f>IFERROR(__xludf.DUMMYFUNCTION("""COMPUTED_VALUE"""),"A06050325")</f>
        <v>A06050325</v>
      </c>
      <c r="K375" s="2"/>
      <c r="L375" s="2" t="str">
        <f>IFERROR(__xludf.DUMMYFUNCTION("""COMPUTED_VALUE"""),"A06050325")</f>
        <v>A06050325</v>
      </c>
      <c r="M375" s="2" t="str">
        <f>IFERROR(__xludf.DUMMYFUNCTION("""COMPUTED_VALUE"""),"KÍCH RỄ MAI VÀNG")</f>
        <v>KÍCH RỄ MAI VÀNG</v>
      </c>
      <c r="N375" s="2" t="str">
        <f>IFERROR(__xludf.DUMMYFUNCTION("""COMPUTED_VALUE"""),"01RR0046V1")</f>
        <v>01RR0046V1</v>
      </c>
      <c r="O375" s="2" t="str">
        <f>IFERROR(__xludf.DUMMYFUNCTION("""COMPUTED_VALUE"""),"Phân bón Hữu cơ SH Agro Organic Fertilizer 20")</f>
        <v>Phân bón Hữu cơ SH Agro Organic Fertilizer 20</v>
      </c>
      <c r="P375" s="2" t="str">
        <f>IFERROR(__xludf.DUMMYFUNCTION("""COMPUTED_VALUE"""),"#N/A")</f>
        <v>#N/A</v>
      </c>
      <c r="Q375" s="30" t="str">
        <f>IFERROR(__xludf.DUMMYFUNCTION("""COMPUTED_VALUE"""),"KHÔNG KHỚP")</f>
        <v>KHÔNG KHỚP</v>
      </c>
      <c r="R375" s="2"/>
      <c r="S375" s="2"/>
      <c r="T375" s="2"/>
      <c r="U375" s="2"/>
      <c r="V375" s="2"/>
      <c r="W375" s="2"/>
      <c r="X375" s="2"/>
      <c r="Y375" s="2"/>
    </row>
    <row r="376">
      <c r="A376" s="30">
        <f>IFERROR(__xludf.DUMMYFUNCTION("""COMPUTED_VALUE"""),373.0)</f>
        <v>373</v>
      </c>
      <c r="B376" s="39">
        <f>IFERROR(__xludf.DUMMYFUNCTION("""COMPUTED_VALUE"""),45940.0)</f>
        <v>45940</v>
      </c>
      <c r="C376" s="30">
        <f>IFERROR(__xludf.DUMMYFUNCTION("""COMPUTED_VALUE"""),1.0)</f>
        <v>1</v>
      </c>
      <c r="D376" s="30" t="str">
        <f>IFERROR(__xludf.DUMMYFUNCTION("""COMPUTED_VALUE"""),"CT CŨ")</f>
        <v>CT CŨ</v>
      </c>
      <c r="E376" s="30"/>
      <c r="F376" s="2"/>
      <c r="G376" s="2" t="str">
        <f>IFERROR(__xludf.DUMMYFUNCTION("""COMPUTED_VALUE"""),"HH4491")</f>
        <v>HH4491</v>
      </c>
      <c r="H376" s="2" t="str">
        <f>IFERROR(__xludf.DUMMYFUNCTION("""COMPUTED_VALUE"""),"GC - IV - 4491 - Cty Hóa Nông Shino - KALI SỮA (Nước hồng sữa) - 500ml - 30")</f>
        <v>GC - IV - 4491 - Cty Hóa Nông Shino - KALI SỮA (Nước hồng sữa) - 500ml - 30</v>
      </c>
      <c r="I376" s="39" t="str">
        <f>IFERROR(__xludf.DUMMYFUNCTION("""COMPUTED_VALUE"""),"HỖN HỢP NPK AGAMA-SRH")</f>
        <v>HỖN HỢP NPK AGAMA-SRH</v>
      </c>
      <c r="J376" s="2" t="str">
        <f>IFERROR(__xludf.DUMMYFUNCTION("""COMPUTED_VALUE"""),"Cùng ruột 3951")</f>
        <v>Cùng ruột 3951</v>
      </c>
      <c r="K376" s="2"/>
      <c r="L376" s="2" t="str">
        <f>IFERROR(__xludf.DUMMYFUNCTION("""COMPUTED_VALUE"""),"A02020525")</f>
        <v>A02020525</v>
      </c>
      <c r="M376" s="2" t="str">
        <f>IFERROR(__xludf.DUMMYFUNCTION("""COMPUTED_VALUE"""),"KALI SỮA")</f>
        <v>KALI SỮA</v>
      </c>
      <c r="N376" s="2" t="str">
        <f>IFERROR(__xludf.DUMMYFUNCTION("""COMPUTED_VALUE"""),"04VG0026V2")</f>
        <v>04VG0026V2</v>
      </c>
      <c r="O376" s="2" t="str">
        <f>IFERROR(__xludf.DUMMYFUNCTION("""COMPUTED_VALUE"""),"Phân bón Hỗn hợp NPK AGAMA-SRH")</f>
        <v>Phân bón Hỗn hợp NPK AGAMA-SRH</v>
      </c>
      <c r="P376" s="2" t="str">
        <f>IFERROR(__xludf.DUMMYFUNCTION("""COMPUTED_VALUE"""),"Phân bón HỖN HỢP NPK AGAMA-SRH")</f>
        <v>Phân bón HỖN HỢP NPK AGAMA-SRH</v>
      </c>
      <c r="Q376" s="30" t="str">
        <f>IFERROR(__xludf.DUMMYFUNCTION("""COMPUTED_VALUE"""),"KHỚP")</f>
        <v>KHỚP</v>
      </c>
      <c r="R376" s="2"/>
      <c r="S376" s="2"/>
      <c r="T376" s="2"/>
      <c r="U376" s="2"/>
      <c r="V376" s="2"/>
      <c r="W376" s="2"/>
      <c r="X376" s="2"/>
      <c r="Y376" s="2"/>
    </row>
    <row r="377">
      <c r="A377" s="30">
        <f>IFERROR(__xludf.DUMMYFUNCTION("""COMPUTED_VALUE"""),374.0)</f>
        <v>374</v>
      </c>
      <c r="B377" s="39">
        <f>IFERROR(__xludf.DUMMYFUNCTION("""COMPUTED_VALUE"""),45940.0)</f>
        <v>45940</v>
      </c>
      <c r="C377" s="30">
        <f>IFERROR(__xludf.DUMMYFUNCTION("""COMPUTED_VALUE"""),3.0)</f>
        <v>3</v>
      </c>
      <c r="D377" s="30" t="str">
        <f>IFERROR(__xludf.DUMMYFUNCTION("""COMPUTED_VALUE"""),"CT CŨ")</f>
        <v>CT CŨ</v>
      </c>
      <c r="E377" s="30"/>
      <c r="F377" s="2"/>
      <c r="G377" s="2" t="str">
        <f>IFERROR(__xludf.DUMMYFUNCTION("""COMPUTED_VALUE"""),"HH4442")</f>
        <v>HH4442</v>
      </c>
      <c r="H377" s="2" t="str">
        <f>IFERROR(__xludf.DUMMYFUNCTION("""COMPUTED_VALUE"""),"GC - IX - 4442 - N2SBIO - N2 MG ZN-70 (Nước xanh lá) - 500ml - 40")</f>
        <v>GC - IX - 4442 - N2SBIO - N2 MG ZN-70 (Nước xanh lá) - 500ml - 40</v>
      </c>
      <c r="I377" s="39" t="str">
        <f>IFERROR(__xludf.DUMMYFUNCTION("""COMPUTED_VALUE"""),"vi lượng Phú Sĩ FJ-09 Kẽm Mg")</f>
        <v>vi lượng Phú Sĩ FJ-09 Kẽm Mg</v>
      </c>
      <c r="J377" s="2" t="str">
        <f>IFERROR(__xludf.DUMMYFUNCTION("""COMPUTED_VALUE"""),"N01080825")</f>
        <v>N01080825</v>
      </c>
      <c r="K377" s="2"/>
      <c r="L377" s="2" t="str">
        <f>IFERROR(__xludf.DUMMYFUNCTION("""COMPUTED_VALUE"""),"N01080825")</f>
        <v>N01080825</v>
      </c>
      <c r="M377" s="2" t="str">
        <f>IFERROR(__xludf.DUMMYFUNCTION("""COMPUTED_VALUE"""),"N2 MgZn-52")</f>
        <v>N2 MgZn-52</v>
      </c>
      <c r="N377" s="2" t="str">
        <f>IFERROR(__xludf.DUMMYFUNCTION("""COMPUTED_VALUE"""),"23GS0002V1")</f>
        <v>23GS0002V1</v>
      </c>
      <c r="O377" s="2" t="str">
        <f>IFERROR(__xludf.DUMMYFUNCTION("""COMPUTED_VALUE"""),"Phân bón vi lượng Phú Sĩ FJ-09 Kẽm Mg")</f>
        <v>Phân bón vi lượng Phú Sĩ FJ-09 Kẽm Mg</v>
      </c>
      <c r="P377" s="2" t="str">
        <f>IFERROR(__xludf.DUMMYFUNCTION("""COMPUTED_VALUE"""),"Phân bón vi lượng Phú Sĩ FJ-09 Kẽm Mg")</f>
        <v>Phân bón vi lượng Phú Sĩ FJ-09 Kẽm Mg</v>
      </c>
      <c r="Q377" s="30" t="str">
        <f>IFERROR(__xludf.DUMMYFUNCTION("""COMPUTED_VALUE"""),"KHỚP")</f>
        <v>KHỚP</v>
      </c>
      <c r="R377" s="2"/>
      <c r="S377" s="2"/>
      <c r="T377" s="2"/>
      <c r="U377" s="2"/>
      <c r="V377" s="2"/>
      <c r="W377" s="2"/>
      <c r="X377" s="2"/>
      <c r="Y377" s="2"/>
    </row>
    <row r="378">
      <c r="A378" s="30">
        <f>IFERROR(__xludf.DUMMYFUNCTION("""COMPUTED_VALUE"""),375.0)</f>
        <v>375</v>
      </c>
      <c r="B378" s="39">
        <f>IFERROR(__xludf.DUMMYFUNCTION("""COMPUTED_VALUE"""),46007.0)</f>
        <v>46007</v>
      </c>
      <c r="C378" s="30">
        <f>IFERROR(__xludf.DUMMYFUNCTION("""COMPUTED_VALUE"""),1.0)</f>
        <v>1</v>
      </c>
      <c r="D378" s="30" t="str">
        <f>IFERROR(__xludf.DUMMYFUNCTION("""COMPUTED_VALUE"""),"CT MỚI")</f>
        <v>CT MỚI</v>
      </c>
      <c r="E378" s="30"/>
      <c r="F378" s="2"/>
      <c r="G378" s="2" t="str">
        <f>IFERROR(__xludf.DUMMYFUNCTION("""COMPUTED_VALUE"""),"HH4289")</f>
        <v>HH4289</v>
      </c>
      <c r="H378" s="2" t="str">
        <f>IFERROR(__xludf.DUMMYFUNCTION("""COMPUTED_VALUE"""),"GC - IV - 4289 - NEWTECH CROP SCIENCE - NEW ZINC (Nước vàng sữa) - 500ml - 30")</f>
        <v>GC - IV - 4289 - NEWTECH CROP SCIENCE - NEW ZINC (Nước vàng sữa) - 500ml - 30</v>
      </c>
      <c r="I378" s="2" t="str">
        <f>IFERROR(__xludf.DUMMYFUNCTION("""COMPUTED_VALUE"""),"#N/A")</f>
        <v>#N/A</v>
      </c>
      <c r="J378" s="2" t="str">
        <f>IFERROR(__xludf.DUMMYFUNCTION("""COMPUTED_VALUE"""),"CÙNG RUỘT HH3089")</f>
        <v>CÙNG RUỘT HH3089</v>
      </c>
      <c r="K378" s="2"/>
      <c r="L378" s="2"/>
      <c r="M378" s="2" t="str">
        <f>IFERROR(__xludf.DUMMYFUNCTION("""COMPUTED_VALUE"""),"NEW ZINC")</f>
        <v>NEW ZINC</v>
      </c>
      <c r="N378" s="2" t="str">
        <f>IFERROR(__xludf.DUMMYFUNCTION("""COMPUTED_VALUE"""),"03DD0001V3")</f>
        <v>03DD0001V3</v>
      </c>
      <c r="O378" s="2" t="str">
        <f>IFERROR(__xludf.DUMMYFUNCTION("""COMPUTED_VALUE"""),"Phân bón Vi lượng MICKEY")</f>
        <v>Phân bón Vi lượng MICKEY</v>
      </c>
      <c r="P378" s="2" t="str">
        <f>IFERROR(__xludf.DUMMYFUNCTION("""COMPUTED_VALUE"""),"#N/A")</f>
        <v>#N/A</v>
      </c>
      <c r="Q378" s="30" t="str">
        <f>IFERROR(__xludf.DUMMYFUNCTION("""COMPUTED_VALUE"""),"KHÔNG KHỚP")</f>
        <v>KHÔNG KHỚP</v>
      </c>
      <c r="R378" s="2"/>
      <c r="S378" s="2"/>
      <c r="T378" s="2"/>
      <c r="U378" s="2"/>
      <c r="V378" s="2"/>
      <c r="W378" s="2"/>
      <c r="X378" s="2"/>
      <c r="Y378" s="2"/>
    </row>
    <row r="379">
      <c r="A379" s="30">
        <f>IFERROR(__xludf.DUMMYFUNCTION("""COMPUTED_VALUE"""),376.0)</f>
        <v>376</v>
      </c>
      <c r="B379" s="39">
        <f>IFERROR(__xludf.DUMMYFUNCTION("""COMPUTED_VALUE"""),45908.0)</f>
        <v>45908</v>
      </c>
      <c r="C379" s="30">
        <f>IFERROR(__xludf.DUMMYFUNCTION("""COMPUTED_VALUE"""),1.0)</f>
        <v>1</v>
      </c>
      <c r="D379" s="30" t="str">
        <f>IFERROR(__xludf.DUMMYFUNCTION("""COMPUTED_VALUE"""),"CT CŨ")</f>
        <v>CT CŨ</v>
      </c>
      <c r="E379" s="30"/>
      <c r="F379" s="2"/>
      <c r="G379" s="2" t="str">
        <f>IFERROR(__xludf.DUMMYFUNCTION("""COMPUTED_VALUE"""),"HH3626")</f>
        <v>HH3626</v>
      </c>
      <c r="H379" s="2" t="str">
        <f>IFERROR(__xludf.DUMMYFUNCTION("""COMPUTED_VALUE"""),"GC - IV - 3626 - NEWTECH CROP SCIENCE - NEW GREEN (Nước xanh nõn chuối) - 500ml - 30")</f>
        <v>GC - IV - 3626 - NEWTECH CROP SCIENCE - NEW GREEN (Nước xanh nõn chuối) - 500ml - 30</v>
      </c>
      <c r="I379" s="2" t="str">
        <f>IFERROR(__xludf.DUMMYFUNCTION("""COMPUTED_VALUE"""),"#N/A")</f>
        <v>#N/A</v>
      </c>
      <c r="J379" s="2" t="str">
        <f>IFERROR(__xludf.DUMMYFUNCTION("""COMPUTED_VALUE"""),"Cùng ruột 1970")</f>
        <v>Cùng ruột 1970</v>
      </c>
      <c r="K379" s="2"/>
      <c r="L379" s="2"/>
      <c r="M379" s="2" t="str">
        <f>IFERROR(__xludf.DUMMYFUNCTION("""COMPUTED_VALUE"""),"COMBI SHINO PLUS+")</f>
        <v>COMBI SHINO PLUS+</v>
      </c>
      <c r="N379" s="2" t="str">
        <f>IFERROR(__xludf.DUMMYFUNCTION("""COMPUTED_VALUE"""),"16VL0001V1")</f>
        <v>16VL0001V1</v>
      </c>
      <c r="O379" s="2" t="str">
        <f>IFERROR(__xludf.DUMMYFUNCTION("""COMPUTED_VALUE"""),"Phân bón Vi lượng Quantity New")</f>
        <v>Phân bón Vi lượng Quantity New</v>
      </c>
      <c r="P379" s="2" t="str">
        <f>IFERROR(__xludf.DUMMYFUNCTION("""COMPUTED_VALUE"""),"#N/A")</f>
        <v>#N/A</v>
      </c>
      <c r="Q379" s="30" t="str">
        <f>IFERROR(__xludf.DUMMYFUNCTION("""COMPUTED_VALUE"""),"KHÔNG KHỚP")</f>
        <v>KHÔNG KHỚP</v>
      </c>
      <c r="R379" s="2"/>
      <c r="S379" s="2"/>
      <c r="T379" s="2"/>
      <c r="U379" s="2"/>
      <c r="V379" s="2"/>
      <c r="W379" s="2"/>
      <c r="X379" s="2"/>
      <c r="Y379" s="2"/>
    </row>
    <row r="380">
      <c r="A380" s="30">
        <f>IFERROR(__xludf.DUMMYFUNCTION("""COMPUTED_VALUE"""),377.0)</f>
        <v>377</v>
      </c>
      <c r="B380" s="39">
        <f>IFERROR(__xludf.DUMMYFUNCTION("""COMPUTED_VALUE"""),45938.0)</f>
        <v>45938</v>
      </c>
      <c r="C380" s="30">
        <f>IFERROR(__xludf.DUMMYFUNCTION("""COMPUTED_VALUE"""),1.0)</f>
        <v>1</v>
      </c>
      <c r="D380" s="30" t="str">
        <f>IFERROR(__xludf.DUMMYFUNCTION("""COMPUTED_VALUE"""),"CT CŨ")</f>
        <v>CT CŨ</v>
      </c>
      <c r="E380" s="30"/>
      <c r="F380" s="2"/>
      <c r="G380" s="2" t="str">
        <f>IFERROR(__xludf.DUMMYFUNCTION("""COMPUTED_VALUE"""),"HH3627")</f>
        <v>HH3627</v>
      </c>
      <c r="H380" s="2" t="str">
        <f>IFERROR(__xludf.DUMMYFUNCTION("""COMPUTED_VALUE"""),"GC - IV - 3627 - NEWTECH CROP SCIENCE - NEW PLANT (Nước nâu đen) - 500ml - 30")</f>
        <v>GC - IV - 3627 - NEWTECH CROP SCIENCE - NEW PLANT (Nước nâu đen) - 500ml - 30</v>
      </c>
      <c r="I380" s="2" t="str">
        <f>IFERROR(__xludf.DUMMYFUNCTION("""COMPUTED_VALUE"""),"#N/A")</f>
        <v>#N/A</v>
      </c>
      <c r="J380" s="2" t="str">
        <f>IFERROR(__xludf.DUMMYFUNCTION("""COMPUTED_VALUE"""),"cùng ruột HH2772")</f>
        <v>cùng ruột HH2772</v>
      </c>
      <c r="K380" s="2"/>
      <c r="L380" s="2" t="str">
        <f>IFERROR(__xludf.DUMMYFUNCTION("""COMPUTED_VALUE"""),"A04250724")</f>
        <v>A04250724</v>
      </c>
      <c r="M380" s="2" t="str">
        <f>IFERROR(__xludf.DUMMYFUNCTION("""COMPUTED_VALUE"""),"NEW PLANT")</f>
        <v>NEW PLANT</v>
      </c>
      <c r="N380" s="2" t="str">
        <f>IFERROR(__xludf.DUMMYFUNCTION("""COMPUTED_VALUE"""),"01RR0030V1")</f>
        <v>01RR0030V1</v>
      </c>
      <c r="O380" s="2" t="str">
        <f>IFERROR(__xludf.DUMMYFUNCTION("""COMPUTED_VALUE"""),"Phân bón Hỗn hợp NP AGAMA-AP")</f>
        <v>Phân bón Hỗn hợp NP AGAMA-AP</v>
      </c>
      <c r="P380" s="2" t="str">
        <f>IFERROR(__xludf.DUMMYFUNCTION("""COMPUTED_VALUE"""),"#N/A")</f>
        <v>#N/A</v>
      </c>
      <c r="Q380" s="30" t="str">
        <f>IFERROR(__xludf.DUMMYFUNCTION("""COMPUTED_VALUE"""),"KHÔNG KHỚP")</f>
        <v>KHÔNG KHỚP</v>
      </c>
      <c r="R380" s="2"/>
      <c r="S380" s="2"/>
      <c r="T380" s="2"/>
      <c r="U380" s="2"/>
      <c r="V380" s="2"/>
      <c r="W380" s="2"/>
      <c r="X380" s="2"/>
      <c r="Y380" s="2"/>
    </row>
    <row r="381">
      <c r="A381" s="30">
        <f>IFERROR(__xludf.DUMMYFUNCTION("""COMPUTED_VALUE"""),378.0)</f>
        <v>378</v>
      </c>
      <c r="B381" s="39">
        <f>IFERROR(__xludf.DUMMYFUNCTION("""COMPUTED_VALUE"""),45957.0)</f>
        <v>45957</v>
      </c>
      <c r="C381" s="30">
        <f>IFERROR(__xludf.DUMMYFUNCTION("""COMPUTED_VALUE"""),2.0)</f>
        <v>2</v>
      </c>
      <c r="D381" s="30" t="str">
        <f>IFERROR(__xludf.DUMMYFUNCTION("""COMPUTED_VALUE"""),"CT CŨ")</f>
        <v>CT CŨ</v>
      </c>
      <c r="E381" s="30"/>
      <c r="F381" s="2"/>
      <c r="G381" s="2" t="str">
        <f>IFERROR(__xludf.DUMMYFUNCTION("""COMPUTED_VALUE"""),"HH4242")</f>
        <v>HH4242</v>
      </c>
      <c r="H381" s="2" t="str">
        <f>IFERROR(__xludf.DUMMYFUNCTION("""COMPUTED_VALUE"""),"GC - IV - 4242 - Cty Agricare Úc (A.Lộc) - AQUA DƯỠNG CHẤT HỮU CƠ CHUYÊN RAU MÀU (Gel nâu đen) - 50ml - 200")</f>
        <v>GC - IV - 4242 - Cty Agricare Úc (A.Lộc) - AQUA DƯỠNG CHẤT HỮU CƠ CHUYÊN RAU MÀU (Gel nâu đen) - 50ml - 200</v>
      </c>
      <c r="I381" s="2" t="str">
        <f>IFERROR(__xludf.DUMMYFUNCTION("""COMPUTED_VALUE"""),"#N/A")</f>
        <v>#N/A</v>
      </c>
      <c r="J381" s="2" t="str">
        <f>IFERROR(__xludf.DUMMYFUNCTION("""COMPUTED_VALUE"""),"Mã NL: A01131025")</f>
        <v>Mã NL: A01131025</v>
      </c>
      <c r="K381" s="2"/>
      <c r="L381" s="2" t="str">
        <f>IFERROR(__xludf.DUMMYFUNCTION("""COMPUTED_VALUE"""),"A01131025")</f>
        <v>A01131025</v>
      </c>
      <c r="M381" s="2" t="str">
        <f>IFERROR(__xludf.DUMMYFUNCTION("""COMPUTED_VALUE"""),"DƯỠNG CHẤT HỮU CƠ ")</f>
        <v>DƯỠNG CHẤT HỮU CƠ </v>
      </c>
      <c r="N381" s="2" t="str">
        <f>IFERROR(__xludf.DUMMYFUNCTION("""COMPUTED_VALUE"""),"01RR0077")</f>
        <v>01RR0077</v>
      </c>
      <c r="O381" s="2" t="str">
        <f>IFERROR(__xludf.DUMMYFUNCTION("""COMPUTED_VALUE"""),"Phân bón lá NPK-Vi lượng GNC 19")</f>
        <v>Phân bón lá NPK-Vi lượng GNC 19</v>
      </c>
      <c r="P381" s="2" t="str">
        <f>IFERROR(__xludf.DUMMYFUNCTION("""COMPUTED_VALUE"""),"#N/A")</f>
        <v>#N/A</v>
      </c>
      <c r="Q381" s="30" t="str">
        <f>IFERROR(__xludf.DUMMYFUNCTION("""COMPUTED_VALUE"""),"KHÔNG KHỚP")</f>
        <v>KHÔNG KHỚP</v>
      </c>
      <c r="R381" s="2"/>
      <c r="S381" s="2"/>
      <c r="T381" s="2"/>
      <c r="U381" s="2"/>
      <c r="V381" s="2"/>
      <c r="W381" s="2"/>
      <c r="X381" s="2"/>
      <c r="Y381" s="2"/>
    </row>
    <row r="382">
      <c r="A382" s="30">
        <f>IFERROR(__xludf.DUMMYFUNCTION("""COMPUTED_VALUE"""),379.0)</f>
        <v>379</v>
      </c>
      <c r="B382" s="39">
        <f>IFERROR(__xludf.DUMMYFUNCTION("""COMPUTED_VALUE"""),46008.0)</f>
        <v>46008</v>
      </c>
      <c r="C382" s="30">
        <f>IFERROR(__xludf.DUMMYFUNCTION("""COMPUTED_VALUE"""),2.0)</f>
        <v>2</v>
      </c>
      <c r="D382" s="30" t="str">
        <f>IFERROR(__xludf.DUMMYFUNCTION("""COMPUTED_VALUE"""),"CT MỚI")</f>
        <v>CT MỚI</v>
      </c>
      <c r="E382" s="30"/>
      <c r="F382" s="2"/>
      <c r="G382" s="2" t="str">
        <f>IFERROR(__xludf.DUMMYFUNCTION("""COMPUTED_VALUE"""),"HH3905")</f>
        <v>HH3905</v>
      </c>
      <c r="H382" s="2" t="str">
        <f>IFERROR(__xludf.DUMMYFUNCTION("""COMPUTED_VALUE"""),"IDA Global - I - 3905 - WINNER X2 (Nước đỏ cam) - 500ml - 40")</f>
        <v>IDA Global - I - 3905 - WINNER X2 (Nước đỏ cam) - 500ml - 40</v>
      </c>
      <c r="I382" s="2" t="str">
        <f>IFERROR(__xludf.DUMMYFUNCTION("""COMPUTED_VALUE"""),"#N/A")</f>
        <v>#N/A</v>
      </c>
      <c r="J382" s="2"/>
      <c r="K382" s="2"/>
      <c r="L382" s="2"/>
      <c r="M382" s="2" t="str">
        <f>IFERROR(__xludf.DUMMYFUNCTION("""COMPUTED_VALUE"""),"WINNER X2
NEW RICE")</f>
        <v>WINNER X2
NEW RICE</v>
      </c>
      <c r="N382" s="2" t="str">
        <f>IFERROR(__xludf.DUMMYFUNCTION("""COMPUTED_VALUE"""),"04VG0015V1")</f>
        <v>04VG0015V1</v>
      </c>
      <c r="O382" s="2" t="str">
        <f>IFERROR(__xludf.DUMMYFUNCTION("""COMPUTED_VALUE"""),"Phân bón NPK-Vi lượng MASSIVE-BLUE")</f>
        <v>Phân bón NPK-Vi lượng MASSIVE-BLUE</v>
      </c>
      <c r="P382" s="2" t="str">
        <f>IFERROR(__xludf.DUMMYFUNCTION("""COMPUTED_VALUE"""),"#N/A")</f>
        <v>#N/A</v>
      </c>
      <c r="Q382" s="30" t="str">
        <f>IFERROR(__xludf.DUMMYFUNCTION("""COMPUTED_VALUE"""),"KHÔNG KHỚP")</f>
        <v>KHÔNG KHỚP</v>
      </c>
      <c r="R382" s="2"/>
      <c r="S382" s="2"/>
      <c r="T382" s="2"/>
      <c r="U382" s="2"/>
      <c r="V382" s="2"/>
      <c r="W382" s="2"/>
      <c r="X382" s="2"/>
      <c r="Y382" s="2"/>
    </row>
    <row r="383">
      <c r="A383" s="30">
        <f>IFERROR(__xludf.DUMMYFUNCTION("""COMPUTED_VALUE"""),380.0)</f>
        <v>380</v>
      </c>
      <c r="B383" s="39">
        <f>IFERROR(__xludf.DUMMYFUNCTION("""COMPUTED_VALUE"""),46008.0)</f>
        <v>46008</v>
      </c>
      <c r="C383" s="30">
        <f>IFERROR(__xludf.DUMMYFUNCTION("""COMPUTED_VALUE"""),3.0)</f>
        <v>3</v>
      </c>
      <c r="D383" s="30" t="str">
        <f>IFERROR(__xludf.DUMMYFUNCTION("""COMPUTED_VALUE"""),"CT MỚI")</f>
        <v>CT MỚI</v>
      </c>
      <c r="E383" s="30"/>
      <c r="F383" s="2"/>
      <c r="G383" s="2" t="str">
        <f>IFERROR(__xludf.DUMMYFUNCTION("""COMPUTED_VALUE"""),"HH3905")</f>
        <v>HH3905</v>
      </c>
      <c r="H383" s="2" t="str">
        <f>IFERROR(__xludf.DUMMYFUNCTION("""COMPUTED_VALUE"""),"IDA Global - I - 3905 - WINNER X2 (Nước đỏ cam) - 500ml - 40")</f>
        <v>IDA Global - I - 3905 - WINNER X2 (Nước đỏ cam) - 500ml - 40</v>
      </c>
      <c r="I383" s="2" t="str">
        <f>IFERROR(__xludf.DUMMYFUNCTION("""COMPUTED_VALUE"""),"#N/A")</f>
        <v>#N/A</v>
      </c>
      <c r="J383" s="2"/>
      <c r="K383" s="2"/>
      <c r="L383" s="2"/>
      <c r="M383" s="2" t="str">
        <f>IFERROR(__xludf.DUMMYFUNCTION("""COMPUTED_VALUE"""),"WINNER X2
NEW RICE")</f>
        <v>WINNER X2
NEW RICE</v>
      </c>
      <c r="N383" s="2" t="str">
        <f>IFERROR(__xludf.DUMMYFUNCTION("""COMPUTED_VALUE"""),"04VG0015V1")</f>
        <v>04VG0015V1</v>
      </c>
      <c r="O383" s="2" t="str">
        <f>IFERROR(__xludf.DUMMYFUNCTION("""COMPUTED_VALUE"""),"Phân bón NPK-Vi lượng MASSIVE-BLUE")</f>
        <v>Phân bón NPK-Vi lượng MASSIVE-BLUE</v>
      </c>
      <c r="P383" s="2" t="str">
        <f>IFERROR(__xludf.DUMMYFUNCTION("""COMPUTED_VALUE"""),"#N/A")</f>
        <v>#N/A</v>
      </c>
      <c r="Q383" s="30" t="str">
        <f>IFERROR(__xludf.DUMMYFUNCTION("""COMPUTED_VALUE"""),"KHÔNG KHỚP")</f>
        <v>KHÔNG KHỚP</v>
      </c>
      <c r="R383" s="2"/>
      <c r="S383" s="2"/>
      <c r="T383" s="2"/>
      <c r="U383" s="2"/>
      <c r="V383" s="2"/>
      <c r="W383" s="2"/>
      <c r="X383" s="2"/>
      <c r="Y383" s="2"/>
    </row>
    <row r="384">
      <c r="A384" s="30">
        <f>IFERROR(__xludf.DUMMYFUNCTION("""COMPUTED_VALUE"""),381.0)</f>
        <v>381</v>
      </c>
      <c r="B384" s="39">
        <f>IFERROR(__xludf.DUMMYFUNCTION("""COMPUTED_VALUE"""),46001.0)</f>
        <v>46001</v>
      </c>
      <c r="C384" s="30">
        <f>IFERROR(__xludf.DUMMYFUNCTION("""COMPUTED_VALUE"""),2.0)</f>
        <v>2</v>
      </c>
      <c r="D384" s="30" t="str">
        <f>IFERROR(__xludf.DUMMYFUNCTION("""COMPUTED_VALUE"""),"CT CŨ")</f>
        <v>CT CŨ</v>
      </c>
      <c r="E384" s="30"/>
      <c r="F384" s="2"/>
      <c r="G384" s="2" t="str">
        <f>IFERROR(__xludf.DUMMYFUNCTION("""COMPUTED_VALUE"""),"HH4455")</f>
        <v>HH4455</v>
      </c>
      <c r="H384" s="2" t="str">
        <f>IFERROR(__xludf.DUMMYFUNCTION("""COMPUTED_VALUE"""),"IDA Global - I - 4455 - CỨNG CÂY 304 (Nước nâu đen) - 500ml - 40")</f>
        <v>IDA Global - I - 4455 - CỨNG CÂY 304 (Nước nâu đen) - 500ml - 40</v>
      </c>
      <c r="I384" s="39" t="str">
        <f>IFERROR(__xludf.DUMMYFUNCTION("""COMPUTED_VALUE"""),"Hữu cơ SH Agro Organic Fertilizer 20")</f>
        <v>Hữu cơ SH Agro Organic Fertilizer 20</v>
      </c>
      <c r="J384" s="2"/>
      <c r="K384" s="2"/>
      <c r="L384" s="2" t="str">
        <f>IFERROR(__xludf.DUMMYFUNCTION("""COMPUTED_VALUE"""),"L01261124")</f>
        <v>L01261124</v>
      </c>
      <c r="M384" s="2" t="str">
        <f>IFERROR(__xludf.DUMMYFUNCTION("""COMPUTED_VALUE"""),"CỨNG CÂY 304")</f>
        <v>CỨNG CÂY 304</v>
      </c>
      <c r="N384" s="2" t="str">
        <f>IFERROR(__xludf.DUMMYFUNCTION("""COMPUTED_VALUE"""),"02CC0002V3")</f>
        <v>02CC0002V3</v>
      </c>
      <c r="O384" s="2" t="str">
        <f>IFERROR(__xludf.DUMMYFUNCTION("""COMPUTED_VALUE"""),"Phân bón Hữu cơ SH Agro Organic Fertilizer 20")</f>
        <v>Phân bón Hữu cơ SH Agro Organic Fertilizer 20</v>
      </c>
      <c r="P384" s="2" t="str">
        <f>IFERROR(__xludf.DUMMYFUNCTION("""COMPUTED_VALUE"""),"Phân bón Hữu cơ SH Agro Organic Fertilizer 20")</f>
        <v>Phân bón Hữu cơ SH Agro Organic Fertilizer 20</v>
      </c>
      <c r="Q384" s="30" t="str">
        <f>IFERROR(__xludf.DUMMYFUNCTION("""COMPUTED_VALUE"""),"KHỚP")</f>
        <v>KHỚP</v>
      </c>
      <c r="R384" s="2"/>
      <c r="S384" s="2"/>
      <c r="T384" s="2"/>
      <c r="U384" s="2"/>
      <c r="V384" s="2"/>
      <c r="W384" s="2"/>
      <c r="X384" s="2"/>
      <c r="Y384" s="2"/>
    </row>
    <row r="385">
      <c r="A385" s="30">
        <f>IFERROR(__xludf.DUMMYFUNCTION("""COMPUTED_VALUE"""),382.0)</f>
        <v>382</v>
      </c>
      <c r="B385" s="39">
        <f>IFERROR(__xludf.DUMMYFUNCTION("""COMPUTED_VALUE"""),45905.0)</f>
        <v>45905</v>
      </c>
      <c r="C385" s="30">
        <f>IFERROR(__xludf.DUMMYFUNCTION("""COMPUTED_VALUE"""),2.0)</f>
        <v>2</v>
      </c>
      <c r="D385" s="30" t="str">
        <f>IFERROR(__xludf.DUMMYFUNCTION("""COMPUTED_VALUE"""),"CT CŨ")</f>
        <v>CT CŨ</v>
      </c>
      <c r="E385" s="30"/>
      <c r="F385" s="2"/>
      <c r="G385" s="2" t="str">
        <f>IFERROR(__xludf.DUMMYFUNCTION("""COMPUTED_VALUE"""),"HH3910")</f>
        <v>HH3910</v>
      </c>
      <c r="H385" s="2" t="str">
        <f>IFERROR(__xludf.DUMMYFUNCTION("""COMPUTED_VALUE"""),"IDA Global - I - 3910 - Lưu dẫn thấm sâu mới (Nước xanh dương) - 120ml - 50")</f>
        <v>IDA Global - I - 3910 - Lưu dẫn thấm sâu mới (Nước xanh dương) - 120ml - 50</v>
      </c>
      <c r="I385" s="2" t="str">
        <f>IFERROR(__xludf.DUMMYFUNCTION("""COMPUTED_VALUE"""),"#N/A")</f>
        <v>#N/A</v>
      </c>
      <c r="J385" s="2"/>
      <c r="K385" s="2"/>
      <c r="L385" s="2"/>
      <c r="M385" s="2" t="str">
        <f>IFERROR(__xludf.DUMMYFUNCTION("""COMPUTED_VALUE"""),"LƯU DẪN THẤM SẤU ")</f>
        <v>LƯU DẪN THẤM SẤU </v>
      </c>
      <c r="N385" s="2" t="str">
        <f>IFERROR(__xludf.DUMMYFUNCTION("""COMPUTED_VALUE"""),"18TL0002V1")</f>
        <v>18TL0002V1</v>
      </c>
      <c r="O385" s="2" t="str">
        <f>IFERROR(__xludf.DUMMYFUNCTION("""COMPUTED_VALUE"""),"Phân bón Vi lượng Quantity New")</f>
        <v>Phân bón Vi lượng Quantity New</v>
      </c>
      <c r="P385" s="2" t="str">
        <f>IFERROR(__xludf.DUMMYFUNCTION("""COMPUTED_VALUE"""),"#N/A")</f>
        <v>#N/A</v>
      </c>
      <c r="Q385" s="30" t="str">
        <f>IFERROR(__xludf.DUMMYFUNCTION("""COMPUTED_VALUE"""),"KHÔNG KHỚP")</f>
        <v>KHÔNG KHỚP</v>
      </c>
      <c r="R385" s="2"/>
      <c r="S385" s="2"/>
      <c r="T385" s="2"/>
      <c r="U385" s="2"/>
      <c r="V385" s="2"/>
      <c r="W385" s="2"/>
      <c r="X385" s="2"/>
      <c r="Y385" s="2"/>
    </row>
    <row r="386">
      <c r="A386" s="30">
        <f>IFERROR(__xludf.DUMMYFUNCTION("""COMPUTED_VALUE"""),383.0)</f>
        <v>383</v>
      </c>
      <c r="B386" s="39">
        <f>IFERROR(__xludf.DUMMYFUNCTION("""COMPUTED_VALUE"""),45993.0)</f>
        <v>45993</v>
      </c>
      <c r="C386" s="30">
        <f>IFERROR(__xludf.DUMMYFUNCTION("""COMPUTED_VALUE"""),3.0)</f>
        <v>3</v>
      </c>
      <c r="D386" s="30" t="str">
        <f>IFERROR(__xludf.DUMMYFUNCTION("""COMPUTED_VALUE"""),"CT CŨ")</f>
        <v>CT CŨ</v>
      </c>
      <c r="E386" s="30"/>
      <c r="F386" s="2"/>
      <c r="G386" s="2" t="str">
        <f>IFERROR(__xludf.DUMMYFUNCTION("""COMPUTED_VALUE"""),"HH2927")</f>
        <v>HH2927</v>
      </c>
      <c r="H386" s="2" t="str">
        <f>IFERROR(__xludf.DUMMYFUNCTION("""COMPUTED_VALUE"""),"IDA Global - I - 2927 - IDA ORGANIC FEED (Nước nâu đen) - 5L - 4")</f>
        <v>IDA Global - I - 2927 - IDA ORGANIC FEED (Nước nâu đen) - 5L - 4</v>
      </c>
      <c r="I386" s="2" t="str">
        <f>IFERROR(__xludf.DUMMYFUNCTION("""COMPUTED_VALUE"""),"#N/A")</f>
        <v>#N/A</v>
      </c>
      <c r="J386" s="2"/>
      <c r="K386" s="2"/>
      <c r="L386" s="2"/>
      <c r="M386" s="2" t="str">
        <f>IFERROR(__xludf.DUMMYFUNCTION("""COMPUTED_VALUE"""),"BAMBOO ORGANIC
IDA ORGANIC FEED")</f>
        <v>BAMBOO ORGANIC
IDA ORGANIC FEED</v>
      </c>
      <c r="N386" s="2" t="str">
        <f>IFERROR(__xludf.DUMMYFUNCTION("""COMPUTED_VALUE"""),"01RR0025V4")</f>
        <v>01RR0025V4</v>
      </c>
      <c r="O386" s="2" t="str">
        <f>IFERROR(__xludf.DUMMYFUNCTION("""COMPUTED_VALUE"""),"Phân bón Hữu cơ SH Agro Organic Fertilizer 20")</f>
        <v>Phân bón Hữu cơ SH Agro Organic Fertilizer 20</v>
      </c>
      <c r="P386" s="2" t="str">
        <f>IFERROR(__xludf.DUMMYFUNCTION("""COMPUTED_VALUE"""),"#N/A")</f>
        <v>#N/A</v>
      </c>
      <c r="Q386" s="30" t="str">
        <f>IFERROR(__xludf.DUMMYFUNCTION("""COMPUTED_VALUE"""),"KHÔNG KHỚP")</f>
        <v>KHÔNG KHỚP</v>
      </c>
      <c r="R386" s="2"/>
      <c r="S386" s="2"/>
      <c r="T386" s="2"/>
      <c r="U386" s="2"/>
      <c r="V386" s="2"/>
      <c r="W386" s="2"/>
      <c r="X386" s="2"/>
      <c r="Y386" s="2"/>
    </row>
    <row r="387">
      <c r="A387" s="30">
        <f>IFERROR(__xludf.DUMMYFUNCTION("""COMPUTED_VALUE"""),384.0)</f>
        <v>384</v>
      </c>
      <c r="B387" s="39">
        <f>IFERROR(__xludf.DUMMYFUNCTION("""COMPUTED_VALUE"""),45993.0)</f>
        <v>45993</v>
      </c>
      <c r="C387" s="30">
        <f>IFERROR(__xludf.DUMMYFUNCTION("""COMPUTED_VALUE"""),1.0)</f>
        <v>1</v>
      </c>
      <c r="D387" s="30" t="str">
        <f>IFERROR(__xludf.DUMMYFUNCTION("""COMPUTED_VALUE"""),"CT CŨ")</f>
        <v>CT CŨ</v>
      </c>
      <c r="E387" s="30"/>
      <c r="F387" s="2"/>
      <c r="G387" s="2" t="str">
        <f>IFERROR(__xludf.DUMMYFUNCTION("""COMPUTED_VALUE"""),"HH2929")</f>
        <v>HH2929</v>
      </c>
      <c r="H387" s="2" t="str">
        <f>IFERROR(__xludf.DUMMYFUNCTION("""COMPUTED_VALUE"""),"IDA Global - I - 2929 - IDA ORGANIC FEED (Nước nâu đen) - 1L - 20")</f>
        <v>IDA Global - I - 2929 - IDA ORGANIC FEED (Nước nâu đen) - 1L - 20</v>
      </c>
      <c r="I387" s="2" t="str">
        <f>IFERROR(__xludf.DUMMYFUNCTION("""COMPUTED_VALUE"""),"#N/A")</f>
        <v>#N/A</v>
      </c>
      <c r="J387" s="2"/>
      <c r="K387" s="2"/>
      <c r="L387" s="2"/>
      <c r="M387" s="2" t="str">
        <f>IFERROR(__xludf.DUMMYFUNCTION("""COMPUTED_VALUE"""),"BAMBOO ORGANIC
IDA ORGANIC FEED")</f>
        <v>BAMBOO ORGANIC
IDA ORGANIC FEED</v>
      </c>
      <c r="N387" s="2" t="str">
        <f>IFERROR(__xludf.DUMMYFUNCTION("""COMPUTED_VALUE"""),"01RR0025V4")</f>
        <v>01RR0025V4</v>
      </c>
      <c r="O387" s="2" t="str">
        <f>IFERROR(__xludf.DUMMYFUNCTION("""COMPUTED_VALUE"""),"Phân bón Hữu cơ SH Agro Organic Fertilizer 20")</f>
        <v>Phân bón Hữu cơ SH Agro Organic Fertilizer 20</v>
      </c>
      <c r="P387" s="2" t="str">
        <f>IFERROR(__xludf.DUMMYFUNCTION("""COMPUTED_VALUE"""),"#N/A")</f>
        <v>#N/A</v>
      </c>
      <c r="Q387" s="30" t="str">
        <f>IFERROR(__xludf.DUMMYFUNCTION("""COMPUTED_VALUE"""),"KHÔNG KHỚP")</f>
        <v>KHÔNG KHỚP</v>
      </c>
      <c r="R387" s="2"/>
      <c r="S387" s="2"/>
      <c r="T387" s="2"/>
      <c r="U387" s="2"/>
      <c r="V387" s="2"/>
      <c r="W387" s="2"/>
      <c r="X387" s="2"/>
      <c r="Y387" s="2"/>
    </row>
    <row r="388">
      <c r="A388" s="30">
        <f>IFERROR(__xludf.DUMMYFUNCTION("""COMPUTED_VALUE"""),385.0)</f>
        <v>385</v>
      </c>
      <c r="B388" s="39">
        <f>IFERROR(__xludf.DUMMYFUNCTION("""COMPUTED_VALUE"""),45993.0)</f>
        <v>45993</v>
      </c>
      <c r="C388" s="30">
        <f>IFERROR(__xludf.DUMMYFUNCTION("""COMPUTED_VALUE"""),2.0)</f>
        <v>2</v>
      </c>
      <c r="D388" s="30" t="str">
        <f>IFERROR(__xludf.DUMMYFUNCTION("""COMPUTED_VALUE"""),"CT CŨ")</f>
        <v>CT CŨ</v>
      </c>
      <c r="E388" s="30"/>
      <c r="F388" s="2"/>
      <c r="G388" s="2" t="str">
        <f>IFERROR(__xludf.DUMMYFUNCTION("""COMPUTED_VALUE"""),"HH4090")</f>
        <v>HH4090</v>
      </c>
      <c r="H388" s="2" t="str">
        <f>IFERROR(__xludf.DUMMYFUNCTION("""COMPUTED_VALUE"""),"IDA Global - I - 4090 - IDA ORGANIC X2 (Nước nâu đen) - 1L - 20")</f>
        <v>IDA Global - I - 4090 - IDA ORGANIC X2 (Nước nâu đen) - 1L - 20</v>
      </c>
      <c r="I388" s="2" t="str">
        <f>IFERROR(__xludf.DUMMYFUNCTION("""COMPUTED_VALUE"""),"#N/A")</f>
        <v>#N/A</v>
      </c>
      <c r="J388" s="2"/>
      <c r="K388" s="2"/>
      <c r="L388" s="2"/>
      <c r="M388" s="2" t="str">
        <f>IFERROR(__xludf.DUMMYFUNCTION("""COMPUTED_VALUE"""),"ORGANIC X2")</f>
        <v>ORGANIC X2</v>
      </c>
      <c r="N388" s="2" t="str">
        <f>IFERROR(__xludf.DUMMYFUNCTION("""COMPUTED_VALUE"""),"01RR0044V3")</f>
        <v>01RR0044V3</v>
      </c>
      <c r="O388" s="2" t="str">
        <f>IFERROR(__xludf.DUMMYFUNCTION("""COMPUTED_VALUE"""),"Phân bón Hữu cơ SH Agro Organic Fertilizer 20")</f>
        <v>Phân bón Hữu cơ SH Agro Organic Fertilizer 20</v>
      </c>
      <c r="P388" s="2" t="str">
        <f>IFERROR(__xludf.DUMMYFUNCTION("""COMPUTED_VALUE"""),"#N/A")</f>
        <v>#N/A</v>
      </c>
      <c r="Q388" s="30" t="str">
        <f>IFERROR(__xludf.DUMMYFUNCTION("""COMPUTED_VALUE"""),"KHÔNG KHỚP")</f>
        <v>KHÔNG KHỚP</v>
      </c>
      <c r="R388" s="2"/>
      <c r="S388" s="2"/>
      <c r="T388" s="2"/>
      <c r="U388" s="2"/>
      <c r="V388" s="2"/>
      <c r="W388" s="2"/>
      <c r="X388" s="2"/>
      <c r="Y388" s="2"/>
    </row>
    <row r="389">
      <c r="A389" s="30">
        <f>IFERROR(__xludf.DUMMYFUNCTION("""COMPUTED_VALUE"""),386.0)</f>
        <v>386</v>
      </c>
      <c r="B389" s="39">
        <f>IFERROR(__xludf.DUMMYFUNCTION("""COMPUTED_VALUE"""),45994.0)</f>
        <v>45994</v>
      </c>
      <c r="C389" s="30">
        <f>IFERROR(__xludf.DUMMYFUNCTION("""COMPUTED_VALUE"""),2.0)</f>
        <v>2</v>
      </c>
      <c r="D389" s="30" t="str">
        <f>IFERROR(__xludf.DUMMYFUNCTION("""COMPUTED_VALUE"""),"CT CŨ")</f>
        <v>CT CŨ</v>
      </c>
      <c r="E389" s="30"/>
      <c r="F389" s="2"/>
      <c r="G389" s="2" t="str">
        <f>IFERROR(__xludf.DUMMYFUNCTION("""COMPUTED_VALUE"""),"HH3923")</f>
        <v>HH3923</v>
      </c>
      <c r="H389" s="2" t="str">
        <f>IFERROR(__xludf.DUMMYFUNCTION("""COMPUTED_VALUE"""),"BAMBOO - VI - 3923 - BAMBOO MAGIE FULVIC (nước nâu đen) - 1L - 20")</f>
        <v>BAMBOO - VI - 3923 - BAMBOO MAGIE FULVIC (nước nâu đen) - 1L - 20</v>
      </c>
      <c r="I389" s="2" t="str">
        <f>IFERROR(__xludf.DUMMYFUNCTION("""COMPUTED_VALUE"""),"#N/A")</f>
        <v>#N/A</v>
      </c>
      <c r="J389" s="2"/>
      <c r="K389" s="2"/>
      <c r="L389" s="2" t="str">
        <f>IFERROR(__xludf.DUMMYFUNCTION("""COMPUTED_VALUE"""),"BB24040725")</f>
        <v>BB24040725</v>
      </c>
      <c r="M389" s="2" t="str">
        <f>IFERROR(__xludf.DUMMYFUNCTION("""COMPUTED_VALUE"""),"BAMBOO MAGIE FULVIC")</f>
        <v>BAMBOO MAGIE FULVIC</v>
      </c>
      <c r="N389" s="2" t="str">
        <f>IFERROR(__xludf.DUMMYFUNCTION("""COMPUTED_VALUE"""),"01RR0064V1")</f>
        <v>01RR0064V1</v>
      </c>
      <c r="O389" s="2" t="str">
        <f>IFERROR(__xludf.DUMMYFUNCTION("""COMPUTED_VALUE"""),"Phân bón hữu cơ FUSEMIN COMBI+")</f>
        <v>Phân bón hữu cơ FUSEMIN COMBI+</v>
      </c>
      <c r="P389" s="2" t="str">
        <f>IFERROR(__xludf.DUMMYFUNCTION("""COMPUTED_VALUE"""),"#N/A")</f>
        <v>#N/A</v>
      </c>
      <c r="Q389" s="30" t="str">
        <f>IFERROR(__xludf.DUMMYFUNCTION("""COMPUTED_VALUE"""),"KHÔNG KHỚP")</f>
        <v>KHÔNG KHỚP</v>
      </c>
      <c r="R389" s="2"/>
      <c r="S389" s="2"/>
      <c r="T389" s="2"/>
      <c r="U389" s="2"/>
      <c r="V389" s="2"/>
      <c r="W389" s="2"/>
      <c r="X389" s="2"/>
      <c r="Y389" s="2"/>
    </row>
    <row r="390">
      <c r="A390" s="30">
        <f>IFERROR(__xludf.DUMMYFUNCTION("""COMPUTED_VALUE"""),387.0)</f>
        <v>387</v>
      </c>
      <c r="B390" s="39">
        <f>IFERROR(__xludf.DUMMYFUNCTION("""COMPUTED_VALUE"""),45940.0)</f>
        <v>45940</v>
      </c>
      <c r="C390" s="30">
        <f>IFERROR(__xludf.DUMMYFUNCTION("""COMPUTED_VALUE"""),4.0)</f>
        <v>4</v>
      </c>
      <c r="D390" s="30" t="str">
        <f>IFERROR(__xludf.DUMMYFUNCTION("""COMPUTED_VALUE"""),"CT CŨ")</f>
        <v>CT CŨ</v>
      </c>
      <c r="E390" s="30"/>
      <c r="F390" s="2"/>
      <c r="G390" s="2" t="str">
        <f>IFERROR(__xludf.DUMMYFUNCTION("""COMPUTED_VALUE"""),"HH4442")</f>
        <v>HH4442</v>
      </c>
      <c r="H390" s="2" t="str">
        <f>IFERROR(__xludf.DUMMYFUNCTION("""COMPUTED_VALUE"""),"GC - IX - 4442 - N2SBIO - N2 MG ZN-70 (Nước xanh lá) - 500ml - 40")</f>
        <v>GC - IX - 4442 - N2SBIO - N2 MG ZN-70 (Nước xanh lá) - 500ml - 40</v>
      </c>
      <c r="I390" s="39" t="str">
        <f>IFERROR(__xludf.DUMMYFUNCTION("""COMPUTED_VALUE"""),"vi lượng Phú Sĩ FJ-09 Kẽm Mg")</f>
        <v>vi lượng Phú Sĩ FJ-09 Kẽm Mg</v>
      </c>
      <c r="J390" s="2" t="str">
        <f>IFERROR(__xludf.DUMMYFUNCTION("""COMPUTED_VALUE"""),"N01080825")</f>
        <v>N01080825</v>
      </c>
      <c r="K390" s="2"/>
      <c r="L390" s="2" t="str">
        <f>IFERROR(__xludf.DUMMYFUNCTION("""COMPUTED_VALUE"""),"N01080825")</f>
        <v>N01080825</v>
      </c>
      <c r="M390" s="2" t="str">
        <f>IFERROR(__xludf.DUMMYFUNCTION("""COMPUTED_VALUE"""),"N2 MgZn-52")</f>
        <v>N2 MgZn-52</v>
      </c>
      <c r="N390" s="2" t="str">
        <f>IFERROR(__xludf.DUMMYFUNCTION("""COMPUTED_VALUE"""),"23GS0002V1")</f>
        <v>23GS0002V1</v>
      </c>
      <c r="O390" s="2" t="str">
        <f>IFERROR(__xludf.DUMMYFUNCTION("""COMPUTED_VALUE"""),"Phân bón vi lượng Phú Sĩ FJ-09 Kẽm Mg")</f>
        <v>Phân bón vi lượng Phú Sĩ FJ-09 Kẽm Mg</v>
      </c>
      <c r="P390" s="2" t="str">
        <f>IFERROR(__xludf.DUMMYFUNCTION("""COMPUTED_VALUE"""),"Phân bón vi lượng Phú Sĩ FJ-09 Kẽm Mg")</f>
        <v>Phân bón vi lượng Phú Sĩ FJ-09 Kẽm Mg</v>
      </c>
      <c r="Q390" s="30" t="str">
        <f>IFERROR(__xludf.DUMMYFUNCTION("""COMPUTED_VALUE"""),"KHỚP")</f>
        <v>KHỚP</v>
      </c>
      <c r="R390" s="2"/>
      <c r="S390" s="2"/>
      <c r="T390" s="2"/>
      <c r="U390" s="2"/>
      <c r="V390" s="2"/>
      <c r="W390" s="2"/>
      <c r="X390" s="2"/>
      <c r="Y390" s="2"/>
    </row>
    <row r="391">
      <c r="A391" s="30">
        <f>IFERROR(__xludf.DUMMYFUNCTION("""COMPUTED_VALUE"""),388.0)</f>
        <v>388</v>
      </c>
      <c r="B391" s="39">
        <f>IFERROR(__xludf.DUMMYFUNCTION("""COMPUTED_VALUE"""),45993.0)</f>
        <v>45993</v>
      </c>
      <c r="C391" s="30">
        <f>IFERROR(__xludf.DUMMYFUNCTION("""COMPUTED_VALUE"""),3.0)</f>
        <v>3</v>
      </c>
      <c r="D391" s="30" t="str">
        <f>IFERROR(__xludf.DUMMYFUNCTION("""COMPUTED_VALUE"""),"CT CŨ")</f>
        <v>CT CŨ</v>
      </c>
      <c r="E391" s="30"/>
      <c r="F391" s="2"/>
      <c r="G391" s="2" t="str">
        <f>IFERROR(__xludf.DUMMYFUNCTION("""COMPUTED_VALUE"""),"HH4090")</f>
        <v>HH4090</v>
      </c>
      <c r="H391" s="2" t="str">
        <f>IFERROR(__xludf.DUMMYFUNCTION("""COMPUTED_VALUE"""),"IDA Global - I - 4090 - IDA ORGANIC X2 (Nước nâu đen) - 1L - 20")</f>
        <v>IDA Global - I - 4090 - IDA ORGANIC X2 (Nước nâu đen) - 1L - 20</v>
      </c>
      <c r="I391" s="2" t="str">
        <f>IFERROR(__xludf.DUMMYFUNCTION("""COMPUTED_VALUE"""),"#N/A")</f>
        <v>#N/A</v>
      </c>
      <c r="J391" s="2"/>
      <c r="K391" s="2"/>
      <c r="L391" s="2"/>
      <c r="M391" s="2" t="str">
        <f>IFERROR(__xludf.DUMMYFUNCTION("""COMPUTED_VALUE"""),"ORGANIC X2")</f>
        <v>ORGANIC X2</v>
      </c>
      <c r="N391" s="2" t="str">
        <f>IFERROR(__xludf.DUMMYFUNCTION("""COMPUTED_VALUE"""),"01RR0044V3")</f>
        <v>01RR0044V3</v>
      </c>
      <c r="O391" s="2" t="str">
        <f>IFERROR(__xludf.DUMMYFUNCTION("""COMPUTED_VALUE"""),"Phân bón Hữu cơ SH Agro Organic Fertilizer 20")</f>
        <v>Phân bón Hữu cơ SH Agro Organic Fertilizer 20</v>
      </c>
      <c r="P391" s="2" t="str">
        <f>IFERROR(__xludf.DUMMYFUNCTION("""COMPUTED_VALUE"""),"#N/A")</f>
        <v>#N/A</v>
      </c>
      <c r="Q391" s="30" t="str">
        <f>IFERROR(__xludf.DUMMYFUNCTION("""COMPUTED_VALUE"""),"KHÔNG KHỚP")</f>
        <v>KHÔNG KHỚP</v>
      </c>
      <c r="R391" s="2"/>
      <c r="S391" s="2"/>
      <c r="T391" s="2"/>
      <c r="U391" s="2"/>
      <c r="V391" s="2"/>
      <c r="W391" s="2"/>
      <c r="X391" s="2"/>
      <c r="Y391" s="2"/>
    </row>
    <row r="392">
      <c r="A392" s="30">
        <f>IFERROR(__xludf.DUMMYFUNCTION("""COMPUTED_VALUE"""),389.0)</f>
        <v>389</v>
      </c>
      <c r="B392" s="39">
        <f>IFERROR(__xludf.DUMMYFUNCTION("""COMPUTED_VALUE"""),45993.0)</f>
        <v>45993</v>
      </c>
      <c r="C392" s="30">
        <f>IFERROR(__xludf.DUMMYFUNCTION("""COMPUTED_VALUE"""),1.0)</f>
        <v>1</v>
      </c>
      <c r="D392" s="30" t="str">
        <f>IFERROR(__xludf.DUMMYFUNCTION("""COMPUTED_VALUE"""),"CT CŨ")</f>
        <v>CT CŨ</v>
      </c>
      <c r="E392" s="30"/>
      <c r="F392" s="2"/>
      <c r="G392" s="2" t="str">
        <f>IFERROR(__xludf.DUMMYFUNCTION("""COMPUTED_VALUE"""),"HH3168")</f>
        <v>HH3168</v>
      </c>
      <c r="H392" s="2" t="str">
        <f>IFERROR(__xludf.DUMMYFUNCTION("""COMPUTED_VALUE"""),"IDA Global - I - 3168 - IDA ORGANIC X2 (Nước nâu đen) - 5L - 4
")</f>
        <v>IDA Global - I - 3168 - IDA ORGANIC X2 (Nước nâu đen) - 5L - 4
</v>
      </c>
      <c r="I392" s="2" t="str">
        <f>IFERROR(__xludf.DUMMYFUNCTION("""COMPUTED_VALUE"""),"#N/A")</f>
        <v>#N/A</v>
      </c>
      <c r="J392" s="2" t="str">
        <f>IFERROR(__xludf.DUMMYFUNCTION("""COMPUTED_VALUE"""),"Ruột HH4090")</f>
        <v>Ruột HH4090</v>
      </c>
      <c r="K392" s="2"/>
      <c r="L392" s="2"/>
      <c r="M392" s="2" t="str">
        <f>IFERROR(__xludf.DUMMYFUNCTION("""COMPUTED_VALUE"""),"ORGANIC X2")</f>
        <v>ORGANIC X2</v>
      </c>
      <c r="N392" s="2" t="str">
        <f>IFERROR(__xludf.DUMMYFUNCTION("""COMPUTED_VALUE"""),"01RR0044V3")</f>
        <v>01RR0044V3</v>
      </c>
      <c r="O392" s="2" t="str">
        <f>IFERROR(__xludf.DUMMYFUNCTION("""COMPUTED_VALUE"""),"Phân bón Hữu cơ SH Agro Organic Fertilizer 20")</f>
        <v>Phân bón Hữu cơ SH Agro Organic Fertilizer 20</v>
      </c>
      <c r="P392" s="2" t="str">
        <f>IFERROR(__xludf.DUMMYFUNCTION("""COMPUTED_VALUE"""),"#N/A")</f>
        <v>#N/A</v>
      </c>
      <c r="Q392" s="30" t="str">
        <f>IFERROR(__xludf.DUMMYFUNCTION("""COMPUTED_VALUE"""),"KHÔNG KHỚP")</f>
        <v>KHÔNG KHỚP</v>
      </c>
      <c r="R392" s="2"/>
      <c r="S392" s="2"/>
      <c r="T392" s="2"/>
      <c r="U392" s="2"/>
      <c r="V392" s="2"/>
      <c r="W392" s="2"/>
      <c r="X392" s="2"/>
      <c r="Y392" s="2"/>
    </row>
    <row r="393">
      <c r="A393" s="30">
        <f>IFERROR(__xludf.DUMMYFUNCTION("""COMPUTED_VALUE"""),390.0)</f>
        <v>390</v>
      </c>
      <c r="B393" s="39">
        <f>IFERROR(__xludf.DUMMYFUNCTION("""COMPUTED_VALUE"""),45911.0)</f>
        <v>45911</v>
      </c>
      <c r="C393" s="30">
        <f>IFERROR(__xludf.DUMMYFUNCTION("""COMPUTED_VALUE"""),1.0)</f>
        <v>1</v>
      </c>
      <c r="D393" s="30" t="str">
        <f>IFERROR(__xludf.DUMMYFUNCTION("""COMPUTED_VALUE"""),"CT CŨ")</f>
        <v>CT CŨ</v>
      </c>
      <c r="E393" s="30"/>
      <c r="F393" s="2"/>
      <c r="G393" s="2" t="str">
        <f>IFERROR(__xludf.DUMMYFUNCTION("""COMPUTED_VALUE"""),"HH4304")</f>
        <v>HH4304</v>
      </c>
      <c r="H393" s="2" t="str">
        <f>IFERROR(__xludf.DUMMYFUNCTION("""COMPUTED_VALUE"""),"GC - IV - 4304 - CSSX An Khang (A.Dinh) - TAK09 (Nước nâu đen) - 500ml - 40")</f>
        <v>GC - IV - 4304 - CSSX An Khang (A.Dinh) - TAK09 (Nước nâu đen) - 500ml - 40</v>
      </c>
      <c r="I393" s="39" t="str">
        <f>IFERROR(__xludf.DUMMYFUNCTION("""COMPUTED_VALUE"""),"Hữu cơ SH Agro Organic Fertilizer 20")</f>
        <v>Hữu cơ SH Agro Organic Fertilizer 20</v>
      </c>
      <c r="J393" s="2" t="str">
        <f>IFERROR(__xludf.DUMMYFUNCTION("""COMPUTED_VALUE"""),"Cùng ruột 3801
TAK09")</f>
        <v>Cùng ruột 3801
TAK09</v>
      </c>
      <c r="K393" s="2"/>
      <c r="L393" s="2" t="str">
        <f>IFERROR(__xludf.DUMMYFUNCTION("""COMPUTED_VALUE"""),"A01090625")</f>
        <v>A01090625</v>
      </c>
      <c r="M393" s="2" t="str">
        <f>IFERROR(__xludf.DUMMYFUNCTION("""COMPUTED_VALUE"""),"TAK09")</f>
        <v>TAK09</v>
      </c>
      <c r="N393" s="2" t="str">
        <f>IFERROR(__xludf.DUMMYFUNCTION("""COMPUTED_VALUE"""),"01RR0055")</f>
        <v>01RR0055</v>
      </c>
      <c r="O393" s="2" t="str">
        <f>IFERROR(__xludf.DUMMYFUNCTION("""COMPUTED_VALUE"""),"Phân bón Hữu cơ SH Agro Organic Fertilizer 20")</f>
        <v>Phân bón Hữu cơ SH Agro Organic Fertilizer 20</v>
      </c>
      <c r="P393" s="2" t="str">
        <f>IFERROR(__xludf.DUMMYFUNCTION("""COMPUTED_VALUE"""),"Phân bón Hữu cơ SH Agro Organic Fertilizer 20")</f>
        <v>Phân bón Hữu cơ SH Agro Organic Fertilizer 20</v>
      </c>
      <c r="Q393" s="30" t="str">
        <f>IFERROR(__xludf.DUMMYFUNCTION("""COMPUTED_VALUE"""),"KHỚP")</f>
        <v>KHỚP</v>
      </c>
      <c r="R393" s="2"/>
      <c r="S393" s="2"/>
      <c r="T393" s="2"/>
      <c r="U393" s="2"/>
      <c r="V393" s="2"/>
      <c r="W393" s="2"/>
      <c r="X393" s="2"/>
      <c r="Y393" s="2"/>
    </row>
    <row r="394">
      <c r="A394" s="30">
        <f>IFERROR(__xludf.DUMMYFUNCTION("""COMPUTED_VALUE"""),391.0)</f>
        <v>391</v>
      </c>
      <c r="B394" s="39">
        <f>IFERROR(__xludf.DUMMYFUNCTION("""COMPUTED_VALUE"""),46016.0)</f>
        <v>46016</v>
      </c>
      <c r="C394" s="30">
        <f>IFERROR(__xludf.DUMMYFUNCTION("""COMPUTED_VALUE"""),1.0)</f>
        <v>1</v>
      </c>
      <c r="D394" s="30" t="str">
        <f>IFERROR(__xludf.DUMMYFUNCTION("""COMPUTED_VALUE"""),"CT MỚI")</f>
        <v>CT MỚI</v>
      </c>
      <c r="E394" s="30"/>
      <c r="F394" s="2"/>
      <c r="G394" s="2" t="str">
        <f>IFERROR(__xludf.DUMMYFUNCTION("""COMPUTED_VALUE"""),"HH4524")</f>
        <v>HH4524</v>
      </c>
      <c r="H394" s="2" t="str">
        <f>IFERROR(__xludf.DUMMYFUNCTION("""COMPUTED_VALUE"""),"GC ABA - THÀNH CÔNG AGRI - Vi lượng AGAMA-SUPPORT - KING ROOT - 20L - 1")</f>
        <v>GC ABA - THÀNH CÔNG AGRI - Vi lượng AGAMA-SUPPORT - KING ROOT - 20L - 1</v>
      </c>
      <c r="I394" s="2" t="str">
        <f>IFERROR(__xludf.DUMMYFUNCTION("""COMPUTED_VALUE"""),"#N/A")</f>
        <v>#N/A</v>
      </c>
      <c r="J394" s="2" t="str">
        <f>IFERROR(__xludf.DUMMYFUNCTION("""COMPUTED_VALUE"""),"Cùng ruột HH2316")</f>
        <v>Cùng ruột HH2316</v>
      </c>
      <c r="K394" s="2"/>
      <c r="L394" s="2"/>
      <c r="M394" s="2" t="str">
        <f>IFERROR(__xludf.DUMMYFUNCTION("""COMPUTED_VALUE"""),"ULTRA ROOT")</f>
        <v>ULTRA ROOT</v>
      </c>
      <c r="N394" s="2" t="str">
        <f>IFERROR(__xludf.DUMMYFUNCTION("""COMPUTED_VALUE"""),"01RR0017V1")</f>
        <v>01RR0017V1</v>
      </c>
      <c r="O394" s="2" t="str">
        <f>IFERROR(__xludf.DUMMYFUNCTION("""COMPUTED_VALUE"""),"Phân bón Vi lượng AGAMA-SUPPORT")</f>
        <v>Phân bón Vi lượng AGAMA-SUPPORT</v>
      </c>
      <c r="P394" s="2" t="str">
        <f>IFERROR(__xludf.DUMMYFUNCTION("""COMPUTED_VALUE"""),"#N/A")</f>
        <v>#N/A</v>
      </c>
      <c r="Q394" s="30" t="str">
        <f>IFERROR(__xludf.DUMMYFUNCTION("""COMPUTED_VALUE"""),"KHÔNG KHỚP")</f>
        <v>KHÔNG KHỚP</v>
      </c>
      <c r="R394" s="2"/>
      <c r="S394" s="2"/>
      <c r="T394" s="2"/>
      <c r="U394" s="2"/>
      <c r="V394" s="2"/>
      <c r="W394" s="2"/>
      <c r="X394" s="2"/>
      <c r="Y394" s="2"/>
    </row>
    <row r="395">
      <c r="A395" s="30">
        <f>IFERROR(__xludf.DUMMYFUNCTION("""COMPUTED_VALUE"""),392.0)</f>
        <v>392</v>
      </c>
      <c r="B395" s="39">
        <f>IFERROR(__xludf.DUMMYFUNCTION("""COMPUTED_VALUE"""),45896.0)</f>
        <v>45896</v>
      </c>
      <c r="C395" s="30">
        <f>IFERROR(__xludf.DUMMYFUNCTION("""COMPUTED_VALUE"""),1.0)</f>
        <v>1</v>
      </c>
      <c r="D395" s="30" t="str">
        <f>IFERROR(__xludf.DUMMYFUNCTION("""COMPUTED_VALUE"""),"CT CŨ")</f>
        <v>CT CŨ</v>
      </c>
      <c r="E395" s="30"/>
      <c r="F395" s="2"/>
      <c r="G395" s="2" t="str">
        <f>IFERROR(__xludf.DUMMYFUNCTION("""COMPUTED_VALUE"""),"HH4353")</f>
        <v>HH4353</v>
      </c>
      <c r="H395" s="2" t="str">
        <f>IFERROR(__xludf.DUMMYFUNCTION("""COMPUTED_VALUE"""),"GC - IV - 4353 - CTY NAUY - VÔ GẠO 2T (Nước nâu đen) - 500ml - 40")</f>
        <v>GC - IV - 4353 - CTY NAUY - VÔ GẠO 2T (Nước nâu đen) - 500ml - 40</v>
      </c>
      <c r="I395" s="2" t="str">
        <f>IFERROR(__xludf.DUMMYFUNCTION("""COMPUTED_VALUE"""),"#N/A")</f>
        <v>#N/A</v>
      </c>
      <c r="J395" s="2" t="str">
        <f>IFERROR(__xludf.DUMMYFUNCTION("""COMPUTED_VALUE"""),"A07190825")</f>
        <v>A07190825</v>
      </c>
      <c r="K395" s="2"/>
      <c r="L395" s="2" t="str">
        <f>IFERROR(__xludf.DUMMYFUNCTION("""COMPUTED_VALUE"""),"A07190825
A05140426")</f>
        <v>A07190825
A05140426</v>
      </c>
      <c r="M395" s="2" t="str">
        <f>IFERROR(__xludf.DUMMYFUNCTION("""COMPUTED_VALUE"""),"VÔ GẠO NAUY")</f>
        <v>VÔ GẠO NAUY</v>
      </c>
      <c r="N395" s="2" t="str">
        <f>IFERROR(__xludf.DUMMYFUNCTION("""COMPUTED_VALUE"""),"04VG0039V1")</f>
        <v>04VG0039V1</v>
      </c>
      <c r="O395" s="2" t="str">
        <f>IFERROR(__xludf.DUMMYFUNCTION("""COMPUTED_VALUE"""),"Phân bón Hỗn hợp NPK AGAMA-SRH")</f>
        <v>Phân bón Hỗn hợp NPK AGAMA-SRH</v>
      </c>
      <c r="P395" s="2" t="str">
        <f>IFERROR(__xludf.DUMMYFUNCTION("""COMPUTED_VALUE"""),"#N/A")</f>
        <v>#N/A</v>
      </c>
      <c r="Q395" s="30" t="str">
        <f>IFERROR(__xludf.DUMMYFUNCTION("""COMPUTED_VALUE"""),"KHÔNG KHỚP")</f>
        <v>KHÔNG KHỚP</v>
      </c>
      <c r="R395" s="2"/>
      <c r="S395" s="2"/>
      <c r="T395" s="2"/>
      <c r="U395" s="2"/>
      <c r="V395" s="2"/>
      <c r="W395" s="2"/>
      <c r="X395" s="2"/>
      <c r="Y395" s="2"/>
    </row>
    <row r="396">
      <c r="A396" s="30">
        <f>IFERROR(__xludf.DUMMYFUNCTION("""COMPUTED_VALUE"""),393.0)</f>
        <v>393</v>
      </c>
      <c r="B396" s="39">
        <f>IFERROR(__xludf.DUMMYFUNCTION("""COMPUTED_VALUE"""),45994.0)</f>
        <v>45994</v>
      </c>
      <c r="C396" s="30">
        <f>IFERROR(__xludf.DUMMYFUNCTION("""COMPUTED_VALUE"""),1.0)</f>
        <v>1</v>
      </c>
      <c r="D396" s="30" t="str">
        <f>IFERROR(__xludf.DUMMYFUNCTION("""COMPUTED_VALUE"""),"CT CŨ")</f>
        <v>CT CŨ</v>
      </c>
      <c r="E396" s="30"/>
      <c r="F396" s="2"/>
      <c r="G396" s="2" t="str">
        <f>IFERROR(__xludf.DUMMYFUNCTION("""COMPUTED_VALUE"""),"HH4556")</f>
        <v>HH4556</v>
      </c>
      <c r="H396" s="2" t="str">
        <f>IFERROR(__xludf.DUMMYFUNCTION("""COMPUTED_VALUE"""),"GC ABA - CTY NAUY - Vi lượng MICKEY - ZN++ GOLD - 250ml - 40")</f>
        <v>GC ABA - CTY NAUY - Vi lượng MICKEY - ZN++ GOLD - 250ml - 40</v>
      </c>
      <c r="I396" s="2" t="str">
        <f>IFERROR(__xludf.DUMMYFUNCTION("""COMPUTED_VALUE"""),"#N/A")</f>
        <v>#N/A</v>
      </c>
      <c r="J396" s="2" t="str">
        <f>IFERROR(__xludf.DUMMYFUNCTION("""COMPUTED_VALUE"""),"Cùng ruột 
HH3709")</f>
        <v>Cùng ruột 
HH3709</v>
      </c>
      <c r="K396" s="2"/>
      <c r="L396" s="2" t="str">
        <f>IFERROR(__xludf.DUMMYFUNCTION("""COMPUTED_VALUE"""),"A09291024")</f>
        <v>A09291024</v>
      </c>
      <c r="M396" s="2" t="str">
        <f>IFERROR(__xludf.DUMMYFUNCTION("""COMPUTED_VALUE"""),"BETA AMINO KẼM
ZN++ GOLD")</f>
        <v>BETA AMINO KẼM
ZN++ GOLD</v>
      </c>
      <c r="N396" s="2" t="str">
        <f>IFERROR(__xludf.DUMMYFUNCTION("""COMPUTED_VALUE"""),"13XL0011V1")</f>
        <v>13XL0011V1</v>
      </c>
      <c r="O396" s="2" t="str">
        <f>IFERROR(__xludf.DUMMYFUNCTION("""COMPUTED_VALUE"""),"Phân bón Vi lượng MICKEY")</f>
        <v>Phân bón Vi lượng MICKEY</v>
      </c>
      <c r="P396" s="2" t="str">
        <f>IFERROR(__xludf.DUMMYFUNCTION("""COMPUTED_VALUE"""),"#N/A")</f>
        <v>#N/A</v>
      </c>
      <c r="Q396" s="30" t="str">
        <f>IFERROR(__xludf.DUMMYFUNCTION("""COMPUTED_VALUE"""),"KHÔNG KHỚP")</f>
        <v>KHÔNG KHỚP</v>
      </c>
      <c r="R396" s="2"/>
      <c r="S396" s="2"/>
      <c r="T396" s="2"/>
      <c r="U396" s="2"/>
      <c r="V396" s="2"/>
      <c r="W396" s="2"/>
      <c r="X396" s="2"/>
      <c r="Y396" s="2"/>
    </row>
    <row r="397">
      <c r="A397" s="30">
        <f>IFERROR(__xludf.DUMMYFUNCTION("""COMPUTED_VALUE"""),394.0)</f>
        <v>394</v>
      </c>
      <c r="B397" s="39">
        <f>IFERROR(__xludf.DUMMYFUNCTION("""COMPUTED_VALUE"""),45964.0)</f>
        <v>45964</v>
      </c>
      <c r="C397" s="30">
        <f>IFERROR(__xludf.DUMMYFUNCTION("""COMPUTED_VALUE"""),1.0)</f>
        <v>1</v>
      </c>
      <c r="D397" s="30" t="str">
        <f>IFERROR(__xludf.DUMMYFUNCTION("""COMPUTED_VALUE"""),"CT CŨ")</f>
        <v>CT CŨ</v>
      </c>
      <c r="E397" s="30"/>
      <c r="F397" s="2"/>
      <c r="G397" s="2" t="str">
        <f>IFERROR(__xludf.DUMMYFUNCTION("""COMPUTED_VALUE"""),"HH4557")</f>
        <v>HH4557</v>
      </c>
      <c r="H397" s="2" t="str">
        <f>IFERROR(__xludf.DUMMYFUNCTION("""COMPUTED_VALUE"""),"GC ABA - CTY NAUY - Lá PK Vi lượng SV 5-18 - SUPER GOLD - 250ml - 40")</f>
        <v>GC ABA - CTY NAUY - Lá PK Vi lượng SV 5-18 - SUPER GOLD - 250ml - 40</v>
      </c>
      <c r="I397" s="2" t="str">
        <f>IFERROR(__xludf.DUMMYFUNCTION("""COMPUTED_VALUE"""),"#N/A")</f>
        <v>#N/A</v>
      </c>
      <c r="J397" s="2" t="str">
        <f>IFERROR(__xludf.DUMMYFUNCTION("""COMPUTED_VALUE"""),"Cùng ruột 
HH4001")</f>
        <v>Cùng ruột 
HH4001</v>
      </c>
      <c r="K397" s="2"/>
      <c r="L397" s="2" t="str">
        <f>IFERROR(__xludf.DUMMYFUNCTION("""COMPUTED_VALUE"""),"A05190825")</f>
        <v>A05190825</v>
      </c>
      <c r="M397" s="2" t="str">
        <f>IFERROR(__xludf.DUMMYFUNCTION("""COMPUTED_VALUE"""),"SUPER NANO VÔ GẠO
0 - 5 - 18 ")</f>
        <v>SUPER NANO VÔ GẠO
0 - 5 - 18 </v>
      </c>
      <c r="N397" s="2" t="str">
        <f>IFERROR(__xludf.DUMMYFUNCTION("""COMPUTED_VALUE"""),"04VG0045")</f>
        <v>04VG0045</v>
      </c>
      <c r="O397" s="2" t="str">
        <f>IFERROR(__xludf.DUMMYFUNCTION("""COMPUTED_VALUE"""),"Phân bón lá PK-Vi lượng SV 5-18")</f>
        <v>Phân bón lá PK-Vi lượng SV 5-18</v>
      </c>
      <c r="P397" s="2" t="str">
        <f>IFERROR(__xludf.DUMMYFUNCTION("""COMPUTED_VALUE"""),"#N/A")</f>
        <v>#N/A</v>
      </c>
      <c r="Q397" s="30" t="str">
        <f>IFERROR(__xludf.DUMMYFUNCTION("""COMPUTED_VALUE"""),"KHÔNG KHỚP")</f>
        <v>KHÔNG KHỚP</v>
      </c>
      <c r="R397" s="2"/>
      <c r="S397" s="2"/>
      <c r="T397" s="2"/>
      <c r="U397" s="2"/>
      <c r="V397" s="2"/>
      <c r="W397" s="2"/>
      <c r="X397" s="2"/>
      <c r="Y397" s="2"/>
    </row>
    <row r="398">
      <c r="A398" s="30">
        <f>IFERROR(__xludf.DUMMYFUNCTION("""COMPUTED_VALUE"""),395.0)</f>
        <v>395</v>
      </c>
      <c r="B398" s="39" t="str">
        <f>IFERROR(__xludf.DUMMYFUNCTION("""COMPUTED_VALUE"""),"")</f>
        <v/>
      </c>
      <c r="C398" s="30">
        <f>IFERROR(__xludf.DUMMYFUNCTION("""COMPUTED_VALUE"""),4.0)</f>
        <v>4</v>
      </c>
      <c r="D398" s="30" t="str">
        <f>IFERROR(__xludf.DUMMYFUNCTION("""COMPUTED_VALUE"""),"CT CŨ")</f>
        <v>CT CŨ</v>
      </c>
      <c r="E398" s="30"/>
      <c r="F398" s="2"/>
      <c r="G398" s="2" t="str">
        <f>IFERROR(__xludf.DUMMYFUNCTION("""COMPUTED_VALUE"""),"HH4212")</f>
        <v>HH4212</v>
      </c>
      <c r="H398" s="2" t="str">
        <f>IFERROR(__xludf.DUMMYFUNCTION("""COMPUTED_VALUE"""),"GC - V - 4212 - Cty CAPY GLOBAL - NUTRI BIO KING (Gel nâu đen) - 5L - 4")</f>
        <v>GC - V - 4212 - Cty CAPY GLOBAL - NUTRI BIO KING (Gel nâu đen) - 5L - 4</v>
      </c>
      <c r="I398" s="2" t="str">
        <f>IFERROR(__xludf.DUMMYFUNCTION("""COMPUTED_VALUE"""),"#N/A")</f>
        <v>#N/A</v>
      </c>
      <c r="J398" s="2" t="str">
        <f>IFERROR(__xludf.DUMMYFUNCTION("""COMPUTED_VALUE"""),"A02131025")</f>
        <v>A02131025</v>
      </c>
      <c r="K398" s="2"/>
      <c r="L398" s="2" t="str">
        <f>IFERROR(__xludf.DUMMYFUNCTION("""COMPUTED_VALUE"""),"")</f>
        <v/>
      </c>
      <c r="M398" s="2" t="str">
        <f>IFERROR(__xludf.DUMMYFUNCTION("""COMPUTED_VALUE"""),"")</f>
        <v/>
      </c>
      <c r="N398" s="2" t="str">
        <f>IFERROR(__xludf.DUMMYFUNCTION("""COMPUTED_VALUE"""),"01RR0076 ")</f>
        <v>01RR0076 </v>
      </c>
      <c r="O398" s="2" t="str">
        <f>IFERROR(__xludf.DUMMYFUNCTION("""COMPUTED_VALUE"""),"")</f>
        <v/>
      </c>
      <c r="P398" s="2" t="str">
        <f>IFERROR(__xludf.DUMMYFUNCTION("""COMPUTED_VALUE"""),"#N/A")</f>
        <v>#N/A</v>
      </c>
      <c r="Q398" s="30" t="str">
        <f>IFERROR(__xludf.DUMMYFUNCTION("""COMPUTED_VALUE"""),"KHÔNG KHỚP")</f>
        <v>KHÔNG KHỚP</v>
      </c>
      <c r="R398" s="2"/>
      <c r="S398" s="2"/>
      <c r="T398" s="2"/>
      <c r="U398" s="2"/>
      <c r="V398" s="2"/>
      <c r="W398" s="2"/>
      <c r="X398" s="2"/>
      <c r="Y398" s="2"/>
    </row>
    <row r="399">
      <c r="A399" s="30">
        <f>IFERROR(__xludf.DUMMYFUNCTION("""COMPUTED_VALUE"""),396.0)</f>
        <v>396</v>
      </c>
      <c r="B399" s="39">
        <f>IFERROR(__xludf.DUMMYFUNCTION("""COMPUTED_VALUE"""),45986.0)</f>
        <v>45986</v>
      </c>
      <c r="C399" s="30">
        <f>IFERROR(__xludf.DUMMYFUNCTION("""COMPUTED_VALUE"""),1.0)</f>
        <v>1</v>
      </c>
      <c r="D399" s="30" t="str">
        <f>IFERROR(__xludf.DUMMYFUNCTION("""COMPUTED_VALUE"""),"CT CŨ")</f>
        <v>CT CŨ</v>
      </c>
      <c r="E399" s="30"/>
      <c r="F399" s="2"/>
      <c r="G399" s="2" t="str">
        <f>IFERROR(__xludf.DUMMYFUNCTION("""COMPUTED_VALUE"""),"HH4519")</f>
        <v>HH4519</v>
      </c>
      <c r="H399" s="2" t="str">
        <f>IFERROR(__xludf.DUMMYFUNCTION("""COMPUTED_VALUE"""),"GC - V - 4519 - VTNN HAI LÚA - BUNG CHỒI - VỌT ĐỌT (Nước nâu đen) - 20kg - 1")</f>
        <v>GC - V - 4519 - VTNN HAI LÚA - BUNG CHỒI - VỌT ĐỌT (Nước nâu đen) - 20kg - 1</v>
      </c>
      <c r="I399" s="2" t="str">
        <f>IFERROR(__xludf.DUMMYFUNCTION("""COMPUTED_VALUE"""),"#N/A")</f>
        <v>#N/A</v>
      </c>
      <c r="J399" s="2" t="str">
        <f>IFERROR(__xludf.DUMMYFUNCTION("""COMPUTED_VALUE"""),"A06260225")</f>
        <v>A06260225</v>
      </c>
      <c r="K399" s="2"/>
      <c r="L399" s="2" t="str">
        <f>IFERROR(__xludf.DUMMYFUNCTION("""COMPUTED_VALUE"""),"SỬ DỤNG BTP TỒN")</f>
        <v>SỬ DỤNG BTP TỒN</v>
      </c>
      <c r="M399" s="2" t="str">
        <f>IFERROR(__xludf.DUMMYFUNCTION("""COMPUTED_VALUE"""),"SIÊU BUNG ĐỌT")</f>
        <v>SIÊU BUNG ĐỌT</v>
      </c>
      <c r="N399" s="2" t="str">
        <f>IFERROR(__xludf.DUMMYFUNCTION("""COMPUTED_VALUE"""),"01RR0045-060325-1")</f>
        <v>01RR0045-060325-1</v>
      </c>
      <c r="O399" s="2" t="str">
        <f>IFERROR(__xludf.DUMMYFUNCTION("""COMPUTED_VALUE"""),"Phân bón Hữu cơ SH Agro Organic Fertilizer 20")</f>
        <v>Phân bón Hữu cơ SH Agro Organic Fertilizer 20</v>
      </c>
      <c r="P399" s="2" t="str">
        <f>IFERROR(__xludf.DUMMYFUNCTION("""COMPUTED_VALUE"""),"#N/A")</f>
        <v>#N/A</v>
      </c>
      <c r="Q399" s="30" t="str">
        <f>IFERROR(__xludf.DUMMYFUNCTION("""COMPUTED_VALUE"""),"KHÔNG KHỚP")</f>
        <v>KHÔNG KHỚP</v>
      </c>
      <c r="R399" s="2"/>
      <c r="S399" s="2"/>
      <c r="T399" s="2"/>
      <c r="U399" s="2"/>
      <c r="V399" s="2"/>
      <c r="W399" s="2"/>
      <c r="X399" s="2"/>
      <c r="Y399" s="2"/>
    </row>
    <row r="400">
      <c r="A400" s="30">
        <f>IFERROR(__xludf.DUMMYFUNCTION("""COMPUTED_VALUE"""),397.0)</f>
        <v>397</v>
      </c>
      <c r="B400" s="39">
        <f>IFERROR(__xludf.DUMMYFUNCTION("""COMPUTED_VALUE"""),45659.0)</f>
        <v>45659</v>
      </c>
      <c r="C400" s="30">
        <f>IFERROR(__xludf.DUMMYFUNCTION("""COMPUTED_VALUE"""),1.0)</f>
        <v>1</v>
      </c>
      <c r="D400" s="30" t="str">
        <f>IFERROR(__xludf.DUMMYFUNCTION("""COMPUTED_VALUE"""),"CT MỚI")</f>
        <v>CT MỚI</v>
      </c>
      <c r="E400" s="30"/>
      <c r="F400" s="2"/>
      <c r="G400" s="2" t="str">
        <f>IFERROR(__xludf.DUMMYFUNCTION("""COMPUTED_VALUE"""),"MAU3123")</f>
        <v>MAU3123</v>
      </c>
      <c r="H400" s="2" t="str">
        <f>IFERROR(__xludf.DUMMYFUNCTION("""COMPUTED_VALUE"""),"Mẫu CHẶN ĐỌT V3 - SICAK TOP - 1L - 20")</f>
        <v>Mẫu CHẶN ĐỌT V3 - SICAK TOP - 1L - 20</v>
      </c>
      <c r="I400" s="2" t="str">
        <f>IFERROR(__xludf.DUMMYFUNCTION("""COMPUTED_VALUE"""),"#N/A")</f>
        <v>#N/A</v>
      </c>
      <c r="J400" s="2" t="str">
        <f>IFERROR(__xludf.DUMMYFUNCTION("""COMPUTED_VALUE"""),"A06290925")</f>
        <v>A06290925</v>
      </c>
      <c r="K400" s="2"/>
      <c r="L400" s="2" t="str">
        <f>IFERROR(__xludf.DUMMYFUNCTION("""COMPUTED_VALUE"""),"A06290925")</f>
        <v>A06290925</v>
      </c>
      <c r="M400" s="2" t="str">
        <f>IFERROR(__xludf.DUMMYFUNCTION("""COMPUTED_VALUE"""),"CHẶN ĐỌT SICAK TOP ")</f>
        <v>CHẶN ĐỌT SICAK TOP </v>
      </c>
      <c r="N400" s="2" t="str">
        <f>IFERROR(__xludf.DUMMYFUNCTION("""COMPUTED_VALUE"""),"06CD0017V1")</f>
        <v>06CD0017V1</v>
      </c>
      <c r="O400" s="2" t="str">
        <f>IFERROR(__xludf.DUMMYFUNCTION("""COMPUTED_VALUE"""),"Phân bón Hữu cơ ABA SICAK TOP")</f>
        <v>Phân bón Hữu cơ ABA SICAK TOP</v>
      </c>
      <c r="P400" s="2" t="str">
        <f>IFERROR(__xludf.DUMMYFUNCTION("""COMPUTED_VALUE"""),"#N/A")</f>
        <v>#N/A</v>
      </c>
      <c r="Q400" s="30" t="str">
        <f>IFERROR(__xludf.DUMMYFUNCTION("""COMPUTED_VALUE"""),"KHÔNG KHỚP")</f>
        <v>KHÔNG KHỚP</v>
      </c>
      <c r="R400" s="2"/>
      <c r="S400" s="2"/>
      <c r="T400" s="2"/>
      <c r="U400" s="2"/>
      <c r="V400" s="2"/>
      <c r="W400" s="2"/>
      <c r="X400" s="2"/>
      <c r="Y400" s="2"/>
    </row>
    <row r="401">
      <c r="A401" s="30">
        <f>IFERROR(__xludf.DUMMYFUNCTION("""COMPUTED_VALUE"""),398.0)</f>
        <v>398</v>
      </c>
      <c r="B401" s="39">
        <f>IFERROR(__xludf.DUMMYFUNCTION("""COMPUTED_VALUE"""),46001.0)</f>
        <v>46001</v>
      </c>
      <c r="C401" s="30">
        <f>IFERROR(__xludf.DUMMYFUNCTION("""COMPUTED_VALUE"""),3.0)</f>
        <v>3</v>
      </c>
      <c r="D401" s="30" t="str">
        <f>IFERROR(__xludf.DUMMYFUNCTION("""COMPUTED_VALUE"""),"CT CŨ")</f>
        <v>CT CŨ</v>
      </c>
      <c r="E401" s="30"/>
      <c r="F401" s="2"/>
      <c r="G401" s="2" t="str">
        <f>IFERROR(__xludf.DUMMYFUNCTION("""COMPUTED_VALUE"""),"HH4455")</f>
        <v>HH4455</v>
      </c>
      <c r="H401" s="2" t="str">
        <f>IFERROR(__xludf.DUMMYFUNCTION("""COMPUTED_VALUE"""),"IDA Global - I - 4455 - CỨNG CÂY 304 (Nước nâu đen) - 500ml - 40")</f>
        <v>IDA Global - I - 4455 - CỨNG CÂY 304 (Nước nâu đen) - 500ml - 40</v>
      </c>
      <c r="I401" s="39" t="str">
        <f>IFERROR(__xludf.DUMMYFUNCTION("""COMPUTED_VALUE"""),"Hữu cơ SH Agro Organic Fertilizer 20")</f>
        <v>Hữu cơ SH Agro Organic Fertilizer 20</v>
      </c>
      <c r="J401" s="2" t="str">
        <f>IFERROR(__xludf.DUMMYFUNCTION("""COMPUTED_VALUE"""),"Cùng ruột HH4075")</f>
        <v>Cùng ruột HH4075</v>
      </c>
      <c r="K401" s="2"/>
      <c r="L401" s="2" t="str">
        <f>IFERROR(__xludf.DUMMYFUNCTION("""COMPUTED_VALUE"""),"L01261124")</f>
        <v>L01261124</v>
      </c>
      <c r="M401" s="2" t="str">
        <f>IFERROR(__xludf.DUMMYFUNCTION("""COMPUTED_VALUE"""),"CỨNG CÂY 304")</f>
        <v>CỨNG CÂY 304</v>
      </c>
      <c r="N401" s="2" t="str">
        <f>IFERROR(__xludf.DUMMYFUNCTION("""COMPUTED_VALUE"""),"02CC0002V3")</f>
        <v>02CC0002V3</v>
      </c>
      <c r="O401" s="2" t="str">
        <f>IFERROR(__xludf.DUMMYFUNCTION("""COMPUTED_VALUE"""),"Phân bón Hữu cơ SH Agro Organic Fertilizer 20")</f>
        <v>Phân bón Hữu cơ SH Agro Organic Fertilizer 20</v>
      </c>
      <c r="P401" s="2" t="str">
        <f>IFERROR(__xludf.DUMMYFUNCTION("""COMPUTED_VALUE"""),"Phân bón Hữu cơ SH Agro Organic Fertilizer 20")</f>
        <v>Phân bón Hữu cơ SH Agro Organic Fertilizer 20</v>
      </c>
      <c r="Q401" s="30" t="str">
        <f>IFERROR(__xludf.DUMMYFUNCTION("""COMPUTED_VALUE"""),"KHỚP")</f>
        <v>KHỚP</v>
      </c>
      <c r="R401" s="2"/>
      <c r="S401" s="2"/>
      <c r="T401" s="2"/>
      <c r="U401" s="2"/>
      <c r="V401" s="2"/>
      <c r="W401" s="2"/>
      <c r="X401" s="2"/>
      <c r="Y401" s="2"/>
    </row>
    <row r="402">
      <c r="A402" s="30">
        <f>IFERROR(__xludf.DUMMYFUNCTION("""COMPUTED_VALUE"""),399.0)</f>
        <v>399</v>
      </c>
      <c r="B402" s="39">
        <f>IFERROR(__xludf.DUMMYFUNCTION("""COMPUTED_VALUE"""),45923.0)</f>
        <v>45923</v>
      </c>
      <c r="C402" s="30">
        <f>IFERROR(__xludf.DUMMYFUNCTION("""COMPUTED_VALUE"""),1.0)</f>
        <v>1</v>
      </c>
      <c r="D402" s="30" t="str">
        <f>IFERROR(__xludf.DUMMYFUNCTION("""COMPUTED_VALUE"""),"CT CŨ")</f>
        <v>CT CŨ</v>
      </c>
      <c r="E402" s="30"/>
      <c r="F402" s="2"/>
      <c r="G402" s="2" t="str">
        <f>IFERROR(__xludf.DUMMYFUNCTION("""COMPUTED_VALUE"""),"HH4538")</f>
        <v>HH4538</v>
      </c>
      <c r="H402" s="2" t="str">
        <f>IFERROR(__xludf.DUMMYFUNCTION("""COMPUTED_VALUE"""),"GC - V - 4538 - Cty Hóa Nông Shino - DPHOS 387 (Nước xanh dương) - 300ml - 40")</f>
        <v>GC - V - 4538 - Cty Hóa Nông Shino - DPHOS 387 (Nước xanh dương) - 300ml - 40</v>
      </c>
      <c r="I402" s="2" t="str">
        <f>IFERROR(__xludf.DUMMYFUNCTION("""COMPUTED_VALUE"""),"#N/A")</f>
        <v>#N/A</v>
      </c>
      <c r="J402" s="2" t="str">
        <f>IFERROR(__xludf.DUMMYFUNCTION("""COMPUTED_VALUE"""),"A03160925")</f>
        <v>A03160925</v>
      </c>
      <c r="K402" s="2"/>
      <c r="L402" s="2" t="str">
        <f>IFERROR(__xludf.DUMMYFUNCTION("""COMPUTED_VALUE"""),"A03160925 ")</f>
        <v>A03160925 </v>
      </c>
      <c r="M402" s="2" t="str">
        <f>IFERROR(__xludf.DUMMYFUNCTION("""COMPUTED_VALUE"""),"LÂN 2 CHIỀU  - 01")</f>
        <v>LÂN 2 CHIỀU  - 01</v>
      </c>
      <c r="N402" s="2" t="str">
        <f>IFERROR(__xludf.DUMMYFUNCTION("""COMPUTED_VALUE"""),"08TM0025")</f>
        <v>08TM0025</v>
      </c>
      <c r="O402" s="2" t="str">
        <f>IFERROR(__xludf.DUMMYFUNCTION("""COMPUTED_VALUE"""),"Phân bón lá hỗn hợp PK AGRI FOS AB")</f>
        <v>Phân bón lá hỗn hợp PK AGRI FOS AB</v>
      </c>
      <c r="P402" s="2" t="str">
        <f>IFERROR(__xludf.DUMMYFUNCTION("""COMPUTED_VALUE"""),"#N/A")</f>
        <v>#N/A</v>
      </c>
      <c r="Q402" s="30" t="str">
        <f>IFERROR(__xludf.DUMMYFUNCTION("""COMPUTED_VALUE"""),"KHÔNG KHỚP")</f>
        <v>KHÔNG KHỚP</v>
      </c>
      <c r="R402" s="2"/>
      <c r="S402" s="2"/>
      <c r="T402" s="2"/>
      <c r="U402" s="2"/>
      <c r="V402" s="2"/>
      <c r="W402" s="2"/>
      <c r="X402" s="2"/>
      <c r="Y402" s="2"/>
    </row>
    <row r="403">
      <c r="A403" s="30">
        <f>IFERROR(__xludf.DUMMYFUNCTION("""COMPUTED_VALUE"""),400.0)</f>
        <v>400</v>
      </c>
      <c r="B403" s="39">
        <f>IFERROR(__xludf.DUMMYFUNCTION("""COMPUTED_VALUE"""),45905.0)</f>
        <v>45905</v>
      </c>
      <c r="C403" s="30">
        <f>IFERROR(__xludf.DUMMYFUNCTION("""COMPUTED_VALUE"""),6.0)</f>
        <v>6</v>
      </c>
      <c r="D403" s="30" t="str">
        <f>IFERROR(__xludf.DUMMYFUNCTION("""COMPUTED_VALUE"""),"CT CŨ")</f>
        <v>CT CŨ</v>
      </c>
      <c r="E403" s="30"/>
      <c r="F403" s="2"/>
      <c r="G403" s="2" t="str">
        <f>IFERROR(__xludf.DUMMYFUNCTION("""COMPUTED_VALUE"""),"HH4183")</f>
        <v>HH4183</v>
      </c>
      <c r="H403" s="2" t="str">
        <f>IFERROR(__xludf.DUMMYFUNCTION("""COMPUTED_VALUE"""),"GC - IV - 4183 - Cty Hương Nông - HN-pH++ (Nước nâu đen) - 5L - 4")</f>
        <v>GC - IV - 4183 - Cty Hương Nông - HN-pH++ (Nước nâu đen) - 5L - 4</v>
      </c>
      <c r="I403" s="2" t="str">
        <f>IFERROR(__xludf.DUMMYFUNCTION("""COMPUTED_VALUE"""),"#N/A")</f>
        <v>#N/A</v>
      </c>
      <c r="J403" s="2" t="str">
        <f>IFERROR(__xludf.DUMMYFUNCTION("""COMPUTED_VALUE"""),"Cùng ruột 
HH3960")</f>
        <v>Cùng ruột 
HH3960</v>
      </c>
      <c r="K403" s="2"/>
      <c r="L403" s="2"/>
      <c r="M403" s="2" t="str">
        <f>IFERROR(__xludf.DUMMYFUNCTION("""COMPUTED_VALUE"""),"HN-pH++")</f>
        <v>HN-pH++</v>
      </c>
      <c r="N403" s="2" t="str">
        <f>IFERROR(__xludf.DUMMYFUNCTION("""COMPUTED_VALUE"""),"01RR0014V4")</f>
        <v>01RR0014V4</v>
      </c>
      <c r="O403" s="2" t="str">
        <f>IFERROR(__xludf.DUMMYFUNCTION("""COMPUTED_VALUE"""),"Phân bón Hữu cơ SH Agro Organic Fertilizer 20")</f>
        <v>Phân bón Hữu cơ SH Agro Organic Fertilizer 20</v>
      </c>
      <c r="P403" s="2" t="str">
        <f>IFERROR(__xludf.DUMMYFUNCTION("""COMPUTED_VALUE"""),"#N/A")</f>
        <v>#N/A</v>
      </c>
      <c r="Q403" s="30" t="str">
        <f>IFERROR(__xludf.DUMMYFUNCTION("""COMPUTED_VALUE"""),"KHÔNG KHỚP")</f>
        <v>KHÔNG KHỚP</v>
      </c>
      <c r="R403" s="2"/>
      <c r="S403" s="2"/>
      <c r="T403" s="2"/>
      <c r="U403" s="2"/>
      <c r="V403" s="2"/>
      <c r="W403" s="2"/>
      <c r="X403" s="2"/>
      <c r="Y403" s="2"/>
    </row>
    <row r="404">
      <c r="A404" s="30">
        <f>IFERROR(__xludf.DUMMYFUNCTION("""COMPUTED_VALUE"""),401.0)</f>
        <v>401</v>
      </c>
      <c r="B404" s="39">
        <f>IFERROR(__xludf.DUMMYFUNCTION("""COMPUTED_VALUE"""),46001.0)</f>
        <v>46001</v>
      </c>
      <c r="C404" s="30">
        <f>IFERROR(__xludf.DUMMYFUNCTION("""COMPUTED_VALUE"""),3.0)</f>
        <v>3</v>
      </c>
      <c r="D404" s="30" t="str">
        <f>IFERROR(__xludf.DUMMYFUNCTION("""COMPUTED_VALUE"""),"CT CŨ")</f>
        <v>CT CŨ</v>
      </c>
      <c r="E404" s="30"/>
      <c r="F404" s="2"/>
      <c r="G404" s="2" t="str">
        <f>IFERROR(__xludf.DUMMYFUNCTION("""COMPUTED_VALUE"""),"HH4262")</f>
        <v>HH4262</v>
      </c>
      <c r="H404" s="2" t="str">
        <f>IFERROR(__xludf.DUMMYFUNCTION("""COMPUTED_VALUE"""),"GC - IV - 4262 - CTY HƯƠNG NÔNG - BIO HỮU CƠ (Nước nâu đen) - 10L - 1")</f>
        <v>GC - IV - 4262 - CTY HƯƠNG NÔNG - BIO HỮU CƠ (Nước nâu đen) - 10L - 1</v>
      </c>
      <c r="I404" s="39" t="str">
        <f>IFERROR(__xludf.DUMMYFUNCTION("""COMPUTED_VALUE"""),"Hữu cơ Organic BM Gold  FW")</f>
        <v>Hữu cơ Organic BM Gold  FW</v>
      </c>
      <c r="J404" s="2" t="str">
        <f>IFERROR(__xludf.DUMMYFUNCTION("""COMPUTED_VALUE"""),"Cùng ruột 
HH3948")</f>
        <v>Cùng ruột 
HH3948</v>
      </c>
      <c r="K404" s="2"/>
      <c r="L404" s="2" t="str">
        <f>IFERROR(__xludf.DUMMYFUNCTION("""COMPUTED_VALUE"""),"A02281124
I01240326")</f>
        <v>A02281124
I01240326</v>
      </c>
      <c r="M404" s="2" t="str">
        <f>IFERROR(__xludf.DUMMYFUNCTION("""COMPUTED_VALUE"""),"BIO HỮU CƠ")</f>
        <v>BIO HỮU CƠ</v>
      </c>
      <c r="N404" s="2" t="str">
        <f>IFERROR(__xludf.DUMMYFUNCTION("""COMPUTED_VALUE"""),"11TT0010V1")</f>
        <v>11TT0010V1</v>
      </c>
      <c r="O404" s="2" t="str">
        <f>IFERROR(__xludf.DUMMYFUNCTION("""COMPUTED_VALUE"""),"Phân bón Hữu cơ ORGANIC BM GOLD FW")</f>
        <v>Phân bón Hữu cơ ORGANIC BM GOLD FW</v>
      </c>
      <c r="P404" s="2" t="str">
        <f>IFERROR(__xludf.DUMMYFUNCTION("""COMPUTED_VALUE"""),"Phân bón Hữu cơ Organic BM Gold  FW")</f>
        <v>Phân bón Hữu cơ Organic BM Gold  FW</v>
      </c>
      <c r="Q404" s="30" t="str">
        <f>IFERROR(__xludf.DUMMYFUNCTION("""COMPUTED_VALUE"""),"KHÔNG KHỚP")</f>
        <v>KHÔNG KHỚP</v>
      </c>
      <c r="R404" s="2"/>
      <c r="S404" s="2"/>
      <c r="T404" s="2"/>
      <c r="U404" s="2"/>
      <c r="V404" s="2"/>
      <c r="W404" s="2"/>
      <c r="X404" s="2"/>
      <c r="Y404" s="2"/>
    </row>
    <row r="405">
      <c r="A405" s="30">
        <f>IFERROR(__xludf.DUMMYFUNCTION("""COMPUTED_VALUE"""),402.0)</f>
        <v>402</v>
      </c>
      <c r="B405" s="39">
        <f>IFERROR(__xludf.DUMMYFUNCTION("""COMPUTED_VALUE"""),46017.0)</f>
        <v>46017</v>
      </c>
      <c r="C405" s="30">
        <f>IFERROR(__xludf.DUMMYFUNCTION("""COMPUTED_VALUE"""),2.0)</f>
        <v>2</v>
      </c>
      <c r="D405" s="30" t="str">
        <f>IFERROR(__xludf.DUMMYFUNCTION("""COMPUTED_VALUE"""),"CT XỬ LÝ LỖI")</f>
        <v>CT XỬ LÝ LỖI</v>
      </c>
      <c r="E405" s="30"/>
      <c r="F405" s="2"/>
      <c r="G405" s="2" t="str">
        <f>IFERROR(__xludf.DUMMYFUNCTION("""COMPUTED_VALUE"""),"HH4328")</f>
        <v>HH4328</v>
      </c>
      <c r="H405" s="2" t="str">
        <f>IFERROR(__xludf.DUMMYFUNCTION("""COMPUTED_VALUE"""),"GC - IV - 4328 - Hóa Nông Shino - KALI SỮA (Nước hồng sữa) - 500ml - 30")</f>
        <v>GC - IV - 4328 - Hóa Nông Shino - KALI SỮA (Nước hồng sữa) - 500ml - 30</v>
      </c>
      <c r="I405" s="2" t="str">
        <f>IFERROR(__xludf.DUMMYFUNCTION("""COMPUTED_VALUE"""),"#N/A")</f>
        <v>#N/A</v>
      </c>
      <c r="J405" s="2" t="str">
        <f>IFERROR(__xludf.DUMMYFUNCTION("""COMPUTED_VALUE"""),"Cùng ruột 3951")</f>
        <v>Cùng ruột 3951</v>
      </c>
      <c r="K405" s="2"/>
      <c r="L405" s="2" t="str">
        <f>IFERROR(__xludf.DUMMYFUNCTION("""COMPUTED_VALUE"""),"XỬ LÝ BTP LỖI")</f>
        <v>XỬ LÝ BTP LỖI</v>
      </c>
      <c r="M405" s="2" t="str">
        <f>IFERROR(__xludf.DUMMYFUNCTION("""COMPUTED_VALUE"""),"KALI SỮA")</f>
        <v>KALI SỮA</v>
      </c>
      <c r="N405" s="2" t="str">
        <f>IFERROR(__xludf.DUMMYFUNCTION("""COMPUTED_VALUE"""),"04VG0026V2-441225-1")</f>
        <v>04VG0026V2-441225-1</v>
      </c>
      <c r="O405" s="2" t="str">
        <f>IFERROR(__xludf.DUMMYFUNCTION("""COMPUTED_VALUE"""),"Phân bón Hỗn hợp NPK AGAMA-SRH")</f>
        <v>Phân bón Hỗn hợp NPK AGAMA-SRH</v>
      </c>
      <c r="P405" s="2" t="str">
        <f>IFERROR(__xludf.DUMMYFUNCTION("""COMPUTED_VALUE"""),"#N/A")</f>
        <v>#N/A</v>
      </c>
      <c r="Q405" s="30" t="str">
        <f>IFERROR(__xludf.DUMMYFUNCTION("""COMPUTED_VALUE"""),"KHÔNG KHỚP")</f>
        <v>KHÔNG KHỚP</v>
      </c>
      <c r="R405" s="2"/>
      <c r="S405" s="2"/>
      <c r="T405" s="2"/>
      <c r="U405" s="2"/>
      <c r="V405" s="2"/>
      <c r="W405" s="2"/>
      <c r="X405" s="2"/>
      <c r="Y405" s="2"/>
    </row>
    <row r="406">
      <c r="A406" s="30">
        <f>IFERROR(__xludf.DUMMYFUNCTION("""COMPUTED_VALUE"""),403.0)</f>
        <v>403</v>
      </c>
      <c r="B406" s="39">
        <f>IFERROR(__xludf.DUMMYFUNCTION("""COMPUTED_VALUE"""),46017.0)</f>
        <v>46017</v>
      </c>
      <c r="C406" s="30">
        <f>IFERROR(__xludf.DUMMYFUNCTION("""COMPUTED_VALUE"""),2.0)</f>
        <v>2</v>
      </c>
      <c r="D406" s="30" t="str">
        <f>IFERROR(__xludf.DUMMYFUNCTION("""COMPUTED_VALUE"""),"CT XỬ LÝ LỖI")</f>
        <v>CT XỬ LÝ LỖI</v>
      </c>
      <c r="E406" s="30"/>
      <c r="F406" s="2"/>
      <c r="G406" s="2" t="str">
        <f>IFERROR(__xludf.DUMMYFUNCTION("""COMPUTED_VALUE"""),"HH4491")</f>
        <v>HH4491</v>
      </c>
      <c r="H406" s="2" t="str">
        <f>IFERROR(__xludf.DUMMYFUNCTION("""COMPUTED_VALUE"""),"GC - IV - 4491 - Cty Hóa Nông Shino - KALI SỮA (Nước hồng sữa) - 500ml - 30")</f>
        <v>GC - IV - 4491 - Cty Hóa Nông Shino - KALI SỮA (Nước hồng sữa) - 500ml - 30</v>
      </c>
      <c r="I406" s="39" t="str">
        <f>IFERROR(__xludf.DUMMYFUNCTION("""COMPUTED_VALUE"""),"HỖN HỢP NPK AGAMA-SRH")</f>
        <v>HỖN HỢP NPK AGAMA-SRH</v>
      </c>
      <c r="J406" s="2" t="str">
        <f>IFERROR(__xludf.DUMMYFUNCTION("""COMPUTED_VALUE"""),"Cùng ruột 3951")</f>
        <v>Cùng ruột 3951</v>
      </c>
      <c r="K406" s="2"/>
      <c r="L406" s="2" t="str">
        <f>IFERROR(__xludf.DUMMYFUNCTION("""COMPUTED_VALUE"""),"XỬ LÝ BTP LỖI")</f>
        <v>XỬ LÝ BTP LỖI</v>
      </c>
      <c r="M406" s="2" t="str">
        <f>IFERROR(__xludf.DUMMYFUNCTION("""COMPUTED_VALUE"""),"KALI SỮA")</f>
        <v>KALI SỮA</v>
      </c>
      <c r="N406" s="2" t="str">
        <f>IFERROR(__xludf.DUMMYFUNCTION("""COMPUTED_VALUE"""),"04VG0026V2-441225-1")</f>
        <v>04VG0026V2-441225-1</v>
      </c>
      <c r="O406" s="2" t="str">
        <f>IFERROR(__xludf.DUMMYFUNCTION("""COMPUTED_VALUE"""),"Phân bón Hỗn hợp NPK AGAMA-SRH")</f>
        <v>Phân bón Hỗn hợp NPK AGAMA-SRH</v>
      </c>
      <c r="P406" s="2" t="str">
        <f>IFERROR(__xludf.DUMMYFUNCTION("""COMPUTED_VALUE"""),"Phân bón HỖN HỢP NPK AGAMA-SRH")</f>
        <v>Phân bón HỖN HỢP NPK AGAMA-SRH</v>
      </c>
      <c r="Q406" s="30" t="str">
        <f>IFERROR(__xludf.DUMMYFUNCTION("""COMPUTED_VALUE"""),"KHỚP")</f>
        <v>KHỚP</v>
      </c>
      <c r="R406" s="2"/>
      <c r="S406" s="2"/>
      <c r="T406" s="2"/>
      <c r="U406" s="2"/>
      <c r="V406" s="2"/>
      <c r="W406" s="2"/>
      <c r="X406" s="2"/>
      <c r="Y406" s="2"/>
    </row>
    <row r="407">
      <c r="A407" s="30">
        <f>IFERROR(__xludf.DUMMYFUNCTION("""COMPUTED_VALUE"""),404.0)</f>
        <v>404</v>
      </c>
      <c r="B407" s="39">
        <f>IFERROR(__xludf.DUMMYFUNCTION("""COMPUTED_VALUE"""),46024.0)</f>
        <v>46024</v>
      </c>
      <c r="C407" s="30">
        <f>IFERROR(__xludf.DUMMYFUNCTION("""COMPUTED_VALUE"""),1.0)</f>
        <v>1</v>
      </c>
      <c r="D407" s="30" t="str">
        <f>IFERROR(__xludf.DUMMYFUNCTION("""COMPUTED_VALUE"""),"CT MỚI")</f>
        <v>CT MỚI</v>
      </c>
      <c r="E407" s="30"/>
      <c r="F407" s="2"/>
      <c r="G407" s="2" t="str">
        <f>IFERROR(__xludf.DUMMYFUNCTION("""COMPUTED_VALUE"""),"HH4529")</f>
        <v>HH4529</v>
      </c>
      <c r="H407" s="2" t="str">
        <f>IFERROR(__xludf.DUMMYFUNCTION("""COMPUTED_VALUE"""),"GC ABA - USA FARM - Hữu cơ SH Agro Organic Fertilizer 20 - ROOT 90 - 500ml - 40")</f>
        <v>GC ABA - USA FARM - Hữu cơ SH Agro Organic Fertilizer 20 - ROOT 90 - 500ml - 40</v>
      </c>
      <c r="I407" s="2" t="str">
        <f>IFERROR(__xludf.DUMMYFUNCTION("""COMPUTED_VALUE"""),"#N/A")</f>
        <v>#N/A</v>
      </c>
      <c r="J407" s="2" t="str">
        <f>IFERROR(__xludf.DUMMYFUNCTION("""COMPUTED_VALUE"""),"Cùng ruột 2050 cũ")</f>
        <v>Cùng ruột 2050 cũ</v>
      </c>
      <c r="K407" s="2"/>
      <c r="L407" s="2"/>
      <c r="M407" s="2" t="str">
        <f>IFERROR(__xludf.DUMMYFUNCTION("""COMPUTED_VALUE"""),"LEAF GROW ")</f>
        <v>LEAF GROW </v>
      </c>
      <c r="N407" s="2" t="str">
        <f>IFERROR(__xludf.DUMMYFUNCTION("""COMPUTED_VALUE"""),"01RR0023V2")</f>
        <v>01RR0023V2</v>
      </c>
      <c r="O407" s="2" t="str">
        <f>IFERROR(__xludf.DUMMYFUNCTION("""COMPUTED_VALUE"""),"Phân bón Hữu cơ SH Agro Organic Fertilizer 20")</f>
        <v>Phân bón Hữu cơ SH Agro Organic Fertilizer 20</v>
      </c>
      <c r="P407" s="2" t="str">
        <f>IFERROR(__xludf.DUMMYFUNCTION("""COMPUTED_VALUE"""),"#N/A")</f>
        <v>#N/A</v>
      </c>
      <c r="Q407" s="30" t="str">
        <f>IFERROR(__xludf.DUMMYFUNCTION("""COMPUTED_VALUE"""),"KHÔNG KHỚP")</f>
        <v>KHÔNG KHỚP</v>
      </c>
      <c r="R407" s="2"/>
      <c r="S407" s="2"/>
      <c r="T407" s="2"/>
      <c r="U407" s="2"/>
      <c r="V407" s="2"/>
      <c r="W407" s="2"/>
      <c r="X407" s="2"/>
      <c r="Y407" s="2"/>
    </row>
    <row r="408">
      <c r="A408" s="30">
        <f>IFERROR(__xludf.DUMMYFUNCTION("""COMPUTED_VALUE"""),405.0)</f>
        <v>405</v>
      </c>
      <c r="B408" s="39">
        <f>IFERROR(__xludf.DUMMYFUNCTION("""COMPUTED_VALUE"""),46024.0)</f>
        <v>46024</v>
      </c>
      <c r="C408" s="30">
        <f>IFERROR(__xludf.DUMMYFUNCTION("""COMPUTED_VALUE"""),1.0)</f>
        <v>1</v>
      </c>
      <c r="D408" s="30" t="str">
        <f>IFERROR(__xludf.DUMMYFUNCTION("""COMPUTED_VALUE"""),"CT MỚI")</f>
        <v>CT MỚI</v>
      </c>
      <c r="E408" s="30"/>
      <c r="F408" s="2"/>
      <c r="G408" s="2" t="str">
        <f>IFERROR(__xludf.DUMMYFUNCTION("""COMPUTED_VALUE"""),"HH4530")</f>
        <v>HH4530</v>
      </c>
      <c r="H408" s="2" t="str">
        <f>IFERROR(__xludf.DUMMYFUNCTION("""COMPUTED_VALUE"""),"GC ABA - USA FARM - Hữu cơ SH Agro Organic Fertilizer 20 - LEAF GROW - 500ml - 40")</f>
        <v>GC ABA - USA FARM - Hữu cơ SH Agro Organic Fertilizer 20 - LEAF GROW - 500ml - 40</v>
      </c>
      <c r="I408" s="2" t="str">
        <f>IFERROR(__xludf.DUMMYFUNCTION("""COMPUTED_VALUE"""),"#N/A")</f>
        <v>#N/A</v>
      </c>
      <c r="J408" s="2" t="str">
        <f>IFERROR(__xludf.DUMMYFUNCTION("""COMPUTED_VALUE"""),"Cùng ruột 2050 cũ")</f>
        <v>Cùng ruột 2050 cũ</v>
      </c>
      <c r="K408" s="2"/>
      <c r="L408" s="2"/>
      <c r="M408" s="2" t="str">
        <f>IFERROR(__xludf.DUMMYFUNCTION("""COMPUTED_VALUE"""),"LEAF GROW ")</f>
        <v>LEAF GROW </v>
      </c>
      <c r="N408" s="2" t="str">
        <f>IFERROR(__xludf.DUMMYFUNCTION("""COMPUTED_VALUE"""),"01RR0023V2")</f>
        <v>01RR0023V2</v>
      </c>
      <c r="O408" s="2" t="str">
        <f>IFERROR(__xludf.DUMMYFUNCTION("""COMPUTED_VALUE"""),"Phân bón Hữu cơ SH Agro Organic Fertilizer 20")</f>
        <v>Phân bón Hữu cơ SH Agro Organic Fertilizer 20</v>
      </c>
      <c r="P408" s="2" t="str">
        <f>IFERROR(__xludf.DUMMYFUNCTION("""COMPUTED_VALUE"""),"#N/A")</f>
        <v>#N/A</v>
      </c>
      <c r="Q408" s="30" t="str">
        <f>IFERROR(__xludf.DUMMYFUNCTION("""COMPUTED_VALUE"""),"KHÔNG KHỚP")</f>
        <v>KHÔNG KHỚP</v>
      </c>
      <c r="R408" s="2"/>
      <c r="S408" s="2"/>
      <c r="T408" s="2"/>
      <c r="U408" s="2"/>
      <c r="V408" s="2"/>
      <c r="W408" s="2"/>
      <c r="X408" s="2"/>
      <c r="Y408" s="2"/>
    </row>
    <row r="409">
      <c r="A409" s="30">
        <f>IFERROR(__xludf.DUMMYFUNCTION("""COMPUTED_VALUE"""),406.0)</f>
        <v>406</v>
      </c>
      <c r="B409" s="39">
        <f>IFERROR(__xludf.DUMMYFUNCTION("""COMPUTED_VALUE"""),45936.0)</f>
        <v>45936</v>
      </c>
      <c r="C409" s="30">
        <f>IFERROR(__xludf.DUMMYFUNCTION("""COMPUTED_VALUE"""),2.0)</f>
        <v>2</v>
      </c>
      <c r="D409" s="30" t="str">
        <f>IFERROR(__xludf.DUMMYFUNCTION("""COMPUTED_VALUE"""),"CT CŨ")</f>
        <v>CT CŨ</v>
      </c>
      <c r="E409" s="30"/>
      <c r="F409" s="2"/>
      <c r="G409" s="2" t="str">
        <f>IFERROR(__xludf.DUMMYFUNCTION("""COMPUTED_VALUE"""),"HH4191")</f>
        <v>HH4191</v>
      </c>
      <c r="H409" s="2" t="str">
        <f>IFERROR(__xludf.DUMMYFUNCTION("""COMPUTED_VALUE"""),"GC - IV - 4191 - Cty Sen Hồng - ROOT+ (Gel xanh dương) - 500ml - 40")</f>
        <v>GC - IV - 4191 - Cty Sen Hồng - ROOT+ (Gel xanh dương) - 500ml - 40</v>
      </c>
      <c r="I409" s="2" t="str">
        <f>IFERROR(__xludf.DUMMYFUNCTION("""COMPUTED_VALUE"""),"#N/A")</f>
        <v>#N/A</v>
      </c>
      <c r="J409" s="2" t="str">
        <f>IFERROR(__xludf.DUMMYFUNCTION("""COMPUTED_VALUE"""),"Cùng ruột 4044")</f>
        <v>Cùng ruột 4044</v>
      </c>
      <c r="K409" s="2"/>
      <c r="L409" s="2" t="str">
        <f>IFERROR(__xludf.DUMMYFUNCTION("""COMPUTED_VALUE"""),"L03110724")</f>
        <v>L03110724</v>
      </c>
      <c r="M409" s="2" t="str">
        <f>IFERROR(__xludf.DUMMYFUNCTION("""COMPUTED_VALUE"""),"ROOT+")</f>
        <v>ROOT+</v>
      </c>
      <c r="N409" s="2" t="str">
        <f>IFERROR(__xludf.DUMMYFUNCTION("""COMPUTED_VALUE"""),"01RR0039")</f>
        <v>01RR0039</v>
      </c>
      <c r="O409" s="2" t="str">
        <f>IFERROR(__xludf.DUMMYFUNCTION("""COMPUTED_VALUE"""),"Phân bón Vi lượng AGAMA-SUPPORT")</f>
        <v>Phân bón Vi lượng AGAMA-SUPPORT</v>
      </c>
      <c r="P409" s="2" t="str">
        <f>IFERROR(__xludf.DUMMYFUNCTION("""COMPUTED_VALUE"""),"#N/A")</f>
        <v>#N/A</v>
      </c>
      <c r="Q409" s="30" t="str">
        <f>IFERROR(__xludf.DUMMYFUNCTION("""COMPUTED_VALUE"""),"KHÔNG KHỚP")</f>
        <v>KHÔNG KHỚP</v>
      </c>
      <c r="R409" s="2"/>
      <c r="S409" s="2"/>
      <c r="T409" s="2"/>
      <c r="U409" s="2"/>
      <c r="V409" s="2"/>
      <c r="W409" s="2"/>
      <c r="X409" s="2"/>
      <c r="Y409" s="2"/>
    </row>
    <row r="410">
      <c r="A410" s="30">
        <f>IFERROR(__xludf.DUMMYFUNCTION("""COMPUTED_VALUE"""),407.0)</f>
        <v>407</v>
      </c>
      <c r="B410" s="39">
        <f>IFERROR(__xludf.DUMMYFUNCTION("""COMPUTED_VALUE"""),45896.0)</f>
        <v>45896</v>
      </c>
      <c r="C410" s="30">
        <f>IFERROR(__xludf.DUMMYFUNCTION("""COMPUTED_VALUE"""),1.0)</f>
        <v>1</v>
      </c>
      <c r="D410" s="30" t="str">
        <f>IFERROR(__xludf.DUMMYFUNCTION("""COMPUTED_VALUE"""),"CT CŨ")</f>
        <v>CT CŨ</v>
      </c>
      <c r="E410" s="30"/>
      <c r="F410" s="2"/>
      <c r="G410" s="2" t="str">
        <f>IFERROR(__xludf.DUMMYFUNCTION("""COMPUTED_VALUE"""),"HH4564")</f>
        <v>HH4564</v>
      </c>
      <c r="H410" s="2" t="str">
        <f>IFERROR(__xludf.DUMMYFUNCTION("""COMPUTED_VALUE"""),"GC - V - 4564 - CTY NEWTEX - CANXI BO KẼM T8 (Nước trắng sữa) - 1L - 20")</f>
        <v>GC - V - 4564 - CTY NEWTEX - CANXI BO KẼM T8 (Nước trắng sữa) - 1L - 20</v>
      </c>
      <c r="I410" s="2" t="str">
        <f>IFERROR(__xludf.DUMMYFUNCTION("""COMPUTED_VALUE"""),"#N/A")</f>
        <v>#N/A</v>
      </c>
      <c r="J410" s="2" t="str">
        <f>IFERROR(__xludf.DUMMYFUNCTION("""COMPUTED_VALUE"""),"A02160725")</f>
        <v>A02160725</v>
      </c>
      <c r="K410" s="2"/>
      <c r="L410" s="2" t="str">
        <f>IFERROR(__xludf.DUMMYFUNCTION("""COMPUTED_VALUE"""),"A02160725")</f>
        <v>A02160725</v>
      </c>
      <c r="M410" s="2" t="str">
        <f>IFERROR(__xludf.DUMMYFUNCTION("""COMPUTED_VALUE"""),"AGAMA-CANXI BO
(KIM NGỌC)")</f>
        <v>AGAMA-CANXI BO
(KIM NGỌC)</v>
      </c>
      <c r="N410" s="2" t="str">
        <f>IFERROR(__xludf.DUMMYFUNCTION("""COMPUTED_VALUE"""),"10CR0021")</f>
        <v>10CR0021</v>
      </c>
      <c r="O410" s="2" t="str">
        <f>IFERROR(__xludf.DUMMYFUNCTION("""COMPUTED_VALUE"""),"Phân bón Vi lượng AGAMA-CANXI BO")</f>
        <v>Phân bón Vi lượng AGAMA-CANXI BO</v>
      </c>
      <c r="P410" s="2" t="str">
        <f>IFERROR(__xludf.DUMMYFUNCTION("""COMPUTED_VALUE"""),"#N/A")</f>
        <v>#N/A</v>
      </c>
      <c r="Q410" s="30" t="str">
        <f>IFERROR(__xludf.DUMMYFUNCTION("""COMPUTED_VALUE"""),"KHÔNG KHỚP")</f>
        <v>KHÔNG KHỚP</v>
      </c>
      <c r="R410" s="2"/>
      <c r="S410" s="2"/>
      <c r="T410" s="2"/>
      <c r="U410" s="2"/>
      <c r="V410" s="2"/>
      <c r="W410" s="2"/>
      <c r="X410" s="2"/>
      <c r="Y410" s="2"/>
    </row>
    <row r="411">
      <c r="A411" s="30">
        <f>IFERROR(__xludf.DUMMYFUNCTION("""COMPUTED_VALUE"""),408.0)</f>
        <v>408</v>
      </c>
      <c r="B411" s="39">
        <f>IFERROR(__xludf.DUMMYFUNCTION("""COMPUTED_VALUE"""),45971.0)</f>
        <v>45971</v>
      </c>
      <c r="C411" s="30">
        <f>IFERROR(__xludf.DUMMYFUNCTION("""COMPUTED_VALUE"""),2.0)</f>
        <v>2</v>
      </c>
      <c r="D411" s="30" t="str">
        <f>IFERROR(__xludf.DUMMYFUNCTION("""COMPUTED_VALUE"""),"CT CŨ")</f>
        <v>CT CŨ</v>
      </c>
      <c r="E411" s="30"/>
      <c r="F411" s="2"/>
      <c r="G411" s="2" t="str">
        <f>IFERROR(__xludf.DUMMYFUNCTION("""COMPUTED_VALUE"""),"HH4323")</f>
        <v>HH4323</v>
      </c>
      <c r="H411" s="2" t="str">
        <f>IFERROR(__xludf.DUMMYFUNCTION("""COMPUTED_VALUE"""),"GC - V - 4323 - Cty Tiến Vinh - KẼM MAGIE TIVI (Gel xanh lá) - 500ml - 40")</f>
        <v>GC - V - 4323 - Cty Tiến Vinh - KẼM MAGIE TIVI (Gel xanh lá) - 500ml - 40</v>
      </c>
      <c r="I411" s="2" t="str">
        <f>IFERROR(__xludf.DUMMYFUNCTION("""COMPUTED_VALUE"""),"#N/A")</f>
        <v>#N/A</v>
      </c>
      <c r="J411" s="2" t="str">
        <f>IFERROR(__xludf.DUMMYFUNCTION("""COMPUTED_VALUE"""),"A04070825 cùng ruột 3988")</f>
        <v>A04070825 cùng ruột 3988</v>
      </c>
      <c r="K411" s="2"/>
      <c r="L411" s="2" t="str">
        <f>IFERROR(__xludf.DUMMYFUNCTION("""COMPUTED_VALUE"""),"A04070825")</f>
        <v>A04070825</v>
      </c>
      <c r="M411" s="2" t="str">
        <f>IFERROR(__xludf.DUMMYFUNCTION("""COMPUTED_VALUE"""),"Amino Magie Kẽm 02")</f>
        <v>Amino Magie Kẽm 02</v>
      </c>
      <c r="N411" s="2" t="str">
        <f>IFERROR(__xludf.DUMMYFUNCTION("""COMPUTED_VALUE"""),"23GS0004V1")</f>
        <v>23GS0004V1</v>
      </c>
      <c r="O411" s="2" t="str">
        <f>IFERROR(__xludf.DUMMYFUNCTION("""COMPUTED_VALUE"""),"Phân bón vi lượng Phú Sĩ FJ-09 Kẽm Mg")</f>
        <v>Phân bón vi lượng Phú Sĩ FJ-09 Kẽm Mg</v>
      </c>
      <c r="P411" s="2" t="str">
        <f>IFERROR(__xludf.DUMMYFUNCTION("""COMPUTED_VALUE"""),"#N/A")</f>
        <v>#N/A</v>
      </c>
      <c r="Q411" s="30" t="str">
        <f>IFERROR(__xludf.DUMMYFUNCTION("""COMPUTED_VALUE"""),"KHÔNG KHỚP")</f>
        <v>KHÔNG KHỚP</v>
      </c>
      <c r="R411" s="2"/>
      <c r="S411" s="2"/>
      <c r="T411" s="2"/>
      <c r="U411" s="2"/>
      <c r="V411" s="2"/>
      <c r="W411" s="2"/>
      <c r="X411" s="2"/>
      <c r="Y411" s="2"/>
    </row>
    <row r="412">
      <c r="A412" s="30">
        <f>IFERROR(__xludf.DUMMYFUNCTION("""COMPUTED_VALUE"""),409.0)</f>
        <v>409</v>
      </c>
      <c r="B412" s="39">
        <f>IFERROR(__xludf.DUMMYFUNCTION("""COMPUTED_VALUE"""),45971.0)</f>
        <v>45971</v>
      </c>
      <c r="C412" s="30">
        <f>IFERROR(__xludf.DUMMYFUNCTION("""COMPUTED_VALUE"""),2.0)</f>
        <v>2</v>
      </c>
      <c r="D412" s="30" t="str">
        <f>IFERROR(__xludf.DUMMYFUNCTION("""COMPUTED_VALUE"""),"CT CŨ")</f>
        <v>CT CŨ</v>
      </c>
      <c r="E412" s="30"/>
      <c r="F412" s="2"/>
      <c r="G412" s="2" t="str">
        <f>IFERROR(__xludf.DUMMYFUNCTION("""COMPUTED_VALUE"""),"HH4324")</f>
        <v>HH4324</v>
      </c>
      <c r="H412" s="2" t="str">
        <f>IFERROR(__xludf.DUMMYFUNCTION("""COMPUTED_VALUE"""),"GC - V - 4324 - CTY USAFARM - MAGIE-KẼM (Gel xanh lá) - 500ml - 40")</f>
        <v>GC - V - 4324 - CTY USAFARM - MAGIE-KẼM (Gel xanh lá) - 500ml - 40</v>
      </c>
      <c r="I412" s="2" t="str">
        <f>IFERROR(__xludf.DUMMYFUNCTION("""COMPUTED_VALUE"""),"#N/A")</f>
        <v>#N/A</v>
      </c>
      <c r="J412" s="2" t="str">
        <f>IFERROR(__xludf.DUMMYFUNCTION("""COMPUTED_VALUE"""),"A04070825 cùng ruột 3988")</f>
        <v>A04070825 cùng ruột 3988</v>
      </c>
      <c r="K412" s="2"/>
      <c r="L412" s="2" t="str">
        <f>IFERROR(__xludf.DUMMYFUNCTION("""COMPUTED_VALUE"""),"A04070825")</f>
        <v>A04070825</v>
      </c>
      <c r="M412" s="2" t="str">
        <f>IFERROR(__xludf.DUMMYFUNCTION("""COMPUTED_VALUE"""),"Amino Magie Kẽm 02")</f>
        <v>Amino Magie Kẽm 02</v>
      </c>
      <c r="N412" s="2" t="str">
        <f>IFERROR(__xludf.DUMMYFUNCTION("""COMPUTED_VALUE"""),"23GS0004V1")</f>
        <v>23GS0004V1</v>
      </c>
      <c r="O412" s="2" t="str">
        <f>IFERROR(__xludf.DUMMYFUNCTION("""COMPUTED_VALUE"""),"Phân bón vi lượng Phú Sĩ FJ-09 Kẽm Mg")</f>
        <v>Phân bón vi lượng Phú Sĩ FJ-09 Kẽm Mg</v>
      </c>
      <c r="P412" s="2" t="str">
        <f>IFERROR(__xludf.DUMMYFUNCTION("""COMPUTED_VALUE"""),"#N/A")</f>
        <v>#N/A</v>
      </c>
      <c r="Q412" s="30" t="str">
        <f>IFERROR(__xludf.DUMMYFUNCTION("""COMPUTED_VALUE"""),"KHÔNG KHỚP")</f>
        <v>KHÔNG KHỚP</v>
      </c>
      <c r="R412" s="2"/>
      <c r="S412" s="2"/>
      <c r="T412" s="2"/>
      <c r="U412" s="2"/>
      <c r="V412" s="2"/>
      <c r="W412" s="2"/>
      <c r="X412" s="2"/>
      <c r="Y412" s="2"/>
    </row>
    <row r="413">
      <c r="A413" s="30">
        <f>IFERROR(__xludf.DUMMYFUNCTION("""COMPUTED_VALUE"""),410.0)</f>
        <v>410</v>
      </c>
      <c r="B413" s="39">
        <f>IFERROR(__xludf.DUMMYFUNCTION("""COMPUTED_VALUE"""),46013.0)</f>
        <v>46013</v>
      </c>
      <c r="C413" s="30">
        <f>IFERROR(__xludf.DUMMYFUNCTION("""COMPUTED_VALUE"""),1.0)</f>
        <v>1</v>
      </c>
      <c r="D413" s="30" t="str">
        <f>IFERROR(__xludf.DUMMYFUNCTION("""COMPUTED_VALUE"""),"CT MỚI")</f>
        <v>CT MỚI</v>
      </c>
      <c r="E413" s="30"/>
      <c r="F413" s="2"/>
      <c r="G413" s="2" t="str">
        <f>IFERROR(__xludf.DUMMYFUNCTION("""COMPUTED_VALUE"""),"HH4534")</f>
        <v>HH4534</v>
      </c>
      <c r="H413" s="2" t="str">
        <f>IFERROR(__xludf.DUMMYFUNCTION("""COMPUTED_VALUE"""),"GC - V - 4534 - CSSX An Khang (A.Dinh) - TAK06 (Gel nâu đen) - 20L - 1")</f>
        <v>GC - V - 4534 - CSSX An Khang (A.Dinh) - TAK06 (Gel nâu đen) - 20L - 1</v>
      </c>
      <c r="I413" s="39" t="str">
        <f>IFERROR(__xludf.DUMMYFUNCTION("""COMPUTED_VALUE"""),"Vi lượng Run Fast")</f>
        <v>Vi lượng Run Fast</v>
      </c>
      <c r="J413" s="2" t="str">
        <f>IFERROR(__xludf.DUMMYFUNCTION("""COMPUTED_VALUE"""),"A01091225")</f>
        <v>A01091225</v>
      </c>
      <c r="K413" s="2"/>
      <c r="L413" s="2" t="str">
        <f>IFERROR(__xludf.DUMMYFUNCTION("""COMPUTED_VALUE"""),"A01091225")</f>
        <v>A01091225</v>
      </c>
      <c r="M413" s="2" t="str">
        <f>IFERROR(__xludf.DUMMYFUNCTION("""COMPUTED_VALUE"""),"TAK06 CẢI TIẾN ")</f>
        <v>TAK06 CẢI TIẾN </v>
      </c>
      <c r="N413" s="2" t="str">
        <f>IFERROR(__xludf.DUMMYFUNCTION("""COMPUTED_VALUE"""),"19DD0014V3")</f>
        <v>19DD0014V3</v>
      </c>
      <c r="O413" s="2" t="str">
        <f>IFERROR(__xludf.DUMMYFUNCTION("""COMPUTED_VALUE"""),"Phân bón Vi lượng Run Fast")</f>
        <v>Phân bón Vi lượng Run Fast</v>
      </c>
      <c r="P413" s="2" t="str">
        <f>IFERROR(__xludf.DUMMYFUNCTION("""COMPUTED_VALUE"""),"Phân bón Vi lượng Run Fast")</f>
        <v>Phân bón Vi lượng Run Fast</v>
      </c>
      <c r="Q413" s="30" t="str">
        <f>IFERROR(__xludf.DUMMYFUNCTION("""COMPUTED_VALUE"""),"KHỚP")</f>
        <v>KHỚP</v>
      </c>
      <c r="R413" s="2"/>
      <c r="S413" s="2"/>
      <c r="T413" s="2"/>
      <c r="U413" s="2"/>
      <c r="V413" s="2"/>
      <c r="W413" s="2"/>
      <c r="X413" s="2"/>
      <c r="Y413" s="2"/>
    </row>
    <row r="414">
      <c r="A414" s="30">
        <f>IFERROR(__xludf.DUMMYFUNCTION("""COMPUTED_VALUE"""),411.0)</f>
        <v>411</v>
      </c>
      <c r="B414" s="39">
        <f>IFERROR(__xludf.DUMMYFUNCTION("""COMPUTED_VALUE"""),46001.0)</f>
        <v>46001</v>
      </c>
      <c r="C414" s="30">
        <f>IFERROR(__xludf.DUMMYFUNCTION("""COMPUTED_VALUE"""),4.0)</f>
        <v>4</v>
      </c>
      <c r="D414" s="30" t="str">
        <f>IFERROR(__xludf.DUMMYFUNCTION("""COMPUTED_VALUE"""),"CT CŨ")</f>
        <v>CT CŨ</v>
      </c>
      <c r="E414" s="30"/>
      <c r="F414" s="2"/>
      <c r="G414" s="2" t="str">
        <f>IFERROR(__xludf.DUMMYFUNCTION("""COMPUTED_VALUE"""),"HH4455")</f>
        <v>HH4455</v>
      </c>
      <c r="H414" s="2" t="str">
        <f>IFERROR(__xludf.DUMMYFUNCTION("""COMPUTED_VALUE"""),"IDA Global - I - 4455 - CỨNG CÂY 304 (Nước nâu đen) - 500ml - 40")</f>
        <v>IDA Global - I - 4455 - CỨNG CÂY 304 (Nước nâu đen) - 500ml - 40</v>
      </c>
      <c r="I414" s="39" t="str">
        <f>IFERROR(__xludf.DUMMYFUNCTION("""COMPUTED_VALUE"""),"Hữu cơ SH Agro Organic Fertilizer 20")</f>
        <v>Hữu cơ SH Agro Organic Fertilizer 20</v>
      </c>
      <c r="J414" s="2" t="str">
        <f>IFERROR(__xludf.DUMMYFUNCTION("""COMPUTED_VALUE"""),"Đóng theo đơn gần nhất")</f>
        <v>Đóng theo đơn gần nhất</v>
      </c>
      <c r="K414" s="2"/>
      <c r="L414" s="2" t="str">
        <f>IFERROR(__xludf.DUMMYFUNCTION("""COMPUTED_VALUE"""),"L01261124")</f>
        <v>L01261124</v>
      </c>
      <c r="M414" s="2" t="str">
        <f>IFERROR(__xludf.DUMMYFUNCTION("""COMPUTED_VALUE"""),"CỨNG CÂY 304")</f>
        <v>CỨNG CÂY 304</v>
      </c>
      <c r="N414" s="2" t="str">
        <f>IFERROR(__xludf.DUMMYFUNCTION("""COMPUTED_VALUE"""),"02CC0002V3")</f>
        <v>02CC0002V3</v>
      </c>
      <c r="O414" s="2" t="str">
        <f>IFERROR(__xludf.DUMMYFUNCTION("""COMPUTED_VALUE"""),"Phân bón Hữu cơ SH Agro Organic Fertilizer 20")</f>
        <v>Phân bón Hữu cơ SH Agro Organic Fertilizer 20</v>
      </c>
      <c r="P414" s="2" t="str">
        <f>IFERROR(__xludf.DUMMYFUNCTION("""COMPUTED_VALUE"""),"Phân bón Hữu cơ SH Agro Organic Fertilizer 20")</f>
        <v>Phân bón Hữu cơ SH Agro Organic Fertilizer 20</v>
      </c>
      <c r="Q414" s="30" t="str">
        <f>IFERROR(__xludf.DUMMYFUNCTION("""COMPUTED_VALUE"""),"KHỚP")</f>
        <v>KHỚP</v>
      </c>
      <c r="R414" s="2"/>
      <c r="S414" s="2"/>
      <c r="T414" s="2"/>
      <c r="U414" s="2"/>
      <c r="V414" s="2"/>
      <c r="W414" s="2"/>
      <c r="X414" s="2"/>
      <c r="Y414" s="2"/>
    </row>
    <row r="415">
      <c r="A415" s="30">
        <f>IFERROR(__xludf.DUMMYFUNCTION("""COMPUTED_VALUE"""),412.0)</f>
        <v>412</v>
      </c>
      <c r="B415" s="39">
        <f>IFERROR(__xludf.DUMMYFUNCTION("""COMPUTED_VALUE"""),45946.0)</f>
        <v>45946</v>
      </c>
      <c r="C415" s="30">
        <f>IFERROR(__xludf.DUMMYFUNCTION("""COMPUTED_VALUE"""),2.0)</f>
        <v>2</v>
      </c>
      <c r="D415" s="30" t="str">
        <f>IFERROR(__xludf.DUMMYFUNCTION("""COMPUTED_VALUE"""),"CT CŨ")</f>
        <v>CT CŨ</v>
      </c>
      <c r="E415" s="30"/>
      <c r="F415" s="2"/>
      <c r="G415" s="2" t="str">
        <f>IFERROR(__xludf.DUMMYFUNCTION("""COMPUTED_VALUE"""),"HH4470")</f>
        <v>HH4470</v>
      </c>
      <c r="H415" s="2" t="str">
        <f>IFERROR(__xludf.DUMMYFUNCTION("""COMPUTED_VALUE"""),"GC - IV - 4470 - CTY R3 - R3 TANK  (Nước nâu vàng) - 300ml - 40")</f>
        <v>GC - IV - 4470 - CTY R3 - R3 TANK  (Nước nâu vàng) - 300ml - 40</v>
      </c>
      <c r="I415" s="39" t="str">
        <f>IFERROR(__xludf.DUMMYFUNCTION("""COMPUTED_VALUE"""),"vi lượng G.A 05")</f>
        <v>vi lượng G.A 05</v>
      </c>
      <c r="J415" s="2" t="str">
        <f>IFERROR(__xludf.DUMMYFUNCTION("""COMPUTED_VALUE"""),"A01200825
Cùng ruột 4231")</f>
        <v>A01200825
Cùng ruột 4231</v>
      </c>
      <c r="K415" s="2"/>
      <c r="L415" s="2" t="str">
        <f>IFERROR(__xludf.DUMMYFUNCTION("""COMPUTED_VALUE"""),"A01200825.")</f>
        <v>A01200825.</v>
      </c>
      <c r="M415" s="2" t="str">
        <f>IFERROR(__xludf.DUMMYFUNCTION("""COMPUTED_VALUE"""),"CỨNG CÂY 01 ")</f>
        <v>CỨNG CÂY 01 </v>
      </c>
      <c r="N415" s="2" t="str">
        <f>IFERROR(__xludf.DUMMYFUNCTION("""COMPUTED_VALUE"""),"02CC0012")</f>
        <v>02CC0012</v>
      </c>
      <c r="O415" s="2" t="str">
        <f>IFERROR(__xludf.DUMMYFUNCTION("""COMPUTED_VALUE"""),"Phân bón vi lượng G.A 05")</f>
        <v>Phân bón vi lượng G.A 05</v>
      </c>
      <c r="P415" s="2" t="str">
        <f>IFERROR(__xludf.DUMMYFUNCTION("""COMPUTED_VALUE"""),"Phân bón vi lượng G.A 05")</f>
        <v>Phân bón vi lượng G.A 05</v>
      </c>
      <c r="Q415" s="30" t="str">
        <f>IFERROR(__xludf.DUMMYFUNCTION("""COMPUTED_VALUE"""),"KHỚP")</f>
        <v>KHỚP</v>
      </c>
      <c r="R415" s="2"/>
      <c r="S415" s="2"/>
      <c r="T415" s="2"/>
      <c r="U415" s="2"/>
      <c r="V415" s="2"/>
      <c r="W415" s="2"/>
      <c r="X415" s="2"/>
      <c r="Y415" s="2"/>
    </row>
    <row r="416">
      <c r="A416" s="30">
        <f>IFERROR(__xludf.DUMMYFUNCTION("""COMPUTED_VALUE"""),413.0)</f>
        <v>413</v>
      </c>
      <c r="B416" s="39">
        <f>IFERROR(__xludf.DUMMYFUNCTION("""COMPUTED_VALUE"""),45908.0)</f>
        <v>45908</v>
      </c>
      <c r="C416" s="30">
        <f>IFERROR(__xludf.DUMMYFUNCTION("""COMPUTED_VALUE"""),1.0)</f>
        <v>1</v>
      </c>
      <c r="D416" s="30" t="str">
        <f>IFERROR(__xludf.DUMMYFUNCTION("""COMPUTED_VALUE"""),"CT CŨ")</f>
        <v>CT CŨ</v>
      </c>
      <c r="E416" s="30"/>
      <c r="F416" s="2"/>
      <c r="G416" s="2" t="str">
        <f>IFERROR(__xludf.DUMMYFUNCTION("""COMPUTED_VALUE"""),"HH4473")</f>
        <v>HH4473</v>
      </c>
      <c r="H416" s="2" t="str">
        <f>IFERROR(__xludf.DUMMYFUNCTION("""COMPUTED_VALUE"""),"GC - IV - 4473 - CTY R3 - R3 ROOT+  (Nước nâu đen) - 300ml - 40")</f>
        <v>GC - IV - 4473 - CTY R3 - R3 ROOT+  (Nước nâu đen) - 300ml - 40</v>
      </c>
      <c r="I416" s="39" t="str">
        <f>IFERROR(__xludf.DUMMYFUNCTION("""COMPUTED_VALUE"""),"Hỗn Hợp NP AGAMA-AP")</f>
        <v>Hỗn Hợp NP AGAMA-AP</v>
      </c>
      <c r="J416" s="2" t="str">
        <f>IFERROR(__xludf.DUMMYFUNCTION("""COMPUTED_VALUE"""),"A20280225")</f>
        <v>A20280225</v>
      </c>
      <c r="K416" s="2"/>
      <c r="L416" s="2" t="str">
        <f>IFERROR(__xludf.DUMMYFUNCTION("""COMPUTED_VALUE"""),"A20280225")</f>
        <v>A20280225</v>
      </c>
      <c r="M416" s="2" t="str">
        <f>IFERROR(__xludf.DUMMYFUNCTION("""COMPUTED_VALUE"""),"BETA VUA RỄ")</f>
        <v>BETA VUA RỄ</v>
      </c>
      <c r="N416" s="2" t="str">
        <f>IFERROR(__xludf.DUMMYFUNCTION("""COMPUTED_VALUE"""),"01RR0050")</f>
        <v>01RR0050</v>
      </c>
      <c r="O416" s="2" t="str">
        <f>IFERROR(__xludf.DUMMYFUNCTION("""COMPUTED_VALUE"""),"Phân bón Hỗn hợp NP AGAMA-AP")</f>
        <v>Phân bón Hỗn hợp NP AGAMA-AP</v>
      </c>
      <c r="P416" s="2" t="str">
        <f>IFERROR(__xludf.DUMMYFUNCTION("""COMPUTED_VALUE"""),"Phân bón Hỗn Hợp NP AGAMA-AP")</f>
        <v>Phân bón Hỗn Hợp NP AGAMA-AP</v>
      </c>
      <c r="Q416" s="30" t="str">
        <f>IFERROR(__xludf.DUMMYFUNCTION("""COMPUTED_VALUE"""),"KHỚP")</f>
        <v>KHỚP</v>
      </c>
      <c r="R416" s="2"/>
      <c r="S416" s="2"/>
      <c r="T416" s="2"/>
      <c r="U416" s="2"/>
      <c r="V416" s="2"/>
      <c r="W416" s="2"/>
      <c r="X416" s="2"/>
      <c r="Y416" s="2"/>
    </row>
    <row r="417">
      <c r="A417" s="30">
        <f>IFERROR(__xludf.DUMMYFUNCTION("""COMPUTED_VALUE"""),414.0)</f>
        <v>414</v>
      </c>
      <c r="B417" s="39">
        <f>IFERROR(__xludf.DUMMYFUNCTION("""COMPUTED_VALUE"""),46032.0)</f>
        <v>46032</v>
      </c>
      <c r="C417" s="30">
        <f>IFERROR(__xludf.DUMMYFUNCTION("""COMPUTED_VALUE"""),1.0)</f>
        <v>1</v>
      </c>
      <c r="D417" s="30" t="str">
        <f>IFERROR(__xludf.DUMMYFUNCTION("""COMPUTED_VALUE"""),"CT MỚI")</f>
        <v>CT MỚI</v>
      </c>
      <c r="E417" s="30"/>
      <c r="F417" s="2"/>
      <c r="G417" s="2" t="str">
        <f>IFERROR(__xludf.DUMMYFUNCTION("""COMPUTED_VALUE"""),"HH4537")</f>
        <v>HH4537</v>
      </c>
      <c r="H417" s="2" t="str">
        <f>IFERROR(__xludf.DUMMYFUNCTION("""COMPUTED_VALUE"""),"GC - V - 4537 - TAGO - ĐÒNG TO VÔ GẠO (Gel màu tím) - 300ml - 40")</f>
        <v>GC - V - 4537 - TAGO - ĐÒNG TO VÔ GẠO (Gel màu tím) - 300ml - 40</v>
      </c>
      <c r="I417" s="2" t="str">
        <f>IFERROR(__xludf.DUMMYFUNCTION("""COMPUTED_VALUE"""),"#N/A")</f>
        <v>#N/A</v>
      </c>
      <c r="J417" s="2" t="str">
        <f>IFERROR(__xludf.DUMMYFUNCTION("""COMPUTED_VALUE""")," A01181025")</f>
        <v> A01181025</v>
      </c>
      <c r="K417" s="2"/>
      <c r="L417" s="2" t="str">
        <f>IFERROR(__xludf.DUMMYFUNCTION("""COMPUTED_VALUE"""),"A01181025")</f>
        <v>A01181025</v>
      </c>
      <c r="M417" s="2" t="str">
        <f>IFERROR(__xludf.DUMMYFUNCTION("""COMPUTED_VALUE"""),"VÔ GẠO 5 - 18 (3)")</f>
        <v>VÔ GẠO 5 - 18 (3)</v>
      </c>
      <c r="N417" s="2" t="str">
        <f>IFERROR(__xludf.DUMMYFUNCTION("""COMPUTED_VALUE"""),"04VG0047V1")</f>
        <v>04VG0047V1</v>
      </c>
      <c r="O417" s="2" t="str">
        <f>IFERROR(__xludf.DUMMYFUNCTION("""COMPUTED_VALUE"""),"Phân bón lá PK-Vi lượng SV 5-18")</f>
        <v>Phân bón lá PK-Vi lượng SV 5-18</v>
      </c>
      <c r="P417" s="2" t="str">
        <f>IFERROR(__xludf.DUMMYFUNCTION("""COMPUTED_VALUE"""),"#N/A")</f>
        <v>#N/A</v>
      </c>
      <c r="Q417" s="30" t="str">
        <f>IFERROR(__xludf.DUMMYFUNCTION("""COMPUTED_VALUE"""),"KHÔNG KHỚP")</f>
        <v>KHÔNG KHỚP</v>
      </c>
      <c r="R417" s="2"/>
      <c r="S417" s="2"/>
      <c r="T417" s="2"/>
      <c r="U417" s="2"/>
      <c r="V417" s="2"/>
      <c r="W417" s="2"/>
      <c r="X417" s="2"/>
      <c r="Y417" s="2"/>
    </row>
    <row r="418">
      <c r="A418" s="30">
        <f>IFERROR(__xludf.DUMMYFUNCTION("""COMPUTED_VALUE"""),415.0)</f>
        <v>415</v>
      </c>
      <c r="B418" s="39">
        <f>IFERROR(__xludf.DUMMYFUNCTION("""COMPUTED_VALUE"""),45993.0)</f>
        <v>45993</v>
      </c>
      <c r="C418" s="30">
        <f>IFERROR(__xludf.DUMMYFUNCTION("""COMPUTED_VALUE"""),1.0)</f>
        <v>1</v>
      </c>
      <c r="D418" s="30" t="str">
        <f>IFERROR(__xludf.DUMMYFUNCTION("""COMPUTED_VALUE"""),"CT CŨ")</f>
        <v>CT CŨ</v>
      </c>
      <c r="E418" s="30"/>
      <c r="F418" s="2"/>
      <c r="G418" s="2" t="str">
        <f>IFERROR(__xludf.DUMMYFUNCTION("""COMPUTED_VALUE"""),"HH4596")</f>
        <v>HH4596</v>
      </c>
      <c r="H418" s="2" t="str">
        <f>IFERROR(__xludf.DUMMYFUNCTION("""COMPUTED_VALUE"""),"IDA GLOBAL - Hữu cơ SH Agro Organic Fertilizer 20 - IDA ORGANIC X2 - 5L - 4")</f>
        <v>IDA GLOBAL - Hữu cơ SH Agro Organic Fertilizer 20 - IDA ORGANIC X2 - 5L - 4</v>
      </c>
      <c r="I418" s="2" t="str">
        <f>IFERROR(__xludf.DUMMYFUNCTION("""COMPUTED_VALUE"""),"#N/A")</f>
        <v>#N/A</v>
      </c>
      <c r="J418" s="2"/>
      <c r="K418" s="2"/>
      <c r="L418" s="2"/>
      <c r="M418" s="2" t="str">
        <f>IFERROR(__xludf.DUMMYFUNCTION("""COMPUTED_VALUE"""),"ORGANIC X2")</f>
        <v>ORGANIC X2</v>
      </c>
      <c r="N418" s="2" t="str">
        <f>IFERROR(__xludf.DUMMYFUNCTION("""COMPUTED_VALUE"""),"01RR0044V3")</f>
        <v>01RR0044V3</v>
      </c>
      <c r="O418" s="2" t="str">
        <f>IFERROR(__xludf.DUMMYFUNCTION("""COMPUTED_VALUE"""),"Phân bón Hữu cơ SH Agro Organic Fertilizer 20")</f>
        <v>Phân bón Hữu cơ SH Agro Organic Fertilizer 20</v>
      </c>
      <c r="P418" s="2" t="str">
        <f>IFERROR(__xludf.DUMMYFUNCTION("""COMPUTED_VALUE"""),"#N/A")</f>
        <v>#N/A</v>
      </c>
      <c r="Q418" s="30" t="str">
        <f>IFERROR(__xludf.DUMMYFUNCTION("""COMPUTED_VALUE"""),"KHÔNG KHỚP")</f>
        <v>KHÔNG KHỚP</v>
      </c>
      <c r="R418" s="2"/>
      <c r="S418" s="2"/>
      <c r="T418" s="2"/>
      <c r="U418" s="2"/>
      <c r="V418" s="2"/>
      <c r="W418" s="2"/>
      <c r="X418" s="2"/>
      <c r="Y418" s="2"/>
    </row>
    <row r="419">
      <c r="A419" s="30">
        <f>IFERROR(__xludf.DUMMYFUNCTION("""COMPUTED_VALUE"""),416.0)</f>
        <v>416</v>
      </c>
      <c r="B419" s="39">
        <f>IFERROR(__xludf.DUMMYFUNCTION("""COMPUTED_VALUE"""),46017.0)</f>
        <v>46017</v>
      </c>
      <c r="C419" s="30">
        <f>IFERROR(__xludf.DUMMYFUNCTION("""COMPUTED_VALUE"""),1.0)</f>
        <v>1</v>
      </c>
      <c r="D419" s="30" t="str">
        <f>IFERROR(__xludf.DUMMYFUNCTION("""COMPUTED_VALUE"""),"CT XỬ LÝ LỖI")</f>
        <v>CT XỬ LÝ LỖI</v>
      </c>
      <c r="E419" s="30"/>
      <c r="F419" s="2"/>
      <c r="G419" s="2" t="str">
        <f>IFERROR(__xludf.DUMMYFUNCTION("""COMPUTED_VALUE"""),"HH4579")</f>
        <v>HH4579</v>
      </c>
      <c r="H419" s="2" t="str">
        <f>IFERROR(__xludf.DUMMYFUNCTION("""COMPUTED_VALUE"""),"GC - V - 4579 - CTY HÓA NÔNG SHINO - BOOM GOLD (Nước trắng sữa) - 500ml - 30")</f>
        <v>GC - V - 4579 - CTY HÓA NÔNG SHINO - BOOM GOLD (Nước trắng sữa) - 500ml - 30</v>
      </c>
      <c r="I419" s="2" t="str">
        <f>IFERROR(__xludf.DUMMYFUNCTION("""COMPUTED_VALUE"""),"#N/A")</f>
        <v>#N/A</v>
      </c>
      <c r="J419" s="2" t="str">
        <f>IFERROR(__xludf.DUMMYFUNCTION("""COMPUTED_VALUE"""),"A02160725")</f>
        <v>A02160725</v>
      </c>
      <c r="K419" s="2"/>
      <c r="L419" s="2" t="str">
        <f>IFERROR(__xludf.DUMMYFUNCTION("""COMPUTED_VALUE"""),"XỬ LÝ BTP LỖI")</f>
        <v>XỬ LÝ BTP LỖI</v>
      </c>
      <c r="M419" s="2" t="str">
        <f>IFERROR(__xludf.DUMMYFUNCTION("""COMPUTED_VALUE"""),"CANXI BO BIO PLUS")</f>
        <v>CANXI BO BIO PLUS</v>
      </c>
      <c r="N419" s="2" t="str">
        <f>IFERROR(__xludf.DUMMYFUNCTION("""COMPUTED_VALUE"""),"10CR0021-411225-1")</f>
        <v>10CR0021-411225-1</v>
      </c>
      <c r="O419" s="2" t="str">
        <f>IFERROR(__xludf.DUMMYFUNCTION("""COMPUTED_VALUE"""),"Phân bón Vi lượng AGAMA-CANXI BO")</f>
        <v>Phân bón Vi lượng AGAMA-CANXI BO</v>
      </c>
      <c r="P419" s="2" t="str">
        <f>IFERROR(__xludf.DUMMYFUNCTION("""COMPUTED_VALUE"""),"#N/A")</f>
        <v>#N/A</v>
      </c>
      <c r="Q419" s="30" t="str">
        <f>IFERROR(__xludf.DUMMYFUNCTION("""COMPUTED_VALUE"""),"KHÔNG KHỚP")</f>
        <v>KHÔNG KHỚP</v>
      </c>
      <c r="R419" s="2"/>
      <c r="S419" s="2"/>
      <c r="T419" s="2"/>
      <c r="U419" s="2"/>
      <c r="V419" s="2"/>
      <c r="W419" s="2"/>
      <c r="X419" s="2"/>
      <c r="Y419" s="2"/>
    </row>
    <row r="420">
      <c r="A420" s="30">
        <f>IFERROR(__xludf.DUMMYFUNCTION("""COMPUTED_VALUE"""),417.0)</f>
        <v>417</v>
      </c>
      <c r="B420" s="39">
        <f>IFERROR(__xludf.DUMMYFUNCTION("""COMPUTED_VALUE"""),45940.0)</f>
        <v>45940</v>
      </c>
      <c r="C420" s="30">
        <f>IFERROR(__xludf.DUMMYFUNCTION("""COMPUTED_VALUE"""),5.0)</f>
        <v>5</v>
      </c>
      <c r="D420" s="30" t="str">
        <f>IFERROR(__xludf.DUMMYFUNCTION("""COMPUTED_VALUE"""),"CT CŨ")</f>
        <v>CT CŨ</v>
      </c>
      <c r="E420" s="30"/>
      <c r="F420" s="2"/>
      <c r="G420" s="2" t="str">
        <f>IFERROR(__xludf.DUMMYFUNCTION("""COMPUTED_VALUE"""),"HH4442")</f>
        <v>HH4442</v>
      </c>
      <c r="H420" s="2" t="str">
        <f>IFERROR(__xludf.DUMMYFUNCTION("""COMPUTED_VALUE"""),"GC - IX - 4442 - N2SBIO - N2 MG ZN-70 (Nước xanh lá) - 500ml - 40")</f>
        <v>GC - IX - 4442 - N2SBIO - N2 MG ZN-70 (Nước xanh lá) - 500ml - 40</v>
      </c>
      <c r="I420" s="39" t="str">
        <f>IFERROR(__xludf.DUMMYFUNCTION("""COMPUTED_VALUE"""),"vi lượng Phú Sĩ FJ-09 Kẽm Mg")</f>
        <v>vi lượng Phú Sĩ FJ-09 Kẽm Mg</v>
      </c>
      <c r="J420" s="2" t="str">
        <f>IFERROR(__xludf.DUMMYFUNCTION("""COMPUTED_VALUE"""),"N01080825")</f>
        <v>N01080825</v>
      </c>
      <c r="K420" s="2"/>
      <c r="L420" s="2" t="str">
        <f>IFERROR(__xludf.DUMMYFUNCTION("""COMPUTED_VALUE"""),"N01080825")</f>
        <v>N01080825</v>
      </c>
      <c r="M420" s="2" t="str">
        <f>IFERROR(__xludf.DUMMYFUNCTION("""COMPUTED_VALUE"""),"N2 MgZn-52")</f>
        <v>N2 MgZn-52</v>
      </c>
      <c r="N420" s="2" t="str">
        <f>IFERROR(__xludf.DUMMYFUNCTION("""COMPUTED_VALUE"""),"23GS0002V1")</f>
        <v>23GS0002V1</v>
      </c>
      <c r="O420" s="2" t="str">
        <f>IFERROR(__xludf.DUMMYFUNCTION("""COMPUTED_VALUE"""),"Phân bón vi lượng Phú Sĩ FJ-09 Kẽm Mg")</f>
        <v>Phân bón vi lượng Phú Sĩ FJ-09 Kẽm Mg</v>
      </c>
      <c r="P420" s="2" t="str">
        <f>IFERROR(__xludf.DUMMYFUNCTION("""COMPUTED_VALUE"""),"Phân bón vi lượng Phú Sĩ FJ-09 Kẽm Mg")</f>
        <v>Phân bón vi lượng Phú Sĩ FJ-09 Kẽm Mg</v>
      </c>
      <c r="Q420" s="30" t="str">
        <f>IFERROR(__xludf.DUMMYFUNCTION("""COMPUTED_VALUE"""),"KHỚP")</f>
        <v>KHỚP</v>
      </c>
      <c r="R420" s="2"/>
      <c r="S420" s="2"/>
      <c r="T420" s="2"/>
      <c r="U420" s="2"/>
      <c r="V420" s="2"/>
      <c r="W420" s="2"/>
      <c r="X420" s="2"/>
      <c r="Y420" s="2"/>
    </row>
    <row r="421">
      <c r="A421" s="30">
        <f>IFERROR(__xludf.DUMMYFUNCTION("""COMPUTED_VALUE"""),418.0)</f>
        <v>418</v>
      </c>
      <c r="B421" s="39">
        <f>IFERROR(__xludf.DUMMYFUNCTION("""COMPUTED_VALUE"""),45662.0)</f>
        <v>45662</v>
      </c>
      <c r="C421" s="30">
        <f>IFERROR(__xludf.DUMMYFUNCTION("""COMPUTED_VALUE"""),3.0)</f>
        <v>3</v>
      </c>
      <c r="D421" s="30" t="str">
        <f>IFERROR(__xludf.DUMMYFUNCTION("""COMPUTED_VALUE"""),"CT MỚI")</f>
        <v>CT MỚI</v>
      </c>
      <c r="E421" s="30"/>
      <c r="F421" s="2"/>
      <c r="G421" s="2" t="str">
        <f>IFERROR(__xludf.DUMMYFUNCTION("""COMPUTED_VALUE"""),"HH4058")</f>
        <v>HH4058</v>
      </c>
      <c r="H421" s="2" t="str">
        <f>IFERROR(__xludf.DUMMYFUNCTION("""COMPUTED_VALUE"""),"GC - IX - 4058 - N2SBIO -  SIÊU BO SỮA (Dạng SC - Trắng sữa) - 250ml - 40")</f>
        <v>GC - IX - 4058 - N2SBIO -  SIÊU BO SỮA (Dạng SC - Trắng sữa) - 250ml - 40</v>
      </c>
      <c r="I421" s="2" t="str">
        <f>IFERROR(__xludf.DUMMYFUNCTION("""COMPUTED_VALUE"""),"#N/A")</f>
        <v>#N/A</v>
      </c>
      <c r="J421" s="2" t="str">
        <f>IFERROR(__xludf.DUMMYFUNCTION("""COMPUTED_VALUE"""),"N01190825")</f>
        <v>N01190825</v>
      </c>
      <c r="K421" s="2"/>
      <c r="L421" s="2" t="str">
        <f>IFERROR(__xludf.DUMMYFUNCTION("""COMPUTED_VALUE"""),"N01190825")</f>
        <v>N01190825</v>
      </c>
      <c r="M421" s="2" t="str">
        <f>IFERROR(__xludf.DUMMYFUNCTION("""COMPUTED_VALUE"""),"N2 BO 150 
SIÊU BO SỮA ")</f>
        <v>N2 BO 150 
SIÊU BO SỮA </v>
      </c>
      <c r="N421" s="2" t="str">
        <f>IFERROR(__xludf.DUMMYFUNCTION("""COMPUTED_VALUE"""),"10CR0027V2")</f>
        <v>10CR0027V2</v>
      </c>
      <c r="O421" s="2" t="str">
        <f>IFERROR(__xludf.DUMMYFUNCTION("""COMPUTED_VALUE"""),"Phân bón lá Vi lượng NBC-BO.15")</f>
        <v>Phân bón lá Vi lượng NBC-BO.15</v>
      </c>
      <c r="P421" s="2" t="str">
        <f>IFERROR(__xludf.DUMMYFUNCTION("""COMPUTED_VALUE"""),"#N/A")</f>
        <v>#N/A</v>
      </c>
      <c r="Q421" s="30" t="str">
        <f>IFERROR(__xludf.DUMMYFUNCTION("""COMPUTED_VALUE"""),"KHÔNG KHỚP")</f>
        <v>KHÔNG KHỚP</v>
      </c>
      <c r="R421" s="2"/>
      <c r="S421" s="2"/>
      <c r="T421" s="2"/>
      <c r="U421" s="2"/>
      <c r="V421" s="2"/>
      <c r="W421" s="2"/>
      <c r="X421" s="2"/>
      <c r="Y421" s="2"/>
    </row>
    <row r="422">
      <c r="A422" s="30">
        <f>IFERROR(__xludf.DUMMYFUNCTION("""COMPUTED_VALUE"""),419.0)</f>
        <v>419</v>
      </c>
      <c r="B422" s="39">
        <f>IFERROR(__xludf.DUMMYFUNCTION("""COMPUTED_VALUE"""),46025.0)</f>
        <v>46025</v>
      </c>
      <c r="C422" s="30">
        <f>IFERROR(__xludf.DUMMYFUNCTION("""COMPUTED_VALUE"""),1.0)</f>
        <v>1</v>
      </c>
      <c r="D422" s="30" t="str">
        <f>IFERROR(__xludf.DUMMYFUNCTION("""COMPUTED_VALUE"""),"CT MỚI")</f>
        <v>CT MỚI</v>
      </c>
      <c r="E422" s="30"/>
      <c r="F422" s="2"/>
      <c r="G422" s="2" t="str">
        <f>IFERROR(__xludf.DUMMYFUNCTION("""COMPUTED_VALUE"""),"HH4573")</f>
        <v>HH4573</v>
      </c>
      <c r="H422" s="2" t="str">
        <f>IFERROR(__xludf.DUMMYFUNCTION("""COMPUTED_VALUE"""),"GC - V - 4573 - CTY SEN HỒNG - HUMIIX (Dạng viên màu đen) - 1kg - 25")</f>
        <v>GC - V - 4573 - CTY SEN HỒNG - HUMIIX (Dạng viên màu đen) - 1kg - 25</v>
      </c>
      <c r="I422" s="2" t="str">
        <f>IFERROR(__xludf.DUMMYFUNCTION("""COMPUTED_VALUE"""),"#N/A")</f>
        <v>#N/A</v>
      </c>
      <c r="J422" s="2" t="str">
        <f>IFERROR(__xludf.DUMMYFUNCTION("""COMPUTED_VALUE"""),"A06201124
Dạng viên màu đen")</f>
        <v>A06201124
Dạng viên màu đen</v>
      </c>
      <c r="K422" s="2"/>
      <c r="L422" s="2" t="str">
        <f>IFERROR(__xludf.DUMMYFUNCTION("""COMPUTED_VALUE"""),"A06201124")</f>
        <v>A06201124</v>
      </c>
      <c r="M422" s="2" t="str">
        <f>IFERROR(__xludf.DUMMYFUNCTION("""COMPUTED_VALUE"""),"NUTI ROOTS 2
HUMIIX")</f>
        <v>NUTI ROOTS 2
HUMIIX</v>
      </c>
      <c r="N422" s="2" t="str">
        <f>IFERROR(__xludf.DUMMYFUNCTION("""COMPUTED_VALUE"""),"01RR0060")</f>
        <v>01RR0060</v>
      </c>
      <c r="O422" s="2" t="str">
        <f>IFERROR(__xludf.DUMMYFUNCTION("""COMPUTED_VALUE"""),"Phân bón Hữu cơ sinh học Nam Kinh 02")</f>
        <v>Phân bón Hữu cơ sinh học Nam Kinh 02</v>
      </c>
      <c r="P422" s="2" t="str">
        <f>IFERROR(__xludf.DUMMYFUNCTION("""COMPUTED_VALUE"""),"#N/A")</f>
        <v>#N/A</v>
      </c>
      <c r="Q422" s="30" t="str">
        <f>IFERROR(__xludf.DUMMYFUNCTION("""COMPUTED_VALUE"""),"KHÔNG KHỚP")</f>
        <v>KHÔNG KHỚP</v>
      </c>
      <c r="R422" s="2"/>
      <c r="S422" s="2"/>
      <c r="T422" s="2"/>
      <c r="U422" s="2"/>
      <c r="V422" s="2"/>
      <c r="W422" s="2"/>
      <c r="X422" s="2"/>
      <c r="Y422" s="2"/>
    </row>
    <row r="423">
      <c r="A423" s="30">
        <f>IFERROR(__xludf.DUMMYFUNCTION("""COMPUTED_VALUE"""),420.0)</f>
        <v>420</v>
      </c>
      <c r="B423" s="39">
        <f>IFERROR(__xludf.DUMMYFUNCTION("""COMPUTED_VALUE"""),46025.0)</f>
        <v>46025</v>
      </c>
      <c r="C423" s="30">
        <f>IFERROR(__xludf.DUMMYFUNCTION("""COMPUTED_VALUE"""),2.0)</f>
        <v>2</v>
      </c>
      <c r="D423" s="30" t="str">
        <f>IFERROR(__xludf.DUMMYFUNCTION("""COMPUTED_VALUE"""),"CT MỚI")</f>
        <v>CT MỚI</v>
      </c>
      <c r="E423" s="30"/>
      <c r="F423" s="2"/>
      <c r="G423" s="2" t="str">
        <f>IFERROR(__xludf.DUMMYFUNCTION("""COMPUTED_VALUE"""),"HH3031")</f>
        <v>HH3031</v>
      </c>
      <c r="H423" s="2" t="str">
        <f>IFERROR(__xludf.DUMMYFUNCTION("""COMPUTED_VALUE"""),"GC - IV - 3031 - AGRITECH - NUTI ROOTS 2 USA  - 10kg - 1")</f>
        <v>GC - IV - 3031 - AGRITECH - NUTI ROOTS 2 USA  - 10kg - 1</v>
      </c>
      <c r="I423" s="2" t="str">
        <f>IFERROR(__xludf.DUMMYFUNCTION("""COMPUTED_VALUE"""),"#N/A")</f>
        <v>#N/A</v>
      </c>
      <c r="J423" s="2" t="str">
        <f>IFERROR(__xludf.DUMMYFUNCTION("""COMPUTED_VALUE"""),"A06201124")</f>
        <v>A06201124</v>
      </c>
      <c r="K423" s="2"/>
      <c r="L423" s="2" t="str">
        <f>IFERROR(__xludf.DUMMYFUNCTION("""COMPUTED_VALUE"""),"A06201124")</f>
        <v>A06201124</v>
      </c>
      <c r="M423" s="2" t="str">
        <f>IFERROR(__xludf.DUMMYFUNCTION("""COMPUTED_VALUE"""),"NUTI ROOTS 2
HUMIIX")</f>
        <v>NUTI ROOTS 2
HUMIIX</v>
      </c>
      <c r="N423" s="2" t="str">
        <f>IFERROR(__xludf.DUMMYFUNCTION("""COMPUTED_VALUE"""),"01RR0060")</f>
        <v>01RR0060</v>
      </c>
      <c r="O423" s="2" t="str">
        <f>IFERROR(__xludf.DUMMYFUNCTION("""COMPUTED_VALUE"""),"Phân bón Hữu cơ sinh học Nam Kinh 02")</f>
        <v>Phân bón Hữu cơ sinh học Nam Kinh 02</v>
      </c>
      <c r="P423" s="2" t="str">
        <f>IFERROR(__xludf.DUMMYFUNCTION("""COMPUTED_VALUE"""),"#N/A")</f>
        <v>#N/A</v>
      </c>
      <c r="Q423" s="30" t="str">
        <f>IFERROR(__xludf.DUMMYFUNCTION("""COMPUTED_VALUE"""),"KHÔNG KHỚP")</f>
        <v>KHÔNG KHỚP</v>
      </c>
      <c r="R423" s="2"/>
      <c r="S423" s="2"/>
      <c r="T423" s="2"/>
      <c r="U423" s="2"/>
      <c r="V423" s="2"/>
      <c r="W423" s="2"/>
      <c r="X423" s="2"/>
      <c r="Y423" s="2"/>
    </row>
    <row r="424">
      <c r="A424" s="30">
        <f>IFERROR(__xludf.DUMMYFUNCTION("""COMPUTED_VALUE"""),421.0)</f>
        <v>421</v>
      </c>
      <c r="B424" s="39">
        <f>IFERROR(__xludf.DUMMYFUNCTION("""COMPUTED_VALUE"""),46025.0)</f>
        <v>46025</v>
      </c>
      <c r="C424" s="30">
        <f>IFERROR(__xludf.DUMMYFUNCTION("""COMPUTED_VALUE"""),1.0)</f>
        <v>1</v>
      </c>
      <c r="D424" s="30" t="str">
        <f>IFERROR(__xludf.DUMMYFUNCTION("""COMPUTED_VALUE"""),"CT MỚI")</f>
        <v>CT MỚI</v>
      </c>
      <c r="E424" s="30"/>
      <c r="F424" s="2"/>
      <c r="G424" s="2" t="str">
        <f>IFERROR(__xludf.DUMMYFUNCTION("""COMPUTED_VALUE"""),"HH4405")</f>
        <v>HH4405</v>
      </c>
      <c r="H424" s="2" t="str">
        <f>IFERROR(__xludf.DUMMYFUNCTION("""COMPUTED_VALUE"""),"GC - IV - 4405 - A Thời GNH - Black Humixx (vẩy nâu đen) - 1kg - 25")</f>
        <v>GC - IV - 4405 - A Thời GNH - Black Humixx (vẩy nâu đen) - 1kg - 25</v>
      </c>
      <c r="I424" s="2" t="str">
        <f>IFERROR(__xludf.DUMMYFUNCTION("""COMPUTED_VALUE"""),"#N/A")</f>
        <v>#N/A</v>
      </c>
      <c r="J424" s="2" t="str">
        <f>IFERROR(__xludf.DUMMYFUNCTION("""COMPUTED_VALUE"""),"Cùng ruột HH1901")</f>
        <v>Cùng ruột HH1901</v>
      </c>
      <c r="K424" s="2"/>
      <c r="L424" s="2"/>
      <c r="M424" s="2" t="str">
        <f>IFERROR(__xludf.DUMMYFUNCTION("""COMPUTED_VALUE"""),"BLACK HUMIXX
HUMMAX")</f>
        <v>BLACK HUMIXX
HUMMAX</v>
      </c>
      <c r="N424" s="2" t="str">
        <f>IFERROR(__xludf.DUMMYFUNCTION("""COMPUTED_VALUE"""),"01RR0059V3")</f>
        <v>01RR0059V3</v>
      </c>
      <c r="O424" s="2" t="str">
        <f>IFERROR(__xludf.DUMMYFUNCTION("""COMPUTED_VALUE"""),"Phân bón Hữu cơ sinh học Nam Kinh 02")</f>
        <v>Phân bón Hữu cơ sinh học Nam Kinh 02</v>
      </c>
      <c r="P424" s="2" t="str">
        <f>IFERROR(__xludf.DUMMYFUNCTION("""COMPUTED_VALUE"""),"#N/A")</f>
        <v>#N/A</v>
      </c>
      <c r="Q424" s="30" t="str">
        <f>IFERROR(__xludf.DUMMYFUNCTION("""COMPUTED_VALUE"""),"KHÔNG KHỚP")</f>
        <v>KHÔNG KHỚP</v>
      </c>
      <c r="R424" s="2"/>
      <c r="S424" s="2"/>
      <c r="T424" s="2"/>
      <c r="U424" s="2"/>
      <c r="V424" s="2"/>
      <c r="W424" s="2"/>
      <c r="X424" s="2"/>
      <c r="Y424" s="2"/>
    </row>
    <row r="425">
      <c r="A425" s="30">
        <f>IFERROR(__xludf.DUMMYFUNCTION("""COMPUTED_VALUE"""),422.0)</f>
        <v>422</v>
      </c>
      <c r="B425" s="39">
        <f>IFERROR(__xludf.DUMMYFUNCTION("""COMPUTED_VALUE"""),45662.0)</f>
        <v>45662</v>
      </c>
      <c r="C425" s="30">
        <f>IFERROR(__xludf.DUMMYFUNCTION("""COMPUTED_VALUE"""),2.0)</f>
        <v>2</v>
      </c>
      <c r="D425" s="30" t="str">
        <f>IFERROR(__xludf.DUMMYFUNCTION("""COMPUTED_VALUE"""),"CT MỚI")</f>
        <v>CT MỚI</v>
      </c>
      <c r="E425" s="30"/>
      <c r="F425" s="2"/>
      <c r="G425" s="2" t="str">
        <f>IFERROR(__xludf.DUMMYFUNCTION("""COMPUTED_VALUE"""),"HH4277")</f>
        <v>HH4277</v>
      </c>
      <c r="H425" s="2" t="str">
        <f>IFERROR(__xludf.DUMMYFUNCTION("""COMPUTED_VALUE"""),"GC - V - 4277 - CTY HIỆP PHÁT ABC - HP.02 (Gel nâu đen) - 5L - 4")</f>
        <v>GC - V - 4277 - CTY HIỆP PHÁT ABC - HP.02 (Gel nâu đen) - 5L - 4</v>
      </c>
      <c r="I425" s="2" t="str">
        <f>IFERROR(__xludf.DUMMYFUNCTION("""COMPUTED_VALUE"""),"#N/A")</f>
        <v>#N/A</v>
      </c>
      <c r="J425" s="2" t="str">
        <f>IFERROR(__xludf.DUMMYFUNCTION("""COMPUTED_VALUE"""),"A01091225")</f>
        <v>A01091225</v>
      </c>
      <c r="K425" s="2"/>
      <c r="L425" s="2" t="str">
        <f>IFERROR(__xludf.DUMMYFUNCTION("""COMPUTED_VALUE"""),"A01091225")</f>
        <v>A01091225</v>
      </c>
      <c r="M425" s="2" t="str">
        <f>IFERROR(__xludf.DUMMYFUNCTION("""COMPUTED_VALUE"""),"TAK06")</f>
        <v>TAK06</v>
      </c>
      <c r="N425" s="2" t="str">
        <f>IFERROR(__xludf.DUMMYFUNCTION("""COMPUTED_VALUE"""),"19DD0014V4")</f>
        <v>19DD0014V4</v>
      </c>
      <c r="O425" s="2" t="str">
        <f>IFERROR(__xludf.DUMMYFUNCTION("""COMPUTED_VALUE"""),"Phân bón Vi lượng Run Fast")</f>
        <v>Phân bón Vi lượng Run Fast</v>
      </c>
      <c r="P425" s="2" t="str">
        <f>IFERROR(__xludf.DUMMYFUNCTION("""COMPUTED_VALUE"""),"#N/A")</f>
        <v>#N/A</v>
      </c>
      <c r="Q425" s="30" t="str">
        <f>IFERROR(__xludf.DUMMYFUNCTION("""COMPUTED_VALUE"""),"KHÔNG KHỚP")</f>
        <v>KHÔNG KHỚP</v>
      </c>
      <c r="R425" s="2"/>
      <c r="S425" s="2"/>
      <c r="T425" s="2"/>
      <c r="U425" s="2"/>
      <c r="V425" s="2"/>
      <c r="W425" s="2"/>
      <c r="X425" s="2"/>
      <c r="Y425" s="2"/>
    </row>
    <row r="426">
      <c r="A426" s="43">
        <f>IFERROR(__xludf.DUMMYFUNCTION("""COMPUTED_VALUE"""),423.0)</f>
        <v>423</v>
      </c>
      <c r="B426" s="44">
        <f>IFERROR(__xludf.DUMMYFUNCTION("""COMPUTED_VALUE"""),45983.0)</f>
        <v>45983</v>
      </c>
      <c r="C426" s="43">
        <f>IFERROR(__xludf.DUMMYFUNCTION("""COMPUTED_VALUE"""),1.0)</f>
        <v>1</v>
      </c>
      <c r="D426" s="43" t="str">
        <f>IFERROR(__xludf.DUMMYFUNCTION("""COMPUTED_VALUE"""),"CT CŨ")</f>
        <v>CT CŨ</v>
      </c>
      <c r="E426" s="43"/>
      <c r="F426" s="45"/>
      <c r="G426" s="45" t="str">
        <f>IFERROR(__xludf.DUMMYFUNCTION("""COMPUTED_VALUE"""),"HH4586")</f>
        <v>HH4586</v>
      </c>
      <c r="H426" s="45" t="str">
        <f>IFERROR(__xludf.DUMMYFUNCTION("""COMPUTED_VALUE"""),"LOTUS AGROCHEM - vi lượng Phú Sĩ FJ-09 Kẽm Mg - LOTUS DIỆP LỤC - 500ml - 40")</f>
        <v>LOTUS AGROCHEM - vi lượng Phú Sĩ FJ-09 Kẽm Mg - LOTUS DIỆP LỤC - 500ml - 40</v>
      </c>
      <c r="I426" s="44" t="str">
        <f>IFERROR(__xludf.DUMMYFUNCTION("""COMPUTED_VALUE"""),"vi lượng Phú Sĩ FJ-09 Kẽm Mg")</f>
        <v>vi lượng Phú Sĩ FJ-09 Kẽm Mg</v>
      </c>
      <c r="J426" s="45" t="str">
        <f>IFERROR(__xludf.DUMMYFUNCTION("""COMPUTED_VALUE"""),"Ruột HH3933")</f>
        <v>Ruột HH3933</v>
      </c>
      <c r="K426" s="45"/>
      <c r="L426" s="45" t="str">
        <f>IFERROR(__xludf.DUMMYFUNCTION("""COMPUTED_VALUE"""),"BB26040725")</f>
        <v>BB26040725</v>
      </c>
      <c r="M426" s="45" t="str">
        <f>IFERROR(__xludf.DUMMYFUNCTION("""COMPUTED_VALUE"""),"BAMBOO MG KẼM
LOTUS DIỆP LỤC")</f>
        <v>BAMBOO MG KẼM
LOTUS DIỆP LỤC</v>
      </c>
      <c r="N426" s="45" t="str">
        <f>IFERROR(__xludf.DUMMYFUNCTION("""COMPUTED_VALUE"""),"13XL0017V2")</f>
        <v>13XL0017V2</v>
      </c>
      <c r="O426" s="45" t="str">
        <f>IFERROR(__xludf.DUMMYFUNCTION("""COMPUTED_VALUE"""),"Phân bón vi lượng Phú Sĩ FJ-09 Kẽm Mg")</f>
        <v>Phân bón vi lượng Phú Sĩ FJ-09 Kẽm Mg</v>
      </c>
      <c r="P426" s="45" t="str">
        <f>IFERROR(__xludf.DUMMYFUNCTION("""COMPUTED_VALUE"""),"Phân bón vi lượng Phú Sĩ FJ-09 Kẽm Mg")</f>
        <v>Phân bón vi lượng Phú Sĩ FJ-09 Kẽm Mg</v>
      </c>
      <c r="Q426" s="43" t="str">
        <f>IFERROR(__xludf.DUMMYFUNCTION("""COMPUTED_VALUE"""),"KHỚP")</f>
        <v>KHỚP</v>
      </c>
      <c r="R426" s="45"/>
      <c r="S426" s="45"/>
      <c r="T426" s="45"/>
      <c r="U426" s="45"/>
      <c r="V426" s="45"/>
      <c r="W426" s="45"/>
      <c r="X426" s="45"/>
      <c r="Y426" s="45"/>
    </row>
    <row r="427">
      <c r="A427" s="30">
        <f>IFERROR(__xludf.DUMMYFUNCTION("""COMPUTED_VALUE"""),424.0)</f>
        <v>424</v>
      </c>
      <c r="B427" s="39">
        <f>IFERROR(__xludf.DUMMYFUNCTION("""COMPUTED_VALUE"""),45662.0)</f>
        <v>45662</v>
      </c>
      <c r="C427" s="30">
        <f>IFERROR(__xludf.DUMMYFUNCTION("""COMPUTED_VALUE"""),2.0)</f>
        <v>2</v>
      </c>
      <c r="D427" s="30" t="str">
        <f>IFERROR(__xludf.DUMMYFUNCTION("""COMPUTED_VALUE"""),"CT MỚI")</f>
        <v>CT MỚI</v>
      </c>
      <c r="E427" s="30"/>
      <c r="F427" s="2"/>
      <c r="G427" s="2" t="str">
        <f>IFERROR(__xludf.DUMMYFUNCTION("""COMPUTED_VALUE"""),"HH4519")</f>
        <v>HH4519</v>
      </c>
      <c r="H427" s="2" t="str">
        <f>IFERROR(__xludf.DUMMYFUNCTION("""COMPUTED_VALUE"""),"GC - V - 4519 - VTNN HAI LÚA - BUNG CHỒI - VỌT ĐỌT (Nước nâu đen) - 20kg - 1")</f>
        <v>GC - V - 4519 - VTNN HAI LÚA - BUNG CHỒI - VỌT ĐỌT (Nước nâu đen) - 20kg - 1</v>
      </c>
      <c r="I427" s="2" t="str">
        <f>IFERROR(__xludf.DUMMYFUNCTION("""COMPUTED_VALUE"""),"#N/A")</f>
        <v>#N/A</v>
      </c>
      <c r="J427" s="2"/>
      <c r="K427" s="2"/>
      <c r="L427" s="2" t="str">
        <f>IFERROR(__xludf.DUMMYFUNCTION("""COMPUTED_VALUE"""),"A06260225")</f>
        <v>A06260225</v>
      </c>
      <c r="M427" s="2" t="str">
        <f>IFERROR(__xludf.DUMMYFUNCTION("""COMPUTED_VALUE"""),"SAMURAI 33-11-11 +TE")</f>
        <v>SAMURAI 33-11-11 +TE</v>
      </c>
      <c r="N427" s="2" t="str">
        <f>IFERROR(__xludf.DUMMYFUNCTION("""COMPUTED_VALUE"""),"01RR0045V2")</f>
        <v>01RR0045V2</v>
      </c>
      <c r="O427" s="2" t="str">
        <f>IFERROR(__xludf.DUMMYFUNCTION("""COMPUTED_VALUE"""),"Phân bón Hữu cơ SH Agro Organic Fertilizer 20")</f>
        <v>Phân bón Hữu cơ SH Agro Organic Fertilizer 20</v>
      </c>
      <c r="P427" s="2" t="str">
        <f>IFERROR(__xludf.DUMMYFUNCTION("""COMPUTED_VALUE"""),"#N/A")</f>
        <v>#N/A</v>
      </c>
      <c r="Q427" s="30" t="str">
        <f>IFERROR(__xludf.DUMMYFUNCTION("""COMPUTED_VALUE"""),"KHÔNG KHỚP")</f>
        <v>KHÔNG KHỚP</v>
      </c>
      <c r="R427" s="2"/>
      <c r="S427" s="2"/>
      <c r="T427" s="2"/>
      <c r="U427" s="2"/>
      <c r="V427" s="2"/>
      <c r="W427" s="2"/>
      <c r="X427" s="2"/>
      <c r="Y427" s="2"/>
    </row>
    <row r="428">
      <c r="A428" s="30">
        <f>IFERROR(__xludf.DUMMYFUNCTION("""COMPUTED_VALUE"""),425.0)</f>
        <v>425</v>
      </c>
      <c r="B428" s="39">
        <f>IFERROR(__xludf.DUMMYFUNCTION("""COMPUTED_VALUE"""),45988.0)</f>
        <v>45988</v>
      </c>
      <c r="C428" s="30">
        <f>IFERROR(__xludf.DUMMYFUNCTION("""COMPUTED_VALUE"""),2.0)</f>
        <v>2</v>
      </c>
      <c r="D428" s="30" t="str">
        <f>IFERROR(__xludf.DUMMYFUNCTION("""COMPUTED_VALUE"""),"CT CŨ")</f>
        <v>CT CŨ</v>
      </c>
      <c r="E428" s="30"/>
      <c r="F428" s="2"/>
      <c r="G428" s="2" t="str">
        <f>IFERROR(__xludf.DUMMYFUNCTION("""COMPUTED_VALUE"""),"HH4490")</f>
        <v>HH4490</v>
      </c>
      <c r="H428" s="2" t="str">
        <f>IFERROR(__xludf.DUMMYFUNCTION("""COMPUTED_VALUE"""),"GC - V - 4490 - CTY NAUY - NANO DƯỠNG ĐÒNG (Nước nâu đen) - 500ml - 40")</f>
        <v>GC - V - 4490 - CTY NAUY - NANO DƯỠNG ĐÒNG (Nước nâu đen) - 500ml - 40</v>
      </c>
      <c r="I428" s="2" t="str">
        <f>IFERROR(__xludf.DUMMYFUNCTION("""COMPUTED_VALUE"""),"#N/A")</f>
        <v>#N/A</v>
      </c>
      <c r="J428" s="2" t="str">
        <f>IFERROR(__xludf.DUMMYFUNCTION("""COMPUTED_VALUE"""),"03DD0009
Cùng ruột 3567")</f>
        <v>03DD0009
Cùng ruột 3567</v>
      </c>
      <c r="K428" s="2"/>
      <c r="L428" s="2" t="str">
        <f>IFERROR(__xludf.DUMMYFUNCTION("""COMPUTED_VALUE"""),"S01281024")</f>
        <v>S01281024</v>
      </c>
      <c r="M428" s="2" t="str">
        <f>IFERROR(__xludf.DUMMYFUNCTION("""COMPUTED_VALUE"""),"DƯỠNG ĐÒNG-NAUY")</f>
        <v>DƯỠNG ĐÒNG-NAUY</v>
      </c>
      <c r="N428" s="2" t="str">
        <f>IFERROR(__xludf.DUMMYFUNCTION("""COMPUTED_VALUE"""),"03DD0009")</f>
        <v>03DD0009</v>
      </c>
      <c r="O428" s="2" t="str">
        <f>IFERROR(__xludf.DUMMYFUNCTION("""COMPUTED_VALUE"""),"Phân bón Vi lượng AGAMA-SUPPORT")</f>
        <v>Phân bón Vi lượng AGAMA-SUPPORT</v>
      </c>
      <c r="P428" s="2" t="str">
        <f>IFERROR(__xludf.DUMMYFUNCTION("""COMPUTED_VALUE"""),"#N/A")</f>
        <v>#N/A</v>
      </c>
      <c r="Q428" s="30" t="str">
        <f>IFERROR(__xludf.DUMMYFUNCTION("""COMPUTED_VALUE"""),"KHÔNG KHỚP")</f>
        <v>KHÔNG KHỚP</v>
      </c>
      <c r="R428" s="2"/>
      <c r="S428" s="2"/>
      <c r="T428" s="2"/>
      <c r="U428" s="2"/>
      <c r="V428" s="2"/>
      <c r="W428" s="2"/>
      <c r="X428" s="2"/>
      <c r="Y428" s="2"/>
    </row>
    <row r="429">
      <c r="A429" s="30">
        <f>IFERROR(__xludf.DUMMYFUNCTION("""COMPUTED_VALUE"""),426.0)</f>
        <v>426</v>
      </c>
      <c r="B429" s="39">
        <f>IFERROR(__xludf.DUMMYFUNCTION("""COMPUTED_VALUE"""),45896.0)</f>
        <v>45896</v>
      </c>
      <c r="C429" s="30">
        <f>IFERROR(__xludf.DUMMYFUNCTION("""COMPUTED_VALUE"""),1.0)</f>
        <v>1</v>
      </c>
      <c r="D429" s="30" t="str">
        <f>IFERROR(__xludf.DUMMYFUNCTION("""COMPUTED_VALUE"""),"CT CŨ")</f>
        <v>CT CŨ</v>
      </c>
      <c r="E429" s="30"/>
      <c r="F429" s="2"/>
      <c r="G429" s="2" t="str">
        <f>IFERROR(__xludf.DUMMYFUNCTION("""COMPUTED_VALUE"""),"HH4602")</f>
        <v>HH4602</v>
      </c>
      <c r="H429" s="2" t="str">
        <f>IFERROR(__xludf.DUMMYFUNCTION("""COMPUTED_VALUE"""),"GC ABA - CTY THIÊN DI - A. THÀNH DOL - Vi lượng AGAMA-CANXI BO - THIDI CANXIBO - 500ml - 40")</f>
        <v>GC ABA - CTY THIÊN DI - A. THÀNH DOL - Vi lượng AGAMA-CANXI BO - THIDI CANXIBO - 500ml - 40</v>
      </c>
      <c r="I429" s="2" t="str">
        <f>IFERROR(__xludf.DUMMYFUNCTION("""COMPUTED_VALUE"""),"#N/A")</f>
        <v>#N/A</v>
      </c>
      <c r="J429" s="2" t="str">
        <f>IFERROR(__xludf.DUMMYFUNCTION("""COMPUTED_VALUE"""),"A02160725")</f>
        <v>A02160725</v>
      </c>
      <c r="K429" s="2"/>
      <c r="L429" s="2" t="str">
        <f>IFERROR(__xludf.DUMMYFUNCTION("""COMPUTED_VALUE"""),"A02160725")</f>
        <v>A02160725</v>
      </c>
      <c r="M429" s="2" t="str">
        <f>IFERROR(__xludf.DUMMYFUNCTION("""COMPUTED_VALUE"""),"AGAMA-CANXI BO
(KIM NGỌC)")</f>
        <v>AGAMA-CANXI BO
(KIM NGỌC)</v>
      </c>
      <c r="N429" s="2" t="str">
        <f>IFERROR(__xludf.DUMMYFUNCTION("""COMPUTED_VALUE"""),"10CR0021")</f>
        <v>10CR0021</v>
      </c>
      <c r="O429" s="2" t="str">
        <f>IFERROR(__xludf.DUMMYFUNCTION("""COMPUTED_VALUE"""),"Phân bón Vi lượng AGAMA-CANXI BO")</f>
        <v>Phân bón Vi lượng AGAMA-CANXI BO</v>
      </c>
      <c r="P429" s="2" t="str">
        <f>IFERROR(__xludf.DUMMYFUNCTION("""COMPUTED_VALUE"""),"#N/A")</f>
        <v>#N/A</v>
      </c>
      <c r="Q429" s="30" t="str">
        <f>IFERROR(__xludf.DUMMYFUNCTION("""COMPUTED_VALUE"""),"KHÔNG KHỚP")</f>
        <v>KHÔNG KHỚP</v>
      </c>
      <c r="R429" s="2"/>
      <c r="S429" s="2"/>
      <c r="T429" s="2"/>
      <c r="U429" s="2"/>
      <c r="V429" s="2"/>
      <c r="W429" s="2"/>
      <c r="X429" s="2"/>
      <c r="Y429" s="2"/>
    </row>
    <row r="430">
      <c r="A430" s="30">
        <f>IFERROR(__xludf.DUMMYFUNCTION("""COMPUTED_VALUE"""),427.0)</f>
        <v>427</v>
      </c>
      <c r="B430" s="39">
        <f>IFERROR(__xludf.DUMMYFUNCTION("""COMPUTED_VALUE"""),45662.0)</f>
        <v>45662</v>
      </c>
      <c r="C430" s="30">
        <f>IFERROR(__xludf.DUMMYFUNCTION("""COMPUTED_VALUE"""),1.0)</f>
        <v>1</v>
      </c>
      <c r="D430" s="30" t="str">
        <f>IFERROR(__xludf.DUMMYFUNCTION("""COMPUTED_VALUE"""),"CT MỚI")</f>
        <v>CT MỚI</v>
      </c>
      <c r="E430" s="30"/>
      <c r="F430" s="2"/>
      <c r="G430" s="2" t="str">
        <f>IFERROR(__xludf.DUMMYFUNCTION("""COMPUTED_VALUE"""),"HH4578")</f>
        <v>HH4578</v>
      </c>
      <c r="H430" s="2" t="str">
        <f>IFERROR(__xludf.DUMMYFUNCTION("""COMPUTED_VALUE"""),"GC ABA - DONA VINA - Vi lượng Agama - Cu - MENTUS PLUS+ - 500ml - 40")</f>
        <v>GC ABA - DONA VINA - Vi lượng Agama - Cu - MENTUS PLUS+ - 500ml - 40</v>
      </c>
      <c r="I430" s="2" t="str">
        <f>IFERROR(__xludf.DUMMYFUNCTION("""COMPUTED_VALUE"""),"#N/A")</f>
        <v>#N/A</v>
      </c>
      <c r="J430" s="2" t="str">
        <f>IFERROR(__xludf.DUMMYFUNCTION("""COMPUTED_VALUE"""),"A03130824")</f>
        <v>A03130824</v>
      </c>
      <c r="K430" s="2"/>
      <c r="L430" s="2" t="str">
        <f>IFERROR(__xludf.DUMMYFUNCTION("""COMPUTED_VALUE"""),"A03130824")</f>
        <v>A03130824</v>
      </c>
      <c r="M430" s="2" t="str">
        <f>IFERROR(__xludf.DUMMYFUNCTION("""COMPUTED_VALUE"""),"MENTUS PLUS+")</f>
        <v>MENTUS PLUS+</v>
      </c>
      <c r="N430" s="2" t="str">
        <f>IFERROR(__xludf.DUMMYFUNCTION("""COMPUTED_VALUE"""),"17KN0013")</f>
        <v>17KN0013</v>
      </c>
      <c r="O430" s="2" t="str">
        <f>IFERROR(__xludf.DUMMYFUNCTION("""COMPUTED_VALUE"""),"Phân bón Vi lượng Agama-CU")</f>
        <v>Phân bón Vi lượng Agama-CU</v>
      </c>
      <c r="P430" s="2" t="str">
        <f>IFERROR(__xludf.DUMMYFUNCTION("""COMPUTED_VALUE"""),"#N/A")</f>
        <v>#N/A</v>
      </c>
      <c r="Q430" s="30" t="str">
        <f>IFERROR(__xludf.DUMMYFUNCTION("""COMPUTED_VALUE"""),"KHÔNG KHỚP")</f>
        <v>KHÔNG KHỚP</v>
      </c>
      <c r="R430" s="2"/>
      <c r="S430" s="2"/>
      <c r="T430" s="2"/>
      <c r="U430" s="2"/>
      <c r="V430" s="2"/>
      <c r="W430" s="2"/>
      <c r="X430" s="2"/>
      <c r="Y430" s="2"/>
    </row>
    <row r="431">
      <c r="A431" s="30">
        <f>IFERROR(__xludf.DUMMYFUNCTION("""COMPUTED_VALUE"""),428.0)</f>
        <v>428</v>
      </c>
      <c r="B431" s="39">
        <f>IFERROR(__xludf.DUMMYFUNCTION("""COMPUTED_VALUE"""),45662.0)</f>
        <v>45662</v>
      </c>
      <c r="C431" s="30">
        <f>IFERROR(__xludf.DUMMYFUNCTION("""COMPUTED_VALUE"""),1.0)</f>
        <v>1</v>
      </c>
      <c r="D431" s="30" t="str">
        <f>IFERROR(__xludf.DUMMYFUNCTION("""COMPUTED_VALUE"""),"CT CŨ")</f>
        <v>CT CŨ</v>
      </c>
      <c r="E431" s="30"/>
      <c r="F431" s="2"/>
      <c r="G431" s="2" t="str">
        <f>IFERROR(__xludf.DUMMYFUNCTION("""COMPUTED_VALUE"""),"HH4603")</f>
        <v>HH4603</v>
      </c>
      <c r="H431" s="2" t="str">
        <f>IFERROR(__xludf.DUMMYFUNCTION("""COMPUTED_VALUE"""),"GC ABA - CTY HIỆP PHÁT ABC - Vi lượng Run Fast - HP.02 - 5L - 4")</f>
        <v>GC ABA - CTY HIỆP PHÁT ABC - Vi lượng Run Fast - HP.02 - 5L - 4</v>
      </c>
      <c r="I431" s="2" t="str">
        <f>IFERROR(__xludf.DUMMYFUNCTION("""COMPUTED_VALUE"""),"#N/A")</f>
        <v>#N/A</v>
      </c>
      <c r="J431" s="2" t="str">
        <f>IFERROR(__xludf.DUMMYFUNCTION("""COMPUTED_VALUE"""),"A01091225")</f>
        <v>A01091225</v>
      </c>
      <c r="K431" s="2"/>
      <c r="L431" s="2" t="str">
        <f>IFERROR(__xludf.DUMMYFUNCTION("""COMPUTED_VALUE"""),"A01091225")</f>
        <v>A01091225</v>
      </c>
      <c r="M431" s="2" t="str">
        <f>IFERROR(__xludf.DUMMYFUNCTION("""COMPUTED_VALUE"""),"TAK06")</f>
        <v>TAK06</v>
      </c>
      <c r="N431" s="2" t="str">
        <f>IFERROR(__xludf.DUMMYFUNCTION("""COMPUTED_VALUE"""),"19DD0014V4")</f>
        <v>19DD0014V4</v>
      </c>
      <c r="O431" s="2" t="str">
        <f>IFERROR(__xludf.DUMMYFUNCTION("""COMPUTED_VALUE"""),"Phân bón Vi lượng Run Fast")</f>
        <v>Phân bón Vi lượng Run Fast</v>
      </c>
      <c r="P431" s="2" t="str">
        <f>IFERROR(__xludf.DUMMYFUNCTION("""COMPUTED_VALUE"""),"#N/A")</f>
        <v>#N/A</v>
      </c>
      <c r="Q431" s="30" t="str">
        <f>IFERROR(__xludf.DUMMYFUNCTION("""COMPUTED_VALUE"""),"KHÔNG KHỚP")</f>
        <v>KHÔNG KHỚP</v>
      </c>
      <c r="R431" s="2"/>
      <c r="S431" s="2"/>
      <c r="T431" s="2"/>
      <c r="U431" s="2"/>
      <c r="V431" s="2"/>
      <c r="W431" s="2"/>
      <c r="X431" s="2"/>
      <c r="Y431" s="2"/>
    </row>
    <row r="432">
      <c r="A432" s="30">
        <f>IFERROR(__xludf.DUMMYFUNCTION("""COMPUTED_VALUE"""),429.0)</f>
        <v>429</v>
      </c>
      <c r="B432" s="39">
        <f>IFERROR(__xludf.DUMMYFUNCTION("""COMPUTED_VALUE"""),45940.0)</f>
        <v>45940</v>
      </c>
      <c r="C432" s="30">
        <f>IFERROR(__xludf.DUMMYFUNCTION("""COMPUTED_VALUE"""),6.0)</f>
        <v>6</v>
      </c>
      <c r="D432" s="30" t="str">
        <f>IFERROR(__xludf.DUMMYFUNCTION("""COMPUTED_VALUE"""),"CT CŨ")</f>
        <v>CT CŨ</v>
      </c>
      <c r="E432" s="30"/>
      <c r="F432" s="2"/>
      <c r="G432" s="2" t="str">
        <f>IFERROR(__xludf.DUMMYFUNCTION("""COMPUTED_VALUE"""),"HH4442")</f>
        <v>HH4442</v>
      </c>
      <c r="H432" s="2" t="str">
        <f>IFERROR(__xludf.DUMMYFUNCTION("""COMPUTED_VALUE"""),"GC - IX - 4442 - N2SBIO - N2 MG ZN-70 (Nước xanh lá) - 500ml - 40")</f>
        <v>GC - IX - 4442 - N2SBIO - N2 MG ZN-70 (Nước xanh lá) - 500ml - 40</v>
      </c>
      <c r="I432" s="39" t="str">
        <f>IFERROR(__xludf.DUMMYFUNCTION("""COMPUTED_VALUE"""),"vi lượng Phú Sĩ FJ-09 Kẽm Mg")</f>
        <v>vi lượng Phú Sĩ FJ-09 Kẽm Mg</v>
      </c>
      <c r="J432" s="2" t="str">
        <f>IFERROR(__xludf.DUMMYFUNCTION("""COMPUTED_VALUE"""),"N01080825")</f>
        <v>N01080825</v>
      </c>
      <c r="K432" s="2"/>
      <c r="L432" s="2" t="str">
        <f>IFERROR(__xludf.DUMMYFUNCTION("""COMPUTED_VALUE"""),"N01080825")</f>
        <v>N01080825</v>
      </c>
      <c r="M432" s="2" t="str">
        <f>IFERROR(__xludf.DUMMYFUNCTION("""COMPUTED_VALUE"""),"N2 MgZn-52")</f>
        <v>N2 MgZn-52</v>
      </c>
      <c r="N432" s="2" t="str">
        <f>IFERROR(__xludf.DUMMYFUNCTION("""COMPUTED_VALUE"""),"23GS0002V1")</f>
        <v>23GS0002V1</v>
      </c>
      <c r="O432" s="2" t="str">
        <f>IFERROR(__xludf.DUMMYFUNCTION("""COMPUTED_VALUE"""),"Phân bón vi lượng Phú Sĩ FJ-09 Kẽm Mg")</f>
        <v>Phân bón vi lượng Phú Sĩ FJ-09 Kẽm Mg</v>
      </c>
      <c r="P432" s="2" t="str">
        <f>IFERROR(__xludf.DUMMYFUNCTION("""COMPUTED_VALUE"""),"Phân bón vi lượng Phú Sĩ FJ-09 Kẽm Mg")</f>
        <v>Phân bón vi lượng Phú Sĩ FJ-09 Kẽm Mg</v>
      </c>
      <c r="Q432" s="30" t="str">
        <f>IFERROR(__xludf.DUMMYFUNCTION("""COMPUTED_VALUE"""),"KHỚP")</f>
        <v>KHỚP</v>
      </c>
      <c r="R432" s="2"/>
      <c r="S432" s="2"/>
      <c r="T432" s="2"/>
      <c r="U432" s="2"/>
      <c r="V432" s="2"/>
      <c r="W432" s="2"/>
      <c r="X432" s="2"/>
      <c r="Y432" s="2"/>
    </row>
    <row r="433">
      <c r="A433" s="30">
        <f>IFERROR(__xludf.DUMMYFUNCTION("""COMPUTED_VALUE"""),430.0)</f>
        <v>430</v>
      </c>
      <c r="B433" s="39">
        <f>IFERROR(__xludf.DUMMYFUNCTION("""COMPUTED_VALUE"""),45663.0)</f>
        <v>45663</v>
      </c>
      <c r="C433" s="30">
        <f>IFERROR(__xludf.DUMMYFUNCTION("""COMPUTED_VALUE"""),1.0)</f>
        <v>1</v>
      </c>
      <c r="D433" s="30" t="str">
        <f>IFERROR(__xludf.DUMMYFUNCTION("""COMPUTED_VALUE"""),"CT MỚI")</f>
        <v>CT MỚI</v>
      </c>
      <c r="E433" s="30"/>
      <c r="F433" s="2"/>
      <c r="G433" s="2" t="str">
        <f>IFERROR(__xludf.DUMMYFUNCTION("""COMPUTED_VALUE"""),"HH4605")</f>
        <v>HH4605</v>
      </c>
      <c r="H433" s="2" t="str">
        <f>IFERROR(__xludf.DUMMYFUNCTION("""COMPUTED_VALUE"""),"GC - V - 4605 - CTY USAFARM - THẤM SÂU (Gel trong) - 100ml - 50")</f>
        <v>GC - V - 4605 - CTY USAFARM - THẤM SÂU (Gel trong) - 100ml - 50</v>
      </c>
      <c r="I433" s="2" t="str">
        <f>IFERROR(__xludf.DUMMYFUNCTION("""COMPUTED_VALUE"""),"#N/A")</f>
        <v>#N/A</v>
      </c>
      <c r="J433" s="2" t="str">
        <f>IFERROR(__xludf.DUMMYFUNCTION("""COMPUTED_VALUE"""),"Cùng ruột 2695")</f>
        <v>Cùng ruột 2695</v>
      </c>
      <c r="K433" s="2"/>
      <c r="L433" s="2" t="str">
        <f>IFERROR(__xludf.DUMMYFUNCTION("""COMPUTED_VALUE"""),"A02280624-02")</f>
        <v>A02280624-02</v>
      </c>
      <c r="M433" s="2" t="str">
        <f>IFERROR(__xludf.DUMMYFUNCTION("""COMPUTED_VALUE"""),"THẤM SÂU")</f>
        <v>THẤM SÂU</v>
      </c>
      <c r="N433" s="2" t="str">
        <f>IFERROR(__xludf.DUMMYFUNCTION("""COMPUTED_VALUE"""),"18TL0006")</f>
        <v>18TL0006</v>
      </c>
      <c r="O433" s="2" t="str">
        <f>IFERROR(__xludf.DUMMYFUNCTION("""COMPUTED_VALUE"""),"Phân bón Vi lượng AGAMA-SUPPORT")</f>
        <v>Phân bón Vi lượng AGAMA-SUPPORT</v>
      </c>
      <c r="P433" s="2" t="str">
        <f>IFERROR(__xludf.DUMMYFUNCTION("""COMPUTED_VALUE"""),"#N/A")</f>
        <v>#N/A</v>
      </c>
      <c r="Q433" s="30" t="str">
        <f>IFERROR(__xludf.DUMMYFUNCTION("""COMPUTED_VALUE"""),"KHÔNG KHỚP")</f>
        <v>KHÔNG KHỚP</v>
      </c>
      <c r="R433" s="2"/>
      <c r="S433" s="2"/>
      <c r="T433" s="2"/>
      <c r="U433" s="2"/>
      <c r="V433" s="2"/>
      <c r="W433" s="2"/>
      <c r="X433" s="2"/>
      <c r="Y433" s="2"/>
    </row>
    <row r="434">
      <c r="A434" s="30">
        <f>IFERROR(__xludf.DUMMYFUNCTION("""COMPUTED_VALUE"""),431.0)</f>
        <v>431</v>
      </c>
      <c r="B434" s="39">
        <f>IFERROR(__xludf.DUMMYFUNCTION("""COMPUTED_VALUE"""),46014.0)</f>
        <v>46014</v>
      </c>
      <c r="C434" s="30">
        <f>IFERROR(__xludf.DUMMYFUNCTION("""COMPUTED_VALUE"""),1.0)</f>
        <v>1</v>
      </c>
      <c r="D434" s="30" t="str">
        <f>IFERROR(__xludf.DUMMYFUNCTION("""COMPUTED_VALUE"""),"CT MỚI")</f>
        <v>CT MỚI</v>
      </c>
      <c r="E434" s="30"/>
      <c r="F434" s="2"/>
      <c r="G434" s="2" t="str">
        <f>IFERROR(__xludf.DUMMYFUNCTION("""COMPUTED_VALUE"""),"HH4545")</f>
        <v>HH4545</v>
      </c>
      <c r="H434" s="2" t="str">
        <f>IFERROR(__xludf.DUMMYFUNCTION("""COMPUTED_VALUE"""),"GC - V - 4545 - GNH - DR. PHOENIX SUPER ĐỒNG (Nước xanh nõn chuối) - 100ml - 100")</f>
        <v>GC - V - 4545 - GNH - DR. PHOENIX SUPER ĐỒNG (Nước xanh nõn chuối) - 100ml - 100</v>
      </c>
      <c r="I434" s="2" t="str">
        <f>IFERROR(__xludf.DUMMYFUNCTION("""COMPUTED_VALUE"""),"#N/A")</f>
        <v>#N/A</v>
      </c>
      <c r="J434" s="2" t="str">
        <f>IFERROR(__xludf.DUMMYFUNCTION("""COMPUTED_VALUE"""),"A01311025")</f>
        <v>A01311025</v>
      </c>
      <c r="K434" s="2"/>
      <c r="L434" s="2" t="str">
        <f>IFERROR(__xludf.DUMMYFUNCTION("""COMPUTED_VALUE"""),"A01311025")</f>
        <v>A01311025</v>
      </c>
      <c r="M434" s="2" t="str">
        <f>IFERROR(__xludf.DUMMYFUNCTION("""COMPUTED_VALUE"""),"NANO CU ")</f>
        <v>NANO CU </v>
      </c>
      <c r="N434" s="2" t="str">
        <f>IFERROR(__xludf.DUMMYFUNCTION("""COMPUTED_VALUE"""),"17KN0011")</f>
        <v>17KN0011</v>
      </c>
      <c r="O434" s="2" t="str">
        <f>IFERROR(__xludf.DUMMYFUNCTION("""COMPUTED_VALUE"""),"Phân bón Vi lượng Agama-CU")</f>
        <v>Phân bón Vi lượng Agama-CU</v>
      </c>
      <c r="P434" s="2" t="str">
        <f>IFERROR(__xludf.DUMMYFUNCTION("""COMPUTED_VALUE"""),"#N/A")</f>
        <v>#N/A</v>
      </c>
      <c r="Q434" s="30" t="str">
        <f>IFERROR(__xludf.DUMMYFUNCTION("""COMPUTED_VALUE"""),"KHÔNG KHỚP")</f>
        <v>KHÔNG KHỚP</v>
      </c>
      <c r="R434" s="2"/>
      <c r="S434" s="2"/>
      <c r="T434" s="2"/>
      <c r="U434" s="2"/>
      <c r="V434" s="2"/>
      <c r="W434" s="2"/>
      <c r="X434" s="2"/>
      <c r="Y434" s="2"/>
    </row>
    <row r="435">
      <c r="A435" s="30">
        <f>IFERROR(__xludf.DUMMYFUNCTION("""COMPUTED_VALUE"""),432.0)</f>
        <v>432</v>
      </c>
      <c r="B435" s="39">
        <f>IFERROR(__xludf.DUMMYFUNCTION("""COMPUTED_VALUE"""),46014.0)</f>
        <v>46014</v>
      </c>
      <c r="C435" s="30">
        <f>IFERROR(__xludf.DUMMYFUNCTION("""COMPUTED_VALUE"""),1.0)</f>
        <v>1</v>
      </c>
      <c r="D435" s="30" t="str">
        <f>IFERROR(__xludf.DUMMYFUNCTION("""COMPUTED_VALUE"""),"CT MỚI")</f>
        <v>CT MỚI</v>
      </c>
      <c r="E435" s="30"/>
      <c r="F435" s="2"/>
      <c r="G435" s="2" t="str">
        <f>IFERROR(__xludf.DUMMYFUNCTION("""COMPUTED_VALUE"""),"HH4546")</f>
        <v>HH4546</v>
      </c>
      <c r="H435" s="2" t="str">
        <f>IFERROR(__xludf.DUMMYFUNCTION("""COMPUTED_VALUE"""),"GC - V - 4546 - GNH - DR. PHOENIX SUPER ĐỒNG (Nước xanh nõn chuối) - 250ml - 40")</f>
        <v>GC - V - 4546 - GNH - DR. PHOENIX SUPER ĐỒNG (Nước xanh nõn chuối) - 250ml - 40</v>
      </c>
      <c r="I435" s="2" t="str">
        <f>IFERROR(__xludf.DUMMYFUNCTION("""COMPUTED_VALUE"""),"#N/A")</f>
        <v>#N/A</v>
      </c>
      <c r="J435" s="2" t="str">
        <f>IFERROR(__xludf.DUMMYFUNCTION("""COMPUTED_VALUE"""),"A01311025")</f>
        <v>A01311025</v>
      </c>
      <c r="K435" s="2"/>
      <c r="L435" s="2" t="str">
        <f>IFERROR(__xludf.DUMMYFUNCTION("""COMPUTED_VALUE"""),"A01311025")</f>
        <v>A01311025</v>
      </c>
      <c r="M435" s="2" t="str">
        <f>IFERROR(__xludf.DUMMYFUNCTION("""COMPUTED_VALUE"""),"NANO CU ")</f>
        <v>NANO CU </v>
      </c>
      <c r="N435" s="2" t="str">
        <f>IFERROR(__xludf.DUMMYFUNCTION("""COMPUTED_VALUE"""),"17KN0011")</f>
        <v>17KN0011</v>
      </c>
      <c r="O435" s="2" t="str">
        <f>IFERROR(__xludf.DUMMYFUNCTION("""COMPUTED_VALUE"""),"Phân bón Vi lượng Agama-CU")</f>
        <v>Phân bón Vi lượng Agama-CU</v>
      </c>
      <c r="P435" s="2" t="str">
        <f>IFERROR(__xludf.DUMMYFUNCTION("""COMPUTED_VALUE"""),"#N/A")</f>
        <v>#N/A</v>
      </c>
      <c r="Q435" s="30" t="str">
        <f>IFERROR(__xludf.DUMMYFUNCTION("""COMPUTED_VALUE"""),"KHÔNG KHỚP")</f>
        <v>KHÔNG KHỚP</v>
      </c>
      <c r="R435" s="2"/>
      <c r="S435" s="2"/>
      <c r="T435" s="2"/>
      <c r="U435" s="2"/>
      <c r="V435" s="2"/>
      <c r="W435" s="2"/>
      <c r="X435" s="2"/>
      <c r="Y435" s="2"/>
    </row>
    <row r="436">
      <c r="A436" s="30">
        <f>IFERROR(__xludf.DUMMYFUNCTION("""COMPUTED_VALUE"""),433.0)</f>
        <v>433</v>
      </c>
      <c r="B436" s="39">
        <f>IFERROR(__xludf.DUMMYFUNCTION("""COMPUTED_VALUE"""),45905.0)</f>
        <v>45905</v>
      </c>
      <c r="C436" s="30">
        <f>IFERROR(__xludf.DUMMYFUNCTION("""COMPUTED_VALUE"""),7.0)</f>
        <v>7</v>
      </c>
      <c r="D436" s="30" t="str">
        <f>IFERROR(__xludf.DUMMYFUNCTION("""COMPUTED_VALUE"""),"CT CŨ")</f>
        <v>CT CŨ</v>
      </c>
      <c r="E436" s="30"/>
      <c r="F436" s="2"/>
      <c r="G436" s="2" t="str">
        <f>IFERROR(__xludf.DUMMYFUNCTION("""COMPUTED_VALUE"""),"HH4183")</f>
        <v>HH4183</v>
      </c>
      <c r="H436" s="2" t="str">
        <f>IFERROR(__xludf.DUMMYFUNCTION("""COMPUTED_VALUE"""),"GC - V - 4183 - Cty Hương Nông - HN-pH++ (Nước nâu đen) - 5L - 4")</f>
        <v>GC - V - 4183 - Cty Hương Nông - HN-pH++ (Nước nâu đen) - 5L - 4</v>
      </c>
      <c r="I436" s="2" t="str">
        <f>IFERROR(__xludf.DUMMYFUNCTION("""COMPUTED_VALUE"""),"#N/A")</f>
        <v>#N/A</v>
      </c>
      <c r="J436" s="2" t="str">
        <f>IFERROR(__xludf.DUMMYFUNCTION("""COMPUTED_VALUE"""),"Cùng ruột 
HH3960")</f>
        <v>Cùng ruột 
HH3960</v>
      </c>
      <c r="K436" s="2"/>
      <c r="L436" s="2"/>
      <c r="M436" s="2" t="str">
        <f>IFERROR(__xludf.DUMMYFUNCTION("""COMPUTED_VALUE"""),"HN-pH++")</f>
        <v>HN-pH++</v>
      </c>
      <c r="N436" s="2" t="str">
        <f>IFERROR(__xludf.DUMMYFUNCTION("""COMPUTED_VALUE"""),"01RR0014V4")</f>
        <v>01RR0014V4</v>
      </c>
      <c r="O436" s="2" t="str">
        <f>IFERROR(__xludf.DUMMYFUNCTION("""COMPUTED_VALUE"""),"Phân bón Hữu cơ SH Agro Organic Fertilizer 20")</f>
        <v>Phân bón Hữu cơ SH Agro Organic Fertilizer 20</v>
      </c>
      <c r="P436" s="2" t="str">
        <f>IFERROR(__xludf.DUMMYFUNCTION("""COMPUTED_VALUE"""),"#N/A")</f>
        <v>#N/A</v>
      </c>
      <c r="Q436" s="30" t="str">
        <f>IFERROR(__xludf.DUMMYFUNCTION("""COMPUTED_VALUE"""),"KHÔNG KHỚP")</f>
        <v>KHÔNG KHỚP</v>
      </c>
      <c r="R436" s="2"/>
      <c r="S436" s="2"/>
      <c r="T436" s="2"/>
      <c r="U436" s="2"/>
      <c r="V436" s="2"/>
      <c r="W436" s="2"/>
      <c r="X436" s="2"/>
      <c r="Y436" s="2"/>
    </row>
    <row r="437">
      <c r="A437" s="30">
        <f>IFERROR(__xludf.DUMMYFUNCTION("""COMPUTED_VALUE"""),434.0)</f>
        <v>434</v>
      </c>
      <c r="B437" s="39">
        <f>IFERROR(__xludf.DUMMYFUNCTION("""COMPUTED_VALUE"""),46024.0)</f>
        <v>46024</v>
      </c>
      <c r="C437" s="30">
        <f>IFERROR(__xludf.DUMMYFUNCTION("""COMPUTED_VALUE"""),3.0)</f>
        <v>3</v>
      </c>
      <c r="D437" s="30" t="str">
        <f>IFERROR(__xludf.DUMMYFUNCTION("""COMPUTED_VALUE"""),"CT CŨ")</f>
        <v>CT CŨ</v>
      </c>
      <c r="E437" s="30"/>
      <c r="F437" s="2"/>
      <c r="G437" s="2" t="str">
        <f>IFERROR(__xludf.DUMMYFUNCTION("""COMPUTED_VALUE"""),"HH4194")</f>
        <v>HH4194</v>
      </c>
      <c r="H437" s="2" t="str">
        <f>IFERROR(__xludf.DUMMYFUNCTION("""COMPUTED_VALUE"""),"GC - V - 4194 - HƯƠNG NÔNG - Tạo Mầm (Nước nâu đen) - 1L - 20")</f>
        <v>GC - V - 4194 - HƯƠNG NÔNG - Tạo Mầm (Nước nâu đen) - 1L - 20</v>
      </c>
      <c r="I437" s="2" t="str">
        <f>IFERROR(__xludf.DUMMYFUNCTION("""COMPUTED_VALUE"""),"#N/A")</f>
        <v>#N/A</v>
      </c>
      <c r="J437" s="2" t="str">
        <f>IFERROR(__xludf.DUMMYFUNCTION("""COMPUTED_VALUE"""),"Tạo mầm cùng ruột HH3606 Siêu tạo mầm")</f>
        <v>Tạo mầm cùng ruột HH3606 Siêu tạo mầm</v>
      </c>
      <c r="K437" s="2"/>
      <c r="L437" s="2"/>
      <c r="M437" s="2" t="str">
        <f>IFERROR(__xludf.DUMMYFUNCTION("""COMPUTED_VALUE"""),"SIÊU TẠO MẦM
TẠO MẦM")</f>
        <v>SIÊU TẠO MẦM
TẠO MẦM</v>
      </c>
      <c r="N437" s="2" t="str">
        <f>IFERROR(__xludf.DUMMYFUNCTION("""COMPUTED_VALUE"""),"08TM0007V2")</f>
        <v>08TM0007V2</v>
      </c>
      <c r="O437" s="2" t="str">
        <f>IFERROR(__xludf.DUMMYFUNCTION("""COMPUTED_VALUE"""),"Phân bón Vi lượng Quantity New")</f>
        <v>Phân bón Vi lượng Quantity New</v>
      </c>
      <c r="P437" s="2" t="str">
        <f>IFERROR(__xludf.DUMMYFUNCTION("""COMPUTED_VALUE"""),"#N/A")</f>
        <v>#N/A</v>
      </c>
      <c r="Q437" s="30" t="str">
        <f>IFERROR(__xludf.DUMMYFUNCTION("""COMPUTED_VALUE"""),"KHÔNG KHỚP")</f>
        <v>KHÔNG KHỚP</v>
      </c>
      <c r="R437" s="2"/>
      <c r="S437" s="2"/>
      <c r="T437" s="2"/>
      <c r="U437" s="2"/>
      <c r="V437" s="2"/>
      <c r="W437" s="2"/>
      <c r="X437" s="2"/>
      <c r="Y437" s="2"/>
    </row>
    <row r="438">
      <c r="A438" s="30">
        <f>IFERROR(__xludf.DUMMYFUNCTION("""COMPUTED_VALUE"""),435.0)</f>
        <v>435</v>
      </c>
      <c r="B438" s="39">
        <f>IFERROR(__xludf.DUMMYFUNCTION("""COMPUTED_VALUE"""),45665.0)</f>
        <v>45665</v>
      </c>
      <c r="C438" s="30">
        <f>IFERROR(__xludf.DUMMYFUNCTION("""COMPUTED_VALUE"""),1.0)</f>
        <v>1</v>
      </c>
      <c r="D438" s="30" t="str">
        <f>IFERROR(__xludf.DUMMYFUNCTION("""COMPUTED_VALUE"""),"CT MỚI")</f>
        <v>CT MỚI</v>
      </c>
      <c r="E438" s="30"/>
      <c r="F438" s="2"/>
      <c r="G438" s="2" t="str">
        <f>IFERROR(__xludf.DUMMYFUNCTION("""COMPUTED_VALUE"""),"HH4413")</f>
        <v>HH4413</v>
      </c>
      <c r="H438" s="2" t="str">
        <f>IFERROR(__xludf.DUMMYFUNCTION("""COMPUTED_VALUE"""),"GC - V - 4413 - CTY NAUY - CHUYÊN GIA LÀM ĐỌT 7 NGÀY (Nước nâu đen) - 500ml - 40")</f>
        <v>GC - V - 4413 - CTY NAUY - CHUYÊN GIA LÀM ĐỌT 7 NGÀY (Nước nâu đen) - 500ml - 40</v>
      </c>
      <c r="I438" s="2" t="str">
        <f>IFERROR(__xludf.DUMMYFUNCTION("""COMPUTED_VALUE"""),"#N/A")</f>
        <v>#N/A</v>
      </c>
      <c r="J438" s="2" t="str">
        <f>IFERROR(__xludf.DUMMYFUNCTION("""COMPUTED_VALUE"""),"S01160525")</f>
        <v>S01160525</v>
      </c>
      <c r="K438" s="2"/>
      <c r="L438" s="2" t="str">
        <f>IFERROR(__xludf.DUMMYFUNCTION("""COMPUTED_VALUE"""),"S01160525")</f>
        <v>S01160525</v>
      </c>
      <c r="M438" s="2" t="str">
        <f>IFERROR(__xludf.DUMMYFUNCTION("""COMPUTED_VALUE"""),"BUNG ĐỌT, ĐẺ NHÁNH, RA RỄ")</f>
        <v>BUNG ĐỌT, ĐẺ NHÁNH, RA RỄ</v>
      </c>
      <c r="N438" s="2" t="str">
        <f>IFERROR(__xludf.DUMMYFUNCTION("""COMPUTED_VALUE"""),"05KC0014")</f>
        <v>05KC0014</v>
      </c>
      <c r="O438" s="2" t="str">
        <f>IFERROR(__xludf.DUMMYFUNCTION("""COMPUTED_VALUE"""),"Phân bón Hữu cơ SH Agro Organic Fertilizer 20")</f>
        <v>Phân bón Hữu cơ SH Agro Organic Fertilizer 20</v>
      </c>
      <c r="P438" s="2" t="str">
        <f>IFERROR(__xludf.DUMMYFUNCTION("""COMPUTED_VALUE"""),"#N/A")</f>
        <v>#N/A</v>
      </c>
      <c r="Q438" s="30" t="str">
        <f>IFERROR(__xludf.DUMMYFUNCTION("""COMPUTED_VALUE"""),"KHÔNG KHỚP")</f>
        <v>KHÔNG KHỚP</v>
      </c>
      <c r="R438" s="2"/>
      <c r="S438" s="2"/>
      <c r="T438" s="2"/>
      <c r="U438" s="2"/>
      <c r="V438" s="2"/>
      <c r="W438" s="2"/>
      <c r="X438" s="2"/>
      <c r="Y438" s="2"/>
    </row>
    <row r="439">
      <c r="A439" s="30">
        <f>IFERROR(__xludf.DUMMYFUNCTION("""COMPUTED_VALUE"""),436.0)</f>
        <v>436</v>
      </c>
      <c r="B439" s="39">
        <f>IFERROR(__xludf.DUMMYFUNCTION("""COMPUTED_VALUE"""),46030.0)</f>
        <v>46030</v>
      </c>
      <c r="C439" s="30">
        <f>IFERROR(__xludf.DUMMYFUNCTION("""COMPUTED_VALUE"""),1.0)</f>
        <v>1</v>
      </c>
      <c r="D439" s="30" t="str">
        <f>IFERROR(__xludf.DUMMYFUNCTION("""COMPUTED_VALUE"""),"CT MỚI")</f>
        <v>CT MỚI</v>
      </c>
      <c r="E439" s="30"/>
      <c r="F439" s="2"/>
      <c r="G439" s="2" t="str">
        <f>IFERROR(__xludf.DUMMYFUNCTION("""COMPUTED_VALUE"""),"HH4608")</f>
        <v>HH4608</v>
      </c>
      <c r="H439" s="2" t="str">
        <f>IFERROR(__xludf.DUMMYFUNCTION("""COMPUTED_VALUE"""),"GC - V - 4608 - CTY ASAHI NHẬT BẢN - RONBIN SAMURAI (Gel nâu đen) - 500ml - 40")</f>
        <v>GC - V - 4608 - CTY ASAHI NHẬT BẢN - RONBIN SAMURAI (Gel nâu đen) - 500ml - 40</v>
      </c>
      <c r="I439" s="39" t="str">
        <f>IFERROR(__xludf.DUMMYFUNCTION("""COMPUTED_VALUE"""),"Vi lượng Quantity New")</f>
        <v>Vi lượng Quantity New</v>
      </c>
      <c r="J439" s="2" t="str">
        <f>IFERROR(__xludf.DUMMYFUNCTION("""COMPUTED_VALUE"""),"A04270225")</f>
        <v>A04270225</v>
      </c>
      <c r="K439" s="2"/>
      <c r="L439" s="2" t="str">
        <f>IFERROR(__xludf.DUMMYFUNCTION("""COMPUTED_VALUE"""),"A04270225")</f>
        <v>A04270225</v>
      </c>
      <c r="M439" s="2" t="str">
        <f>IFERROR(__xludf.DUMMYFUNCTION("""COMPUTED_VALUE"""),"AMINO RONG BIỂN")</f>
        <v>AMINO RONG BIỂN</v>
      </c>
      <c r="N439" s="2" t="str">
        <f>IFERROR(__xludf.DUMMYFUNCTION("""COMPUTED_VALUE"""),"13XL0008V3")</f>
        <v>13XL0008V3</v>
      </c>
      <c r="O439" s="2" t="str">
        <f>IFERROR(__xludf.DUMMYFUNCTION("""COMPUTED_VALUE"""),"Phân bón Vi lượng Quantity New")</f>
        <v>Phân bón Vi lượng Quantity New</v>
      </c>
      <c r="P439" s="2" t="str">
        <f>IFERROR(__xludf.DUMMYFUNCTION("""COMPUTED_VALUE"""),"Phân bón Vi lượng Quantity New")</f>
        <v>Phân bón Vi lượng Quantity New</v>
      </c>
      <c r="Q439" s="30" t="str">
        <f>IFERROR(__xludf.DUMMYFUNCTION("""COMPUTED_VALUE"""),"KHỚP")</f>
        <v>KHỚP</v>
      </c>
      <c r="R439" s="2"/>
      <c r="S439" s="2"/>
      <c r="T439" s="2"/>
      <c r="U439" s="2"/>
      <c r="V439" s="2"/>
      <c r="W439" s="2"/>
      <c r="X439" s="2"/>
      <c r="Y439" s="2"/>
    </row>
    <row r="440">
      <c r="A440" s="30">
        <f>IFERROR(__xludf.DUMMYFUNCTION("""COMPUTED_VALUE"""),437.0)</f>
        <v>437</v>
      </c>
      <c r="B440" s="39">
        <f>IFERROR(__xludf.DUMMYFUNCTION("""COMPUTED_VALUE"""),45997.0)</f>
        <v>45997</v>
      </c>
      <c r="C440" s="30">
        <f>IFERROR(__xludf.DUMMYFUNCTION("""COMPUTED_VALUE"""),3.0)</f>
        <v>3</v>
      </c>
      <c r="D440" s="30" t="str">
        <f>IFERROR(__xludf.DUMMYFUNCTION("""COMPUTED_VALUE"""),"CT CŨ")</f>
        <v>CT CŨ</v>
      </c>
      <c r="E440" s="30"/>
      <c r="F440" s="2"/>
      <c r="G440" s="2" t="str">
        <f>IFERROR(__xludf.DUMMYFUNCTION("""COMPUTED_VALUE"""),"HH4003")</f>
        <v>HH4003</v>
      </c>
      <c r="H440" s="2" t="str">
        <f>IFERROR(__xludf.DUMMYFUNCTION("""COMPUTED_VALUE"""),"IDA Global - I - 4003 - CANXI BO LIQUID (Nước trắng sữa) - 500ml - 40")</f>
        <v>IDA Global - I - 4003 - CANXI BO LIQUID (Nước trắng sữa) - 500ml - 40</v>
      </c>
      <c r="I440" s="2" t="str">
        <f>IFERROR(__xludf.DUMMYFUNCTION("""COMPUTED_VALUE"""),"#N/A")</f>
        <v>#N/A</v>
      </c>
      <c r="J440" s="2" t="str">
        <f>IFERROR(__xludf.DUMMYFUNCTION("""COMPUTED_VALUE"""),"Đóng theo đơn gần nhất")</f>
        <v>Đóng theo đơn gần nhất</v>
      </c>
      <c r="K440" s="2"/>
      <c r="L440" s="2"/>
      <c r="M440" s="2" t="str">
        <f>IFERROR(__xludf.DUMMYFUNCTION("""COMPUTED_VALUE"""),"CANXI BO MASTER")</f>
        <v>CANXI BO MASTER</v>
      </c>
      <c r="N440" s="2" t="str">
        <f>IFERROR(__xludf.DUMMYFUNCTION("""COMPUTED_VALUE"""),"10CR0015V1")</f>
        <v>10CR0015V1</v>
      </c>
      <c r="O440" s="2" t="str">
        <f>IFERROR(__xludf.DUMMYFUNCTION("""COMPUTED_VALUE"""),"Phân bón Vi lượng AGAMA-CANXI BO")</f>
        <v>Phân bón Vi lượng AGAMA-CANXI BO</v>
      </c>
      <c r="P440" s="2" t="str">
        <f>IFERROR(__xludf.DUMMYFUNCTION("""COMPUTED_VALUE"""),"#N/A")</f>
        <v>#N/A</v>
      </c>
      <c r="Q440" s="30" t="str">
        <f>IFERROR(__xludf.DUMMYFUNCTION("""COMPUTED_VALUE"""),"KHÔNG KHỚP")</f>
        <v>KHÔNG KHỚP</v>
      </c>
      <c r="R440" s="2"/>
      <c r="S440" s="2"/>
      <c r="T440" s="2"/>
      <c r="U440" s="2"/>
      <c r="V440" s="2"/>
      <c r="W440" s="2"/>
      <c r="X440" s="2"/>
      <c r="Y440" s="2"/>
    </row>
    <row r="441">
      <c r="A441" s="30">
        <f>IFERROR(__xludf.DUMMYFUNCTION("""COMPUTED_VALUE"""),438.0)</f>
        <v>438</v>
      </c>
      <c r="B441" s="39">
        <f>IFERROR(__xludf.DUMMYFUNCTION("""COMPUTED_VALUE"""),45993.0)</f>
        <v>45993</v>
      </c>
      <c r="C441" s="30">
        <f>IFERROR(__xludf.DUMMYFUNCTION("""COMPUTED_VALUE"""),3.0)</f>
        <v>3</v>
      </c>
      <c r="D441" s="30" t="str">
        <f>IFERROR(__xludf.DUMMYFUNCTION("""COMPUTED_VALUE"""),"CT CŨ")</f>
        <v>CT CŨ</v>
      </c>
      <c r="E441" s="30"/>
      <c r="F441" s="2"/>
      <c r="G441" s="2" t="str">
        <f>IFERROR(__xludf.DUMMYFUNCTION("""COMPUTED_VALUE"""),"HH4507")</f>
        <v>HH4507</v>
      </c>
      <c r="H441" s="2" t="str">
        <f>IFERROR(__xludf.DUMMYFUNCTION("""COMPUTED_VALUE"""),"IDA Global - I - 4507 - KG - ORGANIC X2 (Nước nâu đen) - 1L - 20")</f>
        <v>IDA Global - I - 4507 - KG - ORGANIC X2 (Nước nâu đen) - 1L - 20</v>
      </c>
      <c r="I441" s="39" t="str">
        <f>IFERROR(__xludf.DUMMYFUNCTION("""COMPUTED_VALUE"""),"Hữu cơ SH Agro Organic Fertilizer 20")</f>
        <v>Hữu cơ SH Agro Organic Fertilizer 20</v>
      </c>
      <c r="J441" s="2" t="str">
        <f>IFERROR(__xludf.DUMMYFUNCTION("""COMPUTED_VALUE"""),"Đóng theo đơn gần nhất")</f>
        <v>Đóng theo đơn gần nhất</v>
      </c>
      <c r="K441" s="2"/>
      <c r="L441" s="2"/>
      <c r="M441" s="2" t="str">
        <f>IFERROR(__xludf.DUMMYFUNCTION("""COMPUTED_VALUE"""),"ORGANIC X2")</f>
        <v>ORGANIC X2</v>
      </c>
      <c r="N441" s="2" t="str">
        <f>IFERROR(__xludf.DUMMYFUNCTION("""COMPUTED_VALUE"""),"01RR0044V3")</f>
        <v>01RR0044V3</v>
      </c>
      <c r="O441" s="2" t="str">
        <f>IFERROR(__xludf.DUMMYFUNCTION("""COMPUTED_VALUE"""),"Phân bón Hữu cơ SH Agro Organic Fertilizer 20")</f>
        <v>Phân bón Hữu cơ SH Agro Organic Fertilizer 20</v>
      </c>
      <c r="P441" s="2" t="str">
        <f>IFERROR(__xludf.DUMMYFUNCTION("""COMPUTED_VALUE"""),"Phân bón Hữu cơ SH Agro Organic Fertilizer 20")</f>
        <v>Phân bón Hữu cơ SH Agro Organic Fertilizer 20</v>
      </c>
      <c r="Q441" s="30" t="str">
        <f>IFERROR(__xludf.DUMMYFUNCTION("""COMPUTED_VALUE"""),"KHỚP")</f>
        <v>KHỚP</v>
      </c>
      <c r="R441" s="2"/>
      <c r="S441" s="2"/>
      <c r="T441" s="2"/>
      <c r="U441" s="2"/>
      <c r="V441" s="2"/>
      <c r="W441" s="2"/>
      <c r="X441" s="2"/>
      <c r="Y441" s="2"/>
    </row>
    <row r="442">
      <c r="A442" s="30">
        <f>IFERROR(__xludf.DUMMYFUNCTION("""COMPUTED_VALUE"""),439.0)</f>
        <v>439</v>
      </c>
      <c r="B442" s="39">
        <f>IFERROR(__xludf.DUMMYFUNCTION("""COMPUTED_VALUE"""),45993.0)</f>
        <v>45993</v>
      </c>
      <c r="C442" s="30">
        <f>IFERROR(__xludf.DUMMYFUNCTION("""COMPUTED_VALUE"""),4.0)</f>
        <v>4</v>
      </c>
      <c r="D442" s="30" t="str">
        <f>IFERROR(__xludf.DUMMYFUNCTION("""COMPUTED_VALUE"""),"CT CŨ")</f>
        <v>CT CŨ</v>
      </c>
      <c r="E442" s="30"/>
      <c r="F442" s="2"/>
      <c r="G442" s="2" t="str">
        <f>IFERROR(__xludf.DUMMYFUNCTION("""COMPUTED_VALUE"""),"HH4090")</f>
        <v>HH4090</v>
      </c>
      <c r="H442" s="2" t="str">
        <f>IFERROR(__xludf.DUMMYFUNCTION("""COMPUTED_VALUE"""),"IDA Global - I - 4090 - IDA ORGANIC X2 (Nước nâu đen) - 1L - 20")</f>
        <v>IDA Global - I - 4090 - IDA ORGANIC X2 (Nước nâu đen) - 1L - 20</v>
      </c>
      <c r="I442" s="2" t="str">
        <f>IFERROR(__xludf.DUMMYFUNCTION("""COMPUTED_VALUE"""),"#N/A")</f>
        <v>#N/A</v>
      </c>
      <c r="J442" s="2" t="str">
        <f>IFERROR(__xludf.DUMMYFUNCTION("""COMPUTED_VALUE"""),"Đóng theo đơn gần nhất")</f>
        <v>Đóng theo đơn gần nhất</v>
      </c>
      <c r="K442" s="2"/>
      <c r="L442" s="2"/>
      <c r="M442" s="2" t="str">
        <f>IFERROR(__xludf.DUMMYFUNCTION("""COMPUTED_VALUE"""),"ORGANIC X2")</f>
        <v>ORGANIC X2</v>
      </c>
      <c r="N442" s="2" t="str">
        <f>IFERROR(__xludf.DUMMYFUNCTION("""COMPUTED_VALUE"""),"01RR0044V3")</f>
        <v>01RR0044V3</v>
      </c>
      <c r="O442" s="2" t="str">
        <f>IFERROR(__xludf.DUMMYFUNCTION("""COMPUTED_VALUE"""),"Phân bón Hữu cơ SH Agro Organic Fertilizer 20")</f>
        <v>Phân bón Hữu cơ SH Agro Organic Fertilizer 20</v>
      </c>
      <c r="P442" s="2" t="str">
        <f>IFERROR(__xludf.DUMMYFUNCTION("""COMPUTED_VALUE"""),"#N/A")</f>
        <v>#N/A</v>
      </c>
      <c r="Q442" s="30" t="str">
        <f>IFERROR(__xludf.DUMMYFUNCTION("""COMPUTED_VALUE"""),"KHÔNG KHỚP")</f>
        <v>KHÔNG KHỚP</v>
      </c>
      <c r="R442" s="2"/>
      <c r="S442" s="2"/>
      <c r="T442" s="2"/>
      <c r="U442" s="2"/>
      <c r="V442" s="2"/>
      <c r="W442" s="2"/>
      <c r="X442" s="2"/>
      <c r="Y442" s="2"/>
    </row>
    <row r="443">
      <c r="A443" s="30">
        <f>IFERROR(__xludf.DUMMYFUNCTION("""COMPUTED_VALUE"""),440.0)</f>
        <v>440</v>
      </c>
      <c r="B443" s="39">
        <f>IFERROR(__xludf.DUMMYFUNCTION("""COMPUTED_VALUE"""),46030.0)</f>
        <v>46030</v>
      </c>
      <c r="C443" s="30">
        <f>IFERROR(__xludf.DUMMYFUNCTION("""COMPUTED_VALUE"""),1.0)</f>
        <v>1</v>
      </c>
      <c r="D443" s="30" t="str">
        <f>IFERROR(__xludf.DUMMYFUNCTION("""COMPUTED_VALUE"""),"CT MỚI")</f>
        <v>CT MỚI</v>
      </c>
      <c r="E443" s="30"/>
      <c r="F443" s="2"/>
      <c r="G443" s="2" t="str">
        <f>IFERROR(__xludf.DUMMYFUNCTION("""COMPUTED_VALUE"""),"HH3050")</f>
        <v>HH3050</v>
      </c>
      <c r="H443" s="2" t="str">
        <f>IFERROR(__xludf.DUMMYFUNCTION("""COMPUTED_VALUE"""),"IDA Global - I - 3050 - SIÊU KẼM 247 (Nước vàng nhạt) - 250ml - 40")</f>
        <v>IDA Global - I - 3050 - SIÊU KẼM 247 (Nước vàng nhạt) - 250ml - 40</v>
      </c>
      <c r="I443" s="2" t="str">
        <f>IFERROR(__xludf.DUMMYFUNCTION("""COMPUTED_VALUE"""),"#N/A")</f>
        <v>#N/A</v>
      </c>
      <c r="J443" s="2" t="str">
        <f>IFERROR(__xludf.DUMMYFUNCTION("""COMPUTED_VALUE"""),"Đóng theo đơn gần nhất")</f>
        <v>Đóng theo đơn gần nhất</v>
      </c>
      <c r="K443" s="2"/>
      <c r="L443" s="2"/>
      <c r="M443" s="2" t="str">
        <f>IFERROR(__xludf.DUMMYFUNCTION("""COMPUTED_VALUE"""),"SIÊU KẼM 247")</f>
        <v>SIÊU KẼM 247</v>
      </c>
      <c r="N443" s="2" t="str">
        <f>IFERROR(__xludf.DUMMYFUNCTION("""COMPUTED_VALUE"""),"03DD0003V1")</f>
        <v>03DD0003V1</v>
      </c>
      <c r="O443" s="2" t="str">
        <f>IFERROR(__xludf.DUMMYFUNCTION("""COMPUTED_VALUE"""),"Phân bón Vi lượng AGAMA-ZN")</f>
        <v>Phân bón Vi lượng AGAMA-ZN</v>
      </c>
      <c r="P443" s="2" t="str">
        <f>IFERROR(__xludf.DUMMYFUNCTION("""COMPUTED_VALUE"""),"#N/A")</f>
        <v>#N/A</v>
      </c>
      <c r="Q443" s="30" t="str">
        <f>IFERROR(__xludf.DUMMYFUNCTION("""COMPUTED_VALUE"""),"KHÔNG KHỚP")</f>
        <v>KHÔNG KHỚP</v>
      </c>
      <c r="R443" s="2"/>
      <c r="S443" s="2"/>
      <c r="T443" s="2"/>
      <c r="U443" s="2"/>
      <c r="V443" s="2"/>
      <c r="W443" s="2"/>
      <c r="X443" s="2"/>
      <c r="Y443" s="2"/>
    </row>
    <row r="444">
      <c r="A444" s="30">
        <f>IFERROR(__xludf.DUMMYFUNCTION("""COMPUTED_VALUE"""),441.0)</f>
        <v>441</v>
      </c>
      <c r="B444" s="39">
        <f>IFERROR(__xludf.DUMMYFUNCTION("""COMPUTED_VALUE"""),45908.0)</f>
        <v>45908</v>
      </c>
      <c r="C444" s="30">
        <f>IFERROR(__xludf.DUMMYFUNCTION("""COMPUTED_VALUE"""),1.0)</f>
        <v>1</v>
      </c>
      <c r="D444" s="30" t="str">
        <f>IFERROR(__xludf.DUMMYFUNCTION("""COMPUTED_VALUE"""),"CT CŨ")</f>
        <v>CT CŨ</v>
      </c>
      <c r="E444" s="30"/>
      <c r="F444" s="2"/>
      <c r="G444" s="2" t="str">
        <f>IFERROR(__xludf.DUMMYFUNCTION("""COMPUTED_VALUE"""),"HH4617")</f>
        <v>HH4617</v>
      </c>
      <c r="H444" s="2" t="str">
        <f>IFERROR(__xludf.DUMMYFUNCTION("""COMPUTED_VALUE"""),"IDA Global - I - 4617 - RONADO (Nước tím) - 450ml - 40")</f>
        <v>IDA Global - I - 4617 - RONADO (Nước tím) - 450ml - 40</v>
      </c>
      <c r="I444" s="39" t="str">
        <f>IFERROR(__xludf.DUMMYFUNCTION("""COMPUTED_VALUE"""),"Hỗn Hợp NP AGAMA-AP")</f>
        <v>Hỗn Hợp NP AGAMA-AP</v>
      </c>
      <c r="J444" s="2" t="str">
        <f>IFERROR(__xludf.DUMMYFUNCTION("""COMPUTED_VALUE"""),"Chung ruột HH3994")</f>
        <v>Chung ruột HH3994</v>
      </c>
      <c r="K444" s="2"/>
      <c r="L444" s="2" t="str">
        <f>IFERROR(__xludf.DUMMYFUNCTION("""COMPUTED_VALUE"""),"L03130525")</f>
        <v>L03130525</v>
      </c>
      <c r="M444" s="2" t="str">
        <f>IFERROR(__xludf.DUMMYFUNCTION("""COMPUTED_VALUE"""),"RONADO 
(CẢI TIẾN)")</f>
        <v>RONADO 
(CẢI TIẾN)</v>
      </c>
      <c r="N444" s="2" t="str">
        <f>IFERROR(__xludf.DUMMYFUNCTION("""COMPUTED_VALUE"""),"01RR0072")</f>
        <v>01RR0072</v>
      </c>
      <c r="O444" s="2" t="str">
        <f>IFERROR(__xludf.DUMMYFUNCTION("""COMPUTED_VALUE"""),"Phân bón Hỗn hợp NP AGAMA-AP")</f>
        <v>Phân bón Hỗn hợp NP AGAMA-AP</v>
      </c>
      <c r="P444" s="2" t="str">
        <f>IFERROR(__xludf.DUMMYFUNCTION("""COMPUTED_VALUE"""),"Phân bón Hỗn Hợp NP AGAMA-AP")</f>
        <v>Phân bón Hỗn Hợp NP AGAMA-AP</v>
      </c>
      <c r="Q444" s="30" t="str">
        <f>IFERROR(__xludf.DUMMYFUNCTION("""COMPUTED_VALUE"""),"KHỚP")</f>
        <v>KHỚP</v>
      </c>
      <c r="R444" s="2"/>
      <c r="S444" s="2"/>
      <c r="T444" s="2"/>
      <c r="U444" s="2"/>
      <c r="V444" s="2"/>
      <c r="W444" s="2"/>
      <c r="X444" s="2"/>
      <c r="Y444" s="2"/>
    </row>
    <row r="445">
      <c r="A445" s="30">
        <f>IFERROR(__xludf.DUMMYFUNCTION("""COMPUTED_VALUE"""),442.0)</f>
        <v>442</v>
      </c>
      <c r="B445" s="39">
        <f>IFERROR(__xludf.DUMMYFUNCTION("""COMPUTED_VALUE"""),45905.0)</f>
        <v>45905</v>
      </c>
      <c r="C445" s="30">
        <f>IFERROR(__xludf.DUMMYFUNCTION("""COMPUTED_VALUE"""),1.0)</f>
        <v>1</v>
      </c>
      <c r="D445" s="30" t="str">
        <f>IFERROR(__xludf.DUMMYFUNCTION("""COMPUTED_VALUE"""),"CT CŨ")</f>
        <v>CT CŨ</v>
      </c>
      <c r="E445" s="30"/>
      <c r="F445" s="2"/>
      <c r="G445" s="2" t="str">
        <f>IFERROR(__xludf.DUMMYFUNCTION("""COMPUTED_VALUE"""),"HH4553")</f>
        <v>HH4553</v>
      </c>
      <c r="H445" s="2" t="str">
        <f>IFERROR(__xludf.DUMMYFUNCTION("""COMPUTED_VALUE"""),"IDA Global - I - 4553 - Lưu dẫn thấm sâu mới (Nước xanh dương) - 120ml - 50")</f>
        <v>IDA Global - I - 4553 - Lưu dẫn thấm sâu mới (Nước xanh dương) - 120ml - 50</v>
      </c>
      <c r="I445" s="39" t="str">
        <f>IFERROR(__xludf.DUMMYFUNCTION("""COMPUTED_VALUE"""),"Vi lượng Quantity New")</f>
        <v>Vi lượng Quantity New</v>
      </c>
      <c r="J445" s="2" t="str">
        <f>IFERROR(__xludf.DUMMYFUNCTION("""COMPUTED_VALUE"""),"Chung ruột 3910")</f>
        <v>Chung ruột 3910</v>
      </c>
      <c r="K445" s="2"/>
      <c r="L445" s="2"/>
      <c r="M445" s="2" t="str">
        <f>IFERROR(__xludf.DUMMYFUNCTION("""COMPUTED_VALUE"""),"LƯU DẪN THẤM SẤU ")</f>
        <v>LƯU DẪN THẤM SẤU </v>
      </c>
      <c r="N445" s="2" t="str">
        <f>IFERROR(__xludf.DUMMYFUNCTION("""COMPUTED_VALUE"""),"18TL0002V1")</f>
        <v>18TL0002V1</v>
      </c>
      <c r="O445" s="2" t="str">
        <f>IFERROR(__xludf.DUMMYFUNCTION("""COMPUTED_VALUE"""),"Phân bón Vi lượng Quantity New")</f>
        <v>Phân bón Vi lượng Quantity New</v>
      </c>
      <c r="P445" s="2" t="str">
        <f>IFERROR(__xludf.DUMMYFUNCTION("""COMPUTED_VALUE"""),"Phân bón Vi lượng Quantity New")</f>
        <v>Phân bón Vi lượng Quantity New</v>
      </c>
      <c r="Q445" s="30" t="str">
        <f>IFERROR(__xludf.DUMMYFUNCTION("""COMPUTED_VALUE"""),"KHỚP")</f>
        <v>KHỚP</v>
      </c>
      <c r="R445" s="2"/>
      <c r="S445" s="2"/>
      <c r="T445" s="2"/>
      <c r="U445" s="2"/>
      <c r="V445" s="2"/>
      <c r="W445" s="2"/>
      <c r="X445" s="2"/>
      <c r="Y445" s="2"/>
    </row>
    <row r="446">
      <c r="A446" s="30">
        <f>IFERROR(__xludf.DUMMYFUNCTION("""COMPUTED_VALUE"""),443.0)</f>
        <v>443</v>
      </c>
      <c r="B446" s="39">
        <f>IFERROR(__xludf.DUMMYFUNCTION("""COMPUTED_VALUE"""),45896.0)</f>
        <v>45896</v>
      </c>
      <c r="C446" s="30">
        <f>IFERROR(__xludf.DUMMYFUNCTION("""COMPUTED_VALUE"""),2.0)</f>
        <v>2</v>
      </c>
      <c r="D446" s="30" t="str">
        <f>IFERROR(__xludf.DUMMYFUNCTION("""COMPUTED_VALUE"""),"CT CŨ")</f>
        <v>CT CŨ</v>
      </c>
      <c r="E446" s="30"/>
      <c r="F446" s="2"/>
      <c r="G446" s="2" t="str">
        <f>IFERROR(__xludf.DUMMYFUNCTION("""COMPUTED_VALUE"""),"HH4493")</f>
        <v>HH4493</v>
      </c>
      <c r="H446" s="2" t="str">
        <f>IFERROR(__xludf.DUMMYFUNCTION("""COMPUTED_VALUE"""),"GC - V - 4493 - CTY CAPY GLOBAL - CANXI.BO EXTRA (Nước trắng sữa) - 500ml - 40")</f>
        <v>GC - V - 4493 - CTY CAPY GLOBAL - CANXI.BO EXTRA (Nước trắng sữa) - 500ml - 40</v>
      </c>
      <c r="I446" s="2" t="str">
        <f>IFERROR(__xludf.DUMMYFUNCTION("""COMPUTED_VALUE"""),"#N/A")</f>
        <v>#N/A</v>
      </c>
      <c r="J446" s="2" t="str">
        <f>IFERROR(__xludf.DUMMYFUNCTION("""COMPUTED_VALUE"""),"A02160725")</f>
        <v>A02160725</v>
      </c>
      <c r="K446" s="2"/>
      <c r="L446" s="2" t="str">
        <f>IFERROR(__xludf.DUMMYFUNCTION("""COMPUTED_VALUE"""),"A02160725")</f>
        <v>A02160725</v>
      </c>
      <c r="M446" s="2" t="str">
        <f>IFERROR(__xludf.DUMMYFUNCTION("""COMPUTED_VALUE"""),"AGAMA-CANXI BO
(KIM NGỌC)")</f>
        <v>AGAMA-CANXI BO
(KIM NGỌC)</v>
      </c>
      <c r="N446" s="2" t="str">
        <f>IFERROR(__xludf.DUMMYFUNCTION("""COMPUTED_VALUE"""),"10CR0021")</f>
        <v>10CR0021</v>
      </c>
      <c r="O446" s="2" t="str">
        <f>IFERROR(__xludf.DUMMYFUNCTION("""COMPUTED_VALUE"""),"Phân bón Vi lượng AGAMA-CANXI BO")</f>
        <v>Phân bón Vi lượng AGAMA-CANXI BO</v>
      </c>
      <c r="P446" s="2" t="str">
        <f>IFERROR(__xludf.DUMMYFUNCTION("""COMPUTED_VALUE"""),"#N/A")</f>
        <v>#N/A</v>
      </c>
      <c r="Q446" s="30" t="str">
        <f>IFERROR(__xludf.DUMMYFUNCTION("""COMPUTED_VALUE"""),"KHÔNG KHỚP")</f>
        <v>KHÔNG KHỚP</v>
      </c>
      <c r="R446" s="2"/>
      <c r="S446" s="2"/>
      <c r="T446" s="2"/>
      <c r="U446" s="2"/>
      <c r="V446" s="2"/>
      <c r="W446" s="2"/>
      <c r="X446" s="2"/>
      <c r="Y446" s="2"/>
    </row>
    <row r="447">
      <c r="A447" s="30">
        <f>IFERROR(__xludf.DUMMYFUNCTION("""COMPUTED_VALUE"""),444.0)</f>
        <v>444</v>
      </c>
      <c r="B447" s="39">
        <f>IFERROR(__xludf.DUMMYFUNCTION("""COMPUTED_VALUE"""),46030.0)</f>
        <v>46030</v>
      </c>
      <c r="C447" s="30">
        <f>IFERROR(__xludf.DUMMYFUNCTION("""COMPUTED_VALUE"""),1.0)</f>
        <v>1</v>
      </c>
      <c r="D447" s="30" t="str">
        <f>IFERROR(__xludf.DUMMYFUNCTION("""COMPUTED_VALUE"""),"CT MỚI")</f>
        <v>CT MỚI</v>
      </c>
      <c r="E447" s="30"/>
      <c r="F447" s="2"/>
      <c r="G447" s="2" t="str">
        <f>IFERROR(__xludf.DUMMYFUNCTION("""COMPUTED_VALUE"""),"HH4609")</f>
        <v>HH4609</v>
      </c>
      <c r="H447" s="2" t="str">
        <f>IFERROR(__xludf.DUMMYFUNCTION("""COMPUTED_VALUE"""),"IDA GLOBAL (ĐL ÚT TÈO) - Hữu Cơ Organic ĐGP 01 - WINNER EXTRA - 500ml - 40")</f>
        <v>IDA GLOBAL (ĐL ÚT TÈO) - Hữu Cơ Organic ĐGP 01 - WINNER EXTRA - 500ml - 40</v>
      </c>
      <c r="I447" s="2" t="str">
        <f>IFERROR(__xludf.DUMMYFUNCTION("""COMPUTED_VALUE"""),"#N/A")</f>
        <v>#N/A</v>
      </c>
      <c r="J447" s="2" t="str">
        <f>IFERROR(__xludf.DUMMYFUNCTION("""COMPUTED_VALUE"""),"I01171025")</f>
        <v>I01171025</v>
      </c>
      <c r="K447" s="2"/>
      <c r="L447" s="2" t="str">
        <f>IFERROR(__xludf.DUMMYFUNCTION("""COMPUTED_VALUE"""),"I01171025")</f>
        <v>I01171025</v>
      </c>
      <c r="M447" s="2" t="str">
        <f>IFERROR(__xludf.DUMMYFUNCTION("""COMPUTED_VALUE"""),"WINNER SC ")</f>
        <v>WINNER SC </v>
      </c>
      <c r="N447" s="2" t="str">
        <f>IFERROR(__xludf.DUMMYFUNCTION("""COMPUTED_VALUE"""),"04VG0010V3")</f>
        <v>04VG0010V3</v>
      </c>
      <c r="O447" s="2" t="str">
        <f>IFERROR(__xludf.DUMMYFUNCTION("""COMPUTED_VALUE"""),"Phân bón Hữu cơ ORGANIC ĐGP 01 ")</f>
        <v>Phân bón Hữu cơ ORGANIC ĐGP 01 </v>
      </c>
      <c r="P447" s="2" t="str">
        <f>IFERROR(__xludf.DUMMYFUNCTION("""COMPUTED_VALUE"""),"#N/A")</f>
        <v>#N/A</v>
      </c>
      <c r="Q447" s="30" t="str">
        <f>IFERROR(__xludf.DUMMYFUNCTION("""COMPUTED_VALUE"""),"KHÔNG KHỚP")</f>
        <v>KHÔNG KHỚP</v>
      </c>
      <c r="R447" s="2"/>
      <c r="S447" s="2"/>
      <c r="T447" s="2"/>
      <c r="U447" s="2"/>
      <c r="V447" s="2"/>
      <c r="W447" s="2"/>
      <c r="X447" s="2"/>
      <c r="Y447" s="2"/>
    </row>
    <row r="448">
      <c r="A448" s="30">
        <f>IFERROR(__xludf.DUMMYFUNCTION("""COMPUTED_VALUE"""),445.0)</f>
        <v>445</v>
      </c>
      <c r="B448" s="39">
        <f>IFERROR(__xludf.DUMMYFUNCTION("""COMPUTED_VALUE"""),46001.0)</f>
        <v>46001</v>
      </c>
      <c r="C448" s="30">
        <f>IFERROR(__xludf.DUMMYFUNCTION("""COMPUTED_VALUE"""),5.0)</f>
        <v>5</v>
      </c>
      <c r="D448" s="30" t="str">
        <f>IFERROR(__xludf.DUMMYFUNCTION("""COMPUTED_VALUE"""),"CT CŨ")</f>
        <v>CT CŨ</v>
      </c>
      <c r="E448" s="30"/>
      <c r="F448" s="2"/>
      <c r="G448" s="2" t="str">
        <f>IFERROR(__xludf.DUMMYFUNCTION("""COMPUTED_VALUE"""),"HH4455")</f>
        <v>HH4455</v>
      </c>
      <c r="H448" s="2" t="str">
        <f>IFERROR(__xludf.DUMMYFUNCTION("""COMPUTED_VALUE"""),"IDA Global - I - 4455 - CỨNG CÂY 304 (Nước nâu đen) - 500ml - 40")</f>
        <v>IDA Global - I - 4455 - CỨNG CÂY 304 (Nước nâu đen) - 500ml - 40</v>
      </c>
      <c r="I448" s="39" t="str">
        <f>IFERROR(__xludf.DUMMYFUNCTION("""COMPUTED_VALUE"""),"Hữu cơ SH Agro Organic Fertilizer 20")</f>
        <v>Hữu cơ SH Agro Organic Fertilizer 20</v>
      </c>
      <c r="J448" s="2" t="str">
        <f>IFERROR(__xludf.DUMMYFUNCTION("""COMPUTED_VALUE"""),"Đóng theo đơn gần nhất")</f>
        <v>Đóng theo đơn gần nhất</v>
      </c>
      <c r="K448" s="2"/>
      <c r="L448" s="2" t="str">
        <f>IFERROR(__xludf.DUMMYFUNCTION("""COMPUTED_VALUE"""),"L01261124")</f>
        <v>L01261124</v>
      </c>
      <c r="M448" s="2" t="str">
        <f>IFERROR(__xludf.DUMMYFUNCTION("""COMPUTED_VALUE"""),"CỨNG CÂY 304")</f>
        <v>CỨNG CÂY 304</v>
      </c>
      <c r="N448" s="2" t="str">
        <f>IFERROR(__xludf.DUMMYFUNCTION("""COMPUTED_VALUE"""),"02CC0002V3")</f>
        <v>02CC0002V3</v>
      </c>
      <c r="O448" s="2" t="str">
        <f>IFERROR(__xludf.DUMMYFUNCTION("""COMPUTED_VALUE"""),"Phân bón Hữu cơ SH Agro Organic Fertilizer 20")</f>
        <v>Phân bón Hữu cơ SH Agro Organic Fertilizer 20</v>
      </c>
      <c r="P448" s="2" t="str">
        <f>IFERROR(__xludf.DUMMYFUNCTION("""COMPUTED_VALUE"""),"Phân bón Hữu cơ SH Agro Organic Fertilizer 20")</f>
        <v>Phân bón Hữu cơ SH Agro Organic Fertilizer 20</v>
      </c>
      <c r="Q448" s="30" t="str">
        <f>IFERROR(__xludf.DUMMYFUNCTION("""COMPUTED_VALUE"""),"KHỚP")</f>
        <v>KHỚP</v>
      </c>
      <c r="R448" s="2"/>
      <c r="S448" s="2"/>
      <c r="T448" s="2"/>
      <c r="U448" s="2"/>
      <c r="V448" s="2"/>
      <c r="W448" s="2"/>
      <c r="X448" s="2"/>
      <c r="Y448" s="2"/>
    </row>
    <row r="449">
      <c r="A449" s="30">
        <f>IFERROR(__xludf.DUMMYFUNCTION("""COMPUTED_VALUE"""),446.0)</f>
        <v>446</v>
      </c>
      <c r="B449" s="39">
        <f>IFERROR(__xludf.DUMMYFUNCTION("""COMPUTED_VALUE"""),46002.0)</f>
        <v>46002</v>
      </c>
      <c r="C449" s="30">
        <f>IFERROR(__xludf.DUMMYFUNCTION("""COMPUTED_VALUE"""),3.0)</f>
        <v>3</v>
      </c>
      <c r="D449" s="30" t="str">
        <f>IFERROR(__xludf.DUMMYFUNCTION("""COMPUTED_VALUE"""),"CT CŨ")</f>
        <v>CT CŨ</v>
      </c>
      <c r="E449" s="30"/>
      <c r="F449" s="2"/>
      <c r="G449" s="2" t="str">
        <f>IFERROR(__xludf.DUMMYFUNCTION("""COMPUTED_VALUE"""),"HH4285")</f>
        <v>HH4285</v>
      </c>
      <c r="H449" s="2" t="str">
        <f>IFERROR(__xludf.DUMMYFUNCTION("""COMPUTED_VALUE"""),"IDA Global - I - 4285 - STOP UP (Nước nâu đen) - 1L - 20")</f>
        <v>IDA Global - I - 4285 - STOP UP (Nước nâu đen) - 1L - 20</v>
      </c>
      <c r="I449" s="2" t="str">
        <f>IFERROR(__xludf.DUMMYFUNCTION("""COMPUTED_VALUE"""),"#N/A")</f>
        <v>#N/A</v>
      </c>
      <c r="J449" s="2" t="str">
        <f>IFERROR(__xludf.DUMMYFUNCTION("""COMPUTED_VALUE"""),"Đóng theo đơn gần nhất")</f>
        <v>Đóng theo đơn gần nhất</v>
      </c>
      <c r="K449" s="2"/>
      <c r="L449" s="2" t="str">
        <f>IFERROR(__xludf.DUMMYFUNCTION("""COMPUTED_VALUE"""),"CHẶN ĐỌT DÒNG V2")</f>
        <v>CHẶN ĐỌT DÒNG V2</v>
      </c>
      <c r="M449" s="2" t="str">
        <f>IFERROR(__xludf.DUMMYFUNCTION("""COMPUTED_VALUE"""),"STOP UP
MT STOP
AGRI STOP
STOP ĐỌT
SIÊU CHẶN ĐỌT
MASTER STOP
UNI STOP ONE
BAMBOO DOUBLE STOP")</f>
        <v>STOP UP
MT STOP
AGRI STOP
STOP ĐỌT
SIÊU CHẶN ĐỌT
MASTER STOP
UNI STOP ONE
BAMBOO DOUBLE STOP</v>
      </c>
      <c r="N449" s="2" t="str">
        <f>IFERROR(__xludf.DUMMYFUNCTION("""COMPUTED_VALUE"""),"06CD0009V3")</f>
        <v>06CD0009V3</v>
      </c>
      <c r="O449" s="2" t="str">
        <f>IFERROR(__xludf.DUMMYFUNCTION("""COMPUTED_VALUE"""),"Phân bón Vi lượng Quantity New")</f>
        <v>Phân bón Vi lượng Quantity New</v>
      </c>
      <c r="P449" s="2" t="str">
        <f>IFERROR(__xludf.DUMMYFUNCTION("""COMPUTED_VALUE"""),"#N/A")</f>
        <v>#N/A</v>
      </c>
      <c r="Q449" s="30" t="str">
        <f>IFERROR(__xludf.DUMMYFUNCTION("""COMPUTED_VALUE"""),"KHÔNG KHỚP")</f>
        <v>KHÔNG KHỚP</v>
      </c>
      <c r="R449" s="2"/>
      <c r="S449" s="2"/>
      <c r="T449" s="2"/>
      <c r="U449" s="2"/>
      <c r="V449" s="2"/>
      <c r="W449" s="2"/>
      <c r="X449" s="2"/>
      <c r="Y449" s="2"/>
    </row>
    <row r="450">
      <c r="A450" s="30">
        <f>IFERROR(__xludf.DUMMYFUNCTION("""COMPUTED_VALUE"""),447.0)</f>
        <v>447</v>
      </c>
      <c r="B450" s="39">
        <f>IFERROR(__xludf.DUMMYFUNCTION("""COMPUTED_VALUE"""),45952.0)</f>
        <v>45952</v>
      </c>
      <c r="C450" s="30">
        <f>IFERROR(__xludf.DUMMYFUNCTION("""COMPUTED_VALUE"""),1.0)</f>
        <v>1</v>
      </c>
      <c r="D450" s="30" t="str">
        <f>IFERROR(__xludf.DUMMYFUNCTION("""COMPUTED_VALUE"""),"CT CŨ")</f>
        <v>CT CŨ</v>
      </c>
      <c r="E450" s="30"/>
      <c r="F450" s="2"/>
      <c r="G450" s="2" t="str">
        <f>IFERROR(__xludf.DUMMYFUNCTION("""COMPUTED_VALUE"""),"HH4204")</f>
        <v>HH4204</v>
      </c>
      <c r="H450" s="2" t="str">
        <f>IFERROR(__xludf.DUMMYFUNCTION("""COMPUTED_VALUE"""),"DR.XANH - VIII - 4204 - ROBUST EXTRA (Gel nâu đen) - 500ml - 40")</f>
        <v>DR.XANH - VIII - 4204 - ROBUST EXTRA (Gel nâu đen) - 500ml - 40</v>
      </c>
      <c r="I450" s="39" t="str">
        <f>IFERROR(__xludf.DUMMYFUNCTION("""COMPUTED_VALUE"""),"Hữu cơ ROOTS US90")</f>
        <v>Hữu cơ ROOTS US90</v>
      </c>
      <c r="J450" s="2" t="str">
        <f>IFERROR(__xludf.DUMMYFUNCTION("""COMPUTED_VALUE"""),"X01180825")</f>
        <v>X01180825</v>
      </c>
      <c r="K450" s="2"/>
      <c r="L450" s="2" t="str">
        <f>IFERROR(__xludf.DUMMYFUNCTION("""COMPUTED_VALUE"""),"X01180825")</f>
        <v>X01180825</v>
      </c>
      <c r="M450" s="2" t="str">
        <f>IFERROR(__xludf.DUMMYFUNCTION("""COMPUTED_VALUE"""),"ROBUST EXTRA")</f>
        <v>ROBUST EXTRA</v>
      </c>
      <c r="N450" s="2" t="str">
        <f>IFERROR(__xludf.DUMMYFUNCTION("""COMPUTED_VALUE"""),"01RR0071V5")</f>
        <v>01RR0071V5</v>
      </c>
      <c r="O450" s="2" t="str">
        <f>IFERROR(__xludf.DUMMYFUNCTION("""COMPUTED_VALUE"""),"Phân bón hữu cơ ROOTS US90")</f>
        <v>Phân bón hữu cơ ROOTS US90</v>
      </c>
      <c r="P450" s="2" t="str">
        <f>IFERROR(__xludf.DUMMYFUNCTION("""COMPUTED_VALUE"""),"Phân bón Hữu cơ ROOTS US90")</f>
        <v>Phân bón Hữu cơ ROOTS US90</v>
      </c>
      <c r="Q450" s="30" t="str">
        <f>IFERROR(__xludf.DUMMYFUNCTION("""COMPUTED_VALUE"""),"KHỚP")</f>
        <v>KHỚP</v>
      </c>
      <c r="R450" s="2"/>
      <c r="S450" s="2"/>
      <c r="T450" s="2"/>
      <c r="U450" s="2"/>
      <c r="V450" s="2"/>
      <c r="W450" s="2"/>
      <c r="X450" s="2"/>
      <c r="Y450" s="2"/>
    </row>
    <row r="451">
      <c r="A451" s="30">
        <f>IFERROR(__xludf.DUMMYFUNCTION("""COMPUTED_VALUE"""),448.0)</f>
        <v>448</v>
      </c>
      <c r="B451" s="39">
        <f>IFERROR(__xludf.DUMMYFUNCTION("""COMPUTED_VALUE"""),45952.0)</f>
        <v>45952</v>
      </c>
      <c r="C451" s="30">
        <f>IFERROR(__xludf.DUMMYFUNCTION("""COMPUTED_VALUE"""),4.0)</f>
        <v>4</v>
      </c>
      <c r="D451" s="30" t="str">
        <f>IFERROR(__xludf.DUMMYFUNCTION("""COMPUTED_VALUE"""),"CT CŨ")</f>
        <v>CT CŨ</v>
      </c>
      <c r="E451" s="30"/>
      <c r="F451" s="2"/>
      <c r="G451" s="2" t="str">
        <f>IFERROR(__xludf.DUMMYFUNCTION("""COMPUTED_VALUE"""),"HH4206")</f>
        <v>HH4206</v>
      </c>
      <c r="H451" s="2" t="str">
        <f>IFERROR(__xludf.DUMMYFUNCTION("""COMPUTED_VALUE"""),"DR.XANH - VIII - 4206 - ROBUST EXTRA (Gel nâu đen) - 250ml - 40")</f>
        <v>DR.XANH - VIII - 4206 - ROBUST EXTRA (Gel nâu đen) - 250ml - 40</v>
      </c>
      <c r="I451" s="2" t="str">
        <f>IFERROR(__xludf.DUMMYFUNCTION("""COMPUTED_VALUE"""),"#N/A")</f>
        <v>#N/A</v>
      </c>
      <c r="J451" s="2" t="str">
        <f>IFERROR(__xludf.DUMMYFUNCTION("""COMPUTED_VALUE"""),"X01180825")</f>
        <v>X01180825</v>
      </c>
      <c r="K451" s="2"/>
      <c r="L451" s="2" t="str">
        <f>IFERROR(__xludf.DUMMYFUNCTION("""COMPUTED_VALUE"""),"X01180825")</f>
        <v>X01180825</v>
      </c>
      <c r="M451" s="2" t="str">
        <f>IFERROR(__xludf.DUMMYFUNCTION("""COMPUTED_VALUE"""),"ROBUST EXTRA")</f>
        <v>ROBUST EXTRA</v>
      </c>
      <c r="N451" s="2" t="str">
        <f>IFERROR(__xludf.DUMMYFUNCTION("""COMPUTED_VALUE"""),"01RR0071V5")</f>
        <v>01RR0071V5</v>
      </c>
      <c r="O451" s="2" t="str">
        <f>IFERROR(__xludf.DUMMYFUNCTION("""COMPUTED_VALUE"""),"Phân bón hữu cơ ROOTS US90")</f>
        <v>Phân bón hữu cơ ROOTS US90</v>
      </c>
      <c r="P451" s="2" t="str">
        <f>IFERROR(__xludf.DUMMYFUNCTION("""COMPUTED_VALUE"""),"#N/A")</f>
        <v>#N/A</v>
      </c>
      <c r="Q451" s="30" t="str">
        <f>IFERROR(__xludf.DUMMYFUNCTION("""COMPUTED_VALUE"""),"KHÔNG KHỚP")</f>
        <v>KHÔNG KHỚP</v>
      </c>
      <c r="R451" s="2"/>
      <c r="S451" s="2"/>
      <c r="T451" s="2"/>
      <c r="U451" s="2"/>
      <c r="V451" s="2"/>
      <c r="W451" s="2"/>
      <c r="X451" s="2"/>
      <c r="Y451" s="2"/>
    </row>
    <row r="452">
      <c r="A452" s="30">
        <f>IFERROR(__xludf.DUMMYFUNCTION("""COMPUTED_VALUE"""),449.0)</f>
        <v>449</v>
      </c>
      <c r="B452" s="39">
        <f>IFERROR(__xludf.DUMMYFUNCTION("""COMPUTED_VALUE"""),-618775.0)</f>
        <v>-618775</v>
      </c>
      <c r="C452" s="30">
        <f>IFERROR(__xludf.DUMMYFUNCTION("""COMPUTED_VALUE"""),1.0)</f>
        <v>1</v>
      </c>
      <c r="D452" s="30" t="str">
        <f>IFERROR(__xludf.DUMMYFUNCTION("""COMPUTED_VALUE"""),"CT CŨ")</f>
        <v>CT CŨ</v>
      </c>
      <c r="E452" s="30"/>
      <c r="F452" s="2"/>
      <c r="G452" s="2" t="str">
        <f>IFERROR(__xludf.DUMMYFUNCTION("""COMPUTED_VALUE"""),"HH4645")</f>
        <v>HH4645</v>
      </c>
      <c r="H452" s="2" t="str">
        <f>IFERROR(__xludf.DUMMYFUNCTION("""COMPUTED_VALUE"""),"DR.XANH - Hữu cơ Organic BM Gold  FW - DR.XTRESS - 250ml - 40")</f>
        <v>DR.XANH - Hữu cơ Organic BM Gold  FW - DR.XTRESS - 250ml - 40</v>
      </c>
      <c r="I452" s="2" t="str">
        <f>IFERROR(__xludf.DUMMYFUNCTION("""COMPUTED_VALUE"""),"#N/A")</f>
        <v>#N/A</v>
      </c>
      <c r="J452" s="2" t="str">
        <f>IFERROR(__xludf.DUMMYFUNCTION("""COMPUTED_VALUE"""),"X03121224")</f>
        <v>X03121224</v>
      </c>
      <c r="K452" s="2"/>
      <c r="L452" s="2" t="str">
        <f>IFERROR(__xludf.DUMMYFUNCTION("""COMPUTED_VALUE"""),"N03181224
X03121224")</f>
        <v>N03181224
X03121224</v>
      </c>
      <c r="M452" s="2" t="str">
        <f>IFERROR(__xludf.DUMMYFUNCTION("""COMPUTED_VALUE"""),"N2 ANTI STRESS
DR.XTRESS")</f>
        <v>N2 ANTI STRESS
DR.XTRESS</v>
      </c>
      <c r="N452" s="2" t="str">
        <f>IFERROR(__xludf.DUMMYFUNCTION("""COMPUTED_VALUE"""),"01RR0040V2")</f>
        <v>01RR0040V2</v>
      </c>
      <c r="O452" s="2" t="str">
        <f>IFERROR(__xludf.DUMMYFUNCTION("""COMPUTED_VALUE"""),"Phân bón Hữu cơ ORGANIC BM GOLD FW")</f>
        <v>Phân bón Hữu cơ ORGANIC BM GOLD FW</v>
      </c>
      <c r="P452" s="2" t="str">
        <f>IFERROR(__xludf.DUMMYFUNCTION("""COMPUTED_VALUE"""),"#N/A")</f>
        <v>#N/A</v>
      </c>
      <c r="Q452" s="30" t="str">
        <f>IFERROR(__xludf.DUMMYFUNCTION("""COMPUTED_VALUE"""),"KHÔNG KHỚP")</f>
        <v>KHÔNG KHỚP</v>
      </c>
      <c r="R452" s="2"/>
      <c r="S452" s="2"/>
      <c r="T452" s="2"/>
      <c r="U452" s="2"/>
      <c r="V452" s="2"/>
      <c r="W452" s="2"/>
      <c r="X452" s="2"/>
      <c r="Y452" s="2"/>
    </row>
    <row r="453">
      <c r="A453" s="30">
        <f>IFERROR(__xludf.DUMMYFUNCTION("""COMPUTED_VALUE"""),450.0)</f>
        <v>450</v>
      </c>
      <c r="B453" s="39">
        <f>IFERROR(__xludf.DUMMYFUNCTION("""COMPUTED_VALUE"""),-618775.0)</f>
        <v>-618775</v>
      </c>
      <c r="C453" s="30">
        <f>IFERROR(__xludf.DUMMYFUNCTION("""COMPUTED_VALUE"""),1.0)</f>
        <v>1</v>
      </c>
      <c r="D453" s="30" t="str">
        <f>IFERROR(__xludf.DUMMYFUNCTION("""COMPUTED_VALUE"""),"CT CŨ")</f>
        <v>CT CŨ</v>
      </c>
      <c r="E453" s="30"/>
      <c r="F453" s="2"/>
      <c r="G453" s="2" t="str">
        <f>IFERROR(__xludf.DUMMYFUNCTION("""COMPUTED_VALUE"""),"HH4646")</f>
        <v>HH4646</v>
      </c>
      <c r="H453" s="2" t="str">
        <f>IFERROR(__xludf.DUMMYFUNCTION("""COMPUTED_VALUE"""),"DR.XANH - Hữu cơ Organic BM Gold  FW - DR.XTRESS - 500ml - 40")</f>
        <v>DR.XANH - Hữu cơ Organic BM Gold  FW - DR.XTRESS - 500ml - 40</v>
      </c>
      <c r="I453" s="2" t="str">
        <f>IFERROR(__xludf.DUMMYFUNCTION("""COMPUTED_VALUE"""),"#N/A")</f>
        <v>#N/A</v>
      </c>
      <c r="J453" s="2" t="str">
        <f>IFERROR(__xludf.DUMMYFUNCTION("""COMPUTED_VALUE"""),"X03121224")</f>
        <v>X03121224</v>
      </c>
      <c r="K453" s="2"/>
      <c r="L453" s="2" t="str">
        <f>IFERROR(__xludf.DUMMYFUNCTION("""COMPUTED_VALUE"""),"N03181224
X03121224")</f>
        <v>N03181224
X03121224</v>
      </c>
      <c r="M453" s="2" t="str">
        <f>IFERROR(__xludf.DUMMYFUNCTION("""COMPUTED_VALUE"""),"N2 ANTI STRESS
DR.XTRESS")</f>
        <v>N2 ANTI STRESS
DR.XTRESS</v>
      </c>
      <c r="N453" s="2" t="str">
        <f>IFERROR(__xludf.DUMMYFUNCTION("""COMPUTED_VALUE"""),"01RR0040V2")</f>
        <v>01RR0040V2</v>
      </c>
      <c r="O453" s="2" t="str">
        <f>IFERROR(__xludf.DUMMYFUNCTION("""COMPUTED_VALUE"""),"Phân bón Hữu cơ ORGANIC BM GOLD FW")</f>
        <v>Phân bón Hữu cơ ORGANIC BM GOLD FW</v>
      </c>
      <c r="P453" s="2" t="str">
        <f>IFERROR(__xludf.DUMMYFUNCTION("""COMPUTED_VALUE"""),"#N/A")</f>
        <v>#N/A</v>
      </c>
      <c r="Q453" s="30" t="str">
        <f>IFERROR(__xludf.DUMMYFUNCTION("""COMPUTED_VALUE"""),"KHÔNG KHỚP")</f>
        <v>KHÔNG KHỚP</v>
      </c>
      <c r="R453" s="2"/>
      <c r="S453" s="2"/>
      <c r="T453" s="2"/>
      <c r="U453" s="2"/>
      <c r="V453" s="2"/>
      <c r="W453" s="2"/>
      <c r="X453" s="2"/>
      <c r="Y453" s="2"/>
    </row>
    <row r="454">
      <c r="A454" s="30">
        <f>IFERROR(__xludf.DUMMYFUNCTION("""COMPUTED_VALUE"""),451.0)</f>
        <v>451</v>
      </c>
      <c r="B454" s="39">
        <f>IFERROR(__xludf.DUMMYFUNCTION("""COMPUTED_VALUE"""),46031.0)</f>
        <v>46031</v>
      </c>
      <c r="C454" s="30">
        <f>IFERROR(__xludf.DUMMYFUNCTION("""COMPUTED_VALUE"""),1.0)</f>
        <v>1</v>
      </c>
      <c r="D454" s="30" t="str">
        <f>IFERROR(__xludf.DUMMYFUNCTION("""COMPUTED_VALUE"""),"CT MỚI")</f>
        <v>CT MỚI</v>
      </c>
      <c r="E454" s="30"/>
      <c r="F454" s="2"/>
      <c r="G454" s="2" t="str">
        <f>IFERROR(__xludf.DUMMYFUNCTION("""COMPUTED_VALUE"""),"HH4629")</f>
        <v>HH4629</v>
      </c>
      <c r="H454" s="2" t="str">
        <f>IFERROR(__xludf.DUMMYFUNCTION("""COMPUTED_VALUE"""),"DR.XANH - NPK-Vi lượng MASSIVE-BLUE - DR.RICE - 500ml - 40")</f>
        <v>DR.XANH - NPK-Vi lượng MASSIVE-BLUE - DR.RICE - 500ml - 40</v>
      </c>
      <c r="I454" s="2" t="str">
        <f>IFERROR(__xludf.DUMMYFUNCTION("""COMPUTED_VALUE"""),"#N/A")</f>
        <v>#N/A</v>
      </c>
      <c r="J454" s="2" t="str">
        <f>IFERROR(__xludf.DUMMYFUNCTION("""COMPUTED_VALUE"""),"X02080325")</f>
        <v>X02080325</v>
      </c>
      <c r="K454" s="2"/>
      <c r="L454" s="2" t="str">
        <f>IFERROR(__xludf.DUMMYFUNCTION("""COMPUTED_VALUE"""),"X02080325")</f>
        <v>X02080325</v>
      </c>
      <c r="M454" s="2" t="str">
        <f>IFERROR(__xludf.DUMMYFUNCTION("""COMPUTED_VALUE"""),"DR.RICE")</f>
        <v>DR.RICE</v>
      </c>
      <c r="N454" s="2" t="str">
        <f>IFERROR(__xludf.DUMMYFUNCTION("""COMPUTED_VALUE"""),"04VG0032V1")</f>
        <v>04VG0032V1</v>
      </c>
      <c r="O454" s="2" t="str">
        <f>IFERROR(__xludf.DUMMYFUNCTION("""COMPUTED_VALUE"""),"Phân bón NPK-Vi lượng MASSIVE-BLUE")</f>
        <v>Phân bón NPK-Vi lượng MASSIVE-BLUE</v>
      </c>
      <c r="P454" s="2" t="str">
        <f>IFERROR(__xludf.DUMMYFUNCTION("""COMPUTED_VALUE"""),"#N/A")</f>
        <v>#N/A</v>
      </c>
      <c r="Q454" s="30" t="str">
        <f>IFERROR(__xludf.DUMMYFUNCTION("""COMPUTED_VALUE"""),"KHÔNG KHỚP")</f>
        <v>KHÔNG KHỚP</v>
      </c>
      <c r="R454" s="2"/>
      <c r="S454" s="2"/>
      <c r="T454" s="2"/>
      <c r="U454" s="2"/>
      <c r="V454" s="2"/>
      <c r="W454" s="2"/>
      <c r="X454" s="2"/>
      <c r="Y454" s="2"/>
    </row>
    <row r="455">
      <c r="A455" s="30">
        <f>IFERROR(__xludf.DUMMYFUNCTION("""COMPUTED_VALUE"""),452.0)</f>
        <v>452</v>
      </c>
      <c r="B455" s="39">
        <f>IFERROR(__xludf.DUMMYFUNCTION("""COMPUTED_VALUE"""),45940.0)</f>
        <v>45940</v>
      </c>
      <c r="C455" s="30">
        <f>IFERROR(__xludf.DUMMYFUNCTION("""COMPUTED_VALUE"""),3.0)</f>
        <v>3</v>
      </c>
      <c r="D455" s="30" t="str">
        <f>IFERROR(__xludf.DUMMYFUNCTION("""COMPUTED_VALUE"""),"CT CŨ")</f>
        <v>CT CŨ</v>
      </c>
      <c r="E455" s="30"/>
      <c r="F455" s="2"/>
      <c r="G455" s="2" t="str">
        <f>IFERROR(__xludf.DUMMYFUNCTION("""COMPUTED_VALUE"""),"HH4311")</f>
        <v>HH4311</v>
      </c>
      <c r="H455" s="2" t="str">
        <f>IFERROR(__xludf.DUMMYFUNCTION("""COMPUTED_VALUE"""),"BAMBOO - VI - 4311 - BAMBOO 777 TE (chưa xác định) - 1L - 20")</f>
        <v>BAMBOO - VI - 4311 - BAMBOO 777 TE (chưa xác định) - 1L - 20</v>
      </c>
      <c r="I455" s="39" t="str">
        <f>IFERROR(__xludf.DUMMYFUNCTION("""COMPUTED_VALUE"""),"lá NPK-vi lượng GNC19")</f>
        <v>lá NPK-vi lượng GNC19</v>
      </c>
      <c r="J455" s="2" t="str">
        <f>IFERROR(__xludf.DUMMYFUNCTION("""COMPUTED_VALUE"""),"Đóng theo đơn gần nhất")</f>
        <v>Đóng theo đơn gần nhất</v>
      </c>
      <c r="K455" s="2"/>
      <c r="L455" s="2" t="str">
        <f>IFERROR(__xludf.DUMMYFUNCTION("""COMPUTED_VALUE"""),"BB25040725")</f>
        <v>BB25040725</v>
      </c>
      <c r="M455" s="2" t="str">
        <f>IFERROR(__xludf.DUMMYFUNCTION("""COMPUTED_VALUE"""),"BAMBOO 777 TE")</f>
        <v>BAMBOO 777 TE</v>
      </c>
      <c r="N455" s="2" t="str">
        <f>IFERROR(__xludf.DUMMYFUNCTION("""COMPUTED_VALUE"""),"03DD0015V1")</f>
        <v>03DD0015V1</v>
      </c>
      <c r="O455" s="2" t="str">
        <f>IFERROR(__xludf.DUMMYFUNCTION("""COMPUTED_VALUE"""),"Phân bón lá NPK-Vi lượng GNC 19")</f>
        <v>Phân bón lá NPK-Vi lượng GNC 19</v>
      </c>
      <c r="P455" s="2" t="str">
        <f>IFERROR(__xludf.DUMMYFUNCTION("""COMPUTED_VALUE"""),"Phân bón lá NPK-vi lượng GNC19")</f>
        <v>Phân bón lá NPK-vi lượng GNC19</v>
      </c>
      <c r="Q455" s="30" t="str">
        <f>IFERROR(__xludf.DUMMYFUNCTION("""COMPUTED_VALUE"""),"KHÔNG KHỚP")</f>
        <v>KHÔNG KHỚP</v>
      </c>
      <c r="R455" s="2"/>
      <c r="S455" s="2"/>
      <c r="T455" s="2"/>
      <c r="U455" s="2"/>
      <c r="V455" s="2"/>
      <c r="W455" s="2"/>
      <c r="X455" s="2"/>
      <c r="Y455" s="2"/>
    </row>
    <row r="456">
      <c r="A456" s="30">
        <f>IFERROR(__xludf.DUMMYFUNCTION("""COMPUTED_VALUE"""),453.0)</f>
        <v>453</v>
      </c>
      <c r="B456" s="39">
        <f>IFERROR(__xludf.DUMMYFUNCTION("""COMPUTED_VALUE"""),45997.0)</f>
        <v>45997</v>
      </c>
      <c r="C456" s="30">
        <f>IFERROR(__xludf.DUMMYFUNCTION("""COMPUTED_VALUE"""),6.0)</f>
        <v>6</v>
      </c>
      <c r="D456" s="30" t="str">
        <f>IFERROR(__xludf.DUMMYFUNCTION("""COMPUTED_VALUE"""),"CT CŨ")</f>
        <v>CT CŨ</v>
      </c>
      <c r="E456" s="30"/>
      <c r="F456" s="2"/>
      <c r="G456" s="2" t="str">
        <f>IFERROR(__xludf.DUMMYFUNCTION("""COMPUTED_VALUE"""),"HH4375")</f>
        <v>HH4375</v>
      </c>
      <c r="H456" s="2" t="str">
        <f>IFERROR(__xludf.DUMMYFUNCTION("""COMPUTED_VALUE"""),"BAMBOO - VI - 4375 - BAMBOO CANXI BO MASTER (Nước trắng sữa) - 1L - 20")</f>
        <v>BAMBOO - VI - 4375 - BAMBOO CANXI BO MASTER (Nước trắng sữa) - 1L - 20</v>
      </c>
      <c r="I456" s="39" t="str">
        <f>IFERROR(__xludf.DUMMYFUNCTION("""COMPUTED_VALUE"""),"Vi lượng AGAMA-CANXI BO")</f>
        <v>Vi lượng AGAMA-CANXI BO</v>
      </c>
      <c r="J456" s="2" t="str">
        <f>IFERROR(__xludf.DUMMYFUNCTION("""COMPUTED_VALUE"""),"Đóng theo đơn gần nhất")</f>
        <v>Đóng theo đơn gần nhất</v>
      </c>
      <c r="K456" s="2"/>
      <c r="L456" s="2"/>
      <c r="M456" s="2" t="str">
        <f>IFERROR(__xludf.DUMMYFUNCTION("""COMPUTED_VALUE"""),"CANXI BO MASTER")</f>
        <v>CANXI BO MASTER</v>
      </c>
      <c r="N456" s="2" t="str">
        <f>IFERROR(__xludf.DUMMYFUNCTION("""COMPUTED_VALUE"""),"10CR0015V1")</f>
        <v>10CR0015V1</v>
      </c>
      <c r="O456" s="2" t="str">
        <f>IFERROR(__xludf.DUMMYFUNCTION("""COMPUTED_VALUE"""),"Phân bón Vi lượng AGAMA-CANXI BO")</f>
        <v>Phân bón Vi lượng AGAMA-CANXI BO</v>
      </c>
      <c r="P456" s="2" t="str">
        <f>IFERROR(__xludf.DUMMYFUNCTION("""COMPUTED_VALUE"""),"Phân bón Vi lượng AGAMA-CANXI BO")</f>
        <v>Phân bón Vi lượng AGAMA-CANXI BO</v>
      </c>
      <c r="Q456" s="30" t="str">
        <f>IFERROR(__xludf.DUMMYFUNCTION("""COMPUTED_VALUE"""),"KHỚP")</f>
        <v>KHỚP</v>
      </c>
      <c r="R456" s="2"/>
      <c r="S456" s="2"/>
      <c r="T456" s="2"/>
      <c r="U456" s="2"/>
      <c r="V456" s="2"/>
      <c r="W456" s="2"/>
      <c r="X456" s="2"/>
      <c r="Y456" s="2"/>
    </row>
    <row r="457">
      <c r="A457" s="30">
        <f>IFERROR(__xludf.DUMMYFUNCTION("""COMPUTED_VALUE"""),454.0)</f>
        <v>454</v>
      </c>
      <c r="B457" s="39">
        <f>IFERROR(__xludf.DUMMYFUNCTION("""COMPUTED_VALUE"""),45997.0)</f>
        <v>45997</v>
      </c>
      <c r="C457" s="30">
        <f>IFERROR(__xludf.DUMMYFUNCTION("""COMPUTED_VALUE"""),7.0)</f>
        <v>7</v>
      </c>
      <c r="D457" s="30" t="str">
        <f>IFERROR(__xludf.DUMMYFUNCTION("""COMPUTED_VALUE"""),"CT CŨ")</f>
        <v>CT CŨ</v>
      </c>
      <c r="E457" s="30"/>
      <c r="F457" s="2"/>
      <c r="G457" s="2" t="str">
        <f>IFERROR(__xludf.DUMMYFUNCTION("""COMPUTED_VALUE"""),"HH4375")</f>
        <v>HH4375</v>
      </c>
      <c r="H457" s="2" t="str">
        <f>IFERROR(__xludf.DUMMYFUNCTION("""COMPUTED_VALUE"""),"BAMBOO - VI - 4375 - BAMBOO CANXI BO MASTER (Nước trắng sữa) - 1L - 20")</f>
        <v>BAMBOO - VI - 4375 - BAMBOO CANXI BO MASTER (Nước trắng sữa) - 1L - 20</v>
      </c>
      <c r="I457" s="39" t="str">
        <f>IFERROR(__xludf.DUMMYFUNCTION("""COMPUTED_VALUE"""),"Vi lượng AGAMA-CANXI BO")</f>
        <v>Vi lượng AGAMA-CANXI BO</v>
      </c>
      <c r="J457" s="2" t="str">
        <f>IFERROR(__xludf.DUMMYFUNCTION("""COMPUTED_VALUE"""),"Đóng theo đơn gần nhất")</f>
        <v>Đóng theo đơn gần nhất</v>
      </c>
      <c r="K457" s="2"/>
      <c r="L457" s="2"/>
      <c r="M457" s="2" t="str">
        <f>IFERROR(__xludf.DUMMYFUNCTION("""COMPUTED_VALUE"""),"CANXI BO MASTER")</f>
        <v>CANXI BO MASTER</v>
      </c>
      <c r="N457" s="2" t="str">
        <f>IFERROR(__xludf.DUMMYFUNCTION("""COMPUTED_VALUE"""),"10CR0015V1")</f>
        <v>10CR0015V1</v>
      </c>
      <c r="O457" s="2" t="str">
        <f>IFERROR(__xludf.DUMMYFUNCTION("""COMPUTED_VALUE"""),"Phân bón Vi lượng AGAMA-CANXI BO")</f>
        <v>Phân bón Vi lượng AGAMA-CANXI BO</v>
      </c>
      <c r="P457" s="2" t="str">
        <f>IFERROR(__xludf.DUMMYFUNCTION("""COMPUTED_VALUE"""),"Phân bón Vi lượng AGAMA-CANXI BO")</f>
        <v>Phân bón Vi lượng AGAMA-CANXI BO</v>
      </c>
      <c r="Q457" s="30" t="str">
        <f>IFERROR(__xludf.DUMMYFUNCTION("""COMPUTED_VALUE"""),"KHỚP")</f>
        <v>KHỚP</v>
      </c>
      <c r="R457" s="2"/>
      <c r="S457" s="2"/>
      <c r="T457" s="2"/>
      <c r="U457" s="2"/>
      <c r="V457" s="2"/>
      <c r="W457" s="2"/>
      <c r="X457" s="2"/>
      <c r="Y457" s="2"/>
    </row>
    <row r="458">
      <c r="A458" s="30">
        <f>IFERROR(__xludf.DUMMYFUNCTION("""COMPUTED_VALUE"""),455.0)</f>
        <v>455</v>
      </c>
      <c r="B458" s="39">
        <f>IFERROR(__xludf.DUMMYFUNCTION("""COMPUTED_VALUE"""),45997.0)</f>
        <v>45997</v>
      </c>
      <c r="C458" s="30">
        <f>IFERROR(__xludf.DUMMYFUNCTION("""COMPUTED_VALUE"""),8.0)</f>
        <v>8</v>
      </c>
      <c r="D458" s="30" t="str">
        <f>IFERROR(__xludf.DUMMYFUNCTION("""COMPUTED_VALUE"""),"CT CŨ")</f>
        <v>CT CŨ</v>
      </c>
      <c r="E458" s="30"/>
      <c r="F458" s="2"/>
      <c r="G458" s="2" t="str">
        <f>IFERROR(__xludf.DUMMYFUNCTION("""COMPUTED_VALUE"""),"HH4375")</f>
        <v>HH4375</v>
      </c>
      <c r="H458" s="2" t="str">
        <f>IFERROR(__xludf.DUMMYFUNCTION("""COMPUTED_VALUE"""),"BAMBOO - VI - 4375 - BAMBOO CANXI BO MASTER (Nước trắng sữa) - 1L - 20")</f>
        <v>BAMBOO - VI - 4375 - BAMBOO CANXI BO MASTER (Nước trắng sữa) - 1L - 20</v>
      </c>
      <c r="I458" s="39" t="str">
        <f>IFERROR(__xludf.DUMMYFUNCTION("""COMPUTED_VALUE"""),"Vi lượng AGAMA-CANXI BO")</f>
        <v>Vi lượng AGAMA-CANXI BO</v>
      </c>
      <c r="J458" s="2" t="str">
        <f>IFERROR(__xludf.DUMMYFUNCTION("""COMPUTED_VALUE"""),"Đóng theo đơn gần nhất")</f>
        <v>Đóng theo đơn gần nhất</v>
      </c>
      <c r="K458" s="2"/>
      <c r="L458" s="2"/>
      <c r="M458" s="2" t="str">
        <f>IFERROR(__xludf.DUMMYFUNCTION("""COMPUTED_VALUE"""),"CANXI BO MASTER")</f>
        <v>CANXI BO MASTER</v>
      </c>
      <c r="N458" s="2" t="str">
        <f>IFERROR(__xludf.DUMMYFUNCTION("""COMPUTED_VALUE"""),"10CR0015V1")</f>
        <v>10CR0015V1</v>
      </c>
      <c r="O458" s="2" t="str">
        <f>IFERROR(__xludf.DUMMYFUNCTION("""COMPUTED_VALUE"""),"Phân bón Vi lượng AGAMA-CANXI BO")</f>
        <v>Phân bón Vi lượng AGAMA-CANXI BO</v>
      </c>
      <c r="P458" s="2" t="str">
        <f>IFERROR(__xludf.DUMMYFUNCTION("""COMPUTED_VALUE"""),"Phân bón Vi lượng AGAMA-CANXI BO")</f>
        <v>Phân bón Vi lượng AGAMA-CANXI BO</v>
      </c>
      <c r="Q458" s="30" t="str">
        <f>IFERROR(__xludf.DUMMYFUNCTION("""COMPUTED_VALUE"""),"KHỚP")</f>
        <v>KHỚP</v>
      </c>
      <c r="R458" s="2"/>
      <c r="S458" s="2"/>
      <c r="T458" s="2"/>
      <c r="U458" s="2"/>
      <c r="V458" s="2"/>
      <c r="W458" s="2"/>
      <c r="X458" s="2"/>
      <c r="Y458" s="2"/>
    </row>
    <row r="459">
      <c r="A459" s="30">
        <f>IFERROR(__xludf.DUMMYFUNCTION("""COMPUTED_VALUE"""),456.0)</f>
        <v>456</v>
      </c>
      <c r="B459" s="39">
        <f>IFERROR(__xludf.DUMMYFUNCTION("""COMPUTED_VALUE"""),45940.0)</f>
        <v>45940</v>
      </c>
      <c r="C459" s="30">
        <f>IFERROR(__xludf.DUMMYFUNCTION("""COMPUTED_VALUE"""),1.0)</f>
        <v>1</v>
      </c>
      <c r="D459" s="30" t="str">
        <f>IFERROR(__xludf.DUMMYFUNCTION("""COMPUTED_VALUE"""),"CT CŨ")</f>
        <v>CT CŨ</v>
      </c>
      <c r="E459" s="30"/>
      <c r="F459" s="2"/>
      <c r="G459" s="2" t="str">
        <f>IFERROR(__xludf.DUMMYFUNCTION("""COMPUTED_VALUE"""),"HH4623")</f>
        <v>HH4623</v>
      </c>
      <c r="H459" s="2" t="str">
        <f>IFERROR(__xludf.DUMMYFUNCTION("""COMPUTED_VALUE"""),"GC ABA - CTY NEWTEX - vi lượng Phú Sĩ FJ-09 Kẽm Mg - KẼM XANH T5 - 500ml - 40")</f>
        <v>GC ABA - CTY NEWTEX - vi lượng Phú Sĩ FJ-09 Kẽm Mg - KẼM XANH T5 - 500ml - 40</v>
      </c>
      <c r="I459" s="2" t="str">
        <f>IFERROR(__xludf.DUMMYFUNCTION("""COMPUTED_VALUE"""),"#N/A")</f>
        <v>#N/A</v>
      </c>
      <c r="J459" s="2" t="str">
        <f>IFERROR(__xludf.DUMMYFUNCTION("""COMPUTED_VALUE"""),"A06200825")</f>
        <v>A06200825</v>
      </c>
      <c r="K459" s="2"/>
      <c r="L459" s="2" t="str">
        <f>IFERROR(__xludf.DUMMYFUNCTION("""COMPUTED_VALUE"""),"A06200825")</f>
        <v>A06200825</v>
      </c>
      <c r="M459" s="2" t="str">
        <f>IFERROR(__xludf.DUMMYFUNCTION("""COMPUTED_VALUE"""),"AMINO MAGIE KẼM CAO CẤP 01")</f>
        <v>AMINO MAGIE KẼM CAO CẤP 01</v>
      </c>
      <c r="N459" s="2" t="str">
        <f>IFERROR(__xludf.DUMMYFUNCTION("""COMPUTED_VALUE"""),"23GS0010V1")</f>
        <v>23GS0010V1</v>
      </c>
      <c r="O459" s="2" t="str">
        <f>IFERROR(__xludf.DUMMYFUNCTION("""COMPUTED_VALUE"""),"Phân bón vi lượng Phú Sĩ FJ-09 Kẽm Mg")</f>
        <v>Phân bón vi lượng Phú Sĩ FJ-09 Kẽm Mg</v>
      </c>
      <c r="P459" s="2" t="str">
        <f>IFERROR(__xludf.DUMMYFUNCTION("""COMPUTED_VALUE"""),"#N/A")</f>
        <v>#N/A</v>
      </c>
      <c r="Q459" s="30" t="str">
        <f>IFERROR(__xludf.DUMMYFUNCTION("""COMPUTED_VALUE"""),"KHÔNG KHỚP")</f>
        <v>KHÔNG KHỚP</v>
      </c>
      <c r="R459" s="2"/>
      <c r="S459" s="2"/>
      <c r="T459" s="2"/>
      <c r="U459" s="2"/>
      <c r="V459" s="2"/>
      <c r="W459" s="2"/>
      <c r="X459" s="2"/>
      <c r="Y459" s="2"/>
    </row>
    <row r="460">
      <c r="A460" s="30">
        <f>IFERROR(__xludf.DUMMYFUNCTION("""COMPUTED_VALUE"""),457.0)</f>
        <v>457</v>
      </c>
      <c r="B460" s="39">
        <f>IFERROR(__xludf.DUMMYFUNCTION("""COMPUTED_VALUE"""),45662.0)</f>
        <v>45662</v>
      </c>
      <c r="C460" s="30">
        <f>IFERROR(__xludf.DUMMYFUNCTION("""COMPUTED_VALUE"""),4.0)</f>
        <v>4</v>
      </c>
      <c r="D460" s="30" t="str">
        <f>IFERROR(__xludf.DUMMYFUNCTION("""COMPUTED_VALUE"""),"CT CŨ")</f>
        <v>CT CŨ</v>
      </c>
      <c r="E460" s="30"/>
      <c r="F460" s="2"/>
      <c r="G460" s="2" t="str">
        <f>IFERROR(__xludf.DUMMYFUNCTION("""COMPUTED_VALUE"""),"HH4058")</f>
        <v>HH4058</v>
      </c>
      <c r="H460" s="2" t="str">
        <f>IFERROR(__xludf.DUMMYFUNCTION("""COMPUTED_VALUE"""),"GC - IX - 4058 - N2SBIO -  SIÊU BO SỮA (Dạng SC - Trắng sữa) - 250ml - 40")</f>
        <v>GC - IX - 4058 - N2SBIO -  SIÊU BO SỮA (Dạng SC - Trắng sữa) - 250ml - 40</v>
      </c>
      <c r="I460" s="2" t="str">
        <f>IFERROR(__xludf.DUMMYFUNCTION("""COMPUTED_VALUE"""),"#N/A")</f>
        <v>#N/A</v>
      </c>
      <c r="J460" s="2" t="str">
        <f>IFERROR(__xludf.DUMMYFUNCTION("""COMPUTED_VALUE"""),"N01190825")</f>
        <v>N01190825</v>
      </c>
      <c r="K460" s="2"/>
      <c r="L460" s="2" t="str">
        <f>IFERROR(__xludf.DUMMYFUNCTION("""COMPUTED_VALUE"""),"N01190825")</f>
        <v>N01190825</v>
      </c>
      <c r="M460" s="2" t="str">
        <f>IFERROR(__xludf.DUMMYFUNCTION("""COMPUTED_VALUE"""),"N2 BO 150 
SIÊU BO SỮA ")</f>
        <v>N2 BO 150 
SIÊU BO SỮA </v>
      </c>
      <c r="N460" s="2" t="str">
        <f>IFERROR(__xludf.DUMMYFUNCTION("""COMPUTED_VALUE"""),"10CR0027V2")</f>
        <v>10CR0027V2</v>
      </c>
      <c r="O460" s="2" t="str">
        <f>IFERROR(__xludf.DUMMYFUNCTION("""COMPUTED_VALUE"""),"Phân bón lá Vi lượng NBC-BO.15")</f>
        <v>Phân bón lá Vi lượng NBC-BO.15</v>
      </c>
      <c r="P460" s="2" t="str">
        <f>IFERROR(__xludf.DUMMYFUNCTION("""COMPUTED_VALUE"""),"#N/A")</f>
        <v>#N/A</v>
      </c>
      <c r="Q460" s="30" t="str">
        <f>IFERROR(__xludf.DUMMYFUNCTION("""COMPUTED_VALUE"""),"KHÔNG KHỚP")</f>
        <v>KHÔNG KHỚP</v>
      </c>
      <c r="R460" s="2"/>
      <c r="S460" s="2"/>
      <c r="T460" s="2"/>
      <c r="U460" s="2"/>
      <c r="V460" s="2"/>
      <c r="W460" s="2"/>
      <c r="X460" s="2"/>
      <c r="Y460" s="2"/>
    </row>
    <row r="461">
      <c r="A461" s="30">
        <f>IFERROR(__xludf.DUMMYFUNCTION("""COMPUTED_VALUE"""),458.0)</f>
        <v>458</v>
      </c>
      <c r="B461" s="39">
        <f>IFERROR(__xludf.DUMMYFUNCTION("""COMPUTED_VALUE"""),45959.0)</f>
        <v>45959</v>
      </c>
      <c r="C461" s="30">
        <f>IFERROR(__xludf.DUMMYFUNCTION("""COMPUTED_VALUE"""),5.0)</f>
        <v>5</v>
      </c>
      <c r="D461" s="30" t="str">
        <f>IFERROR(__xludf.DUMMYFUNCTION("""COMPUTED_VALUE"""),"CT CŨ")</f>
        <v>CT CŨ</v>
      </c>
      <c r="E461" s="30"/>
      <c r="F461" s="2"/>
      <c r="G461" s="2" t="str">
        <f>IFERROR(__xludf.DUMMYFUNCTION("""COMPUTED_VALUE"""),"HH4187")</f>
        <v>HH4187</v>
      </c>
      <c r="H461" s="2" t="str">
        <f>IFERROR(__xludf.DUMMYFUNCTION("""COMPUTED_VALUE"""),"GC - IX - 4187 - N2SBIO - N2 ULTRA LOCK (Dạng SC - Trắng sữa) - 500ml - 40")</f>
        <v>GC - IX - 4187 - N2SBIO - N2 ULTRA LOCK (Dạng SC - Trắng sữa) - 500ml - 40</v>
      </c>
      <c r="I461" s="39" t="str">
        <f>IFERROR(__xludf.DUMMYFUNCTION("""COMPUTED_VALUE"""),"Lá PK-Trung Lượng NBC-Photphonate")</f>
        <v>Lá PK-Trung Lượng NBC-Photphonate</v>
      </c>
      <c r="J461" s="2" t="str">
        <f>IFERROR(__xludf.DUMMYFUNCTION("""COMPUTED_VALUE"""),"N04290725")</f>
        <v>N04290725</v>
      </c>
      <c r="K461" s="2"/>
      <c r="L461" s="2" t="str">
        <f>IFERROR(__xludf.DUMMYFUNCTION("""COMPUTED_VALUE"""),"N04290725")</f>
        <v>N04290725</v>
      </c>
      <c r="M461" s="2" t="str">
        <f>IFERROR(__xludf.DUMMYFUNCTION("""COMPUTED_VALUE"""),"N2 ULTRA LOCK")</f>
        <v>N2 ULTRA LOCK</v>
      </c>
      <c r="N461" s="2" t="str">
        <f>IFERROR(__xludf.DUMMYFUNCTION("""COMPUTED_VALUE"""),"06CD0016V1")</f>
        <v>06CD0016V1</v>
      </c>
      <c r="O461" s="2" t="str">
        <f>IFERROR(__xludf.DUMMYFUNCTION("""COMPUTED_VALUE"""),"Phân bón lá PK-Trung lượng NBC-PHOTPHONATE")</f>
        <v>Phân bón lá PK-Trung lượng NBC-PHOTPHONATE</v>
      </c>
      <c r="P461" s="2" t="str">
        <f>IFERROR(__xludf.DUMMYFUNCTION("""COMPUTED_VALUE"""),"Phân bón Lá PK-Trung Lượng NBC-Photphonate")</f>
        <v>Phân bón Lá PK-Trung Lượng NBC-Photphonate</v>
      </c>
      <c r="Q461" s="30" t="str">
        <f>IFERROR(__xludf.DUMMYFUNCTION("""COMPUTED_VALUE"""),"KHỚP")</f>
        <v>KHỚP</v>
      </c>
      <c r="R461" s="2"/>
      <c r="S461" s="2"/>
      <c r="T461" s="2"/>
      <c r="U461" s="2"/>
      <c r="V461" s="2"/>
      <c r="W461" s="2"/>
      <c r="X461" s="2"/>
      <c r="Y461" s="2"/>
    </row>
    <row r="462">
      <c r="A462" s="30">
        <f>IFERROR(__xludf.DUMMYFUNCTION("""COMPUTED_VALUE"""),459.0)</f>
        <v>459</v>
      </c>
      <c r="B462" s="39">
        <f>IFERROR(__xludf.DUMMYFUNCTION("""COMPUTED_VALUE"""),45946.0)</f>
        <v>45946</v>
      </c>
      <c r="C462" s="30">
        <f>IFERROR(__xludf.DUMMYFUNCTION("""COMPUTED_VALUE"""),1.0)</f>
        <v>1</v>
      </c>
      <c r="D462" s="30" t="str">
        <f>IFERROR(__xludf.DUMMYFUNCTION("""COMPUTED_VALUE"""),"CT CŨ")</f>
        <v>CT CŨ</v>
      </c>
      <c r="E462" s="30"/>
      <c r="F462" s="2"/>
      <c r="G462" s="2" t="str">
        <f>IFERROR(__xludf.DUMMYFUNCTION("""COMPUTED_VALUE"""),"HH4643")</f>
        <v>HH4643</v>
      </c>
      <c r="H462" s="2" t="str">
        <f>IFERROR(__xludf.DUMMYFUNCTION("""COMPUTED_VALUE"""),"GC ABA - CTY ITALY - Vi Lượng G.A 05 - HYLIMAX - 500ml - 40")</f>
        <v>GC ABA - CTY ITALY - Vi Lượng G.A 05 - HYLIMAX - 500ml - 40</v>
      </c>
      <c r="I462" s="2" t="str">
        <f>IFERROR(__xludf.DUMMYFUNCTION("""COMPUTED_VALUE"""),"#N/A")</f>
        <v>#N/A</v>
      </c>
      <c r="J462" s="2" t="str">
        <f>IFERROR(__xludf.DUMMYFUNCTION("""COMPUTED_VALUE"""),"A0220082")</f>
        <v>A0220082</v>
      </c>
      <c r="K462" s="2"/>
      <c r="L462" s="2" t="str">
        <f>IFERROR(__xludf.DUMMYFUNCTION("""COMPUTED_VALUE"""),"A02200825")</f>
        <v>A02200825</v>
      </c>
      <c r="M462" s="2" t="str">
        <f>IFERROR(__xludf.DUMMYFUNCTION("""COMPUTED_VALUE"""),"CỨNG CÂY 02")</f>
        <v>CỨNG CÂY 02</v>
      </c>
      <c r="N462" s="2" t="str">
        <f>IFERROR(__xludf.DUMMYFUNCTION("""COMPUTED_VALUE"""),"02CC0014")</f>
        <v>02CC0014</v>
      </c>
      <c r="O462" s="2" t="str">
        <f>IFERROR(__xludf.DUMMYFUNCTION("""COMPUTED_VALUE"""),"Phân bón vi lượng G.A 05")</f>
        <v>Phân bón vi lượng G.A 05</v>
      </c>
      <c r="P462" s="2" t="str">
        <f>IFERROR(__xludf.DUMMYFUNCTION("""COMPUTED_VALUE"""),"#N/A")</f>
        <v>#N/A</v>
      </c>
      <c r="Q462" s="30" t="str">
        <f>IFERROR(__xludf.DUMMYFUNCTION("""COMPUTED_VALUE"""),"KHÔNG KHỚP")</f>
        <v>KHÔNG KHỚP</v>
      </c>
      <c r="R462" s="2"/>
      <c r="S462" s="2"/>
      <c r="T462" s="2"/>
      <c r="U462" s="2"/>
      <c r="V462" s="2"/>
      <c r="W462" s="2"/>
      <c r="X462" s="2"/>
      <c r="Y462" s="2"/>
    </row>
    <row r="463">
      <c r="A463" s="30">
        <f>IFERROR(__xludf.DUMMYFUNCTION("""COMPUTED_VALUE"""),460.0)</f>
        <v>460</v>
      </c>
      <c r="B463" s="39">
        <f>IFERROR(__xludf.DUMMYFUNCTION("""COMPUTED_VALUE"""),45892.0)</f>
        <v>45892</v>
      </c>
      <c r="C463" s="30">
        <f>IFERROR(__xludf.DUMMYFUNCTION("""COMPUTED_VALUE"""),1.0)</f>
        <v>1</v>
      </c>
      <c r="D463" s="30" t="str">
        <f>IFERROR(__xludf.DUMMYFUNCTION("""COMPUTED_VALUE"""),"CT CŨ")</f>
        <v>CT CŨ</v>
      </c>
      <c r="E463" s="30"/>
      <c r="F463" s="2"/>
      <c r="G463" s="2" t="str">
        <f>IFERROR(__xludf.DUMMYFUNCTION("""COMPUTED_VALUE"""),"HH4648")</f>
        <v>HH4648</v>
      </c>
      <c r="H463" s="2" t="str">
        <f>IFERROR(__xludf.DUMMYFUNCTION("""COMPUTED_VALUE"""),"GC ABA - THÀNH CÔNG AGRI - Vi lượng Quantity New - ULTRA FRUIT - 20L - 1")</f>
        <v>GC ABA - THÀNH CÔNG AGRI - Vi lượng Quantity New - ULTRA FRUIT - 20L - 1</v>
      </c>
      <c r="I463" s="39" t="str">
        <f>IFERROR(__xludf.DUMMYFUNCTION("""COMPUTED_VALUE"""),"Vi lượng Quantity New")</f>
        <v>Vi lượng Quantity New</v>
      </c>
      <c r="J463" s="2" t="str">
        <f>IFERROR(__xludf.DUMMYFUNCTION("""COMPUTED_VALUE"""),"Cùng ruột 3972")</f>
        <v>Cùng ruột 3972</v>
      </c>
      <c r="K463" s="2"/>
      <c r="L463" s="2"/>
      <c r="M463" s="2" t="str">
        <f>IFERROR(__xludf.DUMMYFUNCTION("""COMPUTED_VALUE"""),"ULTRA FRUIT")</f>
        <v>ULTRA FRUIT</v>
      </c>
      <c r="N463" s="2" t="str">
        <f>IFERROR(__xludf.DUMMYFUNCTION("""COMPUTED_VALUE"""),"11TT0006V1")</f>
        <v>11TT0006V1</v>
      </c>
      <c r="O463" s="2" t="str">
        <f>IFERROR(__xludf.DUMMYFUNCTION("""COMPUTED_VALUE"""),"Phân bón Vi lượng Quantity New")</f>
        <v>Phân bón Vi lượng Quantity New</v>
      </c>
      <c r="P463" s="2" t="str">
        <f>IFERROR(__xludf.DUMMYFUNCTION("""COMPUTED_VALUE"""),"Phân bón Vi lượng Quantity New")</f>
        <v>Phân bón Vi lượng Quantity New</v>
      </c>
      <c r="Q463" s="30" t="str">
        <f>IFERROR(__xludf.DUMMYFUNCTION("""COMPUTED_VALUE"""),"KHỚP")</f>
        <v>KHỚP</v>
      </c>
      <c r="R463" s="2"/>
      <c r="S463" s="2"/>
      <c r="T463" s="2"/>
      <c r="U463" s="2"/>
      <c r="V463" s="2"/>
      <c r="W463" s="2"/>
      <c r="X463" s="2"/>
      <c r="Y463" s="2"/>
    </row>
    <row r="464">
      <c r="A464" s="30">
        <f>IFERROR(__xludf.DUMMYFUNCTION("""COMPUTED_VALUE"""),461.0)</f>
        <v>461</v>
      </c>
      <c r="B464" s="39">
        <f>IFERROR(__xludf.DUMMYFUNCTION("""COMPUTED_VALUE"""),46007.0)</f>
        <v>46007</v>
      </c>
      <c r="C464" s="30">
        <f>IFERROR(__xludf.DUMMYFUNCTION("""COMPUTED_VALUE"""),1.0)</f>
        <v>1</v>
      </c>
      <c r="D464" s="30" t="str">
        <f>IFERROR(__xludf.DUMMYFUNCTION("""COMPUTED_VALUE"""),"CT CŨ")</f>
        <v>CT CŨ</v>
      </c>
      <c r="E464" s="30"/>
      <c r="F464" s="2"/>
      <c r="G464" s="2" t="str">
        <f>IFERROR(__xludf.DUMMYFUNCTION("""COMPUTED_VALUE"""),"HH4653")</f>
        <v>HH4653</v>
      </c>
      <c r="H464" s="2" t="str">
        <f>IFERROR(__xludf.DUMMYFUNCTION("""COMPUTED_VALUE"""),"GC - V - 4653 - CTY THIÊN DI - KÍCH RỄ MAI VÀNG (Nước nâu đen) - 100ml - 100")</f>
        <v>GC - V - 4653 - CTY THIÊN DI - KÍCH RỄ MAI VÀNG (Nước nâu đen) - 100ml - 100</v>
      </c>
      <c r="I464" s="2" t="str">
        <f>IFERROR(__xludf.DUMMYFUNCTION("""COMPUTED_VALUE"""),"#N/A")</f>
        <v>#N/A</v>
      </c>
      <c r="J464" s="2" t="str">
        <f>IFERROR(__xludf.DUMMYFUNCTION("""COMPUTED_VALUE"""),"Cùng ruột 3673
A06050325")</f>
        <v>Cùng ruột 3673
A06050325</v>
      </c>
      <c r="K464" s="2"/>
      <c r="L464" s="2" t="str">
        <f>IFERROR(__xludf.DUMMYFUNCTION("""COMPUTED_VALUE"""),"A06050325")</f>
        <v>A06050325</v>
      </c>
      <c r="M464" s="2" t="str">
        <f>IFERROR(__xludf.DUMMYFUNCTION("""COMPUTED_VALUE"""),"KÍCH RỄ MAI VÀNG")</f>
        <v>KÍCH RỄ MAI VÀNG</v>
      </c>
      <c r="N464" s="2" t="str">
        <f>IFERROR(__xludf.DUMMYFUNCTION("""COMPUTED_VALUE"""),"01RR0046V1")</f>
        <v>01RR0046V1</v>
      </c>
      <c r="O464" s="2" t="str">
        <f>IFERROR(__xludf.DUMMYFUNCTION("""COMPUTED_VALUE"""),"Phân bón Hữu cơ SH Agro Organic Fertilizer 20")</f>
        <v>Phân bón Hữu cơ SH Agro Organic Fertilizer 20</v>
      </c>
      <c r="P464" s="2" t="str">
        <f>IFERROR(__xludf.DUMMYFUNCTION("""COMPUTED_VALUE"""),"#N/A")</f>
        <v>#N/A</v>
      </c>
      <c r="Q464" s="30" t="str">
        <f>IFERROR(__xludf.DUMMYFUNCTION("""COMPUTED_VALUE"""),"KHÔNG KHỚP")</f>
        <v>KHÔNG KHỚP</v>
      </c>
      <c r="R464" s="2"/>
      <c r="S464" s="2"/>
      <c r="T464" s="2"/>
      <c r="U464" s="2"/>
      <c r="V464" s="2"/>
      <c r="W464" s="2"/>
      <c r="X464" s="2"/>
      <c r="Y464" s="2"/>
    </row>
    <row r="465">
      <c r="A465" s="30">
        <f>IFERROR(__xludf.DUMMYFUNCTION("""COMPUTED_VALUE"""),462.0)</f>
        <v>462</v>
      </c>
      <c r="B465" s="39">
        <f>IFERROR(__xludf.DUMMYFUNCTION("""COMPUTED_VALUE"""),45892.0)</f>
        <v>45892</v>
      </c>
      <c r="C465" s="30">
        <f>IFERROR(__xludf.DUMMYFUNCTION("""COMPUTED_VALUE"""),1.0)</f>
        <v>1</v>
      </c>
      <c r="D465" s="30" t="str">
        <f>IFERROR(__xludf.DUMMYFUNCTION("""COMPUTED_VALUE"""),"CT CŨ")</f>
        <v>CT CŨ</v>
      </c>
      <c r="E465" s="30"/>
      <c r="F465" s="2"/>
      <c r="G465" s="2" t="str">
        <f>IFERROR(__xludf.DUMMYFUNCTION("""COMPUTED_VALUE"""),"HH4654")</f>
        <v>HH4654</v>
      </c>
      <c r="H465" s="2" t="str">
        <f>IFERROR(__xludf.DUMMYFUNCTION("""COMPUTED_VALUE"""),"GC - V - 4654 - CTY THIÊN DI - THIDI GREEN (Nước trắng sữa) - 500ml - 40")</f>
        <v>GC - V - 4654 - CTY THIÊN DI - THIDI GREEN (Nước trắng sữa) - 500ml - 40</v>
      </c>
      <c r="I465" s="2" t="str">
        <f>IFERROR(__xludf.DUMMYFUNCTION("""COMPUTED_VALUE"""),"#N/A")</f>
        <v>#N/A</v>
      </c>
      <c r="J465" s="2" t="str">
        <f>IFERROR(__xludf.DUMMYFUNCTION("""COMPUTED_VALUE"""),"cùng ruột HH3007")</f>
        <v>cùng ruột HH3007</v>
      </c>
      <c r="K465" s="2"/>
      <c r="L465" s="2" t="str">
        <f>IFERROR(__xludf.DUMMYFUNCTION("""COMPUTED_VALUE"""),"A02211024")</f>
        <v>A02211024</v>
      </c>
      <c r="M465" s="2" t="str">
        <f>IFERROR(__xludf.DUMMYFUNCTION("""COMPUTED_VALUE"""),"ULTRAKEO ZN+")</f>
        <v>ULTRAKEO ZN+</v>
      </c>
      <c r="N465" s="2" t="str">
        <f>IFERROR(__xludf.DUMMYFUNCTION("""COMPUTED_VALUE"""),"13XL0010")</f>
        <v>13XL0010</v>
      </c>
      <c r="O465" s="2" t="str">
        <f>IFERROR(__xludf.DUMMYFUNCTION("""COMPUTED_VALUE"""),"Phân bón Vi lượng MICKEY")</f>
        <v>Phân bón Vi lượng MICKEY</v>
      </c>
      <c r="P465" s="2" t="str">
        <f>IFERROR(__xludf.DUMMYFUNCTION("""COMPUTED_VALUE"""),"#N/A")</f>
        <v>#N/A</v>
      </c>
      <c r="Q465" s="30" t="str">
        <f>IFERROR(__xludf.DUMMYFUNCTION("""COMPUTED_VALUE"""),"KHÔNG KHỚP")</f>
        <v>KHÔNG KHỚP</v>
      </c>
      <c r="R465" s="2"/>
      <c r="S465" s="2"/>
      <c r="T465" s="2"/>
      <c r="U465" s="2"/>
      <c r="V465" s="2"/>
      <c r="W465" s="2"/>
      <c r="X465" s="2"/>
      <c r="Y465" s="2"/>
    </row>
    <row r="466">
      <c r="A466" s="30">
        <f>IFERROR(__xludf.DUMMYFUNCTION("""COMPUTED_VALUE"""),463.0)</f>
        <v>463</v>
      </c>
      <c r="B466" s="39">
        <f>IFERROR(__xludf.DUMMYFUNCTION("""COMPUTED_VALUE"""),45905.0)</f>
        <v>45905</v>
      </c>
      <c r="C466" s="30">
        <f>IFERROR(__xludf.DUMMYFUNCTION("""COMPUTED_VALUE"""),3.0)</f>
        <v>3</v>
      </c>
      <c r="D466" s="30" t="str">
        <f>IFERROR(__xludf.DUMMYFUNCTION("""COMPUTED_VALUE"""),"CT CŨ")</f>
        <v>CT CŨ</v>
      </c>
      <c r="E466" s="30"/>
      <c r="F466" s="2"/>
      <c r="G466" s="2" t="str">
        <f>IFERROR(__xludf.DUMMYFUNCTION("""COMPUTED_VALUE"""),"HH4495")</f>
        <v>HH4495</v>
      </c>
      <c r="H466" s="2" t="str">
        <f>IFERROR(__xludf.DUMMYFUNCTION("""COMPUTED_VALUE"""),"GC - IV - 4495 - NANOFISH - ARI PH (nước nâu đen) - 1L - 20")</f>
        <v>GC - IV - 4495 - NANOFISH - ARI PH (nước nâu đen) - 1L - 20</v>
      </c>
      <c r="I466" s="2" t="str">
        <f>IFERROR(__xludf.DUMMYFUNCTION("""COMPUTED_VALUE"""),"#N/A")</f>
        <v>#N/A</v>
      </c>
      <c r="J466" s="2" t="str">
        <f>IFERROR(__xludf.DUMMYFUNCTION("""COMPUTED_VALUE"""),"Cùng ruột 2055, 4183")</f>
        <v>Cùng ruột 2055, 4183</v>
      </c>
      <c r="K466" s="2"/>
      <c r="L466" s="2"/>
      <c r="M466" s="2" t="str">
        <f>IFERROR(__xludf.DUMMYFUNCTION("""COMPUTED_VALUE"""),"HN-pH++")</f>
        <v>HN-pH++</v>
      </c>
      <c r="N466" s="2" t="str">
        <f>IFERROR(__xludf.DUMMYFUNCTION("""COMPUTED_VALUE"""),"01RR0014V4")</f>
        <v>01RR0014V4</v>
      </c>
      <c r="O466" s="2" t="str">
        <f>IFERROR(__xludf.DUMMYFUNCTION("""COMPUTED_VALUE"""),"Phân bón Hữu cơ SH Agro Organic Fertilizer 20")</f>
        <v>Phân bón Hữu cơ SH Agro Organic Fertilizer 20</v>
      </c>
      <c r="P466" s="2" t="str">
        <f>IFERROR(__xludf.DUMMYFUNCTION("""COMPUTED_VALUE"""),"#N/A")</f>
        <v>#N/A</v>
      </c>
      <c r="Q466" s="30" t="str">
        <f>IFERROR(__xludf.DUMMYFUNCTION("""COMPUTED_VALUE"""),"KHÔNG KHỚP")</f>
        <v>KHÔNG KHỚP</v>
      </c>
      <c r="R466" s="2"/>
      <c r="S466" s="2"/>
      <c r="T466" s="2"/>
      <c r="U466" s="2"/>
      <c r="V466" s="2"/>
      <c r="W466" s="2"/>
      <c r="X466" s="2"/>
      <c r="Y466" s="2"/>
    </row>
    <row r="467">
      <c r="A467" s="30">
        <f>IFERROR(__xludf.DUMMYFUNCTION("""COMPUTED_VALUE"""),464.0)</f>
        <v>464</v>
      </c>
      <c r="B467" s="39">
        <f>IFERROR(__xludf.DUMMYFUNCTION("""COMPUTED_VALUE"""),45964.0)</f>
        <v>45964</v>
      </c>
      <c r="C467" s="30">
        <f>IFERROR(__xludf.DUMMYFUNCTION("""COMPUTED_VALUE"""),2.0)</f>
        <v>2</v>
      </c>
      <c r="D467" s="30" t="str">
        <f>IFERROR(__xludf.DUMMYFUNCTION("""COMPUTED_VALUE"""),"CT CŨ")</f>
        <v>CT CŨ</v>
      </c>
      <c r="E467" s="30"/>
      <c r="F467" s="2"/>
      <c r="G467" s="2" t="str">
        <f>IFERROR(__xludf.DUMMYFUNCTION("""COMPUTED_VALUE"""),"HH4479")</f>
        <v>HH4479</v>
      </c>
      <c r="H467" s="2" t="str">
        <f>IFERROR(__xludf.DUMMYFUNCTION("""COMPUTED_VALUE"""),"GC - IV - 4479 - CTY QUANG ĐĂNG AGRICULTURE (ĐL ÚT TIỆP) - COMBI GREEN (Nước trắng sữa) - 250ml - 40")</f>
        <v>GC - IV - 4479 - CTY QUANG ĐĂNG AGRICULTURE (ĐL ÚT TIỆP) - COMBI GREEN (Nước trắng sữa) - 250ml - 40</v>
      </c>
      <c r="I467" s="39" t="str">
        <f>IFERROR(__xludf.DUMMYFUNCTION("""COMPUTED_VALUE"""),"vi lượng Phú Sĩ FJ-09 Kẽm Mg")</f>
        <v>vi lượng Phú Sĩ FJ-09 Kẽm Mg</v>
      </c>
      <c r="J467" s="2" t="str">
        <f>IFERROR(__xludf.DUMMYFUNCTION("""COMPUTED_VALUE"""),"A02011025")</f>
        <v>A02011025</v>
      </c>
      <c r="K467" s="2"/>
      <c r="L467" s="2" t="str">
        <f>IFERROR(__xludf.DUMMYFUNCTION("""COMPUTED_VALUE"""),"A02011025")</f>
        <v>A02011025</v>
      </c>
      <c r="M467" s="2" t="str">
        <f>IFERROR(__xludf.DUMMYFUNCTION("""COMPUTED_VALUE"""),"Mg Zn Cao cấp")</f>
        <v>Mg Zn Cao cấp</v>
      </c>
      <c r="N467" s="2" t="str">
        <f>IFERROR(__xludf.DUMMYFUNCTION("""COMPUTED_VALUE"""),"23GS0015")</f>
        <v>23GS0015</v>
      </c>
      <c r="O467" s="2" t="str">
        <f>IFERROR(__xludf.DUMMYFUNCTION("""COMPUTED_VALUE"""),"Phân bón vi lượng Phú Sĩ FJ-09 Kẽm Mg")</f>
        <v>Phân bón vi lượng Phú Sĩ FJ-09 Kẽm Mg</v>
      </c>
      <c r="P467" s="2" t="str">
        <f>IFERROR(__xludf.DUMMYFUNCTION("""COMPUTED_VALUE"""),"Phân bón vi lượng Phú Sĩ FJ-09 Kẽm Mg")</f>
        <v>Phân bón vi lượng Phú Sĩ FJ-09 Kẽm Mg</v>
      </c>
      <c r="Q467" s="30" t="str">
        <f>IFERROR(__xludf.DUMMYFUNCTION("""COMPUTED_VALUE"""),"KHỚP")</f>
        <v>KHỚP</v>
      </c>
      <c r="R467" s="2"/>
      <c r="S467" s="2"/>
      <c r="T467" s="2"/>
      <c r="U467" s="2"/>
      <c r="V467" s="2"/>
      <c r="W467" s="2"/>
      <c r="X467" s="2"/>
      <c r="Y467" s="2"/>
    </row>
    <row r="468">
      <c r="A468" s="30">
        <f>IFERROR(__xludf.DUMMYFUNCTION("""COMPUTED_VALUE"""),465.0)</f>
        <v>465</v>
      </c>
      <c r="B468" s="39">
        <f>IFERROR(__xludf.DUMMYFUNCTION("""COMPUTED_VALUE"""),46002.0)</f>
        <v>46002</v>
      </c>
      <c r="C468" s="30">
        <f>IFERROR(__xludf.DUMMYFUNCTION("""COMPUTED_VALUE"""),1.0)</f>
        <v>1</v>
      </c>
      <c r="D468" s="30" t="str">
        <f>IFERROR(__xludf.DUMMYFUNCTION("""COMPUTED_VALUE"""),"CT CŨ")</f>
        <v>CT CŨ</v>
      </c>
      <c r="E468" s="30"/>
      <c r="F468" s="2"/>
      <c r="G468" s="2" t="str">
        <f>IFERROR(__xludf.DUMMYFUNCTION("""COMPUTED_VALUE"""),"HH4431")</f>
        <v>HH4431</v>
      </c>
      <c r="H468" s="2" t="str">
        <f>IFERROR(__xludf.DUMMYFUNCTION("""COMPUTED_VALUE"""),"GC - IV - 4431 - CTY QUANG ĐĂNG AGRICULTURE - LOCK GROW QĐ DURI (Nước nâu đen) - 1L - 20")</f>
        <v>GC - IV - 4431 - CTY QUANG ĐĂNG AGRICULTURE - LOCK GROW QĐ DURI (Nước nâu đen) - 1L - 20</v>
      </c>
      <c r="I468" s="2" t="str">
        <f>IFERROR(__xludf.DUMMYFUNCTION("""COMPUTED_VALUE"""),"#N/A")</f>
        <v>#N/A</v>
      </c>
      <c r="J468" s="2" t="str">
        <f>IFERROR(__xludf.DUMMYFUNCTION("""COMPUTED_VALUE"""),"Chặn đọt dòng V2")</f>
        <v>Chặn đọt dòng V2</v>
      </c>
      <c r="K468" s="2"/>
      <c r="L468" s="2" t="str">
        <f>IFERROR(__xludf.DUMMYFUNCTION("""COMPUTED_VALUE"""),"CHẶN ĐỌT DÒNG V2")</f>
        <v>CHẶN ĐỌT DÒNG V2</v>
      </c>
      <c r="M468" s="2" t="str">
        <f>IFERROR(__xludf.DUMMYFUNCTION("""COMPUTED_VALUE"""),"STOP UP
MT STOP
AGRI STOP
STOP ĐỌT
SIÊU CHẶN ĐỌT
MASTER STOP
UNI STOP ONE
BAMBOO DOUBLE STOP")</f>
        <v>STOP UP
MT STOP
AGRI STOP
STOP ĐỌT
SIÊU CHẶN ĐỌT
MASTER STOP
UNI STOP ONE
BAMBOO DOUBLE STOP</v>
      </c>
      <c r="N468" s="2" t="str">
        <f>IFERROR(__xludf.DUMMYFUNCTION("""COMPUTED_VALUE"""),"06CD0009V3")</f>
        <v>06CD0009V3</v>
      </c>
      <c r="O468" s="2" t="str">
        <f>IFERROR(__xludf.DUMMYFUNCTION("""COMPUTED_VALUE"""),"Phân bón Vi lượng Quantity New")</f>
        <v>Phân bón Vi lượng Quantity New</v>
      </c>
      <c r="P468" s="2" t="str">
        <f>IFERROR(__xludf.DUMMYFUNCTION("""COMPUTED_VALUE"""),"#N/A")</f>
        <v>#N/A</v>
      </c>
      <c r="Q468" s="30" t="str">
        <f>IFERROR(__xludf.DUMMYFUNCTION("""COMPUTED_VALUE"""),"KHÔNG KHỚP")</f>
        <v>KHÔNG KHỚP</v>
      </c>
      <c r="R468" s="2"/>
      <c r="S468" s="2"/>
      <c r="T468" s="2"/>
      <c r="U468" s="2"/>
      <c r="V468" s="2"/>
      <c r="W468" s="2"/>
      <c r="X468" s="2"/>
      <c r="Y468" s="2"/>
    </row>
    <row r="469">
      <c r="A469" s="30">
        <f>IFERROR(__xludf.DUMMYFUNCTION("""COMPUTED_VALUE"""),466.0)</f>
        <v>466</v>
      </c>
      <c r="B469" s="39">
        <f>IFERROR(__xludf.DUMMYFUNCTION("""COMPUTED_VALUE"""),45896.0)</f>
        <v>45896</v>
      </c>
      <c r="C469" s="30">
        <f>IFERROR(__xludf.DUMMYFUNCTION("""COMPUTED_VALUE"""),2.0)</f>
        <v>2</v>
      </c>
      <c r="D469" s="30" t="str">
        <f>IFERROR(__xludf.DUMMYFUNCTION("""COMPUTED_VALUE"""),"CT CŨ")</f>
        <v>CT CŨ</v>
      </c>
      <c r="E469" s="30"/>
      <c r="F469" s="2"/>
      <c r="G469" s="2" t="str">
        <f>IFERROR(__xludf.DUMMYFUNCTION("""COMPUTED_VALUE"""),"HH4374")</f>
        <v>HH4374</v>
      </c>
      <c r="H469" s="2" t="str">
        <f>IFERROR(__xludf.DUMMYFUNCTION("""COMPUTED_VALUE"""),"GC - IV - 4374 - KIM NGỌC - AGAMA-CANXI BO (Nước trắng sữa) - 500ml - 40")</f>
        <v>GC - IV - 4374 - KIM NGỌC - AGAMA-CANXI BO (Nước trắng sữa) - 500ml - 40</v>
      </c>
      <c r="I469" s="2" t="str">
        <f>IFERROR(__xludf.DUMMYFUNCTION("""COMPUTED_VALUE"""),"#N/A")</f>
        <v>#N/A</v>
      </c>
      <c r="J469" s="2" t="str">
        <f>IFERROR(__xludf.DUMMYFUNCTION("""COMPUTED_VALUE"""),"A02160725")</f>
        <v>A02160725</v>
      </c>
      <c r="K469" s="2"/>
      <c r="L469" s="2" t="str">
        <f>IFERROR(__xludf.DUMMYFUNCTION("""COMPUTED_VALUE"""),"A02160725")</f>
        <v>A02160725</v>
      </c>
      <c r="M469" s="2" t="str">
        <f>IFERROR(__xludf.DUMMYFUNCTION("""COMPUTED_VALUE"""),"AGAMA-CANXI BO
(KIM NGỌC)")</f>
        <v>AGAMA-CANXI BO
(KIM NGỌC)</v>
      </c>
      <c r="N469" s="2" t="str">
        <f>IFERROR(__xludf.DUMMYFUNCTION("""COMPUTED_VALUE"""),"10CR0021")</f>
        <v>10CR0021</v>
      </c>
      <c r="O469" s="2" t="str">
        <f>IFERROR(__xludf.DUMMYFUNCTION("""COMPUTED_VALUE"""),"Phân bón Vi lượng AGAMA-CANXI BO")</f>
        <v>Phân bón Vi lượng AGAMA-CANXI BO</v>
      </c>
      <c r="P469" s="2" t="str">
        <f>IFERROR(__xludf.DUMMYFUNCTION("""COMPUTED_VALUE"""),"#N/A")</f>
        <v>#N/A</v>
      </c>
      <c r="Q469" s="30" t="str">
        <f>IFERROR(__xludf.DUMMYFUNCTION("""COMPUTED_VALUE"""),"KHÔNG KHỚP")</f>
        <v>KHÔNG KHỚP</v>
      </c>
      <c r="R469" s="2"/>
      <c r="S469" s="2"/>
      <c r="T469" s="2"/>
      <c r="U469" s="2"/>
      <c r="V469" s="2"/>
      <c r="W469" s="2"/>
      <c r="X469" s="2"/>
      <c r="Y469" s="2"/>
    </row>
    <row r="470">
      <c r="A470" s="30">
        <f>IFERROR(__xludf.DUMMYFUNCTION("""COMPUTED_VALUE"""),467.0)</f>
        <v>467</v>
      </c>
      <c r="B470" s="39">
        <f>IFERROR(__xludf.DUMMYFUNCTION("""COMPUTED_VALUE"""),46036.0)</f>
        <v>46036</v>
      </c>
      <c r="C470" s="30">
        <f>IFERROR(__xludf.DUMMYFUNCTION("""COMPUTED_VALUE"""),3.0)</f>
        <v>3</v>
      </c>
      <c r="D470" s="30" t="str">
        <f>IFERROR(__xludf.DUMMYFUNCTION("""COMPUTED_VALUE"""),"CT CŨ")</f>
        <v>CT CŨ</v>
      </c>
      <c r="E470" s="30"/>
      <c r="F470" s="2"/>
      <c r="G470" s="2" t="str">
        <f>IFERROR(__xludf.DUMMYFUNCTION("""COMPUTED_VALUE"""),"HH2899")</f>
        <v>HH2899</v>
      </c>
      <c r="H470" s="2" t="str">
        <f>IFERROR(__xludf.DUMMYFUNCTION("""COMPUTED_VALUE"""),"GC - IV - 2899 - CTY ASAHI NHẬT BẢN - ULTRA BUD (Nước nâu đen) - 22kg - 1")</f>
        <v>GC - IV - 2899 - CTY ASAHI NHẬT BẢN - ULTRA BUD (Nước nâu đen) - 22kg - 1</v>
      </c>
      <c r="I470" s="2" t="str">
        <f>IFERROR(__xludf.DUMMYFUNCTION("""COMPUTED_VALUE"""),"#N/A")</f>
        <v>#N/A</v>
      </c>
      <c r="J470" s="2" t="str">
        <f>IFERROR(__xludf.DUMMYFUNCTION("""COMPUTED_VALUE"""),"A06291024")</f>
        <v>A06291024</v>
      </c>
      <c r="K470" s="2"/>
      <c r="L470" s="2" t="str">
        <f>IFERROR(__xludf.DUMMYFUNCTION("""COMPUTED_VALUE"""),"A06291024")</f>
        <v>A06291024</v>
      </c>
      <c r="M470" s="2" t="str">
        <f>IFERROR(__xludf.DUMMYFUNCTION("""COMPUTED_VALUE"""),"ULTRA BUD")</f>
        <v>ULTRA BUD</v>
      </c>
      <c r="N470" s="2" t="str">
        <f>IFERROR(__xludf.DUMMYFUNCTION("""COMPUTED_VALUE"""),"01RR0036V2")</f>
        <v>01RR0036V2</v>
      </c>
      <c r="O470" s="2" t="str">
        <f>IFERROR(__xludf.DUMMYFUNCTION("""COMPUTED_VALUE"""),"Phân bón Hữu cơ SH Agro Organic Fertilizer 20")</f>
        <v>Phân bón Hữu cơ SH Agro Organic Fertilizer 20</v>
      </c>
      <c r="P470" s="2" t="str">
        <f>IFERROR(__xludf.DUMMYFUNCTION("""COMPUTED_VALUE"""),"#N/A")</f>
        <v>#N/A</v>
      </c>
      <c r="Q470" s="30" t="str">
        <f>IFERROR(__xludf.DUMMYFUNCTION("""COMPUTED_VALUE"""),"KHÔNG KHỚP")</f>
        <v>KHÔNG KHỚP</v>
      </c>
      <c r="R470" s="2"/>
      <c r="S470" s="2"/>
      <c r="T470" s="2"/>
      <c r="U470" s="2"/>
      <c r="V470" s="2"/>
      <c r="W470" s="2"/>
      <c r="X470" s="2"/>
      <c r="Y470" s="2"/>
    </row>
    <row r="471">
      <c r="A471" s="30">
        <f>IFERROR(__xludf.DUMMYFUNCTION("""COMPUTED_VALUE"""),468.0)</f>
        <v>468</v>
      </c>
      <c r="B471" s="39">
        <f>IFERROR(__xludf.DUMMYFUNCTION("""COMPUTED_VALUE"""),46036.0)</f>
        <v>46036</v>
      </c>
      <c r="C471" s="30">
        <f>IFERROR(__xludf.DUMMYFUNCTION("""COMPUTED_VALUE"""),1.0)</f>
        <v>1</v>
      </c>
      <c r="D471" s="30" t="str">
        <f>IFERROR(__xludf.DUMMYFUNCTION("""COMPUTED_VALUE"""),"CT MỚI")</f>
        <v>CT MỚI</v>
      </c>
      <c r="E471" s="30"/>
      <c r="F471" s="2"/>
      <c r="G471" s="2" t="str">
        <f>IFERROR(__xludf.DUMMYFUNCTION("""COMPUTED_VALUE"""),"HH3008")</f>
        <v>HH3008</v>
      </c>
      <c r="H471" s="2" t="str">
        <f>IFERROR(__xludf.DUMMYFUNCTION("""COMPUTED_VALUE"""),"GC - IV - 3008 - Cty Quang Đăng Agriculture - ORGA STRONG QĐ.TOTAL (Gel nâu đen) - 10L - 2")</f>
        <v>GC - IV - 3008 - Cty Quang Đăng Agriculture - ORGA STRONG QĐ.TOTAL (Gel nâu đen) - 10L - 2</v>
      </c>
      <c r="I471" s="2" t="str">
        <f>IFERROR(__xludf.DUMMYFUNCTION("""COMPUTED_VALUE"""),"#N/A")</f>
        <v>#N/A</v>
      </c>
      <c r="J471" s="2" t="str">
        <f>IFERROR(__xludf.DUMMYFUNCTION("""COMPUTED_VALUE"""),"cùng ruột HH2311")</f>
        <v>cùng ruột HH2311</v>
      </c>
      <c r="K471" s="2"/>
      <c r="L471" s="2" t="str">
        <f>IFERROR(__xludf.DUMMYFUNCTION("""COMPUTED_VALUE"""),"A01161024")</f>
        <v>A01161024</v>
      </c>
      <c r="M471" s="2" t="str">
        <f>IFERROR(__xludf.DUMMYFUNCTION("""COMPUTED_VALUE"""),"ORGA STRONG
AGRI BIO FISH
AGRI NOVA")</f>
        <v>ORGA STRONG
AGRI BIO FISH
AGRI NOVA</v>
      </c>
      <c r="N471" s="2" t="str">
        <f>IFERROR(__xludf.DUMMYFUNCTION("""COMPUTED_VALUE"""),"19DD0010V3")</f>
        <v>19DD0010V3</v>
      </c>
      <c r="O471" s="2" t="str">
        <f>IFERROR(__xludf.DUMMYFUNCTION("""COMPUTED_VALUE"""),"Phân bón Hữu cơ SH Agro Organic Fertilizer 20")</f>
        <v>Phân bón Hữu cơ SH Agro Organic Fertilizer 20</v>
      </c>
      <c r="P471" s="2" t="str">
        <f>IFERROR(__xludf.DUMMYFUNCTION("""COMPUTED_VALUE"""),"#N/A")</f>
        <v>#N/A</v>
      </c>
      <c r="Q471" s="30" t="str">
        <f>IFERROR(__xludf.DUMMYFUNCTION("""COMPUTED_VALUE"""),"KHÔNG KHỚP")</f>
        <v>KHÔNG KHỚP</v>
      </c>
      <c r="R471" s="2"/>
      <c r="S471" s="2"/>
      <c r="T471" s="2"/>
      <c r="U471" s="2"/>
      <c r="V471" s="2"/>
      <c r="W471" s="2"/>
      <c r="X471" s="2"/>
      <c r="Y471" s="2"/>
    </row>
    <row r="472">
      <c r="A472" s="30">
        <f>IFERROR(__xludf.DUMMYFUNCTION("""COMPUTED_VALUE"""),469.0)</f>
        <v>469</v>
      </c>
      <c r="B472" s="39">
        <f>IFERROR(__xludf.DUMMYFUNCTION("""COMPUTED_VALUE"""),45940.0)</f>
        <v>45940</v>
      </c>
      <c r="C472" s="30">
        <f>IFERROR(__xludf.DUMMYFUNCTION("""COMPUTED_VALUE"""),4.0)</f>
        <v>4</v>
      </c>
      <c r="D472" s="30" t="str">
        <f>IFERROR(__xludf.DUMMYFUNCTION("""COMPUTED_VALUE"""),"CT CŨ")</f>
        <v>CT CŨ</v>
      </c>
      <c r="E472" s="30"/>
      <c r="F472" s="2"/>
      <c r="G472" s="2" t="str">
        <f>IFERROR(__xludf.DUMMYFUNCTION("""COMPUTED_VALUE"""),"HH4311")</f>
        <v>HH4311</v>
      </c>
      <c r="H472" s="2" t="str">
        <f>IFERROR(__xludf.DUMMYFUNCTION("""COMPUTED_VALUE"""),"BAMBOO - VI - 4311 - BAMBOO 777 TE (chưa xác định) - 1L - 20")</f>
        <v>BAMBOO - VI - 4311 - BAMBOO 777 TE (chưa xác định) - 1L - 20</v>
      </c>
      <c r="I472" s="39" t="str">
        <f>IFERROR(__xludf.DUMMYFUNCTION("""COMPUTED_VALUE"""),"lá NPK-vi lượng GNC19")</f>
        <v>lá NPK-vi lượng GNC19</v>
      </c>
      <c r="J472" s="2" t="str">
        <f>IFERROR(__xludf.DUMMYFUNCTION("""COMPUTED_VALUE"""),"Đóng theo đơn gần nhất")</f>
        <v>Đóng theo đơn gần nhất</v>
      </c>
      <c r="K472" s="2"/>
      <c r="L472" s="2" t="str">
        <f>IFERROR(__xludf.DUMMYFUNCTION("""COMPUTED_VALUE"""),"BB25040725")</f>
        <v>BB25040725</v>
      </c>
      <c r="M472" s="2" t="str">
        <f>IFERROR(__xludf.DUMMYFUNCTION("""COMPUTED_VALUE"""),"BAMBOO 777 TE")</f>
        <v>BAMBOO 777 TE</v>
      </c>
      <c r="N472" s="2" t="str">
        <f>IFERROR(__xludf.DUMMYFUNCTION("""COMPUTED_VALUE"""),"03DD0015V1")</f>
        <v>03DD0015V1</v>
      </c>
      <c r="O472" s="2" t="str">
        <f>IFERROR(__xludf.DUMMYFUNCTION("""COMPUTED_VALUE"""),"Phân bón lá NPK-Vi lượng GNC 19")</f>
        <v>Phân bón lá NPK-Vi lượng GNC 19</v>
      </c>
      <c r="P472" s="2" t="str">
        <f>IFERROR(__xludf.DUMMYFUNCTION("""COMPUTED_VALUE"""),"Phân bón lá NPK-vi lượng GNC19")</f>
        <v>Phân bón lá NPK-vi lượng GNC19</v>
      </c>
      <c r="Q472" s="30" t="str">
        <f>IFERROR(__xludf.DUMMYFUNCTION("""COMPUTED_VALUE"""),"KHÔNG KHỚP")</f>
        <v>KHÔNG KHỚP</v>
      </c>
      <c r="R472" s="2"/>
      <c r="S472" s="2"/>
      <c r="T472" s="2"/>
      <c r="U472" s="2"/>
      <c r="V472" s="2"/>
      <c r="W472" s="2"/>
      <c r="X472" s="2"/>
      <c r="Y472" s="2"/>
    </row>
    <row r="473">
      <c r="A473" s="30">
        <f>IFERROR(__xludf.DUMMYFUNCTION("""COMPUTED_VALUE"""),470.0)</f>
        <v>470</v>
      </c>
      <c r="B473" s="39">
        <f>IFERROR(__xludf.DUMMYFUNCTION("""COMPUTED_VALUE"""),46031.0)</f>
        <v>46031</v>
      </c>
      <c r="C473" s="30">
        <f>IFERROR(__xludf.DUMMYFUNCTION("""COMPUTED_VALUE"""),1.0)</f>
        <v>1</v>
      </c>
      <c r="D473" s="30" t="str">
        <f>IFERROR(__xludf.DUMMYFUNCTION("""COMPUTED_VALUE"""),"CT CŨ")</f>
        <v>CT CŨ</v>
      </c>
      <c r="E473" s="30"/>
      <c r="F473" s="2"/>
      <c r="G473" s="2" t="str">
        <f>IFERROR(__xludf.DUMMYFUNCTION("""COMPUTED_VALUE"""),"HH4671")</f>
        <v>HH4671</v>
      </c>
      <c r="H473" s="2" t="str">
        <f>IFERROR(__xludf.DUMMYFUNCTION("""COMPUTED_VALUE"""),"DR.XANH - VIII - 4671 - DR.RICE (Nước đỏ cam) - 500ml - 40")</f>
        <v>DR.XANH - VIII - 4671 - DR.RICE (Nước đỏ cam) - 500ml - 40</v>
      </c>
      <c r="I473" s="2" t="str">
        <f>IFERROR(__xludf.DUMMYFUNCTION("""COMPUTED_VALUE"""),"#N/A")</f>
        <v>#N/A</v>
      </c>
      <c r="J473" s="2" t="str">
        <f>IFERROR(__xludf.DUMMYFUNCTION("""COMPUTED_VALUE"""),"X02080325")</f>
        <v>X02080325</v>
      </c>
      <c r="K473" s="2"/>
      <c r="L473" s="2" t="str">
        <f>IFERROR(__xludf.DUMMYFUNCTION("""COMPUTED_VALUE"""),"X02080325")</f>
        <v>X02080325</v>
      </c>
      <c r="M473" s="2" t="str">
        <f>IFERROR(__xludf.DUMMYFUNCTION("""COMPUTED_VALUE"""),"DR.RICE")</f>
        <v>DR.RICE</v>
      </c>
      <c r="N473" s="2" t="str">
        <f>IFERROR(__xludf.DUMMYFUNCTION("""COMPUTED_VALUE"""),"04VG0032V1")</f>
        <v>04VG0032V1</v>
      </c>
      <c r="O473" s="2" t="str">
        <f>IFERROR(__xludf.DUMMYFUNCTION("""COMPUTED_VALUE"""),"Phân bón NPK-Vi lượng MASSIVE-BLUE")</f>
        <v>Phân bón NPK-Vi lượng MASSIVE-BLUE</v>
      </c>
      <c r="P473" s="2" t="str">
        <f>IFERROR(__xludf.DUMMYFUNCTION("""COMPUTED_VALUE"""),"#N/A")</f>
        <v>#N/A</v>
      </c>
      <c r="Q473" s="30" t="str">
        <f>IFERROR(__xludf.DUMMYFUNCTION("""COMPUTED_VALUE"""),"KHÔNG KHỚP")</f>
        <v>KHÔNG KHỚP</v>
      </c>
      <c r="R473" s="2"/>
      <c r="S473" s="2"/>
      <c r="T473" s="2"/>
      <c r="U473" s="2"/>
      <c r="V473" s="2"/>
      <c r="W473" s="2"/>
      <c r="X473" s="2"/>
      <c r="Y473" s="2"/>
    </row>
    <row r="474">
      <c r="A474" s="30">
        <f>IFERROR(__xludf.DUMMYFUNCTION("""COMPUTED_VALUE"""),471.0)</f>
        <v>471</v>
      </c>
      <c r="B474" s="39">
        <f>IFERROR(__xludf.DUMMYFUNCTION("""COMPUTED_VALUE"""),45964.0)</f>
        <v>45964</v>
      </c>
      <c r="C474" s="30">
        <f>IFERROR(__xludf.DUMMYFUNCTION("""COMPUTED_VALUE"""),2.0)</f>
        <v>2</v>
      </c>
      <c r="D474" s="30" t="str">
        <f>IFERROR(__xludf.DUMMYFUNCTION("""COMPUTED_VALUE"""),"CT CŨ")</f>
        <v>CT CŨ</v>
      </c>
      <c r="E474" s="30"/>
      <c r="F474" s="2"/>
      <c r="G474" s="2" t="str">
        <f>IFERROR(__xludf.DUMMYFUNCTION("""COMPUTED_VALUE"""),"HH4001")</f>
        <v>HH4001</v>
      </c>
      <c r="H474" s="2" t="str">
        <f>IFERROR(__xludf.DUMMYFUNCTION("""COMPUTED_VALUE"""),"GC - IV - 4001 - CTY NAUY - NANO PROMAX (Vô gạo) (Nước nâu đen) - 500ml - 40")</f>
        <v>GC - IV - 4001 - CTY NAUY - NANO PROMAX (Vô gạo) (Nước nâu đen) - 500ml - 40</v>
      </c>
      <c r="I474" s="2" t="str">
        <f>IFERROR(__xludf.DUMMYFUNCTION("""COMPUTED_VALUE"""),"#N/A")</f>
        <v>#N/A</v>
      </c>
      <c r="J474" s="2" t="str">
        <f>IFERROR(__xludf.DUMMYFUNCTION("""COMPUTED_VALUE"""),"A05190825")</f>
        <v>A05190825</v>
      </c>
      <c r="K474" s="2"/>
      <c r="L474" s="2" t="str">
        <f>IFERROR(__xludf.DUMMYFUNCTION("""COMPUTED_VALUE"""),"A05190825")</f>
        <v>A05190825</v>
      </c>
      <c r="M474" s="2" t="str">
        <f>IFERROR(__xludf.DUMMYFUNCTION("""COMPUTED_VALUE"""),"SUPER NANO VÔ GẠO
0 - 5 - 18 ")</f>
        <v>SUPER NANO VÔ GẠO
0 - 5 - 18 </v>
      </c>
      <c r="N474" s="2" t="str">
        <f>IFERROR(__xludf.DUMMYFUNCTION("""COMPUTED_VALUE"""),"04VG0045")</f>
        <v>04VG0045</v>
      </c>
      <c r="O474" s="2" t="str">
        <f>IFERROR(__xludf.DUMMYFUNCTION("""COMPUTED_VALUE"""),"Phân bón lá PK-Vi lượng SV 5-18")</f>
        <v>Phân bón lá PK-Vi lượng SV 5-18</v>
      </c>
      <c r="P474" s="2" t="str">
        <f>IFERROR(__xludf.DUMMYFUNCTION("""COMPUTED_VALUE"""),"#N/A")</f>
        <v>#N/A</v>
      </c>
      <c r="Q474" s="30" t="str">
        <f>IFERROR(__xludf.DUMMYFUNCTION("""COMPUTED_VALUE"""),"KHÔNG KHỚP")</f>
        <v>KHÔNG KHỚP</v>
      </c>
      <c r="R474" s="2"/>
      <c r="S474" s="2"/>
      <c r="T474" s="2"/>
      <c r="U474" s="2"/>
      <c r="V474" s="2"/>
      <c r="W474" s="2"/>
      <c r="X474" s="2"/>
      <c r="Y474" s="2"/>
    </row>
    <row r="475">
      <c r="A475" s="30">
        <f>IFERROR(__xludf.DUMMYFUNCTION("""COMPUTED_VALUE"""),472.0)</f>
        <v>472</v>
      </c>
      <c r="B475" s="39">
        <f>IFERROR(__xludf.DUMMYFUNCTION("""COMPUTED_VALUE"""),46038.0)</f>
        <v>46038</v>
      </c>
      <c r="C475" s="30">
        <f>IFERROR(__xludf.DUMMYFUNCTION("""COMPUTED_VALUE"""),1.0)</f>
        <v>1</v>
      </c>
      <c r="D475" s="30" t="str">
        <f>IFERROR(__xludf.DUMMYFUNCTION("""COMPUTED_VALUE"""),"CT MỚI")</f>
        <v>CT MỚI</v>
      </c>
      <c r="E475" s="30"/>
      <c r="F475" s="2"/>
      <c r="G475" s="2" t="str">
        <f>IFERROR(__xludf.DUMMYFUNCTION("""COMPUTED_VALUE"""),"HH4666")</f>
        <v>HH4666</v>
      </c>
      <c r="H475" s="2" t="str">
        <f>IFERROR(__xludf.DUMMYFUNCTION("""COMPUTED_VALUE"""),"GC - V - 4666 - Cty Master Win - ENERGROW (Gel nâu đen) - 1L - 20")</f>
        <v>GC - V - 4666 - Cty Master Win - ENERGROW (Gel nâu đen) - 1L - 20</v>
      </c>
      <c r="I475" s="2" t="str">
        <f>IFERROR(__xludf.DUMMYFUNCTION("""COMPUTED_VALUE"""),"#N/A")</f>
        <v>#N/A</v>
      </c>
      <c r="J475" s="2" t="str">
        <f>IFERROR(__xludf.DUMMYFUNCTION("""COMPUTED_VALUE"""),"Cùng ruột HH2756")</f>
        <v>Cùng ruột HH2756</v>
      </c>
      <c r="K475" s="2"/>
      <c r="L475" s="2" t="str">
        <f>IFERROR(__xludf.DUMMYFUNCTION("""COMPUTED_VALUE"""),"A01271124")</f>
        <v>A01271124</v>
      </c>
      <c r="M475" s="2" t="str">
        <f>IFERROR(__xludf.DUMMYFUNCTION("""COMPUTED_VALUE"""),"ENERGROW")</f>
        <v>ENERGROW</v>
      </c>
      <c r="N475" s="2" t="str">
        <f>IFERROR(__xludf.DUMMYFUNCTION("""COMPUTED_VALUE"""),"19DD0021V2")</f>
        <v>19DD0021V2</v>
      </c>
      <c r="O475" s="2" t="str">
        <f>IFERROR(__xludf.DUMMYFUNCTION("""COMPUTED_VALUE"""),"Phân bón Hữu cơ CROPS CARE")</f>
        <v>Phân bón Hữu cơ CROPS CARE</v>
      </c>
      <c r="P475" s="2" t="str">
        <f>IFERROR(__xludf.DUMMYFUNCTION("""COMPUTED_VALUE"""),"#N/A")</f>
        <v>#N/A</v>
      </c>
      <c r="Q475" s="30" t="str">
        <f>IFERROR(__xludf.DUMMYFUNCTION("""COMPUTED_VALUE"""),"KHÔNG KHỚP")</f>
        <v>KHÔNG KHỚP</v>
      </c>
      <c r="R475" s="2"/>
      <c r="S475" s="2"/>
      <c r="T475" s="2"/>
      <c r="U475" s="2"/>
      <c r="V475" s="2"/>
      <c r="W475" s="2"/>
      <c r="X475" s="2"/>
      <c r="Y475" s="2"/>
    </row>
    <row r="476">
      <c r="A476" s="30">
        <f>IFERROR(__xludf.DUMMYFUNCTION("""COMPUTED_VALUE"""),473.0)</f>
        <v>473</v>
      </c>
      <c r="B476" s="39">
        <f>IFERROR(__xludf.DUMMYFUNCTION("""COMPUTED_VALUE"""),46038.0)</f>
        <v>46038</v>
      </c>
      <c r="C476" s="30">
        <f>IFERROR(__xludf.DUMMYFUNCTION("""COMPUTED_VALUE"""),1.0)</f>
        <v>1</v>
      </c>
      <c r="D476" s="30" t="str">
        <f>IFERROR(__xludf.DUMMYFUNCTION("""COMPUTED_VALUE"""),"CT MỚI")</f>
        <v>CT MỚI</v>
      </c>
      <c r="E476" s="30"/>
      <c r="F476" s="2"/>
      <c r="G476" s="2" t="str">
        <f>IFERROR(__xludf.DUMMYFUNCTION("""COMPUTED_VALUE"""),"HH4667")</f>
        <v>HH4667</v>
      </c>
      <c r="H476" s="2" t="str">
        <f>IFERROR(__xludf.DUMMYFUNCTION("""COMPUTED_VALUE"""),"GC - V - 4667 - Cty Master Win - Amino Stalk (nước nâu đen) - 500ml - 40")</f>
        <v>GC - V - 4667 - Cty Master Win - Amino Stalk (nước nâu đen) - 500ml - 40</v>
      </c>
      <c r="I476" s="2" t="str">
        <f>IFERROR(__xludf.DUMMYFUNCTION("""COMPUTED_VALUE"""),"#N/A")</f>
        <v>#N/A</v>
      </c>
      <c r="J476" s="2" t="str">
        <f>IFERROR(__xludf.DUMMYFUNCTION("""COMPUTED_VALUE"""),"Cùng ruột HH2253")</f>
        <v>Cùng ruột HH2253</v>
      </c>
      <c r="K476" s="2"/>
      <c r="L476" s="2"/>
      <c r="M476" s="2" t="str">
        <f>IFERROR(__xludf.DUMMYFUNCTION("""COMPUTED_VALUE"""),"AMINO STALK")</f>
        <v>AMINO STALK</v>
      </c>
      <c r="N476" s="2" t="str">
        <f>IFERROR(__xludf.DUMMYFUNCTION("""COMPUTED_VALUE"""),"04VG0007V2")</f>
        <v>04VG0007V2</v>
      </c>
      <c r="O476" s="2" t="str">
        <f>IFERROR(__xludf.DUMMYFUNCTION("""COMPUTED_VALUE"""),"Phân bón Vi lượng Quantity New")</f>
        <v>Phân bón Vi lượng Quantity New</v>
      </c>
      <c r="P476" s="2" t="str">
        <f>IFERROR(__xludf.DUMMYFUNCTION("""COMPUTED_VALUE"""),"#N/A")</f>
        <v>#N/A</v>
      </c>
      <c r="Q476" s="30" t="str">
        <f>IFERROR(__xludf.DUMMYFUNCTION("""COMPUTED_VALUE"""),"KHÔNG KHỚP")</f>
        <v>KHÔNG KHỚP</v>
      </c>
      <c r="R476" s="2"/>
      <c r="S476" s="2"/>
      <c r="T476" s="2"/>
      <c r="U476" s="2"/>
      <c r="V476" s="2"/>
      <c r="W476" s="2"/>
      <c r="X476" s="2"/>
      <c r="Y476" s="2"/>
    </row>
    <row r="477">
      <c r="A477" s="30">
        <f>IFERROR(__xludf.DUMMYFUNCTION("""COMPUTED_VALUE"""),474.0)</f>
        <v>474</v>
      </c>
      <c r="B477" s="39">
        <f>IFERROR(__xludf.DUMMYFUNCTION("""COMPUTED_VALUE"""),45964.0)</f>
        <v>45964</v>
      </c>
      <c r="C477" s="30">
        <f>IFERROR(__xludf.DUMMYFUNCTION("""COMPUTED_VALUE"""),2.0)</f>
        <v>2</v>
      </c>
      <c r="D477" s="30" t="str">
        <f>IFERROR(__xludf.DUMMYFUNCTION("""COMPUTED_VALUE"""),"CT CŨ")</f>
        <v>CT CŨ</v>
      </c>
      <c r="E477" s="30"/>
      <c r="F477" s="2"/>
      <c r="G477" s="2" t="str">
        <f>IFERROR(__xludf.DUMMYFUNCTION("""COMPUTED_VALUE"""),"HH4345")</f>
        <v>HH4345</v>
      </c>
      <c r="H477" s="2" t="str">
        <f>IFERROR(__xludf.DUMMYFUNCTION("""COMPUTED_VALUE"""),"GC - V - 4345 - CTY NAUY - SUPER NANO (Nước nâu đen) - 500ml - 40")</f>
        <v>GC - V - 4345 - CTY NAUY - SUPER NANO (Nước nâu đen) - 500ml - 40</v>
      </c>
      <c r="I477" s="2" t="str">
        <f>IFERROR(__xludf.DUMMYFUNCTION("""COMPUTED_VALUE"""),"#N/A")</f>
        <v>#N/A</v>
      </c>
      <c r="J477" s="2" t="str">
        <f>IFERROR(__xludf.DUMMYFUNCTION("""COMPUTED_VALUE"""),"Cùng ruột HH4432")</f>
        <v>Cùng ruột HH4432</v>
      </c>
      <c r="K477" s="2"/>
      <c r="L477" s="2" t="str">
        <f>IFERROR(__xludf.DUMMYFUNCTION("""COMPUTED_VALUE"""),"A05190825")</f>
        <v>A05190825</v>
      </c>
      <c r="M477" s="2" t="str">
        <f>IFERROR(__xludf.DUMMYFUNCTION("""COMPUTED_VALUE"""),"SUPER NANO VÔ GẠO
0 - 5 - 18 ")</f>
        <v>SUPER NANO VÔ GẠO
0 - 5 - 18 </v>
      </c>
      <c r="N477" s="2" t="str">
        <f>IFERROR(__xludf.DUMMYFUNCTION("""COMPUTED_VALUE"""),"04VG0045")</f>
        <v>04VG0045</v>
      </c>
      <c r="O477" s="2" t="str">
        <f>IFERROR(__xludf.DUMMYFUNCTION("""COMPUTED_VALUE"""),"Phân bón lá PK-Vi lượng SV 5-18")</f>
        <v>Phân bón lá PK-Vi lượng SV 5-18</v>
      </c>
      <c r="P477" s="2" t="str">
        <f>IFERROR(__xludf.DUMMYFUNCTION("""COMPUTED_VALUE"""),"#N/A")</f>
        <v>#N/A</v>
      </c>
      <c r="Q477" s="30" t="str">
        <f>IFERROR(__xludf.DUMMYFUNCTION("""COMPUTED_VALUE"""),"KHÔNG KHỚP")</f>
        <v>KHÔNG KHỚP</v>
      </c>
      <c r="R477" s="2"/>
      <c r="S477" s="2"/>
      <c r="T477" s="2"/>
      <c r="U477" s="2"/>
      <c r="V477" s="2"/>
      <c r="W477" s="2"/>
      <c r="X477" s="2"/>
      <c r="Y477" s="2"/>
    </row>
    <row r="478">
      <c r="A478" s="30">
        <f>IFERROR(__xludf.DUMMYFUNCTION("""COMPUTED_VALUE"""),475.0)</f>
        <v>475</v>
      </c>
      <c r="B478" s="39">
        <f>IFERROR(__xludf.DUMMYFUNCTION("""COMPUTED_VALUE"""),46029.0)</f>
        <v>46029</v>
      </c>
      <c r="C478" s="30">
        <f>IFERROR(__xludf.DUMMYFUNCTION("""COMPUTED_VALUE"""),1.0)</f>
        <v>1</v>
      </c>
      <c r="D478" s="30" t="str">
        <f>IFERROR(__xludf.DUMMYFUNCTION("""COMPUTED_VALUE"""),"CT MỚI")</f>
        <v>CT MỚI</v>
      </c>
      <c r="E478" s="30"/>
      <c r="F478" s="2"/>
      <c r="G478" s="2" t="str">
        <f>IFERROR(__xludf.DUMMYFUNCTION("""COMPUTED_VALUE"""),"HH4634")</f>
        <v>HH4634</v>
      </c>
      <c r="H478" s="2" t="str">
        <f>IFERROR(__xludf.DUMMYFUNCTION("""COMPUTED_VALUE"""),"GC - V - 4634 - Agriplant - DƯỠNG CÂY - MẬP CHỒI (Nước nâu đen) - 500ml - 40")</f>
        <v>GC - V - 4634 - Agriplant - DƯỠNG CÂY - MẬP CHỒI (Nước nâu đen) - 500ml - 40</v>
      </c>
      <c r="I478" s="2" t="str">
        <f>IFERROR(__xludf.DUMMYFUNCTION("""COMPUTED_VALUE"""),"#N/A")</f>
        <v>#N/A</v>
      </c>
      <c r="J478" s="2" t="str">
        <f>IFERROR(__xludf.DUMMYFUNCTION("""COMPUTED_VALUE"""),"A01050126")</f>
        <v>A01050126</v>
      </c>
      <c r="K478" s="2"/>
      <c r="L478" s="2" t="str">
        <f>IFERROR(__xludf.DUMMYFUNCTION("""COMPUTED_VALUE"""),"A01050126")</f>
        <v>A01050126</v>
      </c>
      <c r="M478" s="2" t="str">
        <f>IFERROR(__xludf.DUMMYFUNCTION("""COMPUTED_VALUE"""),"DƯỠNG CÂY- MẬP CHỒI")</f>
        <v>DƯỠNG CÂY- MẬP CHỒI</v>
      </c>
      <c r="N478" s="2" t="str">
        <f>IFERROR(__xludf.DUMMYFUNCTION("""COMPUTED_VALUE"""),"05KC0015")</f>
        <v>05KC0015</v>
      </c>
      <c r="O478" s="2" t="str">
        <f>IFERROR(__xludf.DUMMYFUNCTION("""COMPUTED_VALUE"""),"Phân bón Hữu cơ ORGANIC ĐGP 01 ")</f>
        <v>Phân bón Hữu cơ ORGANIC ĐGP 01 </v>
      </c>
      <c r="P478" s="2" t="str">
        <f>IFERROR(__xludf.DUMMYFUNCTION("""COMPUTED_VALUE"""),"#N/A")</f>
        <v>#N/A</v>
      </c>
      <c r="Q478" s="30" t="str">
        <f>IFERROR(__xludf.DUMMYFUNCTION("""COMPUTED_VALUE"""),"KHÔNG KHỚP")</f>
        <v>KHÔNG KHỚP</v>
      </c>
      <c r="R478" s="2"/>
      <c r="S478" s="2"/>
      <c r="T478" s="2"/>
      <c r="U478" s="2"/>
      <c r="V478" s="2"/>
      <c r="W478" s="2"/>
      <c r="X478" s="2"/>
      <c r="Y478" s="2"/>
    </row>
    <row r="479">
      <c r="A479" s="30">
        <f>IFERROR(__xludf.DUMMYFUNCTION("""COMPUTED_VALUE"""),476.0)</f>
        <v>476</v>
      </c>
      <c r="B479" s="39">
        <f>IFERROR(__xludf.DUMMYFUNCTION("""COMPUTED_VALUE"""),45988.0)</f>
        <v>45988</v>
      </c>
      <c r="C479" s="30">
        <f>IFERROR(__xludf.DUMMYFUNCTION("""COMPUTED_VALUE"""),3.0)</f>
        <v>3</v>
      </c>
      <c r="D479" s="30" t="str">
        <f>IFERROR(__xludf.DUMMYFUNCTION("""COMPUTED_VALUE"""),"CT CŨ")</f>
        <v>CT CŨ</v>
      </c>
      <c r="E479" s="30"/>
      <c r="F479" s="2"/>
      <c r="G479" s="2" t="str">
        <f>IFERROR(__xludf.DUMMYFUNCTION("""COMPUTED_VALUE"""),"HH4490")</f>
        <v>HH4490</v>
      </c>
      <c r="H479" s="2" t="str">
        <f>IFERROR(__xludf.DUMMYFUNCTION("""COMPUTED_VALUE"""),"GC - IV - 4490 - CTY NAUY - NANO DƯỠNG ĐÒNG (Nước nâu đen) - 500ml - 40")</f>
        <v>GC - IV - 4490 - CTY NAUY - NANO DƯỠNG ĐÒNG (Nước nâu đen) - 500ml - 40</v>
      </c>
      <c r="I479" s="2" t="str">
        <f>IFERROR(__xludf.DUMMYFUNCTION("""COMPUTED_VALUE"""),"#N/A")</f>
        <v>#N/A</v>
      </c>
      <c r="J479" s="2" t="str">
        <f>IFERROR(__xludf.DUMMYFUNCTION("""COMPUTED_VALUE"""),"03DD0009
Cùng ruột 3567")</f>
        <v>03DD0009
Cùng ruột 3567</v>
      </c>
      <c r="K479" s="2"/>
      <c r="L479" s="2" t="str">
        <f>IFERROR(__xludf.DUMMYFUNCTION("""COMPUTED_VALUE"""),"S01281024")</f>
        <v>S01281024</v>
      </c>
      <c r="M479" s="2" t="str">
        <f>IFERROR(__xludf.DUMMYFUNCTION("""COMPUTED_VALUE"""),"DƯỠNG ĐÒNG-NAUY")</f>
        <v>DƯỠNG ĐÒNG-NAUY</v>
      </c>
      <c r="N479" s="2" t="str">
        <f>IFERROR(__xludf.DUMMYFUNCTION("""COMPUTED_VALUE"""),"03DD0009")</f>
        <v>03DD0009</v>
      </c>
      <c r="O479" s="2" t="str">
        <f>IFERROR(__xludf.DUMMYFUNCTION("""COMPUTED_VALUE"""),"Phân bón Vi lượng AGAMA-SUPPORT")</f>
        <v>Phân bón Vi lượng AGAMA-SUPPORT</v>
      </c>
      <c r="P479" s="2" t="str">
        <f>IFERROR(__xludf.DUMMYFUNCTION("""COMPUTED_VALUE"""),"#N/A")</f>
        <v>#N/A</v>
      </c>
      <c r="Q479" s="30" t="str">
        <f>IFERROR(__xludf.DUMMYFUNCTION("""COMPUTED_VALUE"""),"KHÔNG KHỚP")</f>
        <v>KHÔNG KHỚP</v>
      </c>
      <c r="R479" s="2"/>
      <c r="S479" s="2"/>
      <c r="T479" s="2"/>
      <c r="U479" s="2"/>
      <c r="V479" s="2"/>
      <c r="W479" s="2"/>
      <c r="X479" s="2"/>
      <c r="Y479" s="2"/>
    </row>
    <row r="480">
      <c r="A480" s="30">
        <f>IFERROR(__xludf.DUMMYFUNCTION("""COMPUTED_VALUE"""),477.0)</f>
        <v>477</v>
      </c>
      <c r="B480" s="39">
        <f>IFERROR(__xludf.DUMMYFUNCTION("""COMPUTED_VALUE"""),46041.0)</f>
        <v>46041</v>
      </c>
      <c r="C480" s="30">
        <f>IFERROR(__xludf.DUMMYFUNCTION("""COMPUTED_VALUE"""),1.0)</f>
        <v>1</v>
      </c>
      <c r="D480" s="30" t="str">
        <f>IFERROR(__xludf.DUMMYFUNCTION("""COMPUTED_VALUE"""),"CT MỚI")</f>
        <v>CT MỚI</v>
      </c>
      <c r="E480" s="30"/>
      <c r="F480" s="2"/>
      <c r="G480" s="2" t="str">
        <f>IFERROR(__xludf.DUMMYFUNCTION("""COMPUTED_VALUE"""),"HH4670")</f>
        <v>HH4670</v>
      </c>
      <c r="H480" s="2" t="str">
        <f>IFERROR(__xludf.DUMMYFUNCTION("""COMPUTED_VALUE"""),"GC - V - 4670 - CTY USAFARM - FUSEMIN (Nước nâu đen) - 500ml - 40")</f>
        <v>GC - V - 4670 - CTY USAFARM - FUSEMIN (Nước nâu đen) - 500ml - 40</v>
      </c>
      <c r="I480" s="2" t="str">
        <f>IFERROR(__xludf.DUMMYFUNCTION("""COMPUTED_VALUE"""),"#N/A")</f>
        <v>#N/A</v>
      </c>
      <c r="J480" s="2" t="str">
        <f>IFERROR(__xludf.DUMMYFUNCTION("""COMPUTED_VALUE"""),"A04300924")</f>
        <v>A04300924</v>
      </c>
      <c r="K480" s="2"/>
      <c r="L480" s="2" t="str">
        <f>IFERROR(__xludf.DUMMYFUNCTION("""COMPUTED_VALUE"""),"A04300924")</f>
        <v>A04300924</v>
      </c>
      <c r="M480" s="2" t="str">
        <f>IFERROR(__xludf.DUMMYFUNCTION("""COMPUTED_VALUE"""),"FUSEMIN")</f>
        <v>FUSEMIN</v>
      </c>
      <c r="N480" s="2" t="str">
        <f>IFERROR(__xludf.DUMMYFUNCTION("""COMPUTED_VALUE"""),"01RR0042V1")</f>
        <v>01RR0042V1</v>
      </c>
      <c r="O480" s="2" t="str">
        <f>IFERROR(__xludf.DUMMYFUNCTION("""COMPUTED_VALUE"""),"Phân bón hữu cơ FUSEMIN COMBI+")</f>
        <v>Phân bón hữu cơ FUSEMIN COMBI+</v>
      </c>
      <c r="P480" s="2" t="str">
        <f>IFERROR(__xludf.DUMMYFUNCTION("""COMPUTED_VALUE"""),"#N/A")</f>
        <v>#N/A</v>
      </c>
      <c r="Q480" s="30" t="str">
        <f>IFERROR(__xludf.DUMMYFUNCTION("""COMPUTED_VALUE"""),"KHÔNG KHỚP")</f>
        <v>KHÔNG KHỚP</v>
      </c>
      <c r="R480" s="2"/>
      <c r="S480" s="2"/>
      <c r="T480" s="2"/>
      <c r="U480" s="2"/>
      <c r="V480" s="2"/>
      <c r="W480" s="2"/>
      <c r="X480" s="2"/>
      <c r="Y480" s="2"/>
    </row>
    <row r="481">
      <c r="A481" s="30">
        <f>IFERROR(__xludf.DUMMYFUNCTION("""COMPUTED_VALUE"""),478.0)</f>
        <v>478</v>
      </c>
      <c r="B481" s="39">
        <f>IFERROR(__xludf.DUMMYFUNCTION("""COMPUTED_VALUE"""),46038.0)</f>
        <v>46038</v>
      </c>
      <c r="C481" s="30">
        <f>IFERROR(__xludf.DUMMYFUNCTION("""COMPUTED_VALUE"""),1.0)</f>
        <v>1</v>
      </c>
      <c r="D481" s="30" t="str">
        <f>IFERROR(__xludf.DUMMYFUNCTION("""COMPUTED_VALUE"""),"CT MỚI")</f>
        <v>CT MỚI</v>
      </c>
      <c r="E481" s="30"/>
      <c r="F481" s="2"/>
      <c r="G481" s="2" t="str">
        <f>IFERROR(__xludf.DUMMYFUNCTION("""COMPUTED_VALUE"""),"HH4672")</f>
        <v>HH4672</v>
      </c>
      <c r="H481" s="2" t="str">
        <f>IFERROR(__xludf.DUMMYFUNCTION("""COMPUTED_VALUE"""),"GC - V - 4672 - NEWTECH CROP SCIENCE - NEW AMINO (Nước nâu đen) - 500ml - 30")</f>
        <v>GC - V - 4672 - NEWTECH CROP SCIENCE - NEW AMINO (Nước nâu đen) - 500ml - 30</v>
      </c>
      <c r="I481" s="39" t="str">
        <f>IFERROR(__xludf.DUMMYFUNCTION("""COMPUTED_VALUE"""),"Hữu cơ Organic BM Gold  FW")</f>
        <v>Hữu cơ Organic BM Gold  FW</v>
      </c>
      <c r="J481" s="2" t="str">
        <f>IFERROR(__xludf.DUMMYFUNCTION("""COMPUTED_VALUE"""),"Cùng ruột HH2776")</f>
        <v>Cùng ruột HH2776</v>
      </c>
      <c r="K481" s="2"/>
      <c r="L481" s="2" t="str">
        <f>IFERROR(__xludf.DUMMYFUNCTION("""COMPUTED_VALUE"""),"A02270924")</f>
        <v>A02270924</v>
      </c>
      <c r="M481" s="2" t="str">
        <f>IFERROR(__xludf.DUMMYFUNCTION("""COMPUTED_VALUE"""),"NEW AMINO")</f>
        <v>NEW AMINO</v>
      </c>
      <c r="N481" s="2" t="str">
        <f>IFERROR(__xludf.DUMMYFUNCTION("""COMPUTED_VALUE"""),"01RR0035V2")</f>
        <v>01RR0035V2</v>
      </c>
      <c r="O481" s="2" t="str">
        <f>IFERROR(__xludf.DUMMYFUNCTION("""COMPUTED_VALUE"""),"Phân bón Hữu cơ ORGANIC BM GOLD FW")</f>
        <v>Phân bón Hữu cơ ORGANIC BM GOLD FW</v>
      </c>
      <c r="P481" s="2" t="str">
        <f>IFERROR(__xludf.DUMMYFUNCTION("""COMPUTED_VALUE"""),"Phân bón Hữu cơ Organic BM Gold  FW")</f>
        <v>Phân bón Hữu cơ Organic BM Gold  FW</v>
      </c>
      <c r="Q481" s="30" t="str">
        <f>IFERROR(__xludf.DUMMYFUNCTION("""COMPUTED_VALUE"""),"KHÔNG KHỚP")</f>
        <v>KHÔNG KHỚP</v>
      </c>
      <c r="R481" s="2"/>
      <c r="S481" s="2"/>
      <c r="T481" s="2"/>
      <c r="U481" s="2"/>
      <c r="V481" s="2"/>
      <c r="W481" s="2"/>
      <c r="X481" s="2"/>
      <c r="Y481" s="2"/>
    </row>
    <row r="482">
      <c r="A482" s="30">
        <f>IFERROR(__xludf.DUMMYFUNCTION("""COMPUTED_VALUE"""),479.0)</f>
        <v>479</v>
      </c>
      <c r="B482" s="39">
        <f>IFERROR(__xludf.DUMMYFUNCTION("""COMPUTED_VALUE"""),46000.0)</f>
        <v>46000</v>
      </c>
      <c r="C482" s="30">
        <f>IFERROR(__xludf.DUMMYFUNCTION("""COMPUTED_VALUE"""),3.0)</f>
        <v>3</v>
      </c>
      <c r="D482" s="30" t="str">
        <f>IFERROR(__xludf.DUMMYFUNCTION("""COMPUTED_VALUE"""),"CT CŨ")</f>
        <v>CT CŨ</v>
      </c>
      <c r="E482" s="30"/>
      <c r="F482" s="2"/>
      <c r="G482" s="2" t="str">
        <f>IFERROR(__xludf.DUMMYFUNCTION("""COMPUTED_VALUE"""),"HH4012")</f>
        <v>HH4012</v>
      </c>
      <c r="H482" s="2" t="str">
        <f>IFERROR(__xludf.DUMMYFUNCTION("""COMPUTED_VALUE"""),"GC - V - 4012 - N2SBIO - N2 PHYTO PLUS (Nước nâu đen) - 500ml - 40")</f>
        <v>GC - V - 4012 - N2SBIO - N2 PHYTO PLUS (Nước nâu đen) - 500ml - 40</v>
      </c>
      <c r="I482" s="2" t="str">
        <f>IFERROR(__xludf.DUMMYFUNCTION("""COMPUTED_VALUE"""),"#N/A")</f>
        <v>#N/A</v>
      </c>
      <c r="J482" s="2" t="str">
        <f>IFERROR(__xludf.DUMMYFUNCTION("""COMPUTED_VALUE"""),"N05181224")</f>
        <v>N05181224</v>
      </c>
      <c r="K482" s="2"/>
      <c r="L482" s="2" t="str">
        <f>IFERROR(__xludf.DUMMYFUNCTION("""COMPUTED_VALUE"""),"N05181224
X06121224")</f>
        <v>N05181224
X06121224</v>
      </c>
      <c r="M482" s="2" t="str">
        <f>IFERROR(__xludf.DUMMYFUNCTION("""COMPUTED_VALUE"""),"N2 PHYTO PLUS
DR.AB MAGSI")</f>
        <v>N2 PHYTO PLUS
DR.AB MAGSI</v>
      </c>
      <c r="N482" s="2" t="str">
        <f>IFERROR(__xludf.DUMMYFUNCTION("""COMPUTED_VALUE"""),"02CC0009V3")</f>
        <v>02CC0009V3</v>
      </c>
      <c r="O482" s="2" t="str">
        <f>IFERROR(__xludf.DUMMYFUNCTION("""COMPUTED_VALUE"""),"Phân bón Hữu cơ SH Agro Organic Fertilizer 20")</f>
        <v>Phân bón Hữu cơ SH Agro Organic Fertilizer 20</v>
      </c>
      <c r="P482" s="2" t="str">
        <f>IFERROR(__xludf.DUMMYFUNCTION("""COMPUTED_VALUE"""),"#N/A")</f>
        <v>#N/A</v>
      </c>
      <c r="Q482" s="30" t="str">
        <f>IFERROR(__xludf.DUMMYFUNCTION("""COMPUTED_VALUE"""),"KHÔNG KHỚP")</f>
        <v>KHÔNG KHỚP</v>
      </c>
      <c r="R482" s="2"/>
      <c r="S482" s="2"/>
      <c r="T482" s="2"/>
      <c r="U482" s="2"/>
      <c r="V482" s="2"/>
      <c r="W482" s="2"/>
      <c r="X482" s="2"/>
      <c r="Y482" s="2"/>
    </row>
    <row r="483">
      <c r="A483" s="30">
        <f>IFERROR(__xludf.DUMMYFUNCTION("""COMPUTED_VALUE"""),480.0)</f>
        <v>480</v>
      </c>
      <c r="B483" s="39">
        <f>IFERROR(__xludf.DUMMYFUNCTION("""COMPUTED_VALUE"""),45929.0)</f>
        <v>45929</v>
      </c>
      <c r="C483" s="30">
        <f>IFERROR(__xludf.DUMMYFUNCTION("""COMPUTED_VALUE"""),1.0)</f>
        <v>1</v>
      </c>
      <c r="D483" s="30" t="str">
        <f>IFERROR(__xludf.DUMMYFUNCTION("""COMPUTED_VALUE"""),"CT CŨ")</f>
        <v>CT CŨ</v>
      </c>
      <c r="E483" s="30"/>
      <c r="F483" s="2"/>
      <c r="G483" s="2" t="str">
        <f>IFERROR(__xludf.DUMMYFUNCTION("""COMPUTED_VALUE"""),"HH4621")</f>
        <v>HH4621</v>
      </c>
      <c r="H483" s="2" t="str">
        <f>IFERROR(__xludf.DUMMYFUNCTION("""COMPUTED_VALUE"""),"GC - V - 4621 - Cty Hóa Nông Shino - SHINO RICE (nước đỏ cam) - 500ml - 30")</f>
        <v>GC - V - 4621 - Cty Hóa Nông Shino - SHINO RICE (nước đỏ cam) - 500ml - 30</v>
      </c>
      <c r="I483" s="2" t="str">
        <f>IFERROR(__xludf.DUMMYFUNCTION("""COMPUTED_VALUE"""),"#N/A")</f>
        <v>#N/A</v>
      </c>
      <c r="J483" s="2" t="str">
        <f>IFERROR(__xludf.DUMMYFUNCTION("""COMPUTED_VALUE"""),"cùng ruột HH3574")</f>
        <v>cùng ruột HH3574</v>
      </c>
      <c r="K483" s="2"/>
      <c r="L483" s="2"/>
      <c r="M483" s="2" t="str">
        <f>IFERROR(__xludf.DUMMYFUNCTION("""COMPUTED_VALUE"""),"SIÊU VÔ GẠO TE+
1 TẤN 4
SHINO 1 TẤN 4
SHINO RICE")</f>
        <v>SIÊU VÔ GẠO TE+
1 TẤN 4
SHINO 1 TẤN 4
SHINO RICE</v>
      </c>
      <c r="N483" s="2" t="str">
        <f>IFERROR(__xludf.DUMMYFUNCTION("""COMPUTED_VALUE"""),"04VG0014V1")</f>
        <v>04VG0014V1</v>
      </c>
      <c r="O483" s="2" t="str">
        <f>IFERROR(__xludf.DUMMYFUNCTION("""COMPUTED_VALUE"""),"Phân bón NPK-Vi lượng MASSIVE-BLUE")</f>
        <v>Phân bón NPK-Vi lượng MASSIVE-BLUE</v>
      </c>
      <c r="P483" s="2" t="str">
        <f>IFERROR(__xludf.DUMMYFUNCTION("""COMPUTED_VALUE"""),"#N/A")</f>
        <v>#N/A</v>
      </c>
      <c r="Q483" s="30" t="str">
        <f>IFERROR(__xludf.DUMMYFUNCTION("""COMPUTED_VALUE"""),"KHÔNG KHỚP")</f>
        <v>KHÔNG KHỚP</v>
      </c>
      <c r="R483" s="2"/>
      <c r="S483" s="2"/>
      <c r="T483" s="2"/>
      <c r="U483" s="2"/>
      <c r="V483" s="2"/>
      <c r="W483" s="2"/>
      <c r="X483" s="2"/>
      <c r="Y483" s="2"/>
    </row>
    <row r="484">
      <c r="A484" s="30">
        <f>IFERROR(__xludf.DUMMYFUNCTION("""COMPUTED_VALUE"""),481.0)</f>
        <v>481</v>
      </c>
      <c r="B484" s="39">
        <f>IFERROR(__xludf.DUMMYFUNCTION("""COMPUTED_VALUE"""),46024.0)</f>
        <v>46024</v>
      </c>
      <c r="C484" s="30">
        <f>IFERROR(__xludf.DUMMYFUNCTION("""COMPUTED_VALUE"""),2.0)</f>
        <v>2</v>
      </c>
      <c r="D484" s="30" t="str">
        <f>IFERROR(__xludf.DUMMYFUNCTION("""COMPUTED_VALUE"""),"CT CŨ")</f>
        <v>CT CŨ</v>
      </c>
      <c r="E484" s="30"/>
      <c r="F484" s="2"/>
      <c r="G484" s="2" t="str">
        <f>IFERROR(__xludf.DUMMYFUNCTION("""COMPUTED_VALUE"""),"HH4160")</f>
        <v>HH4160</v>
      </c>
      <c r="H484" s="2" t="str">
        <f>IFERROR(__xludf.DUMMYFUNCTION("""COMPUTED_VALUE"""),"GC - IV - 4160 - Japan Crop Science - Sumo Siêu Cứng (gel nâu đen) - 500ml - 30")</f>
        <v>GC - IV - 4160 - Japan Crop Science - Sumo Siêu Cứng (gel nâu đen) - 500ml - 30</v>
      </c>
      <c r="I484" s="39" t="str">
        <f>IFERROR(__xludf.DUMMYFUNCTION("""COMPUTED_VALUE"""),"Vi lượng Quantity New")</f>
        <v>Vi lượng Quantity New</v>
      </c>
      <c r="J484" s="2" t="str">
        <f>IFERROR(__xludf.DUMMYFUNCTION("""COMPUTED_VALUE"""),"Cùng ruột 1570")</f>
        <v>Cùng ruột 1570</v>
      </c>
      <c r="K484" s="2"/>
      <c r="L484" s="2" t="str">
        <f>IFERROR(__xludf.DUMMYFUNCTION("""COMPUTED_VALUE"""),"DÒNG PHỤ GIA THẤP V1")</f>
        <v>DÒNG PHỤ GIA THẤP V1</v>
      </c>
      <c r="M484" s="2" t="str">
        <f>IFERROR(__xludf.DUMMYFUNCTION("""COMPUTED_VALUE"""),"SUMO SIÊU CỨNG
CỨNG NHƯ ĐẠN
CỨNG HƠN TRỤ THÉP")</f>
        <v>SUMO SIÊU CỨNG
CỨNG NHƯ ĐẠN
CỨNG HƠN TRỤ THÉP</v>
      </c>
      <c r="N484" s="2" t="str">
        <f>IFERROR(__xludf.DUMMYFUNCTION("""COMPUTED_VALUE"""),"02CC0001V3")</f>
        <v>02CC0001V3</v>
      </c>
      <c r="O484" s="2" t="str">
        <f>IFERROR(__xludf.DUMMYFUNCTION("""COMPUTED_VALUE"""),"Phân bón Vi lượng Quantity New")</f>
        <v>Phân bón Vi lượng Quantity New</v>
      </c>
      <c r="P484" s="2" t="str">
        <f>IFERROR(__xludf.DUMMYFUNCTION("""COMPUTED_VALUE"""),"Phân bón Vi lượng Quantity New")</f>
        <v>Phân bón Vi lượng Quantity New</v>
      </c>
      <c r="Q484" s="30" t="str">
        <f>IFERROR(__xludf.DUMMYFUNCTION("""COMPUTED_VALUE"""),"KHỚP")</f>
        <v>KHỚP</v>
      </c>
      <c r="R484" s="2"/>
      <c r="S484" s="2"/>
      <c r="T484" s="2"/>
      <c r="U484" s="2"/>
      <c r="V484" s="2"/>
      <c r="W484" s="2"/>
      <c r="X484" s="2"/>
      <c r="Y484" s="2"/>
    </row>
    <row r="485">
      <c r="A485" s="30">
        <f>IFERROR(__xludf.DUMMYFUNCTION("""COMPUTED_VALUE"""),482.0)</f>
        <v>482</v>
      </c>
      <c r="B485" s="39">
        <f>IFERROR(__xludf.DUMMYFUNCTION("""COMPUTED_VALUE"""),46024.0)</f>
        <v>46024</v>
      </c>
      <c r="C485" s="30">
        <f>IFERROR(__xludf.DUMMYFUNCTION("""COMPUTED_VALUE"""),1.0)</f>
        <v>1</v>
      </c>
      <c r="D485" s="30" t="str">
        <f>IFERROR(__xludf.DUMMYFUNCTION("""COMPUTED_VALUE"""),"CT CŨ")</f>
        <v>CT CŨ</v>
      </c>
      <c r="E485" s="30"/>
      <c r="F485" s="2"/>
      <c r="G485" s="2" t="str">
        <f>IFERROR(__xludf.DUMMYFUNCTION("""COMPUTED_VALUE"""),"HH4669")</f>
        <v>HH4669</v>
      </c>
      <c r="H485" s="2" t="str">
        <f>IFERROR(__xludf.DUMMYFUNCTION("""COMPUTED_VALUE"""),"GC - V - 4669 - Cty Agrochem Korea - CỨNG NHƯ ĐẠN (Gel nâu đen) - 500ml - 30")</f>
        <v>GC - V - 4669 - Cty Agrochem Korea - CỨNG NHƯ ĐẠN (Gel nâu đen) - 500ml - 30</v>
      </c>
      <c r="I485" s="2" t="str">
        <f>IFERROR(__xludf.DUMMYFUNCTION("""COMPUTED_VALUE"""),"#N/A")</f>
        <v>#N/A</v>
      </c>
      <c r="J485" s="2" t="str">
        <f>IFERROR(__xludf.DUMMYFUNCTION("""COMPUTED_VALUE"""),"Cùng ruột 1570")</f>
        <v>Cùng ruột 1570</v>
      </c>
      <c r="K485" s="2"/>
      <c r="L485" s="2" t="str">
        <f>IFERROR(__xludf.DUMMYFUNCTION("""COMPUTED_VALUE"""),"DÒNG PHỤ GIA THẤP V1")</f>
        <v>DÒNG PHỤ GIA THẤP V1</v>
      </c>
      <c r="M485" s="2" t="str">
        <f>IFERROR(__xludf.DUMMYFUNCTION("""COMPUTED_VALUE"""),"SUMO SIÊU CỨNG
CỨNG NHƯ ĐẠN
CỨNG HƠN TRỤ THÉP")</f>
        <v>SUMO SIÊU CỨNG
CỨNG NHƯ ĐẠN
CỨNG HƠN TRỤ THÉP</v>
      </c>
      <c r="N485" s="2" t="str">
        <f>IFERROR(__xludf.DUMMYFUNCTION("""COMPUTED_VALUE"""),"02CC0001V3")</f>
        <v>02CC0001V3</v>
      </c>
      <c r="O485" s="2" t="str">
        <f>IFERROR(__xludf.DUMMYFUNCTION("""COMPUTED_VALUE"""),"Phân bón Vi lượng Quantity New")</f>
        <v>Phân bón Vi lượng Quantity New</v>
      </c>
      <c r="P485" s="2" t="str">
        <f>IFERROR(__xludf.DUMMYFUNCTION("""COMPUTED_VALUE"""),"#N/A")</f>
        <v>#N/A</v>
      </c>
      <c r="Q485" s="30" t="str">
        <f>IFERROR(__xludf.DUMMYFUNCTION("""COMPUTED_VALUE"""),"KHÔNG KHỚP")</f>
        <v>KHÔNG KHỚP</v>
      </c>
      <c r="R485" s="2"/>
      <c r="S485" s="2"/>
      <c r="T485" s="2"/>
      <c r="U485" s="2"/>
      <c r="V485" s="2"/>
      <c r="W485" s="2"/>
      <c r="X485" s="2"/>
      <c r="Y485" s="2"/>
    </row>
    <row r="486">
      <c r="A486" s="30">
        <f>IFERROR(__xludf.DUMMYFUNCTION("""COMPUTED_VALUE"""),483.0)</f>
        <v>483</v>
      </c>
      <c r="B486" s="39">
        <f>IFERROR(__xludf.DUMMYFUNCTION("""COMPUTED_VALUE"""),45938.0)</f>
        <v>45938</v>
      </c>
      <c r="C486" s="30">
        <f>IFERROR(__xludf.DUMMYFUNCTION("""COMPUTED_VALUE"""),2.0)</f>
        <v>2</v>
      </c>
      <c r="D486" s="30" t="str">
        <f>IFERROR(__xludf.DUMMYFUNCTION("""COMPUTED_VALUE"""),"CT CŨ")</f>
        <v>CT CŨ</v>
      </c>
      <c r="E486" s="30"/>
      <c r="F486" s="2"/>
      <c r="G486" s="2" t="str">
        <f>IFERROR(__xludf.DUMMYFUNCTION("""COMPUTED_VALUE"""),"HH4301")</f>
        <v>HH4301</v>
      </c>
      <c r="H486" s="2" t="str">
        <f>IFERROR(__xludf.DUMMYFUNCTION("""COMPUTED_VALUE"""),"GC - IV - 4301 - CTY GNH - Ra Rễ Nở Bụi (nước nâu đen) - 1L - 20")</f>
        <v>GC - IV - 4301 - CTY GNH - Ra Rễ Nở Bụi (nước nâu đen) - 1L - 20</v>
      </c>
      <c r="I486" s="2" t="str">
        <f>IFERROR(__xludf.DUMMYFUNCTION("""COMPUTED_VALUE"""),"#N/A")</f>
        <v>#N/A</v>
      </c>
      <c r="J486" s="2" t="str">
        <f>IFERROR(__xludf.DUMMYFUNCTION("""COMPUTED_VALUE"""),"cừng ruột HH3244")</f>
        <v>cừng ruột HH3244</v>
      </c>
      <c r="K486" s="2"/>
      <c r="L486" s="2" t="str">
        <f>IFERROR(__xludf.DUMMYFUNCTION("""COMPUTED_VALUE"""),"A06270225")</f>
        <v>A06270225</v>
      </c>
      <c r="M486" s="2" t="str">
        <f>IFERROR(__xludf.DUMMYFUNCTION("""COMPUTED_VALUE"""),"RA RỄ NỞ BỤI")</f>
        <v>RA RỄ NỞ BỤI</v>
      </c>
      <c r="N486" s="2" t="str">
        <f>IFERROR(__xludf.DUMMYFUNCTION("""COMPUTED_VALUE"""),"01RR0049V1")</f>
        <v>01RR0049V1</v>
      </c>
      <c r="O486" s="2" t="str">
        <f>IFERROR(__xludf.DUMMYFUNCTION("""COMPUTED_VALUE"""),"Phân bón Vi lượng Quantity New")</f>
        <v>Phân bón Vi lượng Quantity New</v>
      </c>
      <c r="P486" s="2" t="str">
        <f>IFERROR(__xludf.DUMMYFUNCTION("""COMPUTED_VALUE"""),"#N/A")</f>
        <v>#N/A</v>
      </c>
      <c r="Q486" s="30" t="str">
        <f>IFERROR(__xludf.DUMMYFUNCTION("""COMPUTED_VALUE"""),"KHÔNG KHỚP")</f>
        <v>KHÔNG KHỚP</v>
      </c>
      <c r="R486" s="2"/>
      <c r="S486" s="2"/>
      <c r="T486" s="2"/>
      <c r="U486" s="2"/>
      <c r="V486" s="2"/>
      <c r="W486" s="2"/>
      <c r="X486" s="2"/>
      <c r="Y486" s="2"/>
    </row>
    <row r="487">
      <c r="A487" s="30">
        <f>IFERROR(__xludf.DUMMYFUNCTION("""COMPUTED_VALUE"""),484.0)</f>
        <v>484</v>
      </c>
      <c r="B487" s="39">
        <f>IFERROR(__xludf.DUMMYFUNCTION("""COMPUTED_VALUE"""),45938.0)</f>
        <v>45938</v>
      </c>
      <c r="C487" s="30">
        <f>IFERROR(__xludf.DUMMYFUNCTION("""COMPUTED_VALUE"""),1.0)</f>
        <v>1</v>
      </c>
      <c r="D487" s="30" t="str">
        <f>IFERROR(__xludf.DUMMYFUNCTION("""COMPUTED_VALUE"""),"CT CŨ")</f>
        <v>CT CŨ</v>
      </c>
      <c r="E487" s="30"/>
      <c r="F487" s="2"/>
      <c r="G487" s="2" t="str">
        <f>IFERROR(__xludf.DUMMYFUNCTION("""COMPUTED_VALUE"""),"HH4618")</f>
        <v>HH4618</v>
      </c>
      <c r="H487" s="2" t="str">
        <f>IFERROR(__xludf.DUMMYFUNCTION("""COMPUTED_VALUE"""),"GC - V - 4618 - GNH - Siêu tăng trưởng (nước nâu đen) - 1L - 20")</f>
        <v>GC - V - 4618 - GNH - Siêu tăng trưởng (nước nâu đen) - 1L - 20</v>
      </c>
      <c r="I487" s="2" t="str">
        <f>IFERROR(__xludf.DUMMYFUNCTION("""COMPUTED_VALUE"""),"#N/A")</f>
        <v>#N/A</v>
      </c>
      <c r="J487" s="2" t="str">
        <f>IFERROR(__xludf.DUMMYFUNCTION("""COMPUTED_VALUE"""),"cùng ruột HH3244")</f>
        <v>cùng ruột HH3244</v>
      </c>
      <c r="K487" s="2"/>
      <c r="L487" s="2" t="str">
        <f>IFERROR(__xludf.DUMMYFUNCTION("""COMPUTED_VALUE"""),"A06270225")</f>
        <v>A06270225</v>
      </c>
      <c r="M487" s="2" t="str">
        <f>IFERROR(__xludf.DUMMYFUNCTION("""COMPUTED_VALUE"""),"RA RỄ NỞ BỤI")</f>
        <v>RA RỄ NỞ BỤI</v>
      </c>
      <c r="N487" s="2" t="str">
        <f>IFERROR(__xludf.DUMMYFUNCTION("""COMPUTED_VALUE"""),"01RR0049V1")</f>
        <v>01RR0049V1</v>
      </c>
      <c r="O487" s="2" t="str">
        <f>IFERROR(__xludf.DUMMYFUNCTION("""COMPUTED_VALUE"""),"Phân bón Vi lượng Quantity New")</f>
        <v>Phân bón Vi lượng Quantity New</v>
      </c>
      <c r="P487" s="2" t="str">
        <f>IFERROR(__xludf.DUMMYFUNCTION("""COMPUTED_VALUE"""),"#N/A")</f>
        <v>#N/A</v>
      </c>
      <c r="Q487" s="30" t="str">
        <f>IFERROR(__xludf.DUMMYFUNCTION("""COMPUTED_VALUE"""),"KHÔNG KHỚP")</f>
        <v>KHÔNG KHỚP</v>
      </c>
      <c r="R487" s="2"/>
      <c r="S487" s="2"/>
      <c r="T487" s="2"/>
      <c r="U487" s="2"/>
      <c r="V487" s="2"/>
      <c r="W487" s="2"/>
      <c r="X487" s="2"/>
      <c r="Y487" s="2"/>
    </row>
    <row r="488">
      <c r="A488" s="30">
        <f>IFERROR(__xludf.DUMMYFUNCTION("""COMPUTED_VALUE"""),485.0)</f>
        <v>485</v>
      </c>
      <c r="B488" s="39">
        <f>IFERROR(__xludf.DUMMYFUNCTION("""COMPUTED_VALUE"""),46001.0)</f>
        <v>46001</v>
      </c>
      <c r="C488" s="30">
        <f>IFERROR(__xludf.DUMMYFUNCTION("""COMPUTED_VALUE"""),4.0)</f>
        <v>4</v>
      </c>
      <c r="D488" s="30" t="str">
        <f>IFERROR(__xludf.DUMMYFUNCTION("""COMPUTED_VALUE"""),"CT CŨ")</f>
        <v>CT CŨ</v>
      </c>
      <c r="E488" s="30"/>
      <c r="F488" s="2"/>
      <c r="G488" s="2" t="str">
        <f>IFERROR(__xludf.DUMMYFUNCTION("""COMPUTED_VALUE"""),"HH4262")</f>
        <v>HH4262</v>
      </c>
      <c r="H488" s="2" t="str">
        <f>IFERROR(__xludf.DUMMYFUNCTION("""COMPUTED_VALUE"""),"GC - IV - 4262 - CTY HƯƠNG NÔNG - BIO HỮU CƠ (Nước nâu đen) - 10L - 1")</f>
        <v>GC - IV - 4262 - CTY HƯƠNG NÔNG - BIO HỮU CƠ (Nước nâu đen) - 10L - 1</v>
      </c>
      <c r="I488" s="39" t="str">
        <f>IFERROR(__xludf.DUMMYFUNCTION("""COMPUTED_VALUE"""),"Hữu cơ Organic BM Gold  FW")</f>
        <v>Hữu cơ Organic BM Gold  FW</v>
      </c>
      <c r="J488" s="2" t="str">
        <f>IFERROR(__xludf.DUMMYFUNCTION("""COMPUTED_VALUE"""),"Cùng ruột HH3948")</f>
        <v>Cùng ruột HH3948</v>
      </c>
      <c r="K488" s="2"/>
      <c r="L488" s="2" t="str">
        <f>IFERROR(__xludf.DUMMYFUNCTION("""COMPUTED_VALUE"""),"A02281124
I01240326")</f>
        <v>A02281124
I01240326</v>
      </c>
      <c r="M488" s="2" t="str">
        <f>IFERROR(__xludf.DUMMYFUNCTION("""COMPUTED_VALUE"""),"BIO HỮU CƠ")</f>
        <v>BIO HỮU CƠ</v>
      </c>
      <c r="N488" s="2" t="str">
        <f>IFERROR(__xludf.DUMMYFUNCTION("""COMPUTED_VALUE"""),"11TT0010V1")</f>
        <v>11TT0010V1</v>
      </c>
      <c r="O488" s="2" t="str">
        <f>IFERROR(__xludf.DUMMYFUNCTION("""COMPUTED_VALUE"""),"Phân bón Hữu cơ ORGANIC BM GOLD FW")</f>
        <v>Phân bón Hữu cơ ORGANIC BM GOLD FW</v>
      </c>
      <c r="P488" s="2" t="str">
        <f>IFERROR(__xludf.DUMMYFUNCTION("""COMPUTED_VALUE"""),"Phân bón Hữu cơ Organic BM Gold  FW")</f>
        <v>Phân bón Hữu cơ Organic BM Gold  FW</v>
      </c>
      <c r="Q488" s="30" t="str">
        <f>IFERROR(__xludf.DUMMYFUNCTION("""COMPUTED_VALUE"""),"KHÔNG KHỚP")</f>
        <v>KHÔNG KHỚP</v>
      </c>
      <c r="R488" s="2"/>
      <c r="S488" s="2"/>
      <c r="T488" s="2"/>
      <c r="U488" s="2"/>
      <c r="V488" s="2"/>
      <c r="W488" s="2"/>
      <c r="X488" s="2"/>
      <c r="Y488" s="2"/>
    </row>
    <row r="489">
      <c r="A489" s="30">
        <f>IFERROR(__xludf.DUMMYFUNCTION("""COMPUTED_VALUE"""),486.0)</f>
        <v>486</v>
      </c>
      <c r="B489" s="39">
        <f>IFERROR(__xludf.DUMMYFUNCTION("""COMPUTED_VALUE"""),45905.0)</f>
        <v>45905</v>
      </c>
      <c r="C489" s="30">
        <f>IFERROR(__xludf.DUMMYFUNCTION("""COMPUTED_VALUE"""),8.0)</f>
        <v>8</v>
      </c>
      <c r="D489" s="30" t="str">
        <f>IFERROR(__xludf.DUMMYFUNCTION("""COMPUTED_VALUE"""),"CT CŨ")</f>
        <v>CT CŨ</v>
      </c>
      <c r="E489" s="30"/>
      <c r="F489" s="2"/>
      <c r="G489" s="2" t="str">
        <f>IFERROR(__xludf.DUMMYFUNCTION("""COMPUTED_VALUE"""),"HH4183")</f>
        <v>HH4183</v>
      </c>
      <c r="H489" s="2" t="str">
        <f>IFERROR(__xludf.DUMMYFUNCTION("""COMPUTED_VALUE"""),"GC - V - 4183 - Cty Hương Nông - HN-pH++ (Nước nâu đen) - 5L - 4")</f>
        <v>GC - V - 4183 - Cty Hương Nông - HN-pH++ (Nước nâu đen) - 5L - 4</v>
      </c>
      <c r="I489" s="2" t="str">
        <f>IFERROR(__xludf.DUMMYFUNCTION("""COMPUTED_VALUE"""),"#N/A")</f>
        <v>#N/A</v>
      </c>
      <c r="J489" s="2" t="str">
        <f>IFERROR(__xludf.DUMMYFUNCTION("""COMPUTED_VALUE"""),"Cùng ruột 
HH3960")</f>
        <v>Cùng ruột 
HH3960</v>
      </c>
      <c r="K489" s="2"/>
      <c r="L489" s="2"/>
      <c r="M489" s="2" t="str">
        <f>IFERROR(__xludf.DUMMYFUNCTION("""COMPUTED_VALUE"""),"HN-pH++")</f>
        <v>HN-pH++</v>
      </c>
      <c r="N489" s="2" t="str">
        <f>IFERROR(__xludf.DUMMYFUNCTION("""COMPUTED_VALUE"""),"01RR0014V4")</f>
        <v>01RR0014V4</v>
      </c>
      <c r="O489" s="2" t="str">
        <f>IFERROR(__xludf.DUMMYFUNCTION("""COMPUTED_VALUE"""),"Phân bón Hữu cơ SH Agro Organic Fertilizer 20")</f>
        <v>Phân bón Hữu cơ SH Agro Organic Fertilizer 20</v>
      </c>
      <c r="P489" s="2" t="str">
        <f>IFERROR(__xludf.DUMMYFUNCTION("""COMPUTED_VALUE"""),"#N/A")</f>
        <v>#N/A</v>
      </c>
      <c r="Q489" s="30" t="str">
        <f>IFERROR(__xludf.DUMMYFUNCTION("""COMPUTED_VALUE"""),"KHÔNG KHỚP")</f>
        <v>KHÔNG KHỚP</v>
      </c>
      <c r="R489" s="2"/>
      <c r="S489" s="2"/>
      <c r="T489" s="2"/>
      <c r="U489" s="2"/>
      <c r="V489" s="2"/>
      <c r="W489" s="2"/>
      <c r="X489" s="2"/>
      <c r="Y489" s="2"/>
    </row>
    <row r="490">
      <c r="A490" s="30">
        <f>IFERROR(__xludf.DUMMYFUNCTION("""COMPUTED_VALUE"""),487.0)</f>
        <v>487</v>
      </c>
      <c r="B490" s="39">
        <f>IFERROR(__xludf.DUMMYFUNCTION("""COMPUTED_VALUE"""),45997.0)</f>
        <v>45997</v>
      </c>
      <c r="C490" s="30">
        <f>IFERROR(__xludf.DUMMYFUNCTION("""COMPUTED_VALUE"""),2.0)</f>
        <v>2</v>
      </c>
      <c r="D490" s="30" t="str">
        <f>IFERROR(__xludf.DUMMYFUNCTION("""COMPUTED_VALUE"""),"CT CŨ")</f>
        <v>CT CŨ</v>
      </c>
      <c r="E490" s="30"/>
      <c r="F490" s="2"/>
      <c r="G490" s="2" t="str">
        <f>IFERROR(__xludf.DUMMYFUNCTION("""COMPUTED_VALUE"""),"HH4478")</f>
        <v>HH4478</v>
      </c>
      <c r="H490" s="2" t="str">
        <f>IFERROR(__xludf.DUMMYFUNCTION("""COMPUTED_VALUE"""),"IDA Global - I - 4478 - CANXI BO LIQUID (LÚA) (Nước trắng sữa) - 500ml - 40")</f>
        <v>IDA Global - I - 4478 - CANXI BO LIQUID (LÚA) (Nước trắng sữa) - 500ml - 40</v>
      </c>
      <c r="I490" s="2" t="str">
        <f>IFERROR(__xludf.DUMMYFUNCTION("""COMPUTED_VALUE"""),"#N/A")</f>
        <v>#N/A</v>
      </c>
      <c r="J490" s="2" t="str">
        <f>IFERROR(__xludf.DUMMYFUNCTION("""COMPUTED_VALUE"""),"Đóng theo đơn gần nhất")</f>
        <v>Đóng theo đơn gần nhất</v>
      </c>
      <c r="K490" s="2"/>
      <c r="L490" s="2"/>
      <c r="M490" s="2" t="str">
        <f>IFERROR(__xludf.DUMMYFUNCTION("""COMPUTED_VALUE"""),"CANXI BO MASTER")</f>
        <v>CANXI BO MASTER</v>
      </c>
      <c r="N490" s="2" t="str">
        <f>IFERROR(__xludf.DUMMYFUNCTION("""COMPUTED_VALUE"""),"10CR0015V1")</f>
        <v>10CR0015V1</v>
      </c>
      <c r="O490" s="2" t="str">
        <f>IFERROR(__xludf.DUMMYFUNCTION("""COMPUTED_VALUE"""),"Phân bón Vi lượng AGAMA-CANXI BO")</f>
        <v>Phân bón Vi lượng AGAMA-CANXI BO</v>
      </c>
      <c r="P490" s="2" t="str">
        <f>IFERROR(__xludf.DUMMYFUNCTION("""COMPUTED_VALUE"""),"#N/A")</f>
        <v>#N/A</v>
      </c>
      <c r="Q490" s="30" t="str">
        <f>IFERROR(__xludf.DUMMYFUNCTION("""COMPUTED_VALUE"""),"KHÔNG KHỚP")</f>
        <v>KHÔNG KHỚP</v>
      </c>
      <c r="R490" s="2"/>
      <c r="S490" s="2"/>
      <c r="T490" s="2"/>
      <c r="U490" s="2"/>
      <c r="V490" s="2"/>
      <c r="W490" s="2"/>
      <c r="X490" s="2"/>
      <c r="Y490" s="2"/>
    </row>
    <row r="491">
      <c r="A491" s="30">
        <f>IFERROR(__xludf.DUMMYFUNCTION("""COMPUTED_VALUE"""),488.0)</f>
        <v>488</v>
      </c>
      <c r="B491" s="39">
        <f>IFERROR(__xludf.DUMMYFUNCTION("""COMPUTED_VALUE"""),45993.0)</f>
        <v>45993</v>
      </c>
      <c r="C491" s="30">
        <f>IFERROR(__xludf.DUMMYFUNCTION("""COMPUTED_VALUE"""),2.0)</f>
        <v>2</v>
      </c>
      <c r="D491" s="30" t="str">
        <f>IFERROR(__xludf.DUMMYFUNCTION("""COMPUTED_VALUE"""),"CT CŨ")</f>
        <v>CT CŨ</v>
      </c>
      <c r="E491" s="30"/>
      <c r="F491" s="2"/>
      <c r="G491" s="2" t="str">
        <f>IFERROR(__xludf.DUMMYFUNCTION("""COMPUTED_VALUE"""),"HH4411")</f>
        <v>HH4411</v>
      </c>
      <c r="H491" s="2" t="str">
        <f>IFERROR(__xludf.DUMMYFUNCTION("""COMPUTED_VALUE"""),"GC - V - 4411 - CTY HƯƠNG NÔNG - FRESH UP (Nước nâu đen) - 250ml - 40")</f>
        <v>GC - V - 4411 - CTY HƯƠNG NÔNG - FRESH UP (Nước nâu đen) - 250ml - 40</v>
      </c>
      <c r="I491" s="2" t="str">
        <f>IFERROR(__xludf.DUMMYFUNCTION("""COMPUTED_VALUE"""),"#N/A")</f>
        <v>#N/A</v>
      </c>
      <c r="J491" s="2" t="str">
        <f>IFERROR(__xludf.DUMMYFUNCTION("""COMPUTED_VALUE"""),"A01200225-02
Cùng ruột 3922, 4126")</f>
        <v>A01200225-02
Cùng ruột 3922, 4126</v>
      </c>
      <c r="K491" s="2"/>
      <c r="L491" s="2" t="str">
        <f>IFERROR(__xludf.DUMMYFUNCTION("""COMPUTED_VALUE"""),"A01200225-02")</f>
        <v>A01200225-02</v>
      </c>
      <c r="M491" s="2" t="str">
        <f>IFERROR(__xludf.DUMMYFUNCTION("""COMPUTED_VALUE"""),"BOOMGOLD
AGRI BOOST")</f>
        <v>BOOMGOLD
AGRI BOOST</v>
      </c>
      <c r="N491" s="2" t="str">
        <f>IFERROR(__xludf.DUMMYFUNCTION("""COMPUTED_VALUE"""),"10CR0019V1")</f>
        <v>10CR0019V1</v>
      </c>
      <c r="O491" s="2" t="str">
        <f>IFERROR(__xludf.DUMMYFUNCTION("""COMPUTED_VALUE"""),"Phân bón Hữu cơ SH Agro Organic Fertilizer 20")</f>
        <v>Phân bón Hữu cơ SH Agro Organic Fertilizer 20</v>
      </c>
      <c r="P491" s="2" t="str">
        <f>IFERROR(__xludf.DUMMYFUNCTION("""COMPUTED_VALUE"""),"#N/A")</f>
        <v>#N/A</v>
      </c>
      <c r="Q491" s="30" t="str">
        <f>IFERROR(__xludf.DUMMYFUNCTION("""COMPUTED_VALUE"""),"KHÔNG KHỚP")</f>
        <v>KHÔNG KHỚP</v>
      </c>
      <c r="R491" s="2"/>
      <c r="S491" s="2"/>
      <c r="T491" s="2"/>
      <c r="U491" s="2"/>
      <c r="V491" s="2"/>
      <c r="W491" s="2"/>
      <c r="X491" s="2"/>
      <c r="Y491" s="2"/>
    </row>
    <row r="492">
      <c r="A492" s="30">
        <f>IFERROR(__xludf.DUMMYFUNCTION("""COMPUTED_VALUE"""),489.0)</f>
        <v>489</v>
      </c>
      <c r="B492" s="39">
        <f>IFERROR(__xludf.DUMMYFUNCTION("""COMPUTED_VALUE"""),45983.0)</f>
        <v>45983</v>
      </c>
      <c r="C492" s="30">
        <f>IFERROR(__xludf.DUMMYFUNCTION("""COMPUTED_VALUE"""),1.0)</f>
        <v>1</v>
      </c>
      <c r="D492" s="30" t="str">
        <f>IFERROR(__xludf.DUMMYFUNCTION("""COMPUTED_VALUE"""),"CT CŨ")</f>
        <v>CT CŨ</v>
      </c>
      <c r="E492" s="30"/>
      <c r="F492" s="2"/>
      <c r="G492" s="2" t="str">
        <f>IFERROR(__xludf.DUMMYFUNCTION("""COMPUTED_VALUE"""),"HH4472")</f>
        <v>HH4472</v>
      </c>
      <c r="H492" s="2" t="str">
        <f>IFERROR(__xludf.DUMMYFUNCTION("""COMPUTED_VALUE"""),"GC - IV - 4472 - CTY R3 - R3 VOGAO (Nước đỏ cam) - 300ml - 40")</f>
        <v>GC - IV - 4472 - CTY R3 - R3 VOGAO (Nước đỏ cam) - 300ml - 40</v>
      </c>
      <c r="I492" s="39" t="str">
        <f>IFERROR(__xludf.DUMMYFUNCTION("""COMPUTED_VALUE"""),"Lá PK Vi lượng SV 5-18")</f>
        <v>Lá PK Vi lượng SV 5-18</v>
      </c>
      <c r="J492" s="2" t="str">
        <f>IFERROR(__xludf.DUMMYFUNCTION("""COMPUTED_VALUE"""),"A03091025")</f>
        <v>A03091025</v>
      </c>
      <c r="K492" s="2"/>
      <c r="L492" s="2" t="str">
        <f>IFERROR(__xludf.DUMMYFUNCTION("""COMPUTED_VALUE"""),"A03091025")</f>
        <v>A03091025</v>
      </c>
      <c r="M492" s="2" t="str">
        <f>IFERROR(__xludf.DUMMYFUNCTION("""COMPUTED_VALUE"""),"VÔ GẠO 0 - 5 -18 (02)")</f>
        <v>VÔ GẠO 0 - 5 -18 (02)</v>
      </c>
      <c r="N492" s="2" t="str">
        <f>IFERROR(__xludf.DUMMYFUNCTION("""COMPUTED_VALUE"""),"04VG0044")</f>
        <v>04VG0044</v>
      </c>
      <c r="O492" s="2" t="str">
        <f>IFERROR(__xludf.DUMMYFUNCTION("""COMPUTED_VALUE"""),"Phân bón lá PK-Vi lượng SV 5-18")</f>
        <v>Phân bón lá PK-Vi lượng SV 5-18</v>
      </c>
      <c r="P492" s="2" t="str">
        <f>IFERROR(__xludf.DUMMYFUNCTION("""COMPUTED_VALUE"""),"Phân bón Lá PK Vi lượng SV 5-18")</f>
        <v>Phân bón Lá PK Vi lượng SV 5-18</v>
      </c>
      <c r="Q492" s="30" t="str">
        <f>IFERROR(__xludf.DUMMYFUNCTION("""COMPUTED_VALUE"""),"KHÔNG KHỚP")</f>
        <v>KHÔNG KHỚP</v>
      </c>
      <c r="R492" s="2"/>
      <c r="S492" s="2"/>
      <c r="T492" s="2"/>
      <c r="U492" s="2"/>
      <c r="V492" s="2"/>
      <c r="W492" s="2"/>
      <c r="X492" s="2"/>
      <c r="Y492" s="2"/>
    </row>
    <row r="493">
      <c r="A493" s="30">
        <f>IFERROR(__xludf.DUMMYFUNCTION("""COMPUTED_VALUE"""),490.0)</f>
        <v>490</v>
      </c>
      <c r="B493" s="39">
        <f>IFERROR(__xludf.DUMMYFUNCTION("""COMPUTED_VALUE"""),45662.0)</f>
        <v>45662</v>
      </c>
      <c r="C493" s="30">
        <f>IFERROR(__xludf.DUMMYFUNCTION("""COMPUTED_VALUE"""),2.0)</f>
        <v>2</v>
      </c>
      <c r="D493" s="30" t="str">
        <f>IFERROR(__xludf.DUMMYFUNCTION("""COMPUTED_VALUE"""),"CT CŨ")</f>
        <v>CT CŨ</v>
      </c>
      <c r="E493" s="30"/>
      <c r="F493" s="2"/>
      <c r="G493" s="2" t="str">
        <f>IFERROR(__xludf.DUMMYFUNCTION("""COMPUTED_VALUE"""),"HH4389")</f>
        <v>HH4389</v>
      </c>
      <c r="H493" s="2" t="str">
        <f>IFERROR(__xludf.DUMMYFUNCTION("""COMPUTED_VALUE"""),"GC - V - 4389 - GNH - Siêu Bung Đọt (nước nâu đen) - 5L - 4")</f>
        <v>GC - V - 4389 - GNH - Siêu Bung Đọt (nước nâu đen) - 5L - 4</v>
      </c>
      <c r="I493" s="2" t="str">
        <f>IFERROR(__xludf.DUMMYFUNCTION("""COMPUTED_VALUE"""),"#N/A")</f>
        <v>#N/A</v>
      </c>
      <c r="J493" s="2" t="str">
        <f>IFERROR(__xludf.DUMMYFUNCTION("""COMPUTED_VALUE"""),"A06260225")</f>
        <v>A06260225</v>
      </c>
      <c r="K493" s="2"/>
      <c r="L493" s="2" t="str">
        <f>IFERROR(__xludf.DUMMYFUNCTION("""COMPUTED_VALUE"""),"A06260225")</f>
        <v>A06260225</v>
      </c>
      <c r="M493" s="2" t="str">
        <f>IFERROR(__xludf.DUMMYFUNCTION("""COMPUTED_VALUE"""),"SAMURAI 33-11-11 +TE")</f>
        <v>SAMURAI 33-11-11 +TE</v>
      </c>
      <c r="N493" s="2" t="str">
        <f>IFERROR(__xludf.DUMMYFUNCTION("""COMPUTED_VALUE"""),"01RR0045V2")</f>
        <v>01RR0045V2</v>
      </c>
      <c r="O493" s="2" t="str">
        <f>IFERROR(__xludf.DUMMYFUNCTION("""COMPUTED_VALUE"""),"Phân bón Hữu cơ SH Agro Organic Fertilizer 20")</f>
        <v>Phân bón Hữu cơ SH Agro Organic Fertilizer 20</v>
      </c>
      <c r="P493" s="2" t="str">
        <f>IFERROR(__xludf.DUMMYFUNCTION("""COMPUTED_VALUE"""),"#N/A")</f>
        <v>#N/A</v>
      </c>
      <c r="Q493" s="30" t="str">
        <f>IFERROR(__xludf.DUMMYFUNCTION("""COMPUTED_VALUE"""),"KHÔNG KHỚP")</f>
        <v>KHÔNG KHỚP</v>
      </c>
      <c r="R493" s="2"/>
      <c r="S493" s="2"/>
      <c r="T493" s="2"/>
      <c r="U493" s="2"/>
      <c r="V493" s="2"/>
      <c r="W493" s="2"/>
      <c r="X493" s="2"/>
      <c r="Y493" s="2"/>
    </row>
    <row r="494">
      <c r="A494" s="30">
        <f>IFERROR(__xludf.DUMMYFUNCTION("""COMPUTED_VALUE"""),491.0)</f>
        <v>491</v>
      </c>
      <c r="B494" s="39">
        <f>IFERROR(__xludf.DUMMYFUNCTION("""COMPUTED_VALUE"""),45911.0)</f>
        <v>45911</v>
      </c>
      <c r="C494" s="30">
        <f>IFERROR(__xludf.DUMMYFUNCTION("""COMPUTED_VALUE"""),2.0)</f>
        <v>2</v>
      </c>
      <c r="D494" s="30" t="str">
        <f>IFERROR(__xludf.DUMMYFUNCTION("""COMPUTED_VALUE"""),"CT CŨ")</f>
        <v>CT CŨ</v>
      </c>
      <c r="E494" s="30"/>
      <c r="F494" s="2"/>
      <c r="G494" s="2" t="str">
        <f>IFERROR(__xludf.DUMMYFUNCTION("""COMPUTED_VALUE"""),"HH4304")</f>
        <v>HH4304</v>
      </c>
      <c r="H494" s="2" t="str">
        <f>IFERROR(__xludf.DUMMYFUNCTION("""COMPUTED_VALUE"""),"GC - V - 4304 - CSSX An Khang (A.Dinh) - TAK09 (Nước nâu đen) - 500ml - 40")</f>
        <v>GC - V - 4304 - CSSX An Khang (A.Dinh) - TAK09 (Nước nâu đen) - 500ml - 40</v>
      </c>
      <c r="I494" s="39" t="str">
        <f>IFERROR(__xludf.DUMMYFUNCTION("""COMPUTED_VALUE"""),"Hữu cơ SH Agro Organic Fertilizer 20")</f>
        <v>Hữu cơ SH Agro Organic Fertilizer 20</v>
      </c>
      <c r="J494" s="2" t="str">
        <f>IFERROR(__xludf.DUMMYFUNCTION("""COMPUTED_VALUE"""),"Cùng ruột 3801
TAK09")</f>
        <v>Cùng ruột 3801
TAK09</v>
      </c>
      <c r="K494" s="2"/>
      <c r="L494" s="2" t="str">
        <f>IFERROR(__xludf.DUMMYFUNCTION("""COMPUTED_VALUE"""),"A01090625")</f>
        <v>A01090625</v>
      </c>
      <c r="M494" s="2" t="str">
        <f>IFERROR(__xludf.DUMMYFUNCTION("""COMPUTED_VALUE"""),"TAK09")</f>
        <v>TAK09</v>
      </c>
      <c r="N494" s="2" t="str">
        <f>IFERROR(__xludf.DUMMYFUNCTION("""COMPUTED_VALUE"""),"01RR0055")</f>
        <v>01RR0055</v>
      </c>
      <c r="O494" s="2" t="str">
        <f>IFERROR(__xludf.DUMMYFUNCTION("""COMPUTED_VALUE"""),"Phân bón Hữu cơ SH Agro Organic Fertilizer 20")</f>
        <v>Phân bón Hữu cơ SH Agro Organic Fertilizer 20</v>
      </c>
      <c r="P494" s="2" t="str">
        <f>IFERROR(__xludf.DUMMYFUNCTION("""COMPUTED_VALUE"""),"Phân bón Hữu cơ SH Agro Organic Fertilizer 20")</f>
        <v>Phân bón Hữu cơ SH Agro Organic Fertilizer 20</v>
      </c>
      <c r="Q494" s="30" t="str">
        <f>IFERROR(__xludf.DUMMYFUNCTION("""COMPUTED_VALUE"""),"KHỚP")</f>
        <v>KHỚP</v>
      </c>
      <c r="R494" s="2"/>
      <c r="S494" s="2"/>
      <c r="T494" s="2"/>
      <c r="U494" s="2"/>
      <c r="V494" s="2"/>
      <c r="W494" s="2"/>
      <c r="X494" s="2"/>
      <c r="Y494" s="2"/>
    </row>
    <row r="495">
      <c r="A495" s="30">
        <f>IFERROR(__xludf.DUMMYFUNCTION("""COMPUTED_VALUE"""),492.0)</f>
        <v>492</v>
      </c>
      <c r="B495" s="39">
        <f>IFERROR(__xludf.DUMMYFUNCTION("""COMPUTED_VALUE"""),46025.0)</f>
        <v>46025</v>
      </c>
      <c r="C495" s="30">
        <f>IFERROR(__xludf.DUMMYFUNCTION("""COMPUTED_VALUE"""),2.0)</f>
        <v>2</v>
      </c>
      <c r="D495" s="30" t="str">
        <f>IFERROR(__xludf.DUMMYFUNCTION("""COMPUTED_VALUE"""),"CT MỚI")</f>
        <v>CT MỚI</v>
      </c>
      <c r="E495" s="30"/>
      <c r="F495" s="2"/>
      <c r="G495" s="2" t="str">
        <f>IFERROR(__xludf.DUMMYFUNCTION("""COMPUTED_VALUE"""),"HH4405")</f>
        <v>HH4405</v>
      </c>
      <c r="H495" s="2" t="str">
        <f>IFERROR(__xludf.DUMMYFUNCTION("""COMPUTED_VALUE"""),"GC - IV - 4405 - A Thời GNH - Black Humixx (vẩy nâu đen) - 1kg - 25")</f>
        <v>GC - IV - 4405 - A Thời GNH - Black Humixx (vẩy nâu đen) - 1kg - 25</v>
      </c>
      <c r="I495" s="2" t="str">
        <f>IFERROR(__xludf.DUMMYFUNCTION("""COMPUTED_VALUE"""),"#N/A")</f>
        <v>#N/A</v>
      </c>
      <c r="J495" s="2"/>
      <c r="K495" s="2"/>
      <c r="L495" s="2"/>
      <c r="M495" s="2" t="str">
        <f>IFERROR(__xludf.DUMMYFUNCTION("""COMPUTED_VALUE"""),"BLACK HUMIXX
HUMMAX")</f>
        <v>BLACK HUMIXX
HUMMAX</v>
      </c>
      <c r="N495" s="2" t="str">
        <f>IFERROR(__xludf.DUMMYFUNCTION("""COMPUTED_VALUE"""),"01RR0059V3")</f>
        <v>01RR0059V3</v>
      </c>
      <c r="O495" s="2" t="str">
        <f>IFERROR(__xludf.DUMMYFUNCTION("""COMPUTED_VALUE"""),"Phân bón Hữu cơ sinh học Nam Kinh 02")</f>
        <v>Phân bón Hữu cơ sinh học Nam Kinh 02</v>
      </c>
      <c r="P495" s="2" t="str">
        <f>IFERROR(__xludf.DUMMYFUNCTION("""COMPUTED_VALUE"""),"#N/A")</f>
        <v>#N/A</v>
      </c>
      <c r="Q495" s="30" t="str">
        <f>IFERROR(__xludf.DUMMYFUNCTION("""COMPUTED_VALUE"""),"KHÔNG KHỚP")</f>
        <v>KHÔNG KHỚP</v>
      </c>
      <c r="R495" s="2"/>
      <c r="S495" s="2"/>
      <c r="T495" s="2"/>
      <c r="U495" s="2"/>
      <c r="V495" s="2"/>
      <c r="W495" s="2"/>
      <c r="X495" s="2"/>
      <c r="Y495" s="2"/>
    </row>
    <row r="496">
      <c r="A496" s="30">
        <f>IFERROR(__xludf.DUMMYFUNCTION("""COMPUTED_VALUE"""),493.0)</f>
        <v>493</v>
      </c>
      <c r="B496" s="39">
        <f>IFERROR(__xludf.DUMMYFUNCTION("""COMPUTED_VALUE"""),46025.0)</f>
        <v>46025</v>
      </c>
      <c r="C496" s="30">
        <f>IFERROR(__xludf.DUMMYFUNCTION("""COMPUTED_VALUE"""),1.0)</f>
        <v>1</v>
      </c>
      <c r="D496" s="30" t="str">
        <f>IFERROR(__xludf.DUMMYFUNCTION("""COMPUTED_VALUE"""),"CT MỚI")</f>
        <v>CT MỚI</v>
      </c>
      <c r="E496" s="30"/>
      <c r="F496" s="2"/>
      <c r="G496" s="2" t="str">
        <f>IFERROR(__xludf.DUMMYFUNCTION("""COMPUTED_VALUE"""),"HH4445")</f>
        <v>HH4445</v>
      </c>
      <c r="H496" s="2" t="str">
        <f>IFERROR(__xludf.DUMMYFUNCTION("""COMPUTED_VALUE"""),"GC - IV - 4445 - A Thời GNH - HUMMAX (vẩy nâu đen) - 1kg - 25")</f>
        <v>GC - IV - 4445 - A Thời GNH - HUMMAX (vẩy nâu đen) - 1kg - 25</v>
      </c>
      <c r="I496" s="2" t="str">
        <f>IFERROR(__xludf.DUMMYFUNCTION("""COMPUTED_VALUE"""),"#N/A")</f>
        <v>#N/A</v>
      </c>
      <c r="J496" s="2"/>
      <c r="K496" s="2"/>
      <c r="L496" s="2"/>
      <c r="M496" s="2" t="str">
        <f>IFERROR(__xludf.DUMMYFUNCTION("""COMPUTED_VALUE"""),"BLACK HUMIXX
HUMMAX")</f>
        <v>BLACK HUMIXX
HUMMAX</v>
      </c>
      <c r="N496" s="2" t="str">
        <f>IFERROR(__xludf.DUMMYFUNCTION("""COMPUTED_VALUE"""),"01RR0059V3")</f>
        <v>01RR0059V3</v>
      </c>
      <c r="O496" s="2" t="str">
        <f>IFERROR(__xludf.DUMMYFUNCTION("""COMPUTED_VALUE"""),"Phân bón Hữu cơ sinh học Nam Kinh 02")</f>
        <v>Phân bón Hữu cơ sinh học Nam Kinh 02</v>
      </c>
      <c r="P496" s="2" t="str">
        <f>IFERROR(__xludf.DUMMYFUNCTION("""COMPUTED_VALUE"""),"#N/A")</f>
        <v>#N/A</v>
      </c>
      <c r="Q496" s="30" t="str">
        <f>IFERROR(__xludf.DUMMYFUNCTION("""COMPUTED_VALUE"""),"KHÔNG KHỚP")</f>
        <v>KHÔNG KHỚP</v>
      </c>
      <c r="R496" s="2"/>
      <c r="S496" s="2"/>
      <c r="T496" s="2"/>
      <c r="U496" s="2"/>
      <c r="V496" s="2"/>
      <c r="W496" s="2"/>
      <c r="X496" s="2"/>
      <c r="Y496" s="2"/>
    </row>
    <row r="497">
      <c r="A497" s="30">
        <f>IFERROR(__xludf.DUMMYFUNCTION("""COMPUTED_VALUE"""),494.0)</f>
        <v>494</v>
      </c>
      <c r="B497" s="39">
        <f>IFERROR(__xludf.DUMMYFUNCTION("""COMPUTED_VALUE"""),45662.0)</f>
        <v>45662</v>
      </c>
      <c r="C497" s="30">
        <f>IFERROR(__xludf.DUMMYFUNCTION("""COMPUTED_VALUE"""),5.0)</f>
        <v>5</v>
      </c>
      <c r="D497" s="30" t="str">
        <f>IFERROR(__xludf.DUMMYFUNCTION("""COMPUTED_VALUE"""),"CT CŨ")</f>
        <v>CT CŨ</v>
      </c>
      <c r="E497" s="30"/>
      <c r="F497" s="2"/>
      <c r="G497" s="2" t="str">
        <f>IFERROR(__xludf.DUMMYFUNCTION("""COMPUTED_VALUE"""),"HH4058")</f>
        <v>HH4058</v>
      </c>
      <c r="H497" s="2" t="str">
        <f>IFERROR(__xludf.DUMMYFUNCTION("""COMPUTED_VALUE"""),"GC - IX - 4058 - N2SBIO -  SIÊU BO SỮA (Dạng SC - Trắng sữa) - 250ml - 40")</f>
        <v>GC - IX - 4058 - N2SBIO -  SIÊU BO SỮA (Dạng SC - Trắng sữa) - 250ml - 40</v>
      </c>
      <c r="I497" s="2" t="str">
        <f>IFERROR(__xludf.DUMMYFUNCTION("""COMPUTED_VALUE"""),"#N/A")</f>
        <v>#N/A</v>
      </c>
      <c r="J497" s="2" t="str">
        <f>IFERROR(__xludf.DUMMYFUNCTION("""COMPUTED_VALUE"""),"N01190825")</f>
        <v>N01190825</v>
      </c>
      <c r="K497" s="2"/>
      <c r="L497" s="2" t="str">
        <f>IFERROR(__xludf.DUMMYFUNCTION("""COMPUTED_VALUE"""),"N01190825")</f>
        <v>N01190825</v>
      </c>
      <c r="M497" s="2" t="str">
        <f>IFERROR(__xludf.DUMMYFUNCTION("""COMPUTED_VALUE"""),"N2 BO 150 
SIÊU BO SỮA ")</f>
        <v>N2 BO 150 
SIÊU BO SỮA </v>
      </c>
      <c r="N497" s="2" t="str">
        <f>IFERROR(__xludf.DUMMYFUNCTION("""COMPUTED_VALUE"""),"10CR0027V2")</f>
        <v>10CR0027V2</v>
      </c>
      <c r="O497" s="2" t="str">
        <f>IFERROR(__xludf.DUMMYFUNCTION("""COMPUTED_VALUE"""),"Phân bón lá Vi lượng NBC-BO.15")</f>
        <v>Phân bón lá Vi lượng NBC-BO.15</v>
      </c>
      <c r="P497" s="2" t="str">
        <f>IFERROR(__xludf.DUMMYFUNCTION("""COMPUTED_VALUE"""),"#N/A")</f>
        <v>#N/A</v>
      </c>
      <c r="Q497" s="30" t="str">
        <f>IFERROR(__xludf.DUMMYFUNCTION("""COMPUTED_VALUE"""),"KHÔNG KHỚP")</f>
        <v>KHÔNG KHỚP</v>
      </c>
      <c r="R497" s="2"/>
      <c r="S497" s="2"/>
      <c r="T497" s="2"/>
      <c r="U497" s="2"/>
      <c r="V497" s="2"/>
      <c r="W497" s="2"/>
      <c r="X497" s="2"/>
      <c r="Y497" s="2"/>
    </row>
    <row r="498">
      <c r="A498" s="30">
        <f>IFERROR(__xludf.DUMMYFUNCTION("""COMPUTED_VALUE"""),495.0)</f>
        <v>495</v>
      </c>
      <c r="B498" s="39">
        <f>IFERROR(__xludf.DUMMYFUNCTION("""COMPUTED_VALUE"""),45940.0)</f>
        <v>45940</v>
      </c>
      <c r="C498" s="30">
        <f>IFERROR(__xludf.DUMMYFUNCTION("""COMPUTED_VALUE"""),7.0)</f>
        <v>7</v>
      </c>
      <c r="D498" s="30" t="str">
        <f>IFERROR(__xludf.DUMMYFUNCTION("""COMPUTED_VALUE"""),"CT CŨ")</f>
        <v>CT CŨ</v>
      </c>
      <c r="E498" s="30"/>
      <c r="F498" s="2"/>
      <c r="G498" s="2" t="str">
        <f>IFERROR(__xludf.DUMMYFUNCTION("""COMPUTED_VALUE"""),"HH4442")</f>
        <v>HH4442</v>
      </c>
      <c r="H498" s="2" t="str">
        <f>IFERROR(__xludf.DUMMYFUNCTION("""COMPUTED_VALUE"""),"GC - IX - 4442 - N2SBIO - N2 MG ZN-70 (Nước xanh lá) - 500ml - 40")</f>
        <v>GC - IX - 4442 - N2SBIO - N2 MG ZN-70 (Nước xanh lá) - 500ml - 40</v>
      </c>
      <c r="I498" s="39" t="str">
        <f>IFERROR(__xludf.DUMMYFUNCTION("""COMPUTED_VALUE"""),"vi lượng Phú Sĩ FJ-09 Kẽm Mg")</f>
        <v>vi lượng Phú Sĩ FJ-09 Kẽm Mg</v>
      </c>
      <c r="J498" s="2" t="str">
        <f>IFERROR(__xludf.DUMMYFUNCTION("""COMPUTED_VALUE"""),"N01080825")</f>
        <v>N01080825</v>
      </c>
      <c r="K498" s="2"/>
      <c r="L498" s="2" t="str">
        <f>IFERROR(__xludf.DUMMYFUNCTION("""COMPUTED_VALUE"""),"N01080825")</f>
        <v>N01080825</v>
      </c>
      <c r="M498" s="2" t="str">
        <f>IFERROR(__xludf.DUMMYFUNCTION("""COMPUTED_VALUE"""),"N2 MgZn-52")</f>
        <v>N2 MgZn-52</v>
      </c>
      <c r="N498" s="2" t="str">
        <f>IFERROR(__xludf.DUMMYFUNCTION("""COMPUTED_VALUE"""),"23GS0002V1")</f>
        <v>23GS0002V1</v>
      </c>
      <c r="O498" s="2" t="str">
        <f>IFERROR(__xludf.DUMMYFUNCTION("""COMPUTED_VALUE"""),"Phân bón vi lượng Phú Sĩ FJ-09 Kẽm Mg")</f>
        <v>Phân bón vi lượng Phú Sĩ FJ-09 Kẽm Mg</v>
      </c>
      <c r="P498" s="2" t="str">
        <f>IFERROR(__xludf.DUMMYFUNCTION("""COMPUTED_VALUE"""),"Phân bón vi lượng Phú Sĩ FJ-09 Kẽm Mg")</f>
        <v>Phân bón vi lượng Phú Sĩ FJ-09 Kẽm Mg</v>
      </c>
      <c r="Q498" s="30" t="str">
        <f>IFERROR(__xludf.DUMMYFUNCTION("""COMPUTED_VALUE"""),"KHỚP")</f>
        <v>KHỚP</v>
      </c>
      <c r="R498" s="2"/>
      <c r="S498" s="2"/>
      <c r="T498" s="2"/>
      <c r="U498" s="2"/>
      <c r="V498" s="2"/>
      <c r="W498" s="2"/>
      <c r="X498" s="2"/>
      <c r="Y498" s="2"/>
    </row>
    <row r="499">
      <c r="A499" s="30">
        <f>IFERROR(__xludf.DUMMYFUNCTION("""COMPUTED_VALUE"""),496.0)</f>
        <v>496</v>
      </c>
      <c r="B499" s="39">
        <f>IFERROR(__xludf.DUMMYFUNCTION("""COMPUTED_VALUE"""),46043.0)</f>
        <v>46043</v>
      </c>
      <c r="C499" s="30">
        <f>IFERROR(__xludf.DUMMYFUNCTION("""COMPUTED_VALUE"""),4.0)</f>
        <v>4</v>
      </c>
      <c r="D499" s="30" t="str">
        <f>IFERROR(__xludf.DUMMYFUNCTION("""COMPUTED_VALUE"""),"CT CŨ")</f>
        <v>CT CŨ</v>
      </c>
      <c r="E499" s="30"/>
      <c r="F499" s="2"/>
      <c r="G499" s="2" t="str">
        <f>IFERROR(__xludf.DUMMYFUNCTION("""COMPUTED_VALUE"""),"HH4067")</f>
        <v>HH4067</v>
      </c>
      <c r="H499" s="2" t="str">
        <f>IFERROR(__xludf.DUMMYFUNCTION("""COMPUTED_VALUE"""),"GC - IX - 4067 - N2SBIO - N2 ANTI STRESS (Gel nâu đen) - 500ml - 40")</f>
        <v>GC - IX - 4067 - N2SBIO - N2 ANTI STRESS (Gel nâu đen) - 500ml - 40</v>
      </c>
      <c r="I499" s="39" t="str">
        <f>IFERROR(__xludf.DUMMYFUNCTION("""COMPUTED_VALUE"""),"Lá Vô Cơ Nhiều Thành Phần NBC-ALCROP")</f>
        <v>Lá Vô Cơ Nhiều Thành Phần NBC-ALCROP</v>
      </c>
      <c r="J499" s="2" t="str">
        <f>IFERROR(__xludf.DUMMYFUNCTION("""COMPUTED_VALUE"""),"N03220825")</f>
        <v>N03220825</v>
      </c>
      <c r="K499" s="2"/>
      <c r="L499" s="2" t="str">
        <f>IFERROR(__xludf.DUMMYFUNCTION("""COMPUTED_VALUE"""),"N03220825")</f>
        <v>N03220825</v>
      </c>
      <c r="M499" s="2" t="str">
        <f>IFERROR(__xludf.DUMMYFUNCTION("""COMPUTED_VALUE"""),"N2 ANTI STRESS")</f>
        <v>N2 ANTI STRESS</v>
      </c>
      <c r="N499" s="2" t="str">
        <f>IFERROR(__xludf.DUMMYFUNCTION("""COMPUTED_VALUE"""),"23GS0012V1")</f>
        <v>23GS0012V1</v>
      </c>
      <c r="O499" s="2" t="str">
        <f>IFERROR(__xludf.DUMMYFUNCTION("""COMPUTED_VALUE"""),"Phân bón lá NBC-Alcrop")</f>
        <v>Phân bón lá NBC-Alcrop</v>
      </c>
      <c r="P499" s="2" t="str">
        <f>IFERROR(__xludf.DUMMYFUNCTION("""COMPUTED_VALUE"""),"Phân bón Lá Vô Cơ Nhiều Thành Phần NBC-ALCROP")</f>
        <v>Phân bón Lá Vô Cơ Nhiều Thành Phần NBC-ALCROP</v>
      </c>
      <c r="Q499" s="30" t="str">
        <f>IFERROR(__xludf.DUMMYFUNCTION("""COMPUTED_VALUE"""),"KHÔNG KHỚP")</f>
        <v>KHÔNG KHỚP</v>
      </c>
      <c r="R499" s="2"/>
      <c r="S499" s="2"/>
      <c r="T499" s="2"/>
      <c r="U499" s="2"/>
      <c r="V499" s="2"/>
      <c r="W499" s="2"/>
      <c r="X499" s="2"/>
      <c r="Y499" s="2"/>
    </row>
    <row r="500">
      <c r="A500" s="30">
        <f>IFERROR(__xludf.DUMMYFUNCTION("""COMPUTED_VALUE"""),497.0)</f>
        <v>497</v>
      </c>
      <c r="B500" s="39">
        <f>IFERROR(__xludf.DUMMYFUNCTION("""COMPUTED_VALUE"""),45896.0)</f>
        <v>45896</v>
      </c>
      <c r="C500" s="30">
        <f>IFERROR(__xludf.DUMMYFUNCTION("""COMPUTED_VALUE"""),1.0)</f>
        <v>1</v>
      </c>
      <c r="D500" s="30" t="str">
        <f>IFERROR(__xludf.DUMMYFUNCTION("""COMPUTED_VALUE"""),"CT CŨ")</f>
        <v>CT CŨ</v>
      </c>
      <c r="E500" s="30"/>
      <c r="F500" s="2"/>
      <c r="G500" s="2" t="str">
        <f>IFERROR(__xludf.DUMMYFUNCTION("""COMPUTED_VALUE"""),"HH4683")</f>
        <v>HH4683</v>
      </c>
      <c r="H500" s="2" t="str">
        <f>IFERROR(__xludf.DUMMYFUNCTION("""COMPUTED_VALUE"""),"GC - V - 4683 - CTY QUANG ĐĂNG AGRICULTURE - CANXIBO QĐ.MICRO (Nước trắng sữa) - 500ml - 40")</f>
        <v>GC - V - 4683 - CTY QUANG ĐĂNG AGRICULTURE - CANXIBO QĐ.MICRO (Nước trắng sữa) - 500ml - 40</v>
      </c>
      <c r="I500" s="2" t="str">
        <f>IFERROR(__xludf.DUMMYFUNCTION("""COMPUTED_VALUE"""),"#N/A")</f>
        <v>#N/A</v>
      </c>
      <c r="J500" s="2" t="str">
        <f>IFERROR(__xludf.DUMMYFUNCTION("""COMPUTED_VALUE"""),"A02160725")</f>
        <v>A02160725</v>
      </c>
      <c r="K500" s="2"/>
      <c r="L500" s="2" t="str">
        <f>IFERROR(__xludf.DUMMYFUNCTION("""COMPUTED_VALUE"""),"A02160725")</f>
        <v>A02160725</v>
      </c>
      <c r="M500" s="2" t="str">
        <f>IFERROR(__xludf.DUMMYFUNCTION("""COMPUTED_VALUE"""),"AGAMA-CANXI BO
(KIM NGỌC)")</f>
        <v>AGAMA-CANXI BO
(KIM NGỌC)</v>
      </c>
      <c r="N500" s="2" t="str">
        <f>IFERROR(__xludf.DUMMYFUNCTION("""COMPUTED_VALUE"""),"10CR0021")</f>
        <v>10CR0021</v>
      </c>
      <c r="O500" s="2" t="str">
        <f>IFERROR(__xludf.DUMMYFUNCTION("""COMPUTED_VALUE"""),"Phân bón Vi lượng AGAMA-CANXI BO")</f>
        <v>Phân bón Vi lượng AGAMA-CANXI BO</v>
      </c>
      <c r="P500" s="2" t="str">
        <f>IFERROR(__xludf.DUMMYFUNCTION("""COMPUTED_VALUE"""),"#N/A")</f>
        <v>#N/A</v>
      </c>
      <c r="Q500" s="30" t="str">
        <f>IFERROR(__xludf.DUMMYFUNCTION("""COMPUTED_VALUE"""),"KHÔNG KHỚP")</f>
        <v>KHÔNG KHỚP</v>
      </c>
      <c r="R500" s="2"/>
      <c r="S500" s="2"/>
      <c r="T500" s="2"/>
      <c r="U500" s="2"/>
      <c r="V500" s="2"/>
      <c r="W500" s="2"/>
      <c r="X500" s="2"/>
      <c r="Y500" s="2"/>
    </row>
    <row r="501">
      <c r="A501" s="30">
        <f>IFERROR(__xludf.DUMMYFUNCTION("""COMPUTED_VALUE"""),498.0)</f>
        <v>498</v>
      </c>
      <c r="B501" s="39">
        <f>IFERROR(__xludf.DUMMYFUNCTION("""COMPUTED_VALUE"""),45983.0)</f>
        <v>45983</v>
      </c>
      <c r="C501" s="30">
        <f>IFERROR(__xludf.DUMMYFUNCTION("""COMPUTED_VALUE"""),2.0)</f>
        <v>2</v>
      </c>
      <c r="D501" s="30" t="str">
        <f>IFERROR(__xludf.DUMMYFUNCTION("""COMPUTED_VALUE"""),"CT CŨ")</f>
        <v>CT CŨ</v>
      </c>
      <c r="E501" s="30"/>
      <c r="F501" s="2"/>
      <c r="G501" s="2" t="str">
        <f>IFERROR(__xludf.DUMMYFUNCTION("""COMPUTED_VALUE"""),"HH4472")</f>
        <v>HH4472</v>
      </c>
      <c r="H501" s="2" t="str">
        <f>IFERROR(__xludf.DUMMYFUNCTION("""COMPUTED_VALUE"""),"GC - IV - 4472 - CTY R3 - R3 VOGAO (Nước đỏ cam) - 300ml - 40")</f>
        <v>GC - IV - 4472 - CTY R3 - R3 VOGAO (Nước đỏ cam) - 300ml - 40</v>
      </c>
      <c r="I501" s="39" t="str">
        <f>IFERROR(__xludf.DUMMYFUNCTION("""COMPUTED_VALUE"""),"Lá PK Vi lượng SV 5-18")</f>
        <v>Lá PK Vi lượng SV 5-18</v>
      </c>
      <c r="J501" s="2" t="str">
        <f>IFERROR(__xludf.DUMMYFUNCTION("""COMPUTED_VALUE"""),"A03091025")</f>
        <v>A03091025</v>
      </c>
      <c r="K501" s="2"/>
      <c r="L501" s="2" t="str">
        <f>IFERROR(__xludf.DUMMYFUNCTION("""COMPUTED_VALUE"""),"A03091025")</f>
        <v>A03091025</v>
      </c>
      <c r="M501" s="2" t="str">
        <f>IFERROR(__xludf.DUMMYFUNCTION("""COMPUTED_VALUE"""),"VÔ GẠO 0 - 5 -18 (02)")</f>
        <v>VÔ GẠO 0 - 5 -18 (02)</v>
      </c>
      <c r="N501" s="2" t="str">
        <f>IFERROR(__xludf.DUMMYFUNCTION("""COMPUTED_VALUE"""),"04VG0044")</f>
        <v>04VG0044</v>
      </c>
      <c r="O501" s="2" t="str">
        <f>IFERROR(__xludf.DUMMYFUNCTION("""COMPUTED_VALUE"""),"Phân bón lá PK-Vi lượng SV 5-18")</f>
        <v>Phân bón lá PK-Vi lượng SV 5-18</v>
      </c>
      <c r="P501" s="2" t="str">
        <f>IFERROR(__xludf.DUMMYFUNCTION("""COMPUTED_VALUE"""),"Phân bón Lá PK Vi lượng SV 5-18")</f>
        <v>Phân bón Lá PK Vi lượng SV 5-18</v>
      </c>
      <c r="Q501" s="30" t="str">
        <f>IFERROR(__xludf.DUMMYFUNCTION("""COMPUTED_VALUE"""),"KHÔNG KHỚP")</f>
        <v>KHÔNG KHỚP</v>
      </c>
      <c r="R501" s="2"/>
      <c r="S501" s="2"/>
      <c r="T501" s="2"/>
      <c r="U501" s="2"/>
      <c r="V501" s="2"/>
      <c r="W501" s="2"/>
      <c r="X501" s="2"/>
      <c r="Y501" s="2"/>
    </row>
    <row r="502">
      <c r="A502" s="30">
        <f>IFERROR(__xludf.DUMMYFUNCTION("""COMPUTED_VALUE"""),499.0)</f>
        <v>499</v>
      </c>
      <c r="B502" s="39">
        <f>IFERROR(__xludf.DUMMYFUNCTION("""COMPUTED_VALUE"""),45946.0)</f>
        <v>45946</v>
      </c>
      <c r="C502" s="30">
        <f>IFERROR(__xludf.DUMMYFUNCTION("""COMPUTED_VALUE"""),3.0)</f>
        <v>3</v>
      </c>
      <c r="D502" s="30" t="str">
        <f>IFERROR(__xludf.DUMMYFUNCTION("""COMPUTED_VALUE"""),"CT CŨ")</f>
        <v>CT CŨ</v>
      </c>
      <c r="E502" s="30"/>
      <c r="F502" s="2"/>
      <c r="G502" s="2" t="str">
        <f>IFERROR(__xludf.DUMMYFUNCTION("""COMPUTED_VALUE"""),"HH4470")</f>
        <v>HH4470</v>
      </c>
      <c r="H502" s="2" t="str">
        <f>IFERROR(__xludf.DUMMYFUNCTION("""COMPUTED_VALUE"""),"GC - V - 4470 - CTY R3 - R3 TANK  (Nước nâu vàng) - 300ml - 40")</f>
        <v>GC - V - 4470 - CTY R3 - R3 TANK  (Nước nâu vàng) - 300ml - 40</v>
      </c>
      <c r="I502" s="39" t="str">
        <f>IFERROR(__xludf.DUMMYFUNCTION("""COMPUTED_VALUE"""),"vi lượng G.A 05")</f>
        <v>vi lượng G.A 05</v>
      </c>
      <c r="J502" s="2" t="str">
        <f>IFERROR(__xludf.DUMMYFUNCTION("""COMPUTED_VALUE"""),"A01200825
Cùng ruột 4231")</f>
        <v>A01200825
Cùng ruột 4231</v>
      </c>
      <c r="K502" s="2"/>
      <c r="L502" s="2" t="str">
        <f>IFERROR(__xludf.DUMMYFUNCTION("""COMPUTED_VALUE"""),"A01200825.")</f>
        <v>A01200825.</v>
      </c>
      <c r="M502" s="2" t="str">
        <f>IFERROR(__xludf.DUMMYFUNCTION("""COMPUTED_VALUE"""),"CỨNG CÂY 01 ")</f>
        <v>CỨNG CÂY 01 </v>
      </c>
      <c r="N502" s="2" t="str">
        <f>IFERROR(__xludf.DUMMYFUNCTION("""COMPUTED_VALUE"""),"02CC0012")</f>
        <v>02CC0012</v>
      </c>
      <c r="O502" s="2" t="str">
        <f>IFERROR(__xludf.DUMMYFUNCTION("""COMPUTED_VALUE"""),"Phân bón vi lượng G.A 05")</f>
        <v>Phân bón vi lượng G.A 05</v>
      </c>
      <c r="P502" s="2" t="str">
        <f>IFERROR(__xludf.DUMMYFUNCTION("""COMPUTED_VALUE"""),"Phân bón vi lượng G.A 05")</f>
        <v>Phân bón vi lượng G.A 05</v>
      </c>
      <c r="Q502" s="30" t="str">
        <f>IFERROR(__xludf.DUMMYFUNCTION("""COMPUTED_VALUE"""),"KHỚP")</f>
        <v>KHỚP</v>
      </c>
      <c r="R502" s="2"/>
      <c r="S502" s="2"/>
      <c r="T502" s="2"/>
      <c r="U502" s="2"/>
      <c r="V502" s="2"/>
      <c r="W502" s="2"/>
      <c r="X502" s="2"/>
      <c r="Y502" s="2"/>
    </row>
    <row r="503">
      <c r="A503" s="30">
        <f>IFERROR(__xludf.DUMMYFUNCTION("""COMPUTED_VALUE"""),500.0)</f>
        <v>500</v>
      </c>
      <c r="B503" s="39">
        <f>IFERROR(__xludf.DUMMYFUNCTION("""COMPUTED_VALUE"""),46044.0)</f>
        <v>46044</v>
      </c>
      <c r="C503" s="30">
        <f>IFERROR(__xludf.DUMMYFUNCTION("""COMPUTED_VALUE"""),1.0)</f>
        <v>1</v>
      </c>
      <c r="D503" s="30" t="str">
        <f>IFERROR(__xludf.DUMMYFUNCTION("""COMPUTED_VALUE"""),"CT CŨ")</f>
        <v>CT CŨ</v>
      </c>
      <c r="E503" s="30"/>
      <c r="F503" s="2"/>
      <c r="G503" s="2" t="str">
        <f>IFERROR(__xludf.DUMMYFUNCTION("""COMPUTED_VALUE"""),"HH4471")</f>
        <v>HH4471</v>
      </c>
      <c r="H503" s="2" t="str">
        <f>IFERROR(__xludf.DUMMYFUNCTION("""COMPUTED_VALUE"""),"GC - V - 4471 - CTY R3 - R3 BLOOM  (Nước xanh bơ sữa) - 300ml - 40")</f>
        <v>GC - V - 4471 - CTY R3 - R3 BLOOM  (Nước xanh bơ sữa) - 300ml - 40</v>
      </c>
      <c r="I503" s="39" t="str">
        <f>IFERROR(__xludf.DUMMYFUNCTION("""COMPUTED_VALUE"""),"lá NPK-vi lượng GNC19")</f>
        <v>lá NPK-vi lượng GNC19</v>
      </c>
      <c r="J503" s="2" t="str">
        <f>IFERROR(__xludf.DUMMYFUNCTION("""COMPUTED_VALUE"""),"A03260525")</f>
        <v>A03260525</v>
      </c>
      <c r="K503" s="2"/>
      <c r="L503" s="2" t="str">
        <f>IFERROR(__xludf.DUMMYFUNCTION("""COMPUTED_VALUE"""),"A03260525")</f>
        <v>A03260525</v>
      </c>
      <c r="M503" s="2" t="str">
        <f>IFERROR(__xludf.DUMMYFUNCTION("""COMPUTED_VALUE"""),"ĐÒNG TO BÔNG KẸO (CẢI TIẾN)")</f>
        <v>ĐÒNG TO BÔNG KẸO (CẢI TIẾN)</v>
      </c>
      <c r="N503" s="2" t="str">
        <f>IFERROR(__xludf.DUMMYFUNCTION("""COMPUTED_VALUE"""),"03DD0017V3")</f>
        <v>03DD0017V3</v>
      </c>
      <c r="O503" s="2" t="str">
        <f>IFERROR(__xludf.DUMMYFUNCTION("""COMPUTED_VALUE"""),"Phân bón lá NPK-Vi lượng GNC 19")</f>
        <v>Phân bón lá NPK-Vi lượng GNC 19</v>
      </c>
      <c r="P503" s="2" t="str">
        <f>IFERROR(__xludf.DUMMYFUNCTION("""COMPUTED_VALUE"""),"Phân bón lá NPK-vi lượng GNC19")</f>
        <v>Phân bón lá NPK-vi lượng GNC19</v>
      </c>
      <c r="Q503" s="30" t="str">
        <f>IFERROR(__xludf.DUMMYFUNCTION("""COMPUTED_VALUE"""),"KHÔNG KHỚP")</f>
        <v>KHÔNG KHỚP</v>
      </c>
      <c r="R503" s="2"/>
      <c r="S503" s="2"/>
      <c r="T503" s="2"/>
      <c r="U503" s="2"/>
      <c r="V503" s="2"/>
      <c r="W503" s="2"/>
      <c r="X503" s="2"/>
      <c r="Y503" s="2"/>
    </row>
    <row r="504">
      <c r="A504" s="30">
        <f>IFERROR(__xludf.DUMMYFUNCTION("""COMPUTED_VALUE"""),501.0)</f>
        <v>501</v>
      </c>
      <c r="B504" s="39">
        <f>IFERROR(__xludf.DUMMYFUNCTION("""COMPUTED_VALUE"""),45929.0)</f>
        <v>45929</v>
      </c>
      <c r="C504" s="30">
        <f>IFERROR(__xludf.DUMMYFUNCTION("""COMPUTED_VALUE"""),1.0)</f>
        <v>1</v>
      </c>
      <c r="D504" s="30" t="str">
        <f>IFERROR(__xludf.DUMMYFUNCTION("""COMPUTED_VALUE"""),"CT CŨ")</f>
        <v>CT CŨ</v>
      </c>
      <c r="E504" s="30"/>
      <c r="F504" s="2"/>
      <c r="G504" s="2" t="str">
        <f>IFERROR(__xludf.DUMMYFUNCTION("""COMPUTED_VALUE"""),"HH4691")</f>
        <v>HH4691</v>
      </c>
      <c r="H504" s="2" t="str">
        <f>IFERROR(__xludf.DUMMYFUNCTION("""COMPUTED_VALUE"""),"GC - V - 4691 - Cty Hóa Nông Shino - 1 TẤN 4 (nước đỏ cam) - 500ml - 30")</f>
        <v>GC - V - 4691 - Cty Hóa Nông Shino - 1 TẤN 4 (nước đỏ cam) - 500ml - 30</v>
      </c>
      <c r="I504" s="2" t="str">
        <f>IFERROR(__xludf.DUMMYFUNCTION("""COMPUTED_VALUE"""),"#N/A")</f>
        <v>#N/A</v>
      </c>
      <c r="J504" s="2" t="str">
        <f>IFERROR(__xludf.DUMMYFUNCTION("""COMPUTED_VALUE"""),"Cùng ruột: mã HH3799")</f>
        <v>Cùng ruột: mã HH3799</v>
      </c>
      <c r="K504" s="2"/>
      <c r="L504" s="2"/>
      <c r="M504" s="2" t="str">
        <f>IFERROR(__xludf.DUMMYFUNCTION("""COMPUTED_VALUE"""),"SIÊU VÔ GẠO TE+
1 TẤN 4
SHINO 1 TẤN 4
SHINO RICE")</f>
        <v>SIÊU VÔ GẠO TE+
1 TẤN 4
SHINO 1 TẤN 4
SHINO RICE</v>
      </c>
      <c r="N504" s="2" t="str">
        <f>IFERROR(__xludf.DUMMYFUNCTION("""COMPUTED_VALUE"""),"04VG0014V1")</f>
        <v>04VG0014V1</v>
      </c>
      <c r="O504" s="2" t="str">
        <f>IFERROR(__xludf.DUMMYFUNCTION("""COMPUTED_VALUE"""),"Phân bón NPK-Vi lượng MASSIVE-BLUE")</f>
        <v>Phân bón NPK-Vi lượng MASSIVE-BLUE</v>
      </c>
      <c r="P504" s="2" t="str">
        <f>IFERROR(__xludf.DUMMYFUNCTION("""COMPUTED_VALUE"""),"#N/A")</f>
        <v>#N/A</v>
      </c>
      <c r="Q504" s="30" t="str">
        <f>IFERROR(__xludf.DUMMYFUNCTION("""COMPUTED_VALUE"""),"KHÔNG KHỚP")</f>
        <v>KHÔNG KHỚP</v>
      </c>
      <c r="R504" s="2"/>
      <c r="S504" s="2"/>
      <c r="T504" s="2"/>
      <c r="U504" s="2"/>
      <c r="V504" s="2"/>
      <c r="W504" s="2"/>
      <c r="X504" s="2"/>
      <c r="Y504" s="2"/>
    </row>
    <row r="505">
      <c r="A505" s="30">
        <f>IFERROR(__xludf.DUMMYFUNCTION("""COMPUTED_VALUE"""),502.0)</f>
        <v>502</v>
      </c>
      <c r="B505" s="39">
        <f>IFERROR(__xludf.DUMMYFUNCTION("""COMPUTED_VALUE"""),46024.0)</f>
        <v>46024</v>
      </c>
      <c r="C505" s="30">
        <f>IFERROR(__xludf.DUMMYFUNCTION("""COMPUTED_VALUE"""),1.0)</f>
        <v>1</v>
      </c>
      <c r="D505" s="30" t="str">
        <f>IFERROR(__xludf.DUMMYFUNCTION("""COMPUTED_VALUE"""),"CT CŨ")</f>
        <v>CT CŨ</v>
      </c>
      <c r="E505" s="30"/>
      <c r="F505" s="2"/>
      <c r="G505" s="2" t="str">
        <f>IFERROR(__xludf.DUMMYFUNCTION("""COMPUTED_VALUE"""),"HH4692")</f>
        <v>HH4692</v>
      </c>
      <c r="H505" s="2" t="str">
        <f>IFERROR(__xludf.DUMMYFUNCTION("""COMPUTED_VALUE"""),"GC - V - 4692 - HÓA NÔNG SHINO - CỨNG CÂY K40 (Nước nâu đen) - 500ml - 30")</f>
        <v>GC - V - 4692 - HÓA NÔNG SHINO - CỨNG CÂY K40 (Nước nâu đen) - 500ml - 30</v>
      </c>
      <c r="I505" s="2" t="str">
        <f>IFERROR(__xludf.DUMMYFUNCTION("""COMPUTED_VALUE"""),"#N/A")</f>
        <v>#N/A</v>
      </c>
      <c r="J505" s="2" t="str">
        <f>IFERROR(__xludf.DUMMYFUNCTION("""COMPUTED_VALUE"""),"A01030724")</f>
        <v>A01030724</v>
      </c>
      <c r="K505" s="2"/>
      <c r="L505" s="2" t="str">
        <f>IFERROR(__xludf.DUMMYFUNCTION("""COMPUTED_VALUE"""),"A01030724")</f>
        <v>A01030724</v>
      </c>
      <c r="M505" s="2" t="str">
        <f>IFERROR(__xludf.DUMMYFUNCTION("""COMPUTED_VALUE"""),"CỨNG CÂY D345
CỨNG CÂY K40
AGRI AKA.T20")</f>
        <v>CỨNG CÂY D345
CỨNG CÂY K40
AGRI AKA.T20</v>
      </c>
      <c r="N505" s="2" t="str">
        <f>IFERROR(__xludf.DUMMYFUNCTION("""COMPUTED_VALUE"""),"02CC0005V1")</f>
        <v>02CC0005V1</v>
      </c>
      <c r="O505" s="2" t="str">
        <f>IFERROR(__xludf.DUMMYFUNCTION("""COMPUTED_VALUE"""),"Phân bón Hữu cơ SH Agro Organic Fertilizer 20")</f>
        <v>Phân bón Hữu cơ SH Agro Organic Fertilizer 20</v>
      </c>
      <c r="P505" s="2" t="str">
        <f>IFERROR(__xludf.DUMMYFUNCTION("""COMPUTED_VALUE"""),"#N/A")</f>
        <v>#N/A</v>
      </c>
      <c r="Q505" s="30" t="str">
        <f>IFERROR(__xludf.DUMMYFUNCTION("""COMPUTED_VALUE"""),"KHÔNG KHỚP")</f>
        <v>KHÔNG KHỚP</v>
      </c>
      <c r="R505" s="2"/>
      <c r="S505" s="2"/>
      <c r="T505" s="2"/>
      <c r="U505" s="2"/>
      <c r="V505" s="2"/>
      <c r="W505" s="2"/>
      <c r="X505" s="2"/>
      <c r="Y505" s="2"/>
    </row>
    <row r="506">
      <c r="A506" s="30">
        <f>IFERROR(__xludf.DUMMYFUNCTION("""COMPUTED_VALUE"""),503.0)</f>
        <v>503</v>
      </c>
      <c r="B506" s="39">
        <f>IFERROR(__xludf.DUMMYFUNCTION("""COMPUTED_VALUE"""),46008.0)</f>
        <v>46008</v>
      </c>
      <c r="C506" s="30">
        <f>IFERROR(__xludf.DUMMYFUNCTION("""COMPUTED_VALUE"""),1.0)</f>
        <v>1</v>
      </c>
      <c r="D506" s="30" t="str">
        <f>IFERROR(__xludf.DUMMYFUNCTION("""COMPUTED_VALUE"""),"CT CŨ")</f>
        <v>CT CŨ</v>
      </c>
      <c r="E506" s="30"/>
      <c r="F506" s="2"/>
      <c r="G506" s="2" t="str">
        <f>IFERROR(__xludf.DUMMYFUNCTION("""COMPUTED_VALUE"""),"HH4290")</f>
        <v>HH4290</v>
      </c>
      <c r="H506" s="2" t="str">
        <f>IFERROR(__xludf.DUMMYFUNCTION("""COMPUTED_VALUE"""),"GC - IV - 4290 - NEWTECH CROP SCIENCE - NEW RICE (Nước đỏ cam) - 500ml - 30")</f>
        <v>GC - IV - 4290 - NEWTECH CROP SCIENCE - NEW RICE (Nước đỏ cam) - 500ml - 30</v>
      </c>
      <c r="I506" s="2" t="str">
        <f>IFERROR(__xludf.DUMMYFUNCTION("""COMPUTED_VALUE"""),"#N/A")</f>
        <v>#N/A</v>
      </c>
      <c r="J506" s="2" t="str">
        <f>IFERROR(__xludf.DUMMYFUNCTION("""COMPUTED_VALUE"""),"cùng ruột HH3087")</f>
        <v>cùng ruột HH3087</v>
      </c>
      <c r="K506" s="2"/>
      <c r="L506" s="2"/>
      <c r="M506" s="2" t="str">
        <f>IFERROR(__xludf.DUMMYFUNCTION("""COMPUTED_VALUE"""),"WINNER X2
NEW RICE")</f>
        <v>WINNER X2
NEW RICE</v>
      </c>
      <c r="N506" s="2" t="str">
        <f>IFERROR(__xludf.DUMMYFUNCTION("""COMPUTED_VALUE"""),"04VG0015V1")</f>
        <v>04VG0015V1</v>
      </c>
      <c r="O506" s="2" t="str">
        <f>IFERROR(__xludf.DUMMYFUNCTION("""COMPUTED_VALUE"""),"Phân bón NPK-Vi lượng MASSIVE-BLUE")</f>
        <v>Phân bón NPK-Vi lượng MASSIVE-BLUE</v>
      </c>
      <c r="P506" s="2" t="str">
        <f>IFERROR(__xludf.DUMMYFUNCTION("""COMPUTED_VALUE"""),"#N/A")</f>
        <v>#N/A</v>
      </c>
      <c r="Q506" s="30" t="str">
        <f>IFERROR(__xludf.DUMMYFUNCTION("""COMPUTED_VALUE"""),"KHÔNG KHỚP")</f>
        <v>KHÔNG KHỚP</v>
      </c>
      <c r="R506" s="2"/>
      <c r="S506" s="2"/>
      <c r="T506" s="2"/>
      <c r="U506" s="2"/>
      <c r="V506" s="2"/>
      <c r="W506" s="2"/>
      <c r="X506" s="2"/>
      <c r="Y506" s="2"/>
    </row>
    <row r="507">
      <c r="A507" s="30">
        <f>IFERROR(__xludf.DUMMYFUNCTION("""COMPUTED_VALUE"""),504.0)</f>
        <v>504</v>
      </c>
      <c r="B507" s="39">
        <f>IFERROR(__xludf.DUMMYFUNCTION("""COMPUTED_VALUE"""),45896.0)</f>
        <v>45896</v>
      </c>
      <c r="C507" s="30">
        <f>IFERROR(__xludf.DUMMYFUNCTION("""COMPUTED_VALUE"""),2.0)</f>
        <v>2</v>
      </c>
      <c r="D507" s="30" t="str">
        <f>IFERROR(__xludf.DUMMYFUNCTION("""COMPUTED_VALUE"""),"CT CŨ")</f>
        <v>CT CŨ</v>
      </c>
      <c r="E507" s="30"/>
      <c r="F507" s="2"/>
      <c r="G507" s="2" t="str">
        <f>IFERROR(__xludf.DUMMYFUNCTION("""COMPUTED_VALUE"""),"HH4259")</f>
        <v>HH4259</v>
      </c>
      <c r="H507" s="2" t="str">
        <f>IFERROR(__xludf.DUMMYFUNCTION("""COMPUTED_VALUE"""),"GC - V - 4259 - CTY DONA VINA - CANXIBO MAXI (Nước trắng sữa) - 500ml - 40")</f>
        <v>GC - V - 4259 - CTY DONA VINA - CANXIBO MAXI (Nước trắng sữa) - 500ml - 40</v>
      </c>
      <c r="I507" s="2" t="str">
        <f>IFERROR(__xludf.DUMMYFUNCTION("""COMPUTED_VALUE"""),"#N/A")</f>
        <v>#N/A</v>
      </c>
      <c r="J507" s="2" t="str">
        <f>IFERROR(__xludf.DUMMYFUNCTION("""COMPUTED_VALUE"""),"Cùng ruột HH3883")</f>
        <v>Cùng ruột HH3883</v>
      </c>
      <c r="K507" s="2"/>
      <c r="L507" s="2" t="str">
        <f>IFERROR(__xludf.DUMMYFUNCTION("""COMPUTED_VALUE"""),"A02160725")</f>
        <v>A02160725</v>
      </c>
      <c r="M507" s="2" t="str">
        <f>IFERROR(__xludf.DUMMYFUNCTION("""COMPUTED_VALUE"""),"AGAMA-CANXI BO
(KIM NGỌC)")</f>
        <v>AGAMA-CANXI BO
(KIM NGỌC)</v>
      </c>
      <c r="N507" s="2" t="str">
        <f>IFERROR(__xludf.DUMMYFUNCTION("""COMPUTED_VALUE"""),"10CR0021")</f>
        <v>10CR0021</v>
      </c>
      <c r="O507" s="2" t="str">
        <f>IFERROR(__xludf.DUMMYFUNCTION("""COMPUTED_VALUE"""),"Phân bón Vi lượng AGAMA-CANXI BO")</f>
        <v>Phân bón Vi lượng AGAMA-CANXI BO</v>
      </c>
      <c r="P507" s="2" t="str">
        <f>IFERROR(__xludf.DUMMYFUNCTION("""COMPUTED_VALUE"""),"#N/A")</f>
        <v>#N/A</v>
      </c>
      <c r="Q507" s="30" t="str">
        <f>IFERROR(__xludf.DUMMYFUNCTION("""COMPUTED_VALUE"""),"KHÔNG KHỚP")</f>
        <v>KHÔNG KHỚP</v>
      </c>
      <c r="R507" s="2"/>
      <c r="S507" s="2"/>
      <c r="T507" s="2"/>
      <c r="U507" s="2"/>
      <c r="V507" s="2"/>
      <c r="W507" s="2"/>
      <c r="X507" s="2"/>
      <c r="Y507" s="2"/>
    </row>
    <row r="508">
      <c r="A508" s="30">
        <f>IFERROR(__xludf.DUMMYFUNCTION("""COMPUTED_VALUE"""),505.0)</f>
        <v>505</v>
      </c>
      <c r="B508" s="39">
        <f>IFERROR(__xludf.DUMMYFUNCTION("""COMPUTED_VALUE"""),45896.0)</f>
        <v>45896</v>
      </c>
      <c r="C508" s="30">
        <f>IFERROR(__xludf.DUMMYFUNCTION("""COMPUTED_VALUE"""),3.0)</f>
        <v>3</v>
      </c>
      <c r="D508" s="30" t="str">
        <f>IFERROR(__xludf.DUMMYFUNCTION("""COMPUTED_VALUE"""),"CT CŨ")</f>
        <v>CT CŨ</v>
      </c>
      <c r="E508" s="30"/>
      <c r="F508" s="2"/>
      <c r="G508" s="2" t="str">
        <f>IFERROR(__xludf.DUMMYFUNCTION("""COMPUTED_VALUE"""),"HH4172")</f>
        <v>HH4172</v>
      </c>
      <c r="H508" s="2" t="str">
        <f>IFERROR(__xludf.DUMMYFUNCTION("""COMPUTED_VALUE"""),"GC - V - 4172 - CTY DONA VINA - CANXIBO ĐỒNG KẼM (Nước trắng sữa) - 500ml - 40")</f>
        <v>GC - V - 4172 - CTY DONA VINA - CANXIBO ĐỒNG KẼM (Nước trắng sữa) - 500ml - 40</v>
      </c>
      <c r="I508" s="2" t="str">
        <f>IFERROR(__xludf.DUMMYFUNCTION("""COMPUTED_VALUE"""),"#N/A")</f>
        <v>#N/A</v>
      </c>
      <c r="J508" s="2" t="str">
        <f>IFERROR(__xludf.DUMMYFUNCTION("""COMPUTED_VALUE"""),"Cùng ruột HH3883")</f>
        <v>Cùng ruột HH3883</v>
      </c>
      <c r="K508" s="2"/>
      <c r="L508" s="2" t="str">
        <f>IFERROR(__xludf.DUMMYFUNCTION("""COMPUTED_VALUE"""),"A02160725")</f>
        <v>A02160725</v>
      </c>
      <c r="M508" s="2" t="str">
        <f>IFERROR(__xludf.DUMMYFUNCTION("""COMPUTED_VALUE"""),"AGAMA-CANXI BO
(KIM NGỌC)")</f>
        <v>AGAMA-CANXI BO
(KIM NGỌC)</v>
      </c>
      <c r="N508" s="2" t="str">
        <f>IFERROR(__xludf.DUMMYFUNCTION("""COMPUTED_VALUE"""),"10CR0021")</f>
        <v>10CR0021</v>
      </c>
      <c r="O508" s="2" t="str">
        <f>IFERROR(__xludf.DUMMYFUNCTION("""COMPUTED_VALUE"""),"Phân bón Vi lượng AGAMA-CANXI BO")</f>
        <v>Phân bón Vi lượng AGAMA-CANXI BO</v>
      </c>
      <c r="P508" s="2" t="str">
        <f>IFERROR(__xludf.DUMMYFUNCTION("""COMPUTED_VALUE"""),"#N/A")</f>
        <v>#N/A</v>
      </c>
      <c r="Q508" s="30" t="str">
        <f>IFERROR(__xludf.DUMMYFUNCTION("""COMPUTED_VALUE"""),"KHÔNG KHỚP")</f>
        <v>KHÔNG KHỚP</v>
      </c>
      <c r="R508" s="2"/>
      <c r="S508" s="2"/>
      <c r="T508" s="2"/>
      <c r="U508" s="2"/>
      <c r="V508" s="2"/>
      <c r="W508" s="2"/>
      <c r="X508" s="2"/>
      <c r="Y508" s="2"/>
    </row>
    <row r="509">
      <c r="A509" s="30">
        <f>IFERROR(__xludf.DUMMYFUNCTION("""COMPUTED_VALUE"""),506.0)</f>
        <v>506</v>
      </c>
      <c r="B509" s="39">
        <f>IFERROR(__xludf.DUMMYFUNCTION("""COMPUTED_VALUE"""),46000.0)</f>
        <v>46000</v>
      </c>
      <c r="C509" s="30">
        <f>IFERROR(__xludf.DUMMYFUNCTION("""COMPUTED_VALUE"""),1.0)</f>
        <v>1</v>
      </c>
      <c r="D509" s="30" t="str">
        <f>IFERROR(__xludf.DUMMYFUNCTION("""COMPUTED_VALUE"""),"CT CŨ")</f>
        <v>CT CŨ</v>
      </c>
      <c r="E509" s="30"/>
      <c r="F509" s="2"/>
      <c r="G509" s="2" t="str">
        <f>IFERROR(__xludf.DUMMYFUNCTION("""COMPUTED_VALUE"""),"HH4694")</f>
        <v>HH4694</v>
      </c>
      <c r="H509" s="2" t="str">
        <f>IFERROR(__xludf.DUMMYFUNCTION("""COMPUTED_VALUE"""),"CTY NEWTEX - PBHH NPK GNC 101 - VÔ GẠO T9")</f>
        <v>CTY NEWTEX - PBHH NPK GNC 101 - VÔ GẠO T9</v>
      </c>
      <c r="I509" s="39" t="str">
        <f>IFERROR(__xludf.DUMMYFUNCTION("""COMPUTED_VALUE"""),"Hỗn hợp NPK GNC 101")</f>
        <v>Hỗn hợp NPK GNC 101</v>
      </c>
      <c r="J509" s="2" t="str">
        <f>IFERROR(__xludf.DUMMYFUNCTION("""COMPUTED_VALUE"""),"A01301025
cùng ruột 4448")</f>
        <v>A01301025
cùng ruột 4448</v>
      </c>
      <c r="K509" s="2"/>
      <c r="L509" s="2" t="str">
        <f>IFERROR(__xludf.DUMMYFUNCTION("""COMPUTED_VALUE"""),"A01301025")</f>
        <v>A01301025</v>
      </c>
      <c r="M509" s="2" t="str">
        <f>IFERROR(__xludf.DUMMYFUNCTION("""COMPUTED_VALUE"""),"VÔ GẠO T9")</f>
        <v>VÔ GẠO T9</v>
      </c>
      <c r="N509" s="2" t="str">
        <f>IFERROR(__xludf.DUMMYFUNCTION("""COMPUTED_VALUE"""),"04VG0040V2")</f>
        <v>04VG0040V2</v>
      </c>
      <c r="O509" s="2" t="str">
        <f>IFERROR(__xludf.DUMMYFUNCTION("""COMPUTED_VALUE"""),"Phân bón hỗn hợp NPK GNC 101")</f>
        <v>Phân bón hỗn hợp NPK GNC 101</v>
      </c>
      <c r="P509" s="2" t="str">
        <f>IFERROR(__xludf.DUMMYFUNCTION("""COMPUTED_VALUE"""),"Phân bón Hỗn hợp NPK GNC 101")</f>
        <v>Phân bón Hỗn hợp NPK GNC 101</v>
      </c>
      <c r="Q509" s="30" t="str">
        <f>IFERROR(__xludf.DUMMYFUNCTION("""COMPUTED_VALUE"""),"KHỚP")</f>
        <v>KHỚP</v>
      </c>
      <c r="R509" s="2"/>
      <c r="S509" s="2"/>
      <c r="T509" s="2"/>
      <c r="U509" s="2"/>
      <c r="V509" s="2"/>
      <c r="W509" s="2"/>
      <c r="X509" s="2"/>
      <c r="Y509" s="2"/>
    </row>
    <row r="510">
      <c r="A510" s="30">
        <f>IFERROR(__xludf.DUMMYFUNCTION("""COMPUTED_VALUE"""),507.0)</f>
        <v>507</v>
      </c>
      <c r="B510" s="39">
        <f>IFERROR(__xludf.DUMMYFUNCTION("""COMPUTED_VALUE"""),45885.0)</f>
        <v>45885</v>
      </c>
      <c r="C510" s="30">
        <f>IFERROR(__xludf.DUMMYFUNCTION("""COMPUTED_VALUE"""),2.0)</f>
        <v>2</v>
      </c>
      <c r="D510" s="30" t="str">
        <f>IFERROR(__xludf.DUMMYFUNCTION("""COMPUTED_VALUE"""),"CT CŨ")</f>
        <v>CT CŨ</v>
      </c>
      <c r="E510" s="30"/>
      <c r="F510" s="2"/>
      <c r="G510" s="2" t="str">
        <f>IFERROR(__xludf.DUMMYFUNCTION("""COMPUTED_VALUE"""),"HH4122")</f>
        <v>HH4122</v>
      </c>
      <c r="H510" s="2" t="str">
        <f>IFERROR(__xludf.DUMMYFUNCTION("""COMPUTED_VALUE"""),"IDA Global - I - 4122 - VG RICE 02 - 500ml - 40")</f>
        <v>IDA Global - I - 4122 - VG RICE 02 - 500ml - 40</v>
      </c>
      <c r="I510" s="2" t="str">
        <f>IFERROR(__xludf.DUMMYFUNCTION("""COMPUTED_VALUE"""),"#N/A")</f>
        <v>#N/A</v>
      </c>
      <c r="J510" s="2" t="str">
        <f>IFERROR(__xludf.DUMMYFUNCTION("""COMPUTED_VALUE"""),"Đóng theo đơn gần nhất")</f>
        <v>Đóng theo đơn gần nhất</v>
      </c>
      <c r="K510" s="2"/>
      <c r="L510" s="2" t="str">
        <f>IFERROR(__xludf.DUMMYFUNCTION("""COMPUTED_VALUE"""),"I02180225")</f>
        <v>I02180225</v>
      </c>
      <c r="M510" s="2" t="str">
        <f>IFERROR(__xludf.DUMMYFUNCTION("""COMPUTED_VALUE"""),"VG RICE 02")</f>
        <v>VG RICE 02</v>
      </c>
      <c r="N510" s="2" t="str">
        <f>IFERROR(__xludf.DUMMYFUNCTION("""COMPUTED_VALUE"""),"04VG0033")</f>
        <v>04VG0033</v>
      </c>
      <c r="O510" s="2" t="str">
        <f>IFERROR(__xludf.DUMMYFUNCTION("""COMPUTED_VALUE"""),"Phân bón NPK-Vi lượng HC CAN")</f>
        <v>Phân bón NPK-Vi lượng HC CAN</v>
      </c>
      <c r="P510" s="2" t="str">
        <f>IFERROR(__xludf.DUMMYFUNCTION("""COMPUTED_VALUE"""),"#N/A")</f>
        <v>#N/A</v>
      </c>
      <c r="Q510" s="30" t="str">
        <f>IFERROR(__xludf.DUMMYFUNCTION("""COMPUTED_VALUE"""),"KHÔNG KHỚP")</f>
        <v>KHÔNG KHỚP</v>
      </c>
      <c r="R510" s="2"/>
      <c r="S510" s="2"/>
      <c r="T510" s="2"/>
      <c r="U510" s="2"/>
      <c r="V510" s="2"/>
      <c r="W510" s="2"/>
      <c r="X510" s="2"/>
      <c r="Y510" s="2"/>
    </row>
    <row r="511">
      <c r="A511" s="30">
        <f>IFERROR(__xludf.DUMMYFUNCTION("""COMPUTED_VALUE"""),508.0)</f>
        <v>508</v>
      </c>
      <c r="B511" s="39">
        <f>IFERROR(__xludf.DUMMYFUNCTION("""COMPUTED_VALUE"""),46044.0)</f>
        <v>46044</v>
      </c>
      <c r="C511" s="30">
        <f>IFERROR(__xludf.DUMMYFUNCTION("""COMPUTED_VALUE"""),2.0)</f>
        <v>2</v>
      </c>
      <c r="D511" s="30" t="str">
        <f>IFERROR(__xludf.DUMMYFUNCTION("""COMPUTED_VALUE"""),"CT CŨ")</f>
        <v>CT CŨ</v>
      </c>
      <c r="E511" s="30"/>
      <c r="F511" s="2"/>
      <c r="G511" s="2" t="str">
        <f>IFERROR(__xludf.DUMMYFUNCTION("""COMPUTED_VALUE"""),"HH4076")</f>
        <v>HH4076</v>
      </c>
      <c r="H511" s="2" t="str">
        <f>IFERROR(__xludf.DUMMYFUNCTION("""COMPUTED_VALUE"""),"IDA Global - I - 4076 - VG RICE 01 - 500ml - 40")</f>
        <v>IDA Global - I - 4076 - VG RICE 01 - 500ml - 40</v>
      </c>
      <c r="I511" s="2" t="str">
        <f>IFERROR(__xludf.DUMMYFUNCTION("""COMPUTED_VALUE"""),"#N/A")</f>
        <v>#N/A</v>
      </c>
      <c r="J511" s="2" t="str">
        <f>IFERROR(__xludf.DUMMYFUNCTION("""COMPUTED_VALUE"""),"Đóng theo đơn gần nhất")</f>
        <v>Đóng theo đơn gần nhất</v>
      </c>
      <c r="K511" s="2"/>
      <c r="L511" s="2" t="str">
        <f>IFERROR(__xludf.DUMMYFUNCTION("""COMPUTED_VALUE"""),"I01180225-01")</f>
        <v>I01180225-01</v>
      </c>
      <c r="M511" s="2" t="str">
        <f>IFERROR(__xludf.DUMMYFUNCTION("""COMPUTED_VALUE"""),"VG RICE 01")</f>
        <v>VG RICE 01</v>
      </c>
      <c r="N511" s="2" t="str">
        <f>IFERROR(__xludf.DUMMYFUNCTION("""COMPUTED_VALUE"""),"13XL0014V1")</f>
        <v>13XL0014V1</v>
      </c>
      <c r="O511" s="2" t="str">
        <f>IFERROR(__xludf.DUMMYFUNCTION("""COMPUTED_VALUE"""),"Phân bón Vi lượng AGAMA-SUPPORT")</f>
        <v>Phân bón Vi lượng AGAMA-SUPPORT</v>
      </c>
      <c r="P511" s="2" t="str">
        <f>IFERROR(__xludf.DUMMYFUNCTION("""COMPUTED_VALUE"""),"#N/A")</f>
        <v>#N/A</v>
      </c>
      <c r="Q511" s="30" t="str">
        <f>IFERROR(__xludf.DUMMYFUNCTION("""COMPUTED_VALUE"""),"KHÔNG KHỚP")</f>
        <v>KHÔNG KHỚP</v>
      </c>
      <c r="R511" s="2"/>
      <c r="S511" s="2"/>
      <c r="T511" s="2"/>
      <c r="U511" s="2"/>
      <c r="V511" s="2"/>
      <c r="W511" s="2"/>
      <c r="X511" s="2"/>
      <c r="Y511" s="2"/>
    </row>
    <row r="512">
      <c r="A512" s="30">
        <f>IFERROR(__xludf.DUMMYFUNCTION("""COMPUTED_VALUE"""),509.0)</f>
        <v>509</v>
      </c>
      <c r="B512" s="39">
        <f>IFERROR(__xludf.DUMMYFUNCTION("""COMPUTED_VALUE"""),46001.0)</f>
        <v>46001</v>
      </c>
      <c r="C512" s="30">
        <f>IFERROR(__xludf.DUMMYFUNCTION("""COMPUTED_VALUE"""),2.0)</f>
        <v>2</v>
      </c>
      <c r="D512" s="30" t="str">
        <f>IFERROR(__xludf.DUMMYFUNCTION("""COMPUTED_VALUE"""),"CT CŨ")</f>
        <v>CT CŨ</v>
      </c>
      <c r="E512" s="30"/>
      <c r="F512" s="2"/>
      <c r="G512" s="2" t="str">
        <f>IFERROR(__xludf.DUMMYFUNCTION("""COMPUTED_VALUE"""),"HH4357")</f>
        <v>HH4357</v>
      </c>
      <c r="H512" s="2" t="str">
        <f>IFERROR(__xludf.DUMMYFUNCTION("""COMPUTED_VALUE"""),"IDA Global - I - 4357 - ĐL LÊ NGUYỄN 2 - SIÊU CỨNG CÂY (Nước nâu đen) - 500ml - 40")</f>
        <v>IDA Global - I - 4357 - ĐL LÊ NGUYỄN 2 - SIÊU CỨNG CÂY (Nước nâu đen) - 500ml - 40</v>
      </c>
      <c r="I512" s="2" t="str">
        <f>IFERROR(__xludf.DUMMYFUNCTION("""COMPUTED_VALUE"""),"#N/A")</f>
        <v>#N/A</v>
      </c>
      <c r="J512" s="2" t="str">
        <f>IFERROR(__xludf.DUMMYFUNCTION("""COMPUTED_VALUE"""),"Đóng theo đơn gần nhất")</f>
        <v>Đóng theo đơn gần nhất</v>
      </c>
      <c r="K512" s="2"/>
      <c r="L512" s="2" t="str">
        <f>IFERROR(__xludf.DUMMYFUNCTION("""COMPUTED_VALUE"""),"L01261124")</f>
        <v>L01261124</v>
      </c>
      <c r="M512" s="2" t="str">
        <f>IFERROR(__xludf.DUMMYFUNCTION("""COMPUTED_VALUE"""),"CỨNG CÂY 304")</f>
        <v>CỨNG CÂY 304</v>
      </c>
      <c r="N512" s="2" t="str">
        <f>IFERROR(__xludf.DUMMYFUNCTION("""COMPUTED_VALUE"""),"02CC0002V3")</f>
        <v>02CC0002V3</v>
      </c>
      <c r="O512" s="2" t="str">
        <f>IFERROR(__xludf.DUMMYFUNCTION("""COMPUTED_VALUE"""),"Phân bón Hữu cơ SH Agro Organic Fertilizer 20")</f>
        <v>Phân bón Hữu cơ SH Agro Organic Fertilizer 20</v>
      </c>
      <c r="P512" s="2" t="str">
        <f>IFERROR(__xludf.DUMMYFUNCTION("""COMPUTED_VALUE"""),"#N/A")</f>
        <v>#N/A</v>
      </c>
      <c r="Q512" s="30" t="str">
        <f>IFERROR(__xludf.DUMMYFUNCTION("""COMPUTED_VALUE"""),"KHÔNG KHỚP")</f>
        <v>KHÔNG KHỚP</v>
      </c>
      <c r="R512" s="2"/>
      <c r="S512" s="2"/>
      <c r="T512" s="2"/>
      <c r="U512" s="2"/>
      <c r="V512" s="2"/>
      <c r="W512" s="2"/>
      <c r="X512" s="2"/>
      <c r="Y512" s="2"/>
    </row>
    <row r="513">
      <c r="A513" s="30">
        <f>IFERROR(__xludf.DUMMYFUNCTION("""COMPUTED_VALUE"""),510.0)</f>
        <v>510</v>
      </c>
      <c r="B513" s="39">
        <f>IFERROR(__xludf.DUMMYFUNCTION("""COMPUTED_VALUE"""),45896.0)</f>
        <v>45896</v>
      </c>
      <c r="C513" s="30">
        <f>IFERROR(__xludf.DUMMYFUNCTION("""COMPUTED_VALUE"""),2.0)</f>
        <v>2</v>
      </c>
      <c r="D513" s="30" t="str">
        <f>IFERROR(__xludf.DUMMYFUNCTION("""COMPUTED_VALUE"""),"CT CŨ")</f>
        <v>CT CŨ</v>
      </c>
      <c r="E513" s="30"/>
      <c r="F513" s="2"/>
      <c r="G513" s="2" t="str">
        <f>IFERROR(__xludf.DUMMYFUNCTION("""COMPUTED_VALUE"""),"HH4602")</f>
        <v>HH4602</v>
      </c>
      <c r="H513" s="2" t="str">
        <f>IFERROR(__xludf.DUMMYFUNCTION("""COMPUTED_VALUE"""),"GC - V - 4602 - CTY THIÊN DI - THIDI CANXIBO (Nước trắng sữa) - 500ml - 40")</f>
        <v>GC - V - 4602 - CTY THIÊN DI - THIDI CANXIBO (Nước trắng sữa) - 500ml - 40</v>
      </c>
      <c r="I513" s="2" t="str">
        <f>IFERROR(__xludf.DUMMYFUNCTION("""COMPUTED_VALUE"""),"#N/A")</f>
        <v>#N/A</v>
      </c>
      <c r="J513" s="2" t="str">
        <f>IFERROR(__xludf.DUMMYFUNCTION("""COMPUTED_VALUE"""),"A02160725")</f>
        <v>A02160725</v>
      </c>
      <c r="K513" s="2"/>
      <c r="L513" s="2" t="str">
        <f>IFERROR(__xludf.DUMMYFUNCTION("""COMPUTED_VALUE"""),"A02160725")</f>
        <v>A02160725</v>
      </c>
      <c r="M513" s="2" t="str">
        <f>IFERROR(__xludf.DUMMYFUNCTION("""COMPUTED_VALUE"""),"AGAMA-CANXI BO
(KIM NGỌC)")</f>
        <v>AGAMA-CANXI BO
(KIM NGỌC)</v>
      </c>
      <c r="N513" s="2" t="str">
        <f>IFERROR(__xludf.DUMMYFUNCTION("""COMPUTED_VALUE"""),"10CR0021")</f>
        <v>10CR0021</v>
      </c>
      <c r="O513" s="2" t="str">
        <f>IFERROR(__xludf.DUMMYFUNCTION("""COMPUTED_VALUE"""),"Phân bón Vi lượng AGAMA-CANXI BO")</f>
        <v>Phân bón Vi lượng AGAMA-CANXI BO</v>
      </c>
      <c r="P513" s="2" t="str">
        <f>IFERROR(__xludf.DUMMYFUNCTION("""COMPUTED_VALUE"""),"#N/A")</f>
        <v>#N/A</v>
      </c>
      <c r="Q513" s="30" t="str">
        <f>IFERROR(__xludf.DUMMYFUNCTION("""COMPUTED_VALUE"""),"KHÔNG KHỚP")</f>
        <v>KHÔNG KHỚP</v>
      </c>
      <c r="R513" s="2"/>
      <c r="S513" s="2"/>
      <c r="T513" s="2"/>
      <c r="U513" s="2"/>
      <c r="V513" s="2"/>
      <c r="W513" s="2"/>
      <c r="X513" s="2"/>
      <c r="Y513" s="2"/>
    </row>
    <row r="514">
      <c r="A514" s="30">
        <f>IFERROR(__xludf.DUMMYFUNCTION("""COMPUTED_VALUE"""),511.0)</f>
        <v>511</v>
      </c>
      <c r="B514" s="39">
        <f>IFERROR(__xludf.DUMMYFUNCTION("""COMPUTED_VALUE"""),45940.0)</f>
        <v>45940</v>
      </c>
      <c r="C514" s="30">
        <f>IFERROR(__xludf.DUMMYFUNCTION("""COMPUTED_VALUE"""),5.0)</f>
        <v>5</v>
      </c>
      <c r="D514" s="30" t="str">
        <f>IFERROR(__xludf.DUMMYFUNCTION("""COMPUTED_VALUE"""),"CT CŨ")</f>
        <v>CT CŨ</v>
      </c>
      <c r="E514" s="30"/>
      <c r="F514" s="2"/>
      <c r="G514" s="2" t="str">
        <f>IFERROR(__xludf.DUMMYFUNCTION("""COMPUTED_VALUE"""),"HH4311")</f>
        <v>HH4311</v>
      </c>
      <c r="H514" s="2" t="str">
        <f>IFERROR(__xludf.DUMMYFUNCTION("""COMPUTED_VALUE"""),"BAMBOO - VI - 4311 - BAMBOO 777 TE (chưa xác định) - 1L - 20")</f>
        <v>BAMBOO - VI - 4311 - BAMBOO 777 TE (chưa xác định) - 1L - 20</v>
      </c>
      <c r="I514" s="39" t="str">
        <f>IFERROR(__xludf.DUMMYFUNCTION("""COMPUTED_VALUE"""),"lá NPK-vi lượng GNC19")</f>
        <v>lá NPK-vi lượng GNC19</v>
      </c>
      <c r="J514" s="2"/>
      <c r="K514" s="2"/>
      <c r="L514" s="2" t="str">
        <f>IFERROR(__xludf.DUMMYFUNCTION("""COMPUTED_VALUE"""),"BB25040725")</f>
        <v>BB25040725</v>
      </c>
      <c r="M514" s="2" t="str">
        <f>IFERROR(__xludf.DUMMYFUNCTION("""COMPUTED_VALUE"""),"BAMBOO 777 TE")</f>
        <v>BAMBOO 777 TE</v>
      </c>
      <c r="N514" s="2" t="str">
        <f>IFERROR(__xludf.DUMMYFUNCTION("""COMPUTED_VALUE"""),"03DD0015V1")</f>
        <v>03DD0015V1</v>
      </c>
      <c r="O514" s="2" t="str">
        <f>IFERROR(__xludf.DUMMYFUNCTION("""COMPUTED_VALUE"""),"Phân bón lá NPK-Vi lượng GNC 19")</f>
        <v>Phân bón lá NPK-Vi lượng GNC 19</v>
      </c>
      <c r="P514" s="2" t="str">
        <f>IFERROR(__xludf.DUMMYFUNCTION("""COMPUTED_VALUE"""),"Phân bón lá NPK-vi lượng GNC19")</f>
        <v>Phân bón lá NPK-vi lượng GNC19</v>
      </c>
      <c r="Q514" s="30" t="str">
        <f>IFERROR(__xludf.DUMMYFUNCTION("""COMPUTED_VALUE"""),"KHÔNG KHỚP")</f>
        <v>KHÔNG KHỚP</v>
      </c>
      <c r="R514" s="2"/>
      <c r="S514" s="2"/>
      <c r="T514" s="2"/>
      <c r="U514" s="2"/>
      <c r="V514" s="2"/>
      <c r="W514" s="2"/>
      <c r="X514" s="2"/>
      <c r="Y514" s="2"/>
    </row>
    <row r="515">
      <c r="A515" s="30">
        <f>IFERROR(__xludf.DUMMYFUNCTION("""COMPUTED_VALUE"""),512.0)</f>
        <v>512</v>
      </c>
      <c r="B515" s="39">
        <f>IFERROR(__xludf.DUMMYFUNCTION("""COMPUTED_VALUE"""),46036.0)</f>
        <v>46036</v>
      </c>
      <c r="C515" s="30">
        <f>IFERROR(__xludf.DUMMYFUNCTION("""COMPUTED_VALUE"""),1.0)</f>
        <v>1</v>
      </c>
      <c r="D515" s="30" t="str">
        <f>IFERROR(__xludf.DUMMYFUNCTION("""COMPUTED_VALUE"""),"CT MỚI")</f>
        <v>CT MỚI</v>
      </c>
      <c r="E515" s="30"/>
      <c r="F515" s="2"/>
      <c r="G515" s="2" t="str">
        <f>IFERROR(__xludf.DUMMYFUNCTION("""COMPUTED_VALUE"""),"HH4642")</f>
        <v>HH4642</v>
      </c>
      <c r="H515" s="2" t="str">
        <f>IFERROR(__xludf.DUMMYFUNCTION("""COMPUTED_VALUE"""),"GC ABA - HÓA NÔNG ĐẤT VIỆT (A.LONG) - Hữu Cơ Organic ĐGP 01 - ĐẤT VIỆT BIOGREEN - 20L - 1")</f>
        <v>GC ABA - HÓA NÔNG ĐẤT VIỆT (A.LONG) - Hữu Cơ Organic ĐGP 01 - ĐẤT VIỆT BIOGREEN - 20L - 1</v>
      </c>
      <c r="I515" s="39" t="str">
        <f>IFERROR(__xludf.DUMMYFUNCTION("""COMPUTED_VALUE"""),"Hữu Cơ Organic ĐGP 01")</f>
        <v>Hữu Cơ Organic ĐGP 01</v>
      </c>
      <c r="J515" s="2" t="str">
        <f>IFERROR(__xludf.DUMMYFUNCTION("""COMPUTED_VALUE"""),"A05181225- 01")</f>
        <v>A05181225- 01</v>
      </c>
      <c r="K515" s="2"/>
      <c r="L515" s="2" t="str">
        <f>IFERROR(__xludf.DUMMYFUNCTION("""COMPUTED_VALUE"""),"A05181225-01
I03240326")</f>
        <v>A05181225-01
I03240326</v>
      </c>
      <c r="M515" s="2" t="str">
        <f>IFERROR(__xludf.DUMMYFUNCTION("""COMPUTED_VALUE"""),"HỮU CƠ 20%")</f>
        <v>HỮU CƠ 20%</v>
      </c>
      <c r="N515" s="2" t="str">
        <f>IFERROR(__xludf.DUMMYFUNCTION("""COMPUTED_VALUE"""),"01RR0079V1")</f>
        <v>01RR0079V1</v>
      </c>
      <c r="O515" s="2" t="str">
        <f>IFERROR(__xludf.DUMMYFUNCTION("""COMPUTED_VALUE"""),"Phân bón Hữu cơ ORGANIC ĐGP 01 ")</f>
        <v>Phân bón Hữu cơ ORGANIC ĐGP 01 </v>
      </c>
      <c r="P515" s="2" t="str">
        <f>IFERROR(__xludf.DUMMYFUNCTION("""COMPUTED_VALUE"""),"Phân bón Hữu Cơ Organic ĐGP 01")</f>
        <v>Phân bón Hữu Cơ Organic ĐGP 01</v>
      </c>
      <c r="Q515" s="30" t="str">
        <f>IFERROR(__xludf.DUMMYFUNCTION("""COMPUTED_VALUE"""),"KHÔNG KHỚP")</f>
        <v>KHÔNG KHỚP</v>
      </c>
      <c r="R515" s="2"/>
      <c r="S515" s="2"/>
      <c r="T515" s="2"/>
      <c r="U515" s="2"/>
      <c r="V515" s="2"/>
      <c r="W515" s="2"/>
      <c r="X515" s="2"/>
      <c r="Y515" s="2"/>
    </row>
    <row r="516">
      <c r="A516" s="30">
        <f>IFERROR(__xludf.DUMMYFUNCTION("""COMPUTED_VALUE"""),513.0)</f>
        <v>513</v>
      </c>
      <c r="B516" s="39">
        <f>IFERROR(__xludf.DUMMYFUNCTION("""COMPUTED_VALUE"""),45997.0)</f>
        <v>45997</v>
      </c>
      <c r="C516" s="30">
        <f>IFERROR(__xludf.DUMMYFUNCTION("""COMPUTED_VALUE"""),9.0)</f>
        <v>9</v>
      </c>
      <c r="D516" s="30" t="str">
        <f>IFERROR(__xludf.DUMMYFUNCTION("""COMPUTED_VALUE"""),"CT CŨ")</f>
        <v>CT CŨ</v>
      </c>
      <c r="E516" s="30"/>
      <c r="F516" s="2"/>
      <c r="G516" s="2" t="str">
        <f>IFERROR(__xludf.DUMMYFUNCTION("""COMPUTED_VALUE"""),"HH4375")</f>
        <v>HH4375</v>
      </c>
      <c r="H516" s="2" t="str">
        <f>IFERROR(__xludf.DUMMYFUNCTION("""COMPUTED_VALUE"""),"BAMBOO - VI - 4375 - BAMBOO CANXI BO MASTER (Nước trắng sữa) - 1L - 20")</f>
        <v>BAMBOO - VI - 4375 - BAMBOO CANXI BO MASTER (Nước trắng sữa) - 1L - 20</v>
      </c>
      <c r="I516" s="39" t="str">
        <f>IFERROR(__xludf.DUMMYFUNCTION("""COMPUTED_VALUE"""),"Vi lượng AGAMA-CANXI BO")</f>
        <v>Vi lượng AGAMA-CANXI BO</v>
      </c>
      <c r="J516" s="2"/>
      <c r="K516" s="2"/>
      <c r="L516" s="2"/>
      <c r="M516" s="2" t="str">
        <f>IFERROR(__xludf.DUMMYFUNCTION("""COMPUTED_VALUE"""),"CANXI BO MASTER")</f>
        <v>CANXI BO MASTER</v>
      </c>
      <c r="N516" s="2" t="str">
        <f>IFERROR(__xludf.DUMMYFUNCTION("""COMPUTED_VALUE"""),"10CR0015V1")</f>
        <v>10CR0015V1</v>
      </c>
      <c r="O516" s="2" t="str">
        <f>IFERROR(__xludf.DUMMYFUNCTION("""COMPUTED_VALUE"""),"Phân bón Vi lượng AGAMA-CANXI BO")</f>
        <v>Phân bón Vi lượng AGAMA-CANXI BO</v>
      </c>
      <c r="P516" s="2" t="str">
        <f>IFERROR(__xludf.DUMMYFUNCTION("""COMPUTED_VALUE"""),"Phân bón Vi lượng AGAMA-CANXI BO")</f>
        <v>Phân bón Vi lượng AGAMA-CANXI BO</v>
      </c>
      <c r="Q516" s="30" t="str">
        <f>IFERROR(__xludf.DUMMYFUNCTION("""COMPUTED_VALUE"""),"KHỚP")</f>
        <v>KHỚP</v>
      </c>
      <c r="R516" s="2"/>
      <c r="S516" s="2"/>
      <c r="T516" s="2"/>
      <c r="U516" s="2"/>
      <c r="V516" s="2"/>
      <c r="W516" s="2"/>
      <c r="X516" s="2"/>
      <c r="Y516" s="2"/>
    </row>
    <row r="517">
      <c r="A517" s="30">
        <f>IFERROR(__xludf.DUMMYFUNCTION("""COMPUTED_VALUE"""),514.0)</f>
        <v>514</v>
      </c>
      <c r="B517" s="39">
        <f>IFERROR(__xludf.DUMMYFUNCTION("""COMPUTED_VALUE"""),45997.0)</f>
        <v>45997</v>
      </c>
      <c r="C517" s="30">
        <f>IFERROR(__xludf.DUMMYFUNCTION("""COMPUTED_VALUE"""),10.0)</f>
        <v>10</v>
      </c>
      <c r="D517" s="30" t="str">
        <f>IFERROR(__xludf.DUMMYFUNCTION("""COMPUTED_VALUE"""),"CT CŨ")</f>
        <v>CT CŨ</v>
      </c>
      <c r="E517" s="30"/>
      <c r="F517" s="2"/>
      <c r="G517" s="2" t="str">
        <f>IFERROR(__xludf.DUMMYFUNCTION("""COMPUTED_VALUE"""),"HH4375")</f>
        <v>HH4375</v>
      </c>
      <c r="H517" s="2" t="str">
        <f>IFERROR(__xludf.DUMMYFUNCTION("""COMPUTED_VALUE"""),"BAMBOO - VI - 4375 - BAMBOO CANXI BO MASTER (Nước trắng sữa) - 1L - 20")</f>
        <v>BAMBOO - VI - 4375 - BAMBOO CANXI BO MASTER (Nước trắng sữa) - 1L - 20</v>
      </c>
      <c r="I517" s="39" t="str">
        <f>IFERROR(__xludf.DUMMYFUNCTION("""COMPUTED_VALUE"""),"Vi lượng AGAMA-CANXI BO")</f>
        <v>Vi lượng AGAMA-CANXI BO</v>
      </c>
      <c r="J517" s="2"/>
      <c r="K517" s="2"/>
      <c r="L517" s="2"/>
      <c r="M517" s="2" t="str">
        <f>IFERROR(__xludf.DUMMYFUNCTION("""COMPUTED_VALUE"""),"CANXI BO MASTER")</f>
        <v>CANXI BO MASTER</v>
      </c>
      <c r="N517" s="2" t="str">
        <f>IFERROR(__xludf.DUMMYFUNCTION("""COMPUTED_VALUE"""),"10CR0015V1")</f>
        <v>10CR0015V1</v>
      </c>
      <c r="O517" s="2" t="str">
        <f>IFERROR(__xludf.DUMMYFUNCTION("""COMPUTED_VALUE"""),"Phân bón Vi lượng AGAMA-CANXI BO")</f>
        <v>Phân bón Vi lượng AGAMA-CANXI BO</v>
      </c>
      <c r="P517" s="2" t="str">
        <f>IFERROR(__xludf.DUMMYFUNCTION("""COMPUTED_VALUE"""),"Phân bón Vi lượng AGAMA-CANXI BO")</f>
        <v>Phân bón Vi lượng AGAMA-CANXI BO</v>
      </c>
      <c r="Q517" s="30" t="str">
        <f>IFERROR(__xludf.DUMMYFUNCTION("""COMPUTED_VALUE"""),"KHỚP")</f>
        <v>KHỚP</v>
      </c>
      <c r="R517" s="2"/>
      <c r="S517" s="2"/>
      <c r="T517" s="2"/>
      <c r="U517" s="2"/>
      <c r="V517" s="2"/>
      <c r="W517" s="2"/>
      <c r="X517" s="2"/>
      <c r="Y517" s="2"/>
    </row>
    <row r="518">
      <c r="A518" s="30">
        <f>IFERROR(__xludf.DUMMYFUNCTION("""COMPUTED_VALUE"""),515.0)</f>
        <v>515</v>
      </c>
      <c r="B518" s="39">
        <f>IFERROR(__xludf.DUMMYFUNCTION("""COMPUTED_VALUE"""),45997.0)</f>
        <v>45997</v>
      </c>
      <c r="C518" s="30">
        <f>IFERROR(__xludf.DUMMYFUNCTION("""COMPUTED_VALUE"""),11.0)</f>
        <v>11</v>
      </c>
      <c r="D518" s="30" t="str">
        <f>IFERROR(__xludf.DUMMYFUNCTION("""COMPUTED_VALUE"""),"CT CŨ")</f>
        <v>CT CŨ</v>
      </c>
      <c r="E518" s="30"/>
      <c r="F518" s="2"/>
      <c r="G518" s="2" t="str">
        <f>IFERROR(__xludf.DUMMYFUNCTION("""COMPUTED_VALUE"""),"HH4375")</f>
        <v>HH4375</v>
      </c>
      <c r="H518" s="2" t="str">
        <f>IFERROR(__xludf.DUMMYFUNCTION("""COMPUTED_VALUE"""),"BAMBOO - VI - 4375 - BAMBOO CANXI BO MASTER (Nước trắng sữa) - 1L - 20")</f>
        <v>BAMBOO - VI - 4375 - BAMBOO CANXI BO MASTER (Nước trắng sữa) - 1L - 20</v>
      </c>
      <c r="I518" s="39" t="str">
        <f>IFERROR(__xludf.DUMMYFUNCTION("""COMPUTED_VALUE"""),"Vi lượng AGAMA-CANXI BO")</f>
        <v>Vi lượng AGAMA-CANXI BO</v>
      </c>
      <c r="J518" s="2"/>
      <c r="K518" s="2"/>
      <c r="L518" s="2"/>
      <c r="M518" s="2" t="str">
        <f>IFERROR(__xludf.DUMMYFUNCTION("""COMPUTED_VALUE"""),"CANXI BO MASTER")</f>
        <v>CANXI BO MASTER</v>
      </c>
      <c r="N518" s="2" t="str">
        <f>IFERROR(__xludf.DUMMYFUNCTION("""COMPUTED_VALUE"""),"10CR0015V1")</f>
        <v>10CR0015V1</v>
      </c>
      <c r="O518" s="2" t="str">
        <f>IFERROR(__xludf.DUMMYFUNCTION("""COMPUTED_VALUE"""),"Phân bón Vi lượng AGAMA-CANXI BO")</f>
        <v>Phân bón Vi lượng AGAMA-CANXI BO</v>
      </c>
      <c r="P518" s="2" t="str">
        <f>IFERROR(__xludf.DUMMYFUNCTION("""COMPUTED_VALUE"""),"Phân bón Vi lượng AGAMA-CANXI BO")</f>
        <v>Phân bón Vi lượng AGAMA-CANXI BO</v>
      </c>
      <c r="Q518" s="30" t="str">
        <f>IFERROR(__xludf.DUMMYFUNCTION("""COMPUTED_VALUE"""),"KHỚP")</f>
        <v>KHỚP</v>
      </c>
      <c r="R518" s="2"/>
      <c r="S518" s="2"/>
      <c r="T518" s="2"/>
      <c r="U518" s="2"/>
      <c r="V518" s="2"/>
      <c r="W518" s="2"/>
      <c r="X518" s="2"/>
      <c r="Y518" s="2"/>
    </row>
    <row r="519">
      <c r="A519" s="30">
        <f>IFERROR(__xludf.DUMMYFUNCTION("""COMPUTED_VALUE"""),516.0)</f>
        <v>516</v>
      </c>
      <c r="B519" s="39">
        <f>IFERROR(__xludf.DUMMYFUNCTION("""COMPUTED_VALUE"""),45997.0)</f>
        <v>45997</v>
      </c>
      <c r="C519" s="30">
        <f>IFERROR(__xludf.DUMMYFUNCTION("""COMPUTED_VALUE"""),1.0)</f>
        <v>1</v>
      </c>
      <c r="D519" s="30" t="str">
        <f>IFERROR(__xludf.DUMMYFUNCTION("""COMPUTED_VALUE"""),"CT CŨ")</f>
        <v>CT CŨ</v>
      </c>
      <c r="E519" s="30"/>
      <c r="F519" s="2"/>
      <c r="G519" s="2" t="str">
        <f>IFERROR(__xludf.DUMMYFUNCTION("""COMPUTED_VALUE"""),"HH4649")</f>
        <v>HH4649</v>
      </c>
      <c r="H519" s="2" t="str">
        <f>IFERROR(__xludf.DUMMYFUNCTION("""COMPUTED_VALUE"""),"IDA Global - I - 4649 - CANXI BO LIQUID (Nước trắng sữa) - 500ml - 40")</f>
        <v>IDA Global - I - 4649 - CANXI BO LIQUID (Nước trắng sữa) - 500ml - 40</v>
      </c>
      <c r="I519" s="2" t="str">
        <f>IFERROR(__xludf.DUMMYFUNCTION("""COMPUTED_VALUE"""),"#N/A")</f>
        <v>#N/A</v>
      </c>
      <c r="J519" s="2"/>
      <c r="K519" s="2"/>
      <c r="L519" s="2"/>
      <c r="M519" s="2" t="str">
        <f>IFERROR(__xludf.DUMMYFUNCTION("""COMPUTED_VALUE"""),"CANXI BO MASTER")</f>
        <v>CANXI BO MASTER</v>
      </c>
      <c r="N519" s="2" t="str">
        <f>IFERROR(__xludf.DUMMYFUNCTION("""COMPUTED_VALUE"""),"10CR0015V1")</f>
        <v>10CR0015V1</v>
      </c>
      <c r="O519" s="2" t="str">
        <f>IFERROR(__xludf.DUMMYFUNCTION("""COMPUTED_VALUE"""),"Phân bón Vi lượng AGAMA-CANXI BO")</f>
        <v>Phân bón Vi lượng AGAMA-CANXI BO</v>
      </c>
      <c r="P519" s="2" t="str">
        <f>IFERROR(__xludf.DUMMYFUNCTION("""COMPUTED_VALUE"""),"#N/A")</f>
        <v>#N/A</v>
      </c>
      <c r="Q519" s="30" t="str">
        <f>IFERROR(__xludf.DUMMYFUNCTION("""COMPUTED_VALUE"""),"KHÔNG KHỚP")</f>
        <v>KHÔNG KHỚP</v>
      </c>
      <c r="R519" s="2"/>
      <c r="S519" s="2"/>
      <c r="T519" s="2"/>
      <c r="U519" s="2"/>
      <c r="V519" s="2"/>
      <c r="W519" s="2"/>
      <c r="X519" s="2"/>
      <c r="Y519" s="2"/>
    </row>
    <row r="520">
      <c r="A520" s="30">
        <f>IFERROR(__xludf.DUMMYFUNCTION("""COMPUTED_VALUE"""),517.0)</f>
        <v>517</v>
      </c>
      <c r="B520" s="39">
        <f>IFERROR(__xludf.DUMMYFUNCTION("""COMPUTED_VALUE"""),45997.0)</f>
        <v>45997</v>
      </c>
      <c r="C520" s="30">
        <f>IFERROR(__xludf.DUMMYFUNCTION("""COMPUTED_VALUE"""),3.0)</f>
        <v>3</v>
      </c>
      <c r="D520" s="30" t="str">
        <f>IFERROR(__xludf.DUMMYFUNCTION("""COMPUTED_VALUE"""),"CT CŨ")</f>
        <v>CT CŨ</v>
      </c>
      <c r="E520" s="30"/>
      <c r="F520" s="2"/>
      <c r="G520" s="2" t="str">
        <f>IFERROR(__xludf.DUMMYFUNCTION("""COMPUTED_VALUE"""),"HH4478")</f>
        <v>HH4478</v>
      </c>
      <c r="H520" s="2" t="str">
        <f>IFERROR(__xludf.DUMMYFUNCTION("""COMPUTED_VALUE"""),"IDA Global - I - 4478 - CANXI BO LIQUID (LÚA) (Nước trắng sữa) - 500ml - 40")</f>
        <v>IDA Global - I - 4478 - CANXI BO LIQUID (LÚA) (Nước trắng sữa) - 500ml - 40</v>
      </c>
      <c r="I520" s="2" t="str">
        <f>IFERROR(__xludf.DUMMYFUNCTION("""COMPUTED_VALUE"""),"#N/A")</f>
        <v>#N/A</v>
      </c>
      <c r="J520" s="2"/>
      <c r="K520" s="2"/>
      <c r="L520" s="2"/>
      <c r="M520" s="2" t="str">
        <f>IFERROR(__xludf.DUMMYFUNCTION("""COMPUTED_VALUE"""),"CANXI BO MASTER")</f>
        <v>CANXI BO MASTER</v>
      </c>
      <c r="N520" s="2" t="str">
        <f>IFERROR(__xludf.DUMMYFUNCTION("""COMPUTED_VALUE"""),"10CR0015V1")</f>
        <v>10CR0015V1</v>
      </c>
      <c r="O520" s="2" t="str">
        <f>IFERROR(__xludf.DUMMYFUNCTION("""COMPUTED_VALUE"""),"Phân bón Vi lượng AGAMA-CANXI BO")</f>
        <v>Phân bón Vi lượng AGAMA-CANXI BO</v>
      </c>
      <c r="P520" s="2" t="str">
        <f>IFERROR(__xludf.DUMMYFUNCTION("""COMPUTED_VALUE"""),"#N/A")</f>
        <v>#N/A</v>
      </c>
      <c r="Q520" s="30" t="str">
        <f>IFERROR(__xludf.DUMMYFUNCTION("""COMPUTED_VALUE"""),"KHÔNG KHỚP")</f>
        <v>KHÔNG KHỚP</v>
      </c>
      <c r="R520" s="2"/>
      <c r="S520" s="2"/>
      <c r="T520" s="2"/>
      <c r="U520" s="2"/>
      <c r="V520" s="2"/>
      <c r="W520" s="2"/>
      <c r="X520" s="2"/>
      <c r="Y520" s="2"/>
    </row>
    <row r="521">
      <c r="A521" s="30">
        <f>IFERROR(__xludf.DUMMYFUNCTION("""COMPUTED_VALUE"""),518.0)</f>
        <v>518</v>
      </c>
      <c r="B521" s="39">
        <f>IFERROR(__xludf.DUMMYFUNCTION("""COMPUTED_VALUE"""),45994.0)</f>
        <v>45994</v>
      </c>
      <c r="C521" s="30">
        <f>IFERROR(__xludf.DUMMYFUNCTION("""COMPUTED_VALUE"""),2.0)</f>
        <v>2</v>
      </c>
      <c r="D521" s="30" t="str">
        <f>IFERROR(__xludf.DUMMYFUNCTION("""COMPUTED_VALUE"""),"CT CŨ")</f>
        <v>CT CŨ</v>
      </c>
      <c r="E521" s="30"/>
      <c r="F521" s="2"/>
      <c r="G521" s="2" t="str">
        <f>IFERROR(__xludf.DUMMYFUNCTION("""COMPUTED_VALUE"""),"HH4556")</f>
        <v>HH4556</v>
      </c>
      <c r="H521" s="2" t="str">
        <f>IFERROR(__xludf.DUMMYFUNCTION("""COMPUTED_VALUE"""),"GC - V - 4556 - CTY NAUY - ZN++ GOLD (Nước xanh lá sữa) - 250ml - 40")</f>
        <v>GC - V - 4556 - CTY NAUY - ZN++ GOLD (Nước xanh lá sữa) - 250ml - 40</v>
      </c>
      <c r="I521" s="2" t="str">
        <f>IFERROR(__xludf.DUMMYFUNCTION("""COMPUTED_VALUE"""),"#N/A")</f>
        <v>#N/A</v>
      </c>
      <c r="J521" s="2" t="str">
        <f>IFERROR(__xludf.DUMMYFUNCTION("""COMPUTED_VALUE"""),"Cùng ruột 
HH3709
A09291024")</f>
        <v>Cùng ruột 
HH3709
A09291024</v>
      </c>
      <c r="K521" s="2"/>
      <c r="L521" s="2" t="str">
        <f>IFERROR(__xludf.DUMMYFUNCTION("""COMPUTED_VALUE"""),"A09291024")</f>
        <v>A09291024</v>
      </c>
      <c r="M521" s="2" t="str">
        <f>IFERROR(__xludf.DUMMYFUNCTION("""COMPUTED_VALUE"""),"BETA AMINO KẼM
ZN++ GOLD")</f>
        <v>BETA AMINO KẼM
ZN++ GOLD</v>
      </c>
      <c r="N521" s="2" t="str">
        <f>IFERROR(__xludf.DUMMYFUNCTION("""COMPUTED_VALUE"""),"13XL0011V1")</f>
        <v>13XL0011V1</v>
      </c>
      <c r="O521" s="2" t="str">
        <f>IFERROR(__xludf.DUMMYFUNCTION("""COMPUTED_VALUE"""),"Phân bón Vi lượng MICKEY")</f>
        <v>Phân bón Vi lượng MICKEY</v>
      </c>
      <c r="P521" s="2" t="str">
        <f>IFERROR(__xludf.DUMMYFUNCTION("""COMPUTED_VALUE"""),"#N/A")</f>
        <v>#N/A</v>
      </c>
      <c r="Q521" s="30" t="str">
        <f>IFERROR(__xludf.DUMMYFUNCTION("""COMPUTED_VALUE"""),"KHÔNG KHỚP")</f>
        <v>KHÔNG KHỚP</v>
      </c>
      <c r="R521" s="2"/>
      <c r="S521" s="2"/>
      <c r="T521" s="2"/>
      <c r="U521" s="2"/>
      <c r="V521" s="2"/>
      <c r="W521" s="2"/>
      <c r="X521" s="2"/>
      <c r="Y521" s="2"/>
    </row>
    <row r="522">
      <c r="A522" s="30">
        <f>IFERROR(__xludf.DUMMYFUNCTION("""COMPUTED_VALUE"""),519.0)</f>
        <v>519</v>
      </c>
      <c r="B522" s="39">
        <f>IFERROR(__xludf.DUMMYFUNCTION("""COMPUTED_VALUE"""),45964.0)</f>
        <v>45964</v>
      </c>
      <c r="C522" s="30">
        <f>IFERROR(__xludf.DUMMYFUNCTION("""COMPUTED_VALUE"""),2.0)</f>
        <v>2</v>
      </c>
      <c r="D522" s="30" t="str">
        <f>IFERROR(__xludf.DUMMYFUNCTION("""COMPUTED_VALUE"""),"CT CŨ")</f>
        <v>CT CŨ</v>
      </c>
      <c r="E522" s="30"/>
      <c r="F522" s="2"/>
      <c r="G522" s="2" t="str">
        <f>IFERROR(__xludf.DUMMYFUNCTION("""COMPUTED_VALUE"""),"HH4557")</f>
        <v>HH4557</v>
      </c>
      <c r="H522" s="2" t="str">
        <f>IFERROR(__xludf.DUMMYFUNCTION("""COMPUTED_VALUE"""),"GC - V - 4557 - CTY NAUY - SUPER GOLD (Nước nâu đen) - 250ml - 40")</f>
        <v>GC - V - 4557 - CTY NAUY - SUPER GOLD (Nước nâu đen) - 250ml - 40</v>
      </c>
      <c r="I522" s="2" t="str">
        <f>IFERROR(__xludf.DUMMYFUNCTION("""COMPUTED_VALUE"""),"#N/A")</f>
        <v>#N/A</v>
      </c>
      <c r="J522" s="2" t="str">
        <f>IFERROR(__xludf.DUMMYFUNCTION("""COMPUTED_VALUE"""),"Cùng ruột 
HH4001")</f>
        <v>Cùng ruột 
HH4001</v>
      </c>
      <c r="K522" s="2"/>
      <c r="L522" s="2" t="str">
        <f>IFERROR(__xludf.DUMMYFUNCTION("""COMPUTED_VALUE"""),"A05190825")</f>
        <v>A05190825</v>
      </c>
      <c r="M522" s="2" t="str">
        <f>IFERROR(__xludf.DUMMYFUNCTION("""COMPUTED_VALUE"""),"SUPER NANO VÔ GẠO
0 - 5 - 18 ")</f>
        <v>SUPER NANO VÔ GẠO
0 - 5 - 18 </v>
      </c>
      <c r="N522" s="2" t="str">
        <f>IFERROR(__xludf.DUMMYFUNCTION("""COMPUTED_VALUE"""),"04VG0045")</f>
        <v>04VG0045</v>
      </c>
      <c r="O522" s="2" t="str">
        <f>IFERROR(__xludf.DUMMYFUNCTION("""COMPUTED_VALUE"""),"Phân bón lá PK-Vi lượng SV 5-18")</f>
        <v>Phân bón lá PK-Vi lượng SV 5-18</v>
      </c>
      <c r="P522" s="2" t="str">
        <f>IFERROR(__xludf.DUMMYFUNCTION("""COMPUTED_VALUE"""),"#N/A")</f>
        <v>#N/A</v>
      </c>
      <c r="Q522" s="30" t="str">
        <f>IFERROR(__xludf.DUMMYFUNCTION("""COMPUTED_VALUE"""),"KHÔNG KHỚP")</f>
        <v>KHÔNG KHỚP</v>
      </c>
      <c r="R522" s="2"/>
      <c r="S522" s="2"/>
      <c r="T522" s="2"/>
      <c r="U522" s="2"/>
      <c r="V522" s="2"/>
      <c r="W522" s="2"/>
      <c r="X522" s="2"/>
      <c r="Y522" s="2"/>
    </row>
    <row r="523">
      <c r="A523" s="30">
        <f>IFERROR(__xludf.DUMMYFUNCTION("""COMPUTED_VALUE"""),520.0)</f>
        <v>520</v>
      </c>
      <c r="B523" s="39">
        <f>IFERROR(__xludf.DUMMYFUNCTION("""COMPUTED_VALUE"""),46001.0)</f>
        <v>46001</v>
      </c>
      <c r="C523" s="30">
        <f>IFERROR(__xludf.DUMMYFUNCTION("""COMPUTED_VALUE"""),1.0)</f>
        <v>1</v>
      </c>
      <c r="D523" s="30" t="str">
        <f>IFERROR(__xludf.DUMMYFUNCTION("""COMPUTED_VALUE"""),"CT CŨ")</f>
        <v>CT CŨ</v>
      </c>
      <c r="E523" s="30"/>
      <c r="F523" s="2"/>
      <c r="G523" s="2" t="str">
        <f>IFERROR(__xludf.DUMMYFUNCTION("""COMPUTED_VALUE"""),"HH3301")</f>
        <v>HH3301</v>
      </c>
      <c r="H523" s="2" t="str">
        <f>IFERROR(__xludf.DUMMYFUNCTION("""COMPUTED_VALUE"""),"IDA Global - I - 3301 - ĐL HOÀNG HOA - CỨNG CÂY GOLD (Nước nâu đen) - 500ml - 40")</f>
        <v>IDA Global - I - 3301 - ĐL HOÀNG HOA - CỨNG CÂY GOLD (Nước nâu đen) - 500ml - 40</v>
      </c>
      <c r="I523" s="39" t="str">
        <f>IFERROR(__xludf.DUMMYFUNCTION("""COMPUTED_VALUE"""),"Hữu cơ SH Agro Organic Fertilizer 20")</f>
        <v>Hữu cơ SH Agro Organic Fertilizer 20</v>
      </c>
      <c r="J523" s="2" t="str">
        <f>IFERROR(__xludf.DUMMYFUNCTION("""COMPUTED_VALUE"""),"Chung ruột HH4455")</f>
        <v>Chung ruột HH4455</v>
      </c>
      <c r="K523" s="2"/>
      <c r="L523" s="2" t="str">
        <f>IFERROR(__xludf.DUMMYFUNCTION("""COMPUTED_VALUE"""),"L01261124")</f>
        <v>L01261124</v>
      </c>
      <c r="M523" s="2" t="str">
        <f>IFERROR(__xludf.DUMMYFUNCTION("""COMPUTED_VALUE"""),"CỨNG CÂY 304")</f>
        <v>CỨNG CÂY 304</v>
      </c>
      <c r="N523" s="2" t="str">
        <f>IFERROR(__xludf.DUMMYFUNCTION("""COMPUTED_VALUE"""),"02CC0002V3")</f>
        <v>02CC0002V3</v>
      </c>
      <c r="O523" s="2" t="str">
        <f>IFERROR(__xludf.DUMMYFUNCTION("""COMPUTED_VALUE"""),"Phân bón Hữu cơ SH Agro Organic Fertilizer 20")</f>
        <v>Phân bón Hữu cơ SH Agro Organic Fertilizer 20</v>
      </c>
      <c r="P523" s="2" t="str">
        <f>IFERROR(__xludf.DUMMYFUNCTION("""COMPUTED_VALUE"""),"Phân bón Hữu cơ SH Agro Organic Fertilizer 20")</f>
        <v>Phân bón Hữu cơ SH Agro Organic Fertilizer 20</v>
      </c>
      <c r="Q523" s="30" t="str">
        <f>IFERROR(__xludf.DUMMYFUNCTION("""COMPUTED_VALUE"""),"KHỚP")</f>
        <v>KHỚP</v>
      </c>
      <c r="R523" s="2"/>
      <c r="S523" s="2"/>
      <c r="T523" s="2"/>
      <c r="U523" s="2"/>
      <c r="V523" s="2"/>
      <c r="W523" s="2"/>
      <c r="X523" s="2"/>
      <c r="Y523" s="2"/>
    </row>
    <row r="524">
      <c r="A524" s="30">
        <f>IFERROR(__xludf.DUMMYFUNCTION("""COMPUTED_VALUE"""),521.0)</f>
        <v>521</v>
      </c>
      <c r="B524" s="39">
        <f>IFERROR(__xludf.DUMMYFUNCTION("""COMPUTED_VALUE"""),46001.0)</f>
        <v>46001</v>
      </c>
      <c r="C524" s="30">
        <f>IFERROR(__xludf.DUMMYFUNCTION("""COMPUTED_VALUE"""),6.0)</f>
        <v>6</v>
      </c>
      <c r="D524" s="30" t="str">
        <f>IFERROR(__xludf.DUMMYFUNCTION("""COMPUTED_VALUE"""),"CT CŨ")</f>
        <v>CT CŨ</v>
      </c>
      <c r="E524" s="30"/>
      <c r="F524" s="2"/>
      <c r="G524" s="2" t="str">
        <f>IFERROR(__xludf.DUMMYFUNCTION("""COMPUTED_VALUE"""),"HH4455")</f>
        <v>HH4455</v>
      </c>
      <c r="H524" s="2" t="str">
        <f>IFERROR(__xludf.DUMMYFUNCTION("""COMPUTED_VALUE"""),"IDA Global - I - 4455 - CỨNG CÂY 304 (Nước nâu đen) - 500ml - 40")</f>
        <v>IDA Global - I - 4455 - CỨNG CÂY 304 (Nước nâu đen) - 500ml - 40</v>
      </c>
      <c r="I524" s="39" t="str">
        <f>IFERROR(__xludf.DUMMYFUNCTION("""COMPUTED_VALUE"""),"Hữu cơ SH Agro Organic Fertilizer 20")</f>
        <v>Hữu cơ SH Agro Organic Fertilizer 20</v>
      </c>
      <c r="J524" s="2" t="str">
        <f>IFERROR(__xludf.DUMMYFUNCTION("""COMPUTED_VALUE"""),"Đóng theo đơn gần nhất")</f>
        <v>Đóng theo đơn gần nhất</v>
      </c>
      <c r="K524" s="2"/>
      <c r="L524" s="2" t="str">
        <f>IFERROR(__xludf.DUMMYFUNCTION("""COMPUTED_VALUE"""),"L01261124")</f>
        <v>L01261124</v>
      </c>
      <c r="M524" s="2" t="str">
        <f>IFERROR(__xludf.DUMMYFUNCTION("""COMPUTED_VALUE"""),"CỨNG CÂY 304")</f>
        <v>CỨNG CÂY 304</v>
      </c>
      <c r="N524" s="2" t="str">
        <f>IFERROR(__xludf.DUMMYFUNCTION("""COMPUTED_VALUE"""),"02CC0002V3")</f>
        <v>02CC0002V3</v>
      </c>
      <c r="O524" s="2" t="str">
        <f>IFERROR(__xludf.DUMMYFUNCTION("""COMPUTED_VALUE"""),"Phân bón Hữu cơ SH Agro Organic Fertilizer 20")</f>
        <v>Phân bón Hữu cơ SH Agro Organic Fertilizer 20</v>
      </c>
      <c r="P524" s="2" t="str">
        <f>IFERROR(__xludf.DUMMYFUNCTION("""COMPUTED_VALUE"""),"Phân bón Hữu cơ SH Agro Organic Fertilizer 20")</f>
        <v>Phân bón Hữu cơ SH Agro Organic Fertilizer 20</v>
      </c>
      <c r="Q524" s="30" t="str">
        <f>IFERROR(__xludf.DUMMYFUNCTION("""COMPUTED_VALUE"""),"KHỚP")</f>
        <v>KHỚP</v>
      </c>
      <c r="R524" s="2"/>
      <c r="S524" s="2"/>
      <c r="T524" s="2"/>
      <c r="U524" s="2"/>
      <c r="V524" s="2"/>
      <c r="W524" s="2"/>
      <c r="X524" s="2"/>
      <c r="Y524" s="2"/>
    </row>
    <row r="525">
      <c r="A525" s="30">
        <f>IFERROR(__xludf.DUMMYFUNCTION("""COMPUTED_VALUE"""),522.0)</f>
        <v>522</v>
      </c>
      <c r="B525" s="39">
        <f>IFERROR(__xludf.DUMMYFUNCTION("""COMPUTED_VALUE"""),45929.0)</f>
        <v>45929</v>
      </c>
      <c r="C525" s="30">
        <f>IFERROR(__xludf.DUMMYFUNCTION("""COMPUTED_VALUE"""),3.0)</f>
        <v>3</v>
      </c>
      <c r="D525" s="30" t="str">
        <f>IFERROR(__xludf.DUMMYFUNCTION("""COMPUTED_VALUE"""),"CT CŨ")</f>
        <v>CT CŨ</v>
      </c>
      <c r="E525" s="30"/>
      <c r="F525" s="2"/>
      <c r="G525" s="2" t="str">
        <f>IFERROR(__xludf.DUMMYFUNCTION("""COMPUTED_VALUE"""),"HH3794")</f>
        <v>HH3794</v>
      </c>
      <c r="H525" s="2" t="str">
        <f>IFERROR(__xludf.DUMMYFUNCTION("""COMPUTED_VALUE"""),"GC - IV - 3794 - Cty Sen Hồng (A.Diễn) - VÔ GẠO TE+ (Gel đỏ cam) - 500ml - 40")</f>
        <v>GC - IV - 3794 - Cty Sen Hồng (A.Diễn) - VÔ GẠO TE+ (Gel đỏ cam) - 500ml - 40</v>
      </c>
      <c r="I525" s="2" t="str">
        <f>IFERROR(__xludf.DUMMYFUNCTION("""COMPUTED_VALUE"""),"#N/A")</f>
        <v>#N/A</v>
      </c>
      <c r="J525" s="2" t="str">
        <f>IFERROR(__xludf.DUMMYFUNCTION("""COMPUTED_VALUE"""),"Cùng ruột HH3525")</f>
        <v>Cùng ruột HH3525</v>
      </c>
      <c r="K525" s="2"/>
      <c r="L525" s="2"/>
      <c r="M525" s="2" t="str">
        <f>IFERROR(__xludf.DUMMYFUNCTION("""COMPUTED_VALUE"""),"SIÊU VÔ GẠO TE+
1 TẤN 4
SHINO 1 TẤN 4
SHINO RICE")</f>
        <v>SIÊU VÔ GẠO TE+
1 TẤN 4
SHINO 1 TẤN 4
SHINO RICE</v>
      </c>
      <c r="N525" s="2" t="str">
        <f>IFERROR(__xludf.DUMMYFUNCTION("""COMPUTED_VALUE"""),"04VG0014V1")</f>
        <v>04VG0014V1</v>
      </c>
      <c r="O525" s="2" t="str">
        <f>IFERROR(__xludf.DUMMYFUNCTION("""COMPUTED_VALUE"""),"Phân bón NPK-Vi lượng MASSIVE-BLUE")</f>
        <v>Phân bón NPK-Vi lượng MASSIVE-BLUE</v>
      </c>
      <c r="P525" s="2" t="str">
        <f>IFERROR(__xludf.DUMMYFUNCTION("""COMPUTED_VALUE"""),"#N/A")</f>
        <v>#N/A</v>
      </c>
      <c r="Q525" s="30" t="str">
        <f>IFERROR(__xludf.DUMMYFUNCTION("""COMPUTED_VALUE"""),"KHÔNG KHỚP")</f>
        <v>KHÔNG KHỚP</v>
      </c>
      <c r="R525" s="2"/>
      <c r="S525" s="2"/>
      <c r="T525" s="2"/>
      <c r="U525" s="2"/>
      <c r="V525" s="2"/>
      <c r="W525" s="2"/>
      <c r="X525" s="2"/>
      <c r="Y525" s="2"/>
    </row>
    <row r="526">
      <c r="A526" s="30">
        <f>IFERROR(__xludf.DUMMYFUNCTION("""COMPUTED_VALUE"""),523.0)</f>
        <v>523</v>
      </c>
      <c r="B526" s="39">
        <f>IFERROR(__xludf.DUMMYFUNCTION("""COMPUTED_VALUE"""),45983.0)</f>
        <v>45983</v>
      </c>
      <c r="C526" s="30">
        <f>IFERROR(__xludf.DUMMYFUNCTION("""COMPUTED_VALUE"""),1.0)</f>
        <v>1</v>
      </c>
      <c r="D526" s="30" t="str">
        <f>IFERROR(__xludf.DUMMYFUNCTION("""COMPUTED_VALUE"""),"CT CŨ")</f>
        <v>CT CŨ</v>
      </c>
      <c r="E526" s="30"/>
      <c r="F526" s="2"/>
      <c r="G526" s="2" t="str">
        <f>IFERROR(__xludf.DUMMYFUNCTION("""COMPUTED_VALUE"""),"HH4702")</f>
        <v>HH4702</v>
      </c>
      <c r="H526" s="2" t="str">
        <f>IFERROR(__xludf.DUMMYFUNCTION("""COMPUTED_VALUE"""),"GC - V - 4702 - CTY HÓA NÔNG CON ONG VÀNG - VÔ GẠO ONG CHÚA (Nước đỏ cam) - 500ml - 40")</f>
        <v>GC - V - 4702 - CTY HÓA NÔNG CON ONG VÀNG - VÔ GẠO ONG CHÚA (Nước đỏ cam) - 500ml - 40</v>
      </c>
      <c r="I526" s="2" t="str">
        <f>IFERROR(__xludf.DUMMYFUNCTION("""COMPUTED_VALUE"""),"#N/A")</f>
        <v>#N/A</v>
      </c>
      <c r="J526" s="2" t="str">
        <f>IFERROR(__xludf.DUMMYFUNCTION("""COMPUTED_VALUE"""),"A03091025")</f>
        <v>A03091025</v>
      </c>
      <c r="K526" s="2"/>
      <c r="L526" s="2" t="str">
        <f>IFERROR(__xludf.DUMMYFUNCTION("""COMPUTED_VALUE"""),"A03091025")</f>
        <v>A03091025</v>
      </c>
      <c r="M526" s="2" t="str">
        <f>IFERROR(__xludf.DUMMYFUNCTION("""COMPUTED_VALUE"""),"VÔ GẠO 0 - 5 -18 (02)")</f>
        <v>VÔ GẠO 0 - 5 -18 (02)</v>
      </c>
      <c r="N526" s="2" t="str">
        <f>IFERROR(__xludf.DUMMYFUNCTION("""COMPUTED_VALUE"""),"04VG0044")</f>
        <v>04VG0044</v>
      </c>
      <c r="O526" s="2" t="str">
        <f>IFERROR(__xludf.DUMMYFUNCTION("""COMPUTED_VALUE"""),"Phân bón lá PK-Vi lượng SV 5-18")</f>
        <v>Phân bón lá PK-Vi lượng SV 5-18</v>
      </c>
      <c r="P526" s="2" t="str">
        <f>IFERROR(__xludf.DUMMYFUNCTION("""COMPUTED_VALUE"""),"#N/A")</f>
        <v>#N/A</v>
      </c>
      <c r="Q526" s="30" t="str">
        <f>IFERROR(__xludf.DUMMYFUNCTION("""COMPUTED_VALUE"""),"KHÔNG KHỚP")</f>
        <v>KHÔNG KHỚP</v>
      </c>
      <c r="R526" s="2"/>
      <c r="S526" s="2"/>
      <c r="T526" s="2"/>
      <c r="U526" s="2"/>
      <c r="V526" s="2"/>
      <c r="W526" s="2"/>
      <c r="X526" s="2"/>
      <c r="Y526" s="2"/>
    </row>
    <row r="527">
      <c r="A527" s="30">
        <f>IFERROR(__xludf.DUMMYFUNCTION("""COMPUTED_VALUE"""),524.0)</f>
        <v>524</v>
      </c>
      <c r="B527" s="39">
        <f>IFERROR(__xludf.DUMMYFUNCTION("""COMPUTED_VALUE"""),46007.0)</f>
        <v>46007</v>
      </c>
      <c r="C527" s="30">
        <f>IFERROR(__xludf.DUMMYFUNCTION("""COMPUTED_VALUE"""),2.0)</f>
        <v>2</v>
      </c>
      <c r="D527" s="30" t="str">
        <f>IFERROR(__xludf.DUMMYFUNCTION("""COMPUTED_VALUE"""),"CT CŨ")</f>
        <v>CT CŨ</v>
      </c>
      <c r="E527" s="30"/>
      <c r="F527" s="2"/>
      <c r="G527" s="2" t="str">
        <f>IFERROR(__xludf.DUMMYFUNCTION("""COMPUTED_VALUE"""),"HH4289")</f>
        <v>HH4289</v>
      </c>
      <c r="H527" s="2" t="str">
        <f>IFERROR(__xludf.DUMMYFUNCTION("""COMPUTED_VALUE"""),"GC - V - 4289 - NEWTECH CROP SCIENCE - NEW ZINC (Nước vàng sữa) - 500ml - 30")</f>
        <v>GC - V - 4289 - NEWTECH CROP SCIENCE - NEW ZINC (Nước vàng sữa) - 500ml - 30</v>
      </c>
      <c r="I527" s="2" t="str">
        <f>IFERROR(__xludf.DUMMYFUNCTION("""COMPUTED_VALUE"""),"#N/A")</f>
        <v>#N/A</v>
      </c>
      <c r="J527" s="2" t="str">
        <f>IFERROR(__xludf.DUMMYFUNCTION("""COMPUTED_VALUE"""),"CÙNG RUỘT HH3089")</f>
        <v>CÙNG RUỘT HH3089</v>
      </c>
      <c r="K527" s="2"/>
      <c r="L527" s="2"/>
      <c r="M527" s="2" t="str">
        <f>IFERROR(__xludf.DUMMYFUNCTION("""COMPUTED_VALUE"""),"NEW ZINC")</f>
        <v>NEW ZINC</v>
      </c>
      <c r="N527" s="2" t="str">
        <f>IFERROR(__xludf.DUMMYFUNCTION("""COMPUTED_VALUE"""),"03DD0001V3")</f>
        <v>03DD0001V3</v>
      </c>
      <c r="O527" s="2" t="str">
        <f>IFERROR(__xludf.DUMMYFUNCTION("""COMPUTED_VALUE"""),"Phân bón Vi lượng MICKEY")</f>
        <v>Phân bón Vi lượng MICKEY</v>
      </c>
      <c r="P527" s="2" t="str">
        <f>IFERROR(__xludf.DUMMYFUNCTION("""COMPUTED_VALUE"""),"#N/A")</f>
        <v>#N/A</v>
      </c>
      <c r="Q527" s="30" t="str">
        <f>IFERROR(__xludf.DUMMYFUNCTION("""COMPUTED_VALUE"""),"KHÔNG KHỚP")</f>
        <v>KHÔNG KHỚP</v>
      </c>
      <c r="R527" s="2"/>
      <c r="S527" s="2"/>
      <c r="T527" s="2"/>
      <c r="U527" s="2"/>
      <c r="V527" s="2"/>
      <c r="W527" s="2"/>
      <c r="X527" s="2"/>
      <c r="Y527" s="2"/>
    </row>
    <row r="528">
      <c r="A528" s="30">
        <f>IFERROR(__xludf.DUMMYFUNCTION("""COMPUTED_VALUE"""),525.0)</f>
        <v>525</v>
      </c>
      <c r="B528" s="39">
        <f>IFERROR(__xludf.DUMMYFUNCTION("""COMPUTED_VALUE"""),46001.0)</f>
        <v>46001</v>
      </c>
      <c r="C528" s="30">
        <f>IFERROR(__xludf.DUMMYFUNCTION("""COMPUTED_VALUE"""),7.0)</f>
        <v>7</v>
      </c>
      <c r="D528" s="30" t="str">
        <f>IFERROR(__xludf.DUMMYFUNCTION("""COMPUTED_VALUE"""),"CT CŨ")</f>
        <v>CT CŨ</v>
      </c>
      <c r="E528" s="30"/>
      <c r="F528" s="2"/>
      <c r="G528" s="2" t="str">
        <f>IFERROR(__xludf.DUMMYFUNCTION("""COMPUTED_VALUE"""),"HH4455")</f>
        <v>HH4455</v>
      </c>
      <c r="H528" s="2" t="str">
        <f>IFERROR(__xludf.DUMMYFUNCTION("""COMPUTED_VALUE"""),"IDA Global - I - 4455 - CỨNG CÂY 304 (Nước nâu đen) - 500ml - 40")</f>
        <v>IDA Global - I - 4455 - CỨNG CÂY 304 (Nước nâu đen) - 500ml - 40</v>
      </c>
      <c r="I528" s="39" t="str">
        <f>IFERROR(__xludf.DUMMYFUNCTION("""COMPUTED_VALUE"""),"Hữu cơ SH Agro Organic Fertilizer 20")</f>
        <v>Hữu cơ SH Agro Organic Fertilizer 20</v>
      </c>
      <c r="J528" s="2" t="str">
        <f>IFERROR(__xludf.DUMMYFUNCTION("""COMPUTED_VALUE"""),"Đóng theo đơn gần nhất")</f>
        <v>Đóng theo đơn gần nhất</v>
      </c>
      <c r="K528" s="2"/>
      <c r="L528" s="2" t="str">
        <f>IFERROR(__xludf.DUMMYFUNCTION("""COMPUTED_VALUE"""),"L01261124")</f>
        <v>L01261124</v>
      </c>
      <c r="M528" s="2" t="str">
        <f>IFERROR(__xludf.DUMMYFUNCTION("""COMPUTED_VALUE"""),"CỨNG CÂY 304")</f>
        <v>CỨNG CÂY 304</v>
      </c>
      <c r="N528" s="2" t="str">
        <f>IFERROR(__xludf.DUMMYFUNCTION("""COMPUTED_VALUE"""),"02CC0002V3")</f>
        <v>02CC0002V3</v>
      </c>
      <c r="O528" s="2" t="str">
        <f>IFERROR(__xludf.DUMMYFUNCTION("""COMPUTED_VALUE"""),"Phân bón Hữu cơ SH Agro Organic Fertilizer 20")</f>
        <v>Phân bón Hữu cơ SH Agro Organic Fertilizer 20</v>
      </c>
      <c r="P528" s="2" t="str">
        <f>IFERROR(__xludf.DUMMYFUNCTION("""COMPUTED_VALUE"""),"Phân bón Hữu cơ SH Agro Organic Fertilizer 20")</f>
        <v>Phân bón Hữu cơ SH Agro Organic Fertilizer 20</v>
      </c>
      <c r="Q528" s="30" t="str">
        <f>IFERROR(__xludf.DUMMYFUNCTION("""COMPUTED_VALUE"""),"KHỚP")</f>
        <v>KHỚP</v>
      </c>
      <c r="R528" s="2"/>
      <c r="S528" s="2"/>
      <c r="T528" s="2"/>
      <c r="U528" s="2"/>
      <c r="V528" s="2"/>
      <c r="W528" s="2"/>
      <c r="X528" s="2"/>
      <c r="Y528" s="2"/>
    </row>
    <row r="529">
      <c r="A529" s="30">
        <f>IFERROR(__xludf.DUMMYFUNCTION("""COMPUTED_VALUE"""),526.0)</f>
        <v>526</v>
      </c>
      <c r="B529" s="39">
        <f>IFERROR(__xludf.DUMMYFUNCTION("""COMPUTED_VALUE"""),46049.0)</f>
        <v>46049</v>
      </c>
      <c r="C529" s="30">
        <f>IFERROR(__xludf.DUMMYFUNCTION("""COMPUTED_VALUE"""),1.0)</f>
        <v>1</v>
      </c>
      <c r="D529" s="30" t="str">
        <f>IFERROR(__xludf.DUMMYFUNCTION("""COMPUTED_VALUE"""),"CT MỚI")</f>
        <v>CT MỚI</v>
      </c>
      <c r="E529" s="30"/>
      <c r="F529" s="2"/>
      <c r="G529" s="2" t="str">
        <f>IFERROR(__xludf.DUMMYFUNCTION("""COMPUTED_VALUE"""),"HH4705")</f>
        <v>HH4705</v>
      </c>
      <c r="H529" s="2" t="str">
        <f>IFERROR(__xludf.DUMMYFUNCTION("""COMPUTED_VALUE"""),"IDA Global - I - 4705 - WINNER X2 (Nước đỏ cam) - 500ml - 40")</f>
        <v>IDA Global - I - 4705 - WINNER X2 (Nước đỏ cam) - 500ml - 40</v>
      </c>
      <c r="I529" s="2" t="str">
        <f>IFERROR(__xludf.DUMMYFUNCTION("""COMPUTED_VALUE"""),"#N/A")</f>
        <v>#N/A</v>
      </c>
      <c r="J529" s="2" t="str">
        <f>IFERROR(__xludf.DUMMYFUNCTION("""COMPUTED_VALUE"""),"Mã I01151225")</f>
        <v>Mã I01151225</v>
      </c>
      <c r="K529" s="2"/>
      <c r="L529" s="2" t="str">
        <f>IFERROR(__xludf.DUMMYFUNCTION("""COMPUTED_VALUE"""),"I01151225")</f>
        <v>I01151225</v>
      </c>
      <c r="M529" s="2" t="str">
        <f>IFERROR(__xludf.DUMMYFUNCTION("""COMPUTED_VALUE"""),"WINNER X2")</f>
        <v>WINNER X2</v>
      </c>
      <c r="N529" s="2" t="str">
        <f>IFERROR(__xludf.DUMMYFUNCTION("""COMPUTED_VALUE"""),"04VG0051")</f>
        <v>04VG0051</v>
      </c>
      <c r="O529" s="2" t="str">
        <f>IFERROR(__xludf.DUMMYFUNCTION("""COMPUTED_VALUE"""),"Phân bón lá PK-Vi lượng SV 5-18")</f>
        <v>Phân bón lá PK-Vi lượng SV 5-18</v>
      </c>
      <c r="P529" s="2" t="str">
        <f>IFERROR(__xludf.DUMMYFUNCTION("""COMPUTED_VALUE"""),"#N/A")</f>
        <v>#N/A</v>
      </c>
      <c r="Q529" s="30" t="str">
        <f>IFERROR(__xludf.DUMMYFUNCTION("""COMPUTED_VALUE"""),"KHÔNG KHỚP")</f>
        <v>KHÔNG KHỚP</v>
      </c>
      <c r="R529" s="2"/>
      <c r="S529" s="2"/>
      <c r="T529" s="2"/>
      <c r="U529" s="2"/>
      <c r="V529" s="2"/>
      <c r="W529" s="2"/>
      <c r="X529" s="2"/>
      <c r="Y529" s="2"/>
    </row>
    <row r="530">
      <c r="A530" s="30">
        <f>IFERROR(__xludf.DUMMYFUNCTION("""COMPUTED_VALUE"""),527.0)</f>
        <v>527</v>
      </c>
      <c r="B530" s="39">
        <f>IFERROR(__xludf.DUMMYFUNCTION("""COMPUTED_VALUE"""),45940.0)</f>
        <v>45940</v>
      </c>
      <c r="C530" s="30">
        <f>IFERROR(__xludf.DUMMYFUNCTION("""COMPUTED_VALUE"""),1.0)</f>
        <v>1</v>
      </c>
      <c r="D530" s="30" t="str">
        <f>IFERROR(__xludf.DUMMYFUNCTION("""COMPUTED_VALUE"""),"CT CŨ")</f>
        <v>CT CŨ</v>
      </c>
      <c r="E530" s="30"/>
      <c r="F530" s="2"/>
      <c r="G530" s="2" t="str">
        <f>IFERROR(__xludf.DUMMYFUNCTION("""COMPUTED_VALUE"""),"HH4679")</f>
        <v>HH4679</v>
      </c>
      <c r="H530" s="2" t="str">
        <f>IFERROR(__xludf.DUMMYFUNCTION("""COMPUTED_VALUE"""),"LOTUS AGROCHEM - VI - 4679 - LOTUS VÔ GẠO (Nước xanh lơ) - 250ml - 40")</f>
        <v>LOTUS AGROCHEM - VI - 4679 - LOTUS VÔ GẠO (Nước xanh lơ) - 250ml - 40</v>
      </c>
      <c r="I530" s="2" t="str">
        <f>IFERROR(__xludf.DUMMYFUNCTION("""COMPUTED_VALUE"""),"#N/A")</f>
        <v>#N/A</v>
      </c>
      <c r="J530" s="2" t="str">
        <f>IFERROR(__xludf.DUMMYFUNCTION("""COMPUTED_VALUE"""),"Chung ruột HH3967")</f>
        <v>Chung ruột HH3967</v>
      </c>
      <c r="K530" s="2"/>
      <c r="L530" s="2" t="str">
        <f>IFERROR(__xludf.DUMMYFUNCTION("""COMPUTED_VALUE"""),"BB28040725")</f>
        <v>BB28040725</v>
      </c>
      <c r="M530" s="2" t="str">
        <f>IFERROR(__xludf.DUMMYFUNCTION("""COMPUTED_VALUE"""),"BAMBOO 10.10.20 TE")</f>
        <v>BAMBOO 10.10.20 TE</v>
      </c>
      <c r="N530" s="2" t="str">
        <f>IFERROR(__xludf.DUMMYFUNCTION("""COMPUTED_VALUE"""),"04VG0038V1")</f>
        <v>04VG0038V1</v>
      </c>
      <c r="O530" s="2" t="str">
        <f>IFERROR(__xludf.DUMMYFUNCTION("""COMPUTED_VALUE"""),"Phân bón hỗn hợp NPK GNC 102")</f>
        <v>Phân bón hỗn hợp NPK GNC 102</v>
      </c>
      <c r="P530" s="2" t="str">
        <f>IFERROR(__xludf.DUMMYFUNCTION("""COMPUTED_VALUE"""),"#N/A")</f>
        <v>#N/A</v>
      </c>
      <c r="Q530" s="30" t="str">
        <f>IFERROR(__xludf.DUMMYFUNCTION("""COMPUTED_VALUE"""),"KHÔNG KHỚP")</f>
        <v>KHÔNG KHỚP</v>
      </c>
      <c r="R530" s="2"/>
      <c r="S530" s="2"/>
      <c r="T530" s="2"/>
      <c r="U530" s="2"/>
      <c r="V530" s="2"/>
      <c r="W530" s="2"/>
      <c r="X530" s="2"/>
      <c r="Y530" s="2"/>
    </row>
    <row r="531">
      <c r="A531" s="30">
        <f>IFERROR(__xludf.DUMMYFUNCTION("""COMPUTED_VALUE"""),528.0)</f>
        <v>528</v>
      </c>
      <c r="B531" s="39">
        <f>IFERROR(__xludf.DUMMYFUNCTION("""COMPUTED_VALUE"""),45940.0)</f>
        <v>45940</v>
      </c>
      <c r="C531" s="30">
        <f>IFERROR(__xludf.DUMMYFUNCTION("""COMPUTED_VALUE"""),1.0)</f>
        <v>1</v>
      </c>
      <c r="D531" s="30" t="str">
        <f>IFERROR(__xludf.DUMMYFUNCTION("""COMPUTED_VALUE"""),"CT CŨ")</f>
        <v>CT CŨ</v>
      </c>
      <c r="E531" s="30"/>
      <c r="F531" s="2"/>
      <c r="G531" s="2" t="str">
        <f>IFERROR(__xludf.DUMMYFUNCTION("""COMPUTED_VALUE"""),"HH4678")</f>
        <v>HH4678</v>
      </c>
      <c r="H531" s="2" t="str">
        <f>IFERROR(__xludf.DUMMYFUNCTION("""COMPUTED_VALUE"""),"LOTUS AGROCHEM - VI - 4678 - LOTUS KÍCH ĐÒNG - TẠO MẦM (Nước xanh lơ) - 250ml - 40")</f>
        <v>LOTUS AGROCHEM - VI - 4678 - LOTUS KÍCH ĐÒNG - TẠO MẦM (Nước xanh lơ) - 250ml - 40</v>
      </c>
      <c r="I531" s="2" t="str">
        <f>IFERROR(__xludf.DUMMYFUNCTION("""COMPUTED_VALUE"""),"#N/A")</f>
        <v>#N/A</v>
      </c>
      <c r="J531" s="2" t="str">
        <f>IFERROR(__xludf.DUMMYFUNCTION("""COMPUTED_VALUE"""),"Chung ruột HH3966")</f>
        <v>Chung ruột HH3966</v>
      </c>
      <c r="K531" s="2"/>
      <c r="L531" s="2" t="str">
        <f>IFERROR(__xludf.DUMMYFUNCTION("""COMPUTED_VALUE"""),"BB27040725")</f>
        <v>BB27040725</v>
      </c>
      <c r="M531" s="2" t="str">
        <f>IFERROR(__xludf.DUMMYFUNCTION("""COMPUTED_VALUE"""),"BAMBOO 5.10.8 TE")</f>
        <v>BAMBOO 5.10.8 TE</v>
      </c>
      <c r="N531" s="2" t="str">
        <f>IFERROR(__xludf.DUMMYFUNCTION("""COMPUTED_VALUE"""),"03DD0016V1")</f>
        <v>03DD0016V1</v>
      </c>
      <c r="O531" s="2" t="str">
        <f>IFERROR(__xludf.DUMMYFUNCTION("""COMPUTED_VALUE"""),"Phân bón hỗn hợp NPK GBUMPER 02")</f>
        <v>Phân bón hỗn hợp NPK GBUMPER 02</v>
      </c>
      <c r="P531" s="2" t="str">
        <f>IFERROR(__xludf.DUMMYFUNCTION("""COMPUTED_VALUE"""),"#N/A")</f>
        <v>#N/A</v>
      </c>
      <c r="Q531" s="30" t="str">
        <f>IFERROR(__xludf.DUMMYFUNCTION("""COMPUTED_VALUE"""),"KHÔNG KHỚP")</f>
        <v>KHÔNG KHỚP</v>
      </c>
      <c r="R531" s="2"/>
      <c r="S531" s="2"/>
      <c r="T531" s="2"/>
      <c r="U531" s="2"/>
      <c r="V531" s="2"/>
      <c r="W531" s="2"/>
      <c r="X531" s="2"/>
      <c r="Y531" s="2"/>
    </row>
    <row r="532">
      <c r="A532" s="30">
        <f>IFERROR(__xludf.DUMMYFUNCTION("""COMPUTED_VALUE"""),529.0)</f>
        <v>529</v>
      </c>
      <c r="B532" s="39">
        <f>IFERROR(__xludf.DUMMYFUNCTION("""COMPUTED_VALUE"""),45994.0)</f>
        <v>45994</v>
      </c>
      <c r="C532" s="30">
        <f>IFERROR(__xludf.DUMMYFUNCTION("""COMPUTED_VALUE"""),1.0)</f>
        <v>1</v>
      </c>
      <c r="D532" s="30" t="str">
        <f>IFERROR(__xludf.DUMMYFUNCTION("""COMPUTED_VALUE"""),"CT CŨ")</f>
        <v>CT CŨ</v>
      </c>
      <c r="E532" s="30"/>
      <c r="F532" s="2"/>
      <c r="G532" s="2" t="str">
        <f>IFERROR(__xludf.DUMMYFUNCTION("""COMPUTED_VALUE"""),"HH4680")</f>
        <v>HH4680</v>
      </c>
      <c r="H532" s="2" t="str">
        <f>IFERROR(__xludf.DUMMYFUNCTION("""COMPUTED_VALUE"""),"LOTUS AGROCHEM - VI - 4680 - LOTUS KÍCH RỄ - BUNG CHỒI (Nước nâu đen) - 250ml - 40")</f>
        <v>LOTUS AGROCHEM - VI - 4680 - LOTUS KÍCH RỄ - BUNG CHỒI (Nước nâu đen) - 250ml - 40</v>
      </c>
      <c r="I532" s="39" t="str">
        <f>IFERROR(__xludf.DUMMYFUNCTION("""COMPUTED_VALUE"""),"Hữu cơ FUSEMIN COMBI+")</f>
        <v>Hữu cơ FUSEMIN COMBI+</v>
      </c>
      <c r="J532" s="2" t="str">
        <f>IFERROR(__xludf.DUMMYFUNCTION("""COMPUTED_VALUE"""),"Chung ruột HH3923")</f>
        <v>Chung ruột HH3923</v>
      </c>
      <c r="K532" s="2"/>
      <c r="L532" s="2" t="str">
        <f>IFERROR(__xludf.DUMMYFUNCTION("""COMPUTED_VALUE"""),"BB24040725")</f>
        <v>BB24040725</v>
      </c>
      <c r="M532" s="2" t="str">
        <f>IFERROR(__xludf.DUMMYFUNCTION("""COMPUTED_VALUE"""),"BAMBOO MAGIE FULVIC")</f>
        <v>BAMBOO MAGIE FULVIC</v>
      </c>
      <c r="N532" s="2" t="str">
        <f>IFERROR(__xludf.DUMMYFUNCTION("""COMPUTED_VALUE"""),"01RR0064V1")</f>
        <v>01RR0064V1</v>
      </c>
      <c r="O532" s="2" t="str">
        <f>IFERROR(__xludf.DUMMYFUNCTION("""COMPUTED_VALUE"""),"Phân bón hữu cơ FUSEMIN COMBI+")</f>
        <v>Phân bón hữu cơ FUSEMIN COMBI+</v>
      </c>
      <c r="P532" s="2" t="str">
        <f>IFERROR(__xludf.DUMMYFUNCTION("""COMPUTED_VALUE"""),"Phân bón Hữu cơ FUSEMIN COMBI+")</f>
        <v>Phân bón Hữu cơ FUSEMIN COMBI+</v>
      </c>
      <c r="Q532" s="30" t="str">
        <f>IFERROR(__xludf.DUMMYFUNCTION("""COMPUTED_VALUE"""),"KHỚP")</f>
        <v>KHỚP</v>
      </c>
      <c r="R532" s="2"/>
      <c r="S532" s="2"/>
      <c r="T532" s="2"/>
      <c r="U532" s="2"/>
      <c r="V532" s="2"/>
      <c r="W532" s="2"/>
      <c r="X532" s="2"/>
      <c r="Y532" s="2"/>
    </row>
    <row r="533">
      <c r="A533" s="30">
        <f>IFERROR(__xludf.DUMMYFUNCTION("""COMPUTED_VALUE"""),530.0)</f>
        <v>530</v>
      </c>
      <c r="B533" s="39">
        <f>IFERROR(__xludf.DUMMYFUNCTION("""COMPUTED_VALUE"""),46049.0)</f>
        <v>46049</v>
      </c>
      <c r="C533" s="30">
        <f>IFERROR(__xludf.DUMMYFUNCTION("""COMPUTED_VALUE"""),1.0)</f>
        <v>1</v>
      </c>
      <c r="D533" s="30" t="str">
        <f>IFERROR(__xludf.DUMMYFUNCTION("""COMPUTED_VALUE"""),"CT CŨ")</f>
        <v>CT CŨ</v>
      </c>
      <c r="E533" s="30"/>
      <c r="F533" s="2"/>
      <c r="G533" s="2" t="str">
        <f>IFERROR(__xludf.DUMMYFUNCTION("""COMPUTED_VALUE"""),"HH4659")</f>
        <v>HH4659</v>
      </c>
      <c r="H533" s="2" t="str">
        <f>IFERROR(__xludf.DUMMYFUNCTION("""COMPUTED_VALUE"""),"GC - V - 4659 - CTY HÓA NÔNG CON ONG VÀNG - CỨNG CÂY ONG VÀNG (Nâu vàng) - 500ml - 40")</f>
        <v>GC - V - 4659 - CTY HÓA NÔNG CON ONG VÀNG - CỨNG CÂY ONG VÀNG (Nâu vàng) - 500ml - 40</v>
      </c>
      <c r="I533" s="39" t="str">
        <f>IFERROR(__xludf.DUMMYFUNCTION("""COMPUTED_VALUE"""),"Vi Lượng G.A 05")</f>
        <v>Vi Lượng G.A 05</v>
      </c>
      <c r="J533" s="2" t="str">
        <f>IFERROR(__xludf.DUMMYFUNCTION("""COMPUTED_VALUE"""),"A02200825 - 01")</f>
        <v>A02200825 - 01</v>
      </c>
      <c r="K533" s="2"/>
      <c r="L533" s="2" t="str">
        <f>IFERROR(__xludf.DUMMYFUNCTION("""COMPUTED_VALUE"""),"A02200825 - 01")</f>
        <v>A02200825 - 01</v>
      </c>
      <c r="M533" s="2" t="str">
        <f>IFERROR(__xludf.DUMMYFUNCTION("""COMPUTED_VALUE"""),"CỨNG CÂY 02 
(NÂU VÀNG)")</f>
        <v>CỨNG CÂY 02 
(NÂU VÀNG)</v>
      </c>
      <c r="N533" s="2" t="str">
        <f>IFERROR(__xludf.DUMMYFUNCTION("""COMPUTED_VALUE"""),"02CC0019")</f>
        <v>02CC0019</v>
      </c>
      <c r="O533" s="2" t="str">
        <f>IFERROR(__xludf.DUMMYFUNCTION("""COMPUTED_VALUE"""),"Phân bón vi lượng G.A 05")</f>
        <v>Phân bón vi lượng G.A 05</v>
      </c>
      <c r="P533" s="2" t="str">
        <f>IFERROR(__xludf.DUMMYFUNCTION("""COMPUTED_VALUE"""),"Phân bón Vi Lượng G.A 05")</f>
        <v>Phân bón Vi Lượng G.A 05</v>
      </c>
      <c r="Q533" s="30" t="str">
        <f>IFERROR(__xludf.DUMMYFUNCTION("""COMPUTED_VALUE"""),"KHỚP")</f>
        <v>KHỚP</v>
      </c>
      <c r="R533" s="2"/>
      <c r="S533" s="2"/>
      <c r="T533" s="2"/>
      <c r="U533" s="2"/>
      <c r="V533" s="2"/>
      <c r="W533" s="2"/>
      <c r="X533" s="2"/>
      <c r="Y533" s="2"/>
    </row>
    <row r="534">
      <c r="A534" s="30">
        <f>IFERROR(__xludf.DUMMYFUNCTION("""COMPUTED_VALUE"""),531.0)</f>
        <v>531</v>
      </c>
      <c r="B534" s="39">
        <f>IFERROR(__xludf.DUMMYFUNCTION("""COMPUTED_VALUE"""),45896.0)</f>
        <v>45896</v>
      </c>
      <c r="C534" s="30">
        <f>IFERROR(__xludf.DUMMYFUNCTION("""COMPUTED_VALUE"""),1.0)</f>
        <v>1</v>
      </c>
      <c r="D534" s="30" t="str">
        <f>IFERROR(__xludf.DUMMYFUNCTION("""COMPUTED_VALUE"""),"CT CŨ")</f>
        <v>CT CŨ</v>
      </c>
      <c r="E534" s="30"/>
      <c r="F534" s="2"/>
      <c r="G534" s="2" t="str">
        <f>IFERROR(__xludf.DUMMYFUNCTION("""COMPUTED_VALUE"""),"HH4723")</f>
        <v>HH4723</v>
      </c>
      <c r="H534" s="2" t="str">
        <f>IFERROR(__xludf.DUMMYFUNCTION("""COMPUTED_VALUE"""),"GC - V - 4723 - KIM NGỌC - AGAMA-CANXI BO (Nước trắng sữa) - 1L - 20")</f>
        <v>GC - V - 4723 - KIM NGỌC - AGAMA-CANXI BO (Nước trắng sữa) - 1L - 20</v>
      </c>
      <c r="I534" s="2" t="str">
        <f>IFERROR(__xludf.DUMMYFUNCTION("""COMPUTED_VALUE"""),"#N/A")</f>
        <v>#N/A</v>
      </c>
      <c r="J534" s="2" t="str">
        <f>IFERROR(__xludf.DUMMYFUNCTION("""COMPUTED_VALUE"""),"Cùng ruột ruột HH4374
A02160725")</f>
        <v>Cùng ruột ruột HH4374
A02160725</v>
      </c>
      <c r="K534" s="2"/>
      <c r="L534" s="2" t="str">
        <f>IFERROR(__xludf.DUMMYFUNCTION("""COMPUTED_VALUE"""),"A02160725")</f>
        <v>A02160725</v>
      </c>
      <c r="M534" s="2" t="str">
        <f>IFERROR(__xludf.DUMMYFUNCTION("""COMPUTED_VALUE"""),"AGAMA-CANXI BO
(KIM NGỌC)")</f>
        <v>AGAMA-CANXI BO
(KIM NGỌC)</v>
      </c>
      <c r="N534" s="2" t="str">
        <f>IFERROR(__xludf.DUMMYFUNCTION("""COMPUTED_VALUE"""),"10CR0021")</f>
        <v>10CR0021</v>
      </c>
      <c r="O534" s="2" t="str">
        <f>IFERROR(__xludf.DUMMYFUNCTION("""COMPUTED_VALUE"""),"Phân bón Vi lượng AGAMA-CANXI BO")</f>
        <v>Phân bón Vi lượng AGAMA-CANXI BO</v>
      </c>
      <c r="P534" s="2" t="str">
        <f>IFERROR(__xludf.DUMMYFUNCTION("""COMPUTED_VALUE"""),"#N/A")</f>
        <v>#N/A</v>
      </c>
      <c r="Q534" s="30" t="str">
        <f>IFERROR(__xludf.DUMMYFUNCTION("""COMPUTED_VALUE"""),"KHÔNG KHỚP")</f>
        <v>KHÔNG KHỚP</v>
      </c>
      <c r="R534" s="2"/>
      <c r="S534" s="2"/>
      <c r="T534" s="2"/>
      <c r="U534" s="2"/>
      <c r="V534" s="2"/>
      <c r="W534" s="2"/>
      <c r="X534" s="2"/>
      <c r="Y534" s="2"/>
    </row>
    <row r="535">
      <c r="A535" s="30">
        <f>IFERROR(__xludf.DUMMYFUNCTION("""COMPUTED_VALUE"""),532.0)</f>
        <v>532</v>
      </c>
      <c r="B535" s="39">
        <f>IFERROR(__xludf.DUMMYFUNCTION("""COMPUTED_VALUE"""),45978.0)</f>
        <v>45978</v>
      </c>
      <c r="C535" s="30">
        <f>IFERROR(__xludf.DUMMYFUNCTION("""COMPUTED_VALUE"""),1.0)</f>
        <v>1</v>
      </c>
      <c r="D535" s="30" t="str">
        <f>IFERROR(__xludf.DUMMYFUNCTION("""COMPUTED_VALUE"""),"CT CŨ")</f>
        <v>CT CŨ</v>
      </c>
      <c r="E535" s="30"/>
      <c r="F535" s="2"/>
      <c r="G535" s="2" t="str">
        <f>IFERROR(__xludf.DUMMYFUNCTION("""COMPUTED_VALUE"""),"HH4688")</f>
        <v>HH4688</v>
      </c>
      <c r="H535" s="2" t="str">
        <f>IFERROR(__xludf.DUMMYFUNCTION("""COMPUTED_VALUE"""),"GC - V - 4688 - VTNN TRỌNG LÝ - NUTRI BIO (Nước tím đỏ) - 500ml - 40")</f>
        <v>GC - V - 4688 - VTNN TRỌNG LÝ - NUTRI BIO (Nước tím đỏ) - 500ml - 40</v>
      </c>
      <c r="I535" s="2" t="str">
        <f>IFERROR(__xludf.DUMMYFUNCTION("""COMPUTED_VALUE"""),"#N/A")</f>
        <v>#N/A</v>
      </c>
      <c r="J535" s="2" t="str">
        <f>IFERROR(__xludf.DUMMYFUNCTION("""COMPUTED_VALUE"""),"Cùng ruột 4179")</f>
        <v>Cùng ruột 4179</v>
      </c>
      <c r="K535" s="2"/>
      <c r="L535" s="2" t="str">
        <f>IFERROR(__xludf.DUMMYFUNCTION("""COMPUTED_VALUE"""),"A01090425")</f>
        <v>A01090425</v>
      </c>
      <c r="M535" s="2" t="str">
        <f>IFERROR(__xludf.DUMMYFUNCTION("""COMPUTED_VALUE"""),"DƯỠNG CHẤT VÔ CƠ CHUYÊN SẦU RIÊNG")</f>
        <v>DƯỠNG CHẤT VÔ CƠ CHUYÊN SẦU RIÊNG</v>
      </c>
      <c r="N535" s="2" t="str">
        <f>IFERROR(__xludf.DUMMYFUNCTION("""COMPUTED_VALUE"""),"19DD0018V2")</f>
        <v>19DD0018V2</v>
      </c>
      <c r="O535" s="2" t="str">
        <f>IFERROR(__xludf.DUMMYFUNCTION("""COMPUTED_VALUE"""),"Phân bón Hỗn hợp NP AGAMA-AP")</f>
        <v>Phân bón Hỗn hợp NP AGAMA-AP</v>
      </c>
      <c r="P535" s="2" t="str">
        <f>IFERROR(__xludf.DUMMYFUNCTION("""COMPUTED_VALUE"""),"#N/A")</f>
        <v>#N/A</v>
      </c>
      <c r="Q535" s="30" t="str">
        <f>IFERROR(__xludf.DUMMYFUNCTION("""COMPUTED_VALUE"""),"KHÔNG KHỚP")</f>
        <v>KHÔNG KHỚP</v>
      </c>
      <c r="R535" s="2"/>
      <c r="S535" s="2"/>
      <c r="T535" s="2"/>
      <c r="U535" s="2"/>
      <c r="V535" s="2"/>
      <c r="W535" s="2"/>
      <c r="X535" s="2"/>
      <c r="Y535" s="2"/>
    </row>
    <row r="536">
      <c r="A536" s="30">
        <f>IFERROR(__xludf.DUMMYFUNCTION("""COMPUTED_VALUE"""),533.0)</f>
        <v>533</v>
      </c>
      <c r="B536" s="39">
        <f>IFERROR(__xludf.DUMMYFUNCTION("""COMPUTED_VALUE"""),45983.0)</f>
        <v>45983</v>
      </c>
      <c r="C536" s="30">
        <f>IFERROR(__xludf.DUMMYFUNCTION("""COMPUTED_VALUE"""),3.0)</f>
        <v>3</v>
      </c>
      <c r="D536" s="30" t="str">
        <f>IFERROR(__xludf.DUMMYFUNCTION("""COMPUTED_VALUE"""),"CT CŨ")</f>
        <v>CT CŨ</v>
      </c>
      <c r="E536" s="30"/>
      <c r="F536" s="2"/>
      <c r="G536" s="2" t="str">
        <f>IFERROR(__xludf.DUMMYFUNCTION("""COMPUTED_VALUE"""),"HH4472")</f>
        <v>HH4472</v>
      </c>
      <c r="H536" s="2" t="str">
        <f>IFERROR(__xludf.DUMMYFUNCTION("""COMPUTED_VALUE"""),"GC - V - 4472 - CTY R3 - R3 VOGAO (Nước đỏ cam) - 300ml - 40")</f>
        <v>GC - V - 4472 - CTY R3 - R3 VOGAO (Nước đỏ cam) - 300ml - 40</v>
      </c>
      <c r="I536" s="39" t="str">
        <f>IFERROR(__xludf.DUMMYFUNCTION("""COMPUTED_VALUE"""),"Lá PK Vi lượng SV 5-18")</f>
        <v>Lá PK Vi lượng SV 5-18</v>
      </c>
      <c r="J536" s="2" t="str">
        <f>IFERROR(__xludf.DUMMYFUNCTION("""COMPUTED_VALUE"""),"A03091025")</f>
        <v>A03091025</v>
      </c>
      <c r="K536" s="2"/>
      <c r="L536" s="2" t="str">
        <f>IFERROR(__xludf.DUMMYFUNCTION("""COMPUTED_VALUE"""),"A03091025")</f>
        <v>A03091025</v>
      </c>
      <c r="M536" s="2" t="str">
        <f>IFERROR(__xludf.DUMMYFUNCTION("""COMPUTED_VALUE"""),"VÔ GẠO 0 - 5 -18 (02)")</f>
        <v>VÔ GẠO 0 - 5 -18 (02)</v>
      </c>
      <c r="N536" s="2" t="str">
        <f>IFERROR(__xludf.DUMMYFUNCTION("""COMPUTED_VALUE"""),"04VG0044")</f>
        <v>04VG0044</v>
      </c>
      <c r="O536" s="2" t="str">
        <f>IFERROR(__xludf.DUMMYFUNCTION("""COMPUTED_VALUE"""),"Phân bón lá PK-Vi lượng SV 5-18")</f>
        <v>Phân bón lá PK-Vi lượng SV 5-18</v>
      </c>
      <c r="P536" s="2" t="str">
        <f>IFERROR(__xludf.DUMMYFUNCTION("""COMPUTED_VALUE"""),"Phân bón Lá PK Vi lượng SV 5-18")</f>
        <v>Phân bón Lá PK Vi lượng SV 5-18</v>
      </c>
      <c r="Q536" s="30" t="str">
        <f>IFERROR(__xludf.DUMMYFUNCTION("""COMPUTED_VALUE"""),"KHÔNG KHỚP")</f>
        <v>KHÔNG KHỚP</v>
      </c>
      <c r="R536" s="2"/>
      <c r="S536" s="2"/>
      <c r="T536" s="2"/>
      <c r="U536" s="2"/>
      <c r="V536" s="2"/>
      <c r="W536" s="2"/>
      <c r="X536" s="2"/>
      <c r="Y536" s="2"/>
    </row>
    <row r="537">
      <c r="A537" s="30">
        <f>IFERROR(__xludf.DUMMYFUNCTION("""COMPUTED_VALUE"""),534.0)</f>
        <v>534</v>
      </c>
      <c r="B537" s="39">
        <f>IFERROR(__xludf.DUMMYFUNCTION("""COMPUTED_VALUE"""),45896.0)</f>
        <v>45896</v>
      </c>
      <c r="C537" s="30">
        <f>IFERROR(__xludf.DUMMYFUNCTION("""COMPUTED_VALUE"""),1.0)</f>
        <v>1</v>
      </c>
      <c r="D537" s="30" t="str">
        <f>IFERROR(__xludf.DUMMYFUNCTION("""COMPUTED_VALUE"""),"CT CŨ")</f>
        <v>CT CŨ</v>
      </c>
      <c r="E537" s="30"/>
      <c r="F537" s="2"/>
      <c r="G537" s="2" t="str">
        <f>IFERROR(__xludf.DUMMYFUNCTION("""COMPUTED_VALUE"""),"HH4729")</f>
        <v>HH4729</v>
      </c>
      <c r="H537" s="2" t="str">
        <f>IFERROR(__xludf.DUMMYFUNCTION("""COMPUTED_VALUE"""),"GC - V - 4729 - WINDY ALS - CALCIBOZIN (Dạng SC - Trắng sữa) - 500ml - 40")</f>
        <v>GC - V - 4729 - WINDY ALS - CALCIBOZIN (Dạng SC - Trắng sữa) - 500ml - 40</v>
      </c>
      <c r="I537" s="2" t="str">
        <f>IFERROR(__xludf.DUMMYFUNCTION("""COMPUTED_VALUE"""),"#N/A")</f>
        <v>#N/A</v>
      </c>
      <c r="J537" s="2" t="str">
        <f>IFERROR(__xludf.DUMMYFUNCTION("""COMPUTED_VALUE"""),"A02160725")</f>
        <v>A02160725</v>
      </c>
      <c r="K537" s="2"/>
      <c r="L537" s="2" t="str">
        <f>IFERROR(__xludf.DUMMYFUNCTION("""COMPUTED_VALUE"""),"A02160725")</f>
        <v>A02160725</v>
      </c>
      <c r="M537" s="2" t="str">
        <f>IFERROR(__xludf.DUMMYFUNCTION("""COMPUTED_VALUE"""),"AGAMA-CANXI BO
(KIM NGỌC)")</f>
        <v>AGAMA-CANXI BO
(KIM NGỌC)</v>
      </c>
      <c r="N537" s="2" t="str">
        <f>IFERROR(__xludf.DUMMYFUNCTION("""COMPUTED_VALUE"""),"10CR0021")</f>
        <v>10CR0021</v>
      </c>
      <c r="O537" s="2" t="str">
        <f>IFERROR(__xludf.DUMMYFUNCTION("""COMPUTED_VALUE"""),"Phân bón Vi lượng AGAMA-CANXI BO")</f>
        <v>Phân bón Vi lượng AGAMA-CANXI BO</v>
      </c>
      <c r="P537" s="2" t="str">
        <f>IFERROR(__xludf.DUMMYFUNCTION("""COMPUTED_VALUE"""),"#N/A")</f>
        <v>#N/A</v>
      </c>
      <c r="Q537" s="30" t="str">
        <f>IFERROR(__xludf.DUMMYFUNCTION("""COMPUTED_VALUE"""),"KHÔNG KHỚP")</f>
        <v>KHÔNG KHỚP</v>
      </c>
      <c r="R537" s="2"/>
      <c r="S537" s="2"/>
      <c r="T537" s="2"/>
      <c r="U537" s="2"/>
      <c r="V537" s="2"/>
      <c r="W537" s="2"/>
      <c r="X537" s="2"/>
      <c r="Y537" s="2"/>
    </row>
    <row r="538">
      <c r="A538" s="30">
        <f>IFERROR(__xludf.DUMMYFUNCTION("""COMPUTED_VALUE"""),535.0)</f>
        <v>535</v>
      </c>
      <c r="B538" s="39">
        <f>IFERROR(__xludf.DUMMYFUNCTION("""COMPUTED_VALUE"""),45909.0)</f>
        <v>45909</v>
      </c>
      <c r="C538" s="30">
        <f>IFERROR(__xludf.DUMMYFUNCTION("""COMPUTED_VALUE"""),1.0)</f>
        <v>1</v>
      </c>
      <c r="D538" s="30" t="str">
        <f>IFERROR(__xludf.DUMMYFUNCTION("""COMPUTED_VALUE"""),"CT CŨ")</f>
        <v>CT CŨ</v>
      </c>
      <c r="E538" s="30"/>
      <c r="F538" s="2"/>
      <c r="G538" s="2" t="str">
        <f>IFERROR(__xludf.DUMMYFUNCTION("""COMPUTED_VALUE"""),"HH4730")</f>
        <v>HH4730</v>
      </c>
      <c r="H538" s="2" t="str">
        <f>IFERROR(__xludf.DUMMYFUNCTION("""COMPUTED_VALUE"""),"GC - V - 4730 - WINDY ALS - ZINC-MAGIE (Dạng SC - Xanh lá) - 450ml - 40")</f>
        <v>GC - V - 4730 - WINDY ALS - ZINC-MAGIE (Dạng SC - Xanh lá) - 450ml - 40</v>
      </c>
      <c r="I538" s="2" t="str">
        <f>IFERROR(__xludf.DUMMYFUNCTION("""COMPUTED_VALUE"""),"#N/A")</f>
        <v>#N/A</v>
      </c>
      <c r="J538" s="2" t="str">
        <f>IFERROR(__xludf.DUMMYFUNCTION("""COMPUTED_VALUE"""),"A05200825")</f>
        <v>A05200825</v>
      </c>
      <c r="K538" s="2"/>
      <c r="L538" s="2" t="str">
        <f>IFERROR(__xludf.DUMMYFUNCTION("""COMPUTED_VALUE"""),"A05200825")</f>
        <v>A05200825</v>
      </c>
      <c r="M538" s="2" t="str">
        <f>IFERROR(__xludf.DUMMYFUNCTION("""COMPUTED_VALUE"""),"AMINO MAGIE - KẼM CAO CẤP 02")</f>
        <v>AMINO MAGIE - KẼM CAO CẤP 02</v>
      </c>
      <c r="N538" s="2" t="str">
        <f>IFERROR(__xludf.DUMMYFUNCTION("""COMPUTED_VALUE"""),"23GS0011")</f>
        <v>23GS0011</v>
      </c>
      <c r="O538" s="2" t="str">
        <f>IFERROR(__xludf.DUMMYFUNCTION("""COMPUTED_VALUE"""),"Phân bón vi lượng Phú Sĩ FJ-09 Kẽm Mg")</f>
        <v>Phân bón vi lượng Phú Sĩ FJ-09 Kẽm Mg</v>
      </c>
      <c r="P538" s="2" t="str">
        <f>IFERROR(__xludf.DUMMYFUNCTION("""COMPUTED_VALUE"""),"#N/A")</f>
        <v>#N/A</v>
      </c>
      <c r="Q538" s="30" t="str">
        <f>IFERROR(__xludf.DUMMYFUNCTION("""COMPUTED_VALUE"""),"KHÔNG KHỚP")</f>
        <v>KHÔNG KHỚP</v>
      </c>
      <c r="R538" s="2"/>
      <c r="S538" s="2"/>
      <c r="T538" s="2"/>
      <c r="U538" s="2"/>
      <c r="V538" s="2"/>
      <c r="W538" s="2"/>
      <c r="X538" s="2"/>
      <c r="Y538" s="2"/>
    </row>
    <row r="539">
      <c r="A539" s="30">
        <f>IFERROR(__xludf.DUMMYFUNCTION("""COMPUTED_VALUE"""),536.0)</f>
        <v>536</v>
      </c>
      <c r="B539" s="39">
        <f>IFERROR(__xludf.DUMMYFUNCTION("""COMPUTED_VALUE"""),45993.0)</f>
        <v>45993</v>
      </c>
      <c r="C539" s="30">
        <f>IFERROR(__xludf.DUMMYFUNCTION("""COMPUTED_VALUE"""),1.0)</f>
        <v>1</v>
      </c>
      <c r="D539" s="30" t="str">
        <f>IFERROR(__xludf.DUMMYFUNCTION("""COMPUTED_VALUE"""),"CT CŨ")</f>
        <v>CT CŨ</v>
      </c>
      <c r="E539" s="30"/>
      <c r="F539" s="2"/>
      <c r="G539" s="2" t="str">
        <f>IFERROR(__xludf.DUMMYFUNCTION("""COMPUTED_VALUE"""),"HH4731")</f>
        <v>HH4731</v>
      </c>
      <c r="H539" s="2" t="str">
        <f>IFERROR(__xludf.DUMMYFUNCTION("""COMPUTED_VALUE"""),"GC - V - 4731 - WINDY ALS - BOOM GOLD (Nước nâu đen) - 250ml - 40")</f>
        <v>GC - V - 4731 - WINDY ALS - BOOM GOLD (Nước nâu đen) - 250ml - 40</v>
      </c>
      <c r="I539" s="2" t="str">
        <f>IFERROR(__xludf.DUMMYFUNCTION("""COMPUTED_VALUE"""),"#N/A")</f>
        <v>#N/A</v>
      </c>
      <c r="J539" s="2" t="str">
        <f>IFERROR(__xludf.DUMMYFUNCTION("""COMPUTED_VALUE"""),"A01200225-02
Cùng ruột 3922,")</f>
        <v>A01200225-02
Cùng ruột 3922,</v>
      </c>
      <c r="K539" s="2"/>
      <c r="L539" s="2" t="str">
        <f>IFERROR(__xludf.DUMMYFUNCTION("""COMPUTED_VALUE"""),"A01200225-02")</f>
        <v>A01200225-02</v>
      </c>
      <c r="M539" s="2" t="str">
        <f>IFERROR(__xludf.DUMMYFUNCTION("""COMPUTED_VALUE"""),"BOOMGOLD
AGRI BOOST")</f>
        <v>BOOMGOLD
AGRI BOOST</v>
      </c>
      <c r="N539" s="2" t="str">
        <f>IFERROR(__xludf.DUMMYFUNCTION("""COMPUTED_VALUE"""),"10CR0019V1")</f>
        <v>10CR0019V1</v>
      </c>
      <c r="O539" s="2" t="str">
        <f>IFERROR(__xludf.DUMMYFUNCTION("""COMPUTED_VALUE"""),"Phân bón Hữu cơ SH Agro Organic Fertilizer 20")</f>
        <v>Phân bón Hữu cơ SH Agro Organic Fertilizer 20</v>
      </c>
      <c r="P539" s="2" t="str">
        <f>IFERROR(__xludf.DUMMYFUNCTION("""COMPUTED_VALUE"""),"#N/A")</f>
        <v>#N/A</v>
      </c>
      <c r="Q539" s="30" t="str">
        <f>IFERROR(__xludf.DUMMYFUNCTION("""COMPUTED_VALUE"""),"KHÔNG KHỚP")</f>
        <v>KHÔNG KHỚP</v>
      </c>
      <c r="R539" s="2"/>
      <c r="S539" s="2"/>
      <c r="T539" s="2"/>
      <c r="U539" s="2"/>
      <c r="V539" s="2"/>
      <c r="W539" s="2"/>
      <c r="X539" s="2"/>
      <c r="Y539" s="2"/>
    </row>
    <row r="540">
      <c r="A540" s="30">
        <f>IFERROR(__xludf.DUMMYFUNCTION("""COMPUTED_VALUE"""),537.0)</f>
        <v>537</v>
      </c>
      <c r="B540" s="39">
        <f>IFERROR(__xludf.DUMMYFUNCTION("""COMPUTED_VALUE"""),45940.0)</f>
        <v>45940</v>
      </c>
      <c r="C540" s="30">
        <f>IFERROR(__xludf.DUMMYFUNCTION("""COMPUTED_VALUE"""),8.0)</f>
        <v>8</v>
      </c>
      <c r="D540" s="30" t="str">
        <f>IFERROR(__xludf.DUMMYFUNCTION("""COMPUTED_VALUE"""),"CT CŨ")</f>
        <v>CT CŨ</v>
      </c>
      <c r="E540" s="30"/>
      <c r="F540" s="2"/>
      <c r="G540" s="2" t="str">
        <f>IFERROR(__xludf.DUMMYFUNCTION("""COMPUTED_VALUE"""),"HH4442")</f>
        <v>HH4442</v>
      </c>
      <c r="H540" s="2" t="str">
        <f>IFERROR(__xludf.DUMMYFUNCTION("""COMPUTED_VALUE"""),"GC - IX - 4442 - N2SBIO - N2 MG ZN-70 (Nước xanh lá) - 500ml - 40")</f>
        <v>GC - IX - 4442 - N2SBIO - N2 MG ZN-70 (Nước xanh lá) - 500ml - 40</v>
      </c>
      <c r="I540" s="39" t="str">
        <f>IFERROR(__xludf.DUMMYFUNCTION("""COMPUTED_VALUE"""),"vi lượng Phú Sĩ FJ-09 Kẽm Mg")</f>
        <v>vi lượng Phú Sĩ FJ-09 Kẽm Mg</v>
      </c>
      <c r="J540" s="2" t="str">
        <f>IFERROR(__xludf.DUMMYFUNCTION("""COMPUTED_VALUE"""),"N01080825")</f>
        <v>N01080825</v>
      </c>
      <c r="K540" s="2"/>
      <c r="L540" s="2" t="str">
        <f>IFERROR(__xludf.DUMMYFUNCTION("""COMPUTED_VALUE"""),"N01080825")</f>
        <v>N01080825</v>
      </c>
      <c r="M540" s="2" t="str">
        <f>IFERROR(__xludf.DUMMYFUNCTION("""COMPUTED_VALUE"""),"N2 MgZn-52")</f>
        <v>N2 MgZn-52</v>
      </c>
      <c r="N540" s="2" t="str">
        <f>IFERROR(__xludf.DUMMYFUNCTION("""COMPUTED_VALUE"""),"23GS0002V1")</f>
        <v>23GS0002V1</v>
      </c>
      <c r="O540" s="2" t="str">
        <f>IFERROR(__xludf.DUMMYFUNCTION("""COMPUTED_VALUE"""),"Phân bón vi lượng Phú Sĩ FJ-09 Kẽm Mg")</f>
        <v>Phân bón vi lượng Phú Sĩ FJ-09 Kẽm Mg</v>
      </c>
      <c r="P540" s="2" t="str">
        <f>IFERROR(__xludf.DUMMYFUNCTION("""COMPUTED_VALUE"""),"Phân bón vi lượng Phú Sĩ FJ-09 Kẽm Mg")</f>
        <v>Phân bón vi lượng Phú Sĩ FJ-09 Kẽm Mg</v>
      </c>
      <c r="Q540" s="30" t="str">
        <f>IFERROR(__xludf.DUMMYFUNCTION("""COMPUTED_VALUE"""),"KHỚP")</f>
        <v>KHỚP</v>
      </c>
      <c r="R540" s="2"/>
      <c r="S540" s="2"/>
      <c r="T540" s="2"/>
      <c r="U540" s="2"/>
      <c r="V540" s="2"/>
      <c r="W540" s="2"/>
      <c r="X540" s="2"/>
      <c r="Y540" s="2"/>
    </row>
    <row r="541">
      <c r="A541" s="30">
        <f>IFERROR(__xludf.DUMMYFUNCTION("""COMPUTED_VALUE"""),538.0)</f>
        <v>538</v>
      </c>
      <c r="B541" s="39">
        <f>IFERROR(__xludf.DUMMYFUNCTION("""COMPUTED_VALUE"""),46044.0)</f>
        <v>46044</v>
      </c>
      <c r="C541" s="30">
        <f>IFERROR(__xludf.DUMMYFUNCTION("""COMPUTED_VALUE"""),6.0)</f>
        <v>6</v>
      </c>
      <c r="D541" s="30" t="str">
        <f>IFERROR(__xludf.DUMMYFUNCTION("""COMPUTED_VALUE"""),"CT CŨ")</f>
        <v>CT CŨ</v>
      </c>
      <c r="E541" s="30"/>
      <c r="F541" s="2"/>
      <c r="G541" s="2" t="str">
        <f>IFERROR(__xludf.DUMMYFUNCTION("""COMPUTED_VALUE"""),"HH4058")</f>
        <v>HH4058</v>
      </c>
      <c r="H541" s="2" t="str">
        <f>IFERROR(__xludf.DUMMYFUNCTION("""COMPUTED_VALUE"""),"GC - IX - 4058 - N2SBIO -  SIÊU BO SỮA (Dạng SC - Trắng sữa) - 250ml - 40")</f>
        <v>GC - IX - 4058 - N2SBIO -  SIÊU BO SỮA (Dạng SC - Trắng sữa) - 250ml - 40</v>
      </c>
      <c r="I541" s="2" t="str">
        <f>IFERROR(__xludf.DUMMYFUNCTION("""COMPUTED_VALUE"""),"#N/A")</f>
        <v>#N/A</v>
      </c>
      <c r="J541" s="2" t="str">
        <f>IFERROR(__xludf.DUMMYFUNCTION("""COMPUTED_VALUE"""),"N01190825")</f>
        <v>N01190825</v>
      </c>
      <c r="K541" s="2"/>
      <c r="L541" s="2" t="str">
        <f>IFERROR(__xludf.DUMMYFUNCTION("""COMPUTED_VALUE"""),"N01190825")</f>
        <v>N01190825</v>
      </c>
      <c r="M541" s="2" t="str">
        <f>IFERROR(__xludf.DUMMYFUNCTION("""COMPUTED_VALUE"""),"N2 BO 150 
SIÊU BO SỮA ")</f>
        <v>N2 BO 150 
SIÊU BO SỮA </v>
      </c>
      <c r="N541" s="2" t="str">
        <f>IFERROR(__xludf.DUMMYFUNCTION("""COMPUTED_VALUE"""),"10CR0027V3")</f>
        <v>10CR0027V3</v>
      </c>
      <c r="O541" s="2" t="str">
        <f>IFERROR(__xludf.DUMMYFUNCTION("""COMPUTED_VALUE"""),"Phân bón lá Vi lượng NBC-BO.15")</f>
        <v>Phân bón lá Vi lượng NBC-BO.15</v>
      </c>
      <c r="P541" s="2" t="str">
        <f>IFERROR(__xludf.DUMMYFUNCTION("""COMPUTED_VALUE"""),"#N/A")</f>
        <v>#N/A</v>
      </c>
      <c r="Q541" s="30" t="str">
        <f>IFERROR(__xludf.DUMMYFUNCTION("""COMPUTED_VALUE"""),"KHÔNG KHỚP")</f>
        <v>KHÔNG KHỚP</v>
      </c>
      <c r="R541" s="2"/>
      <c r="S541" s="2"/>
      <c r="T541" s="2"/>
      <c r="U541" s="2"/>
      <c r="V541" s="2"/>
      <c r="W541" s="2"/>
      <c r="X541" s="2"/>
      <c r="Y541" s="2"/>
    </row>
    <row r="542">
      <c r="A542" s="30">
        <f>IFERROR(__xludf.DUMMYFUNCTION("""COMPUTED_VALUE"""),539.0)</f>
        <v>539</v>
      </c>
      <c r="B542" s="39">
        <f>IFERROR(__xludf.DUMMYFUNCTION("""COMPUTED_VALUE"""),46007.0)</f>
        <v>46007</v>
      </c>
      <c r="C542" s="30">
        <f>IFERROR(__xludf.DUMMYFUNCTION("""COMPUTED_VALUE"""),3.0)</f>
        <v>3</v>
      </c>
      <c r="D542" s="30" t="str">
        <f>IFERROR(__xludf.DUMMYFUNCTION("""COMPUTED_VALUE"""),"CT CŨ")</f>
        <v>CT CŨ</v>
      </c>
      <c r="E542" s="30"/>
      <c r="F542" s="2"/>
      <c r="G542" s="2" t="str">
        <f>IFERROR(__xludf.DUMMYFUNCTION("""COMPUTED_VALUE"""),"HH4289")</f>
        <v>HH4289</v>
      </c>
      <c r="H542" s="2" t="str">
        <f>IFERROR(__xludf.DUMMYFUNCTION("""COMPUTED_VALUE"""),"GC - IV - 4289 - NEWTECH CROP SCIENCE - NEW ZINC (Nước vàng sữa) - 500ml - 30")</f>
        <v>GC - IV - 4289 - NEWTECH CROP SCIENCE - NEW ZINC (Nước vàng sữa) - 500ml - 30</v>
      </c>
      <c r="I542" s="2" t="str">
        <f>IFERROR(__xludf.DUMMYFUNCTION("""COMPUTED_VALUE"""),"#N/A")</f>
        <v>#N/A</v>
      </c>
      <c r="J542" s="2" t="str">
        <f>IFERROR(__xludf.DUMMYFUNCTION("""COMPUTED_VALUE"""),"CÙNG RUỘT HH3089")</f>
        <v>CÙNG RUỘT HH3089</v>
      </c>
      <c r="K542" s="2"/>
      <c r="L542" s="2"/>
      <c r="M542" s="2" t="str">
        <f>IFERROR(__xludf.DUMMYFUNCTION("""COMPUTED_VALUE"""),"NEW ZINC")</f>
        <v>NEW ZINC</v>
      </c>
      <c r="N542" s="2" t="str">
        <f>IFERROR(__xludf.DUMMYFUNCTION("""COMPUTED_VALUE"""),"03DD0001V3")</f>
        <v>03DD0001V3</v>
      </c>
      <c r="O542" s="2" t="str">
        <f>IFERROR(__xludf.DUMMYFUNCTION("""COMPUTED_VALUE"""),"Phân bón Vi lượng MICKEY")</f>
        <v>Phân bón Vi lượng MICKEY</v>
      </c>
      <c r="P542" s="2" t="str">
        <f>IFERROR(__xludf.DUMMYFUNCTION("""COMPUTED_VALUE"""),"#N/A")</f>
        <v>#N/A</v>
      </c>
      <c r="Q542" s="30" t="str">
        <f>IFERROR(__xludf.DUMMYFUNCTION("""COMPUTED_VALUE"""),"KHÔNG KHỚP")</f>
        <v>KHÔNG KHỚP</v>
      </c>
      <c r="R542" s="2"/>
      <c r="S542" s="2"/>
      <c r="T542" s="2"/>
      <c r="U542" s="2"/>
      <c r="V542" s="2"/>
      <c r="W542" s="2"/>
      <c r="X542" s="2"/>
      <c r="Y542" s="2"/>
    </row>
    <row r="543">
      <c r="A543" s="30">
        <f>IFERROR(__xludf.DUMMYFUNCTION("""COMPUTED_VALUE"""),540.0)</f>
        <v>540</v>
      </c>
      <c r="B543" s="39">
        <f>IFERROR(__xludf.DUMMYFUNCTION("""COMPUTED_VALUE"""),45936.0)</f>
        <v>45936</v>
      </c>
      <c r="C543" s="30">
        <f>IFERROR(__xludf.DUMMYFUNCTION("""COMPUTED_VALUE"""),2.0)</f>
        <v>2</v>
      </c>
      <c r="D543" s="30" t="str">
        <f>IFERROR(__xludf.DUMMYFUNCTION("""COMPUTED_VALUE"""),"CT CŨ")</f>
        <v>CT CŨ</v>
      </c>
      <c r="E543" s="30"/>
      <c r="F543" s="2"/>
      <c r="G543" s="2" t="str">
        <f>IFERROR(__xludf.DUMMYFUNCTION("""COMPUTED_VALUE"""),"HH4180")</f>
        <v>HH4180</v>
      </c>
      <c r="H543" s="2" t="str">
        <f>IFERROR(__xludf.DUMMYFUNCTION("""COMPUTED_VALUE"""),"GC - V - 4180 - CTY THIÊN DI - THIDI PLUM MAX+ (Nước nâu đen) - 500ml - 40")</f>
        <v>GC - V - 4180 - CTY THIÊN DI - THIDI PLUM MAX+ (Nước nâu đen) - 500ml - 40</v>
      </c>
      <c r="I543" s="2" t="str">
        <f>IFERROR(__xludf.DUMMYFUNCTION("""COMPUTED_VALUE"""),"#N/A")</f>
        <v>#N/A</v>
      </c>
      <c r="J543" s="2" t="str">
        <f>IFERROR(__xludf.DUMMYFUNCTION("""COMPUTED_VALUE"""),"Cùng ruột HH3112")</f>
        <v>Cùng ruột HH3112</v>
      </c>
      <c r="K543" s="2"/>
      <c r="L543" s="2" t="str">
        <f>IFERROR(__xludf.DUMMYFUNCTION("""COMPUTED_VALUE"""),"A03060125")</f>
        <v>A03060125</v>
      </c>
      <c r="M543" s="2" t="str">
        <f>IFERROR(__xludf.DUMMYFUNCTION("""COMPUTED_VALUE"""),"THIDI PLUM MAX+")</f>
        <v>THIDI PLUM MAX+</v>
      </c>
      <c r="N543" s="2" t="str">
        <f>IFERROR(__xludf.DUMMYFUNCTION("""COMPUTED_VALUE"""),"04VG0028V1")</f>
        <v>04VG0028V1</v>
      </c>
      <c r="O543" s="2" t="str">
        <f>IFERROR(__xludf.DUMMYFUNCTION("""COMPUTED_VALUE"""),"Phân bón Vi lượng Quantity New")</f>
        <v>Phân bón Vi lượng Quantity New</v>
      </c>
      <c r="P543" s="2" t="str">
        <f>IFERROR(__xludf.DUMMYFUNCTION("""COMPUTED_VALUE"""),"#N/A")</f>
        <v>#N/A</v>
      </c>
      <c r="Q543" s="30" t="str">
        <f>IFERROR(__xludf.DUMMYFUNCTION("""COMPUTED_VALUE"""),"KHÔNG KHỚP")</f>
        <v>KHÔNG KHỚP</v>
      </c>
      <c r="R543" s="2"/>
      <c r="S543" s="2"/>
      <c r="T543" s="2"/>
      <c r="U543" s="2"/>
      <c r="V543" s="2"/>
      <c r="W543" s="2"/>
      <c r="X543" s="2"/>
      <c r="Y543" s="2"/>
    </row>
    <row r="544">
      <c r="A544" s="30">
        <f>IFERROR(__xludf.DUMMYFUNCTION("""COMPUTED_VALUE"""),541.0)</f>
        <v>541</v>
      </c>
      <c r="B544" s="39">
        <f>IFERROR(__xludf.DUMMYFUNCTION("""COMPUTED_VALUE"""),45946.0)</f>
        <v>45946</v>
      </c>
      <c r="C544" s="30">
        <f>IFERROR(__xludf.DUMMYFUNCTION("""COMPUTED_VALUE"""),2.0)</f>
        <v>2</v>
      </c>
      <c r="D544" s="30" t="str">
        <f>IFERROR(__xludf.DUMMYFUNCTION("""COMPUTED_VALUE"""),"CT CŨ")</f>
        <v>CT CŨ</v>
      </c>
      <c r="E544" s="30"/>
      <c r="F544" s="2"/>
      <c r="G544" s="2" t="str">
        <f>IFERROR(__xludf.DUMMYFUNCTION("""COMPUTED_VALUE"""),"HH4100")</f>
        <v>HH4100</v>
      </c>
      <c r="H544" s="2" t="str">
        <f>IFERROR(__xludf.DUMMYFUNCTION("""COMPUTED_VALUE"""),"GC - IV - 4100 - Cty Sen Hồng (A.Diễn) - CỨNG CÂY 4.0 (Nước nâu đen) - 400ml - 30")</f>
        <v>GC - IV - 4100 - Cty Sen Hồng (A.Diễn) - CỨNG CÂY 4.0 (Nước nâu đen) - 400ml - 30</v>
      </c>
      <c r="I544" s="2" t="str">
        <f>IFERROR(__xludf.DUMMYFUNCTION("""COMPUTED_VALUE"""),"#N/A")</f>
        <v>#N/A</v>
      </c>
      <c r="J544" s="2" t="str">
        <f>IFERROR(__xludf.DUMMYFUNCTION("""COMPUTED_VALUE"""),"A02200825")</f>
        <v>A02200825</v>
      </c>
      <c r="K544" s="2"/>
      <c r="L544" s="2" t="str">
        <f>IFERROR(__xludf.DUMMYFUNCTION("""COMPUTED_VALUE"""),"A02200825")</f>
        <v>A02200825</v>
      </c>
      <c r="M544" s="2" t="str">
        <f>IFERROR(__xludf.DUMMYFUNCTION("""COMPUTED_VALUE"""),"CỨNG CÂY 02")</f>
        <v>CỨNG CÂY 02</v>
      </c>
      <c r="N544" s="2" t="str">
        <f>IFERROR(__xludf.DUMMYFUNCTION("""COMPUTED_VALUE"""),"02CC0014")</f>
        <v>02CC0014</v>
      </c>
      <c r="O544" s="2" t="str">
        <f>IFERROR(__xludf.DUMMYFUNCTION("""COMPUTED_VALUE"""),"Phân bón vi lượng G.A 05")</f>
        <v>Phân bón vi lượng G.A 05</v>
      </c>
      <c r="P544" s="2" t="str">
        <f>IFERROR(__xludf.DUMMYFUNCTION("""COMPUTED_VALUE"""),"#N/A")</f>
        <v>#N/A</v>
      </c>
      <c r="Q544" s="30" t="str">
        <f>IFERROR(__xludf.DUMMYFUNCTION("""COMPUTED_VALUE"""),"KHÔNG KHỚP")</f>
        <v>KHÔNG KHỚP</v>
      </c>
      <c r="R544" s="2"/>
      <c r="S544" s="2"/>
      <c r="T544" s="2"/>
      <c r="U544" s="2"/>
      <c r="V544" s="2"/>
      <c r="W544" s="2"/>
      <c r="X544" s="2"/>
      <c r="Y544" s="2"/>
    </row>
    <row r="545">
      <c r="A545" s="30">
        <f>IFERROR(__xludf.DUMMYFUNCTION("""COMPUTED_VALUE"""),542.0)</f>
        <v>542</v>
      </c>
      <c r="B545" s="39">
        <f>IFERROR(__xludf.DUMMYFUNCTION("""COMPUTED_VALUE"""),45983.0)</f>
        <v>45983</v>
      </c>
      <c r="C545" s="30">
        <f>IFERROR(__xludf.DUMMYFUNCTION("""COMPUTED_VALUE"""),4.0)</f>
        <v>4</v>
      </c>
      <c r="D545" s="30" t="str">
        <f>IFERROR(__xludf.DUMMYFUNCTION("""COMPUTED_VALUE"""),"CT CŨ")</f>
        <v>CT CŨ</v>
      </c>
      <c r="E545" s="30"/>
      <c r="F545" s="2"/>
      <c r="G545" s="2" t="str">
        <f>IFERROR(__xludf.DUMMYFUNCTION("""COMPUTED_VALUE"""),"HH4472")</f>
        <v>HH4472</v>
      </c>
      <c r="H545" s="2" t="str">
        <f>IFERROR(__xludf.DUMMYFUNCTION("""COMPUTED_VALUE"""),"GC - V - 4472 - CTY R3 - R3 VOGAO (Nước đỏ cam) - 300ml - 40")</f>
        <v>GC - V - 4472 - CTY R3 - R3 VOGAO (Nước đỏ cam) - 300ml - 40</v>
      </c>
      <c r="I545" s="39" t="str">
        <f>IFERROR(__xludf.DUMMYFUNCTION("""COMPUTED_VALUE"""),"Lá PK Vi lượng SV 5-18")</f>
        <v>Lá PK Vi lượng SV 5-18</v>
      </c>
      <c r="J545" s="2" t="str">
        <f>IFERROR(__xludf.DUMMYFUNCTION("""COMPUTED_VALUE"""),"A03091025")</f>
        <v>A03091025</v>
      </c>
      <c r="K545" s="2"/>
      <c r="L545" s="2" t="str">
        <f>IFERROR(__xludf.DUMMYFUNCTION("""COMPUTED_VALUE"""),"A03091025")</f>
        <v>A03091025</v>
      </c>
      <c r="M545" s="2" t="str">
        <f>IFERROR(__xludf.DUMMYFUNCTION("""COMPUTED_VALUE"""),"VÔ GẠO 0 - 5 -18 (02)")</f>
        <v>VÔ GẠO 0 - 5 -18 (02)</v>
      </c>
      <c r="N545" s="2" t="str">
        <f>IFERROR(__xludf.DUMMYFUNCTION("""COMPUTED_VALUE"""),"04VG0044")</f>
        <v>04VG0044</v>
      </c>
      <c r="O545" s="2" t="str">
        <f>IFERROR(__xludf.DUMMYFUNCTION("""COMPUTED_VALUE"""),"Phân bón lá PK-Vi lượng SV 5-18")</f>
        <v>Phân bón lá PK-Vi lượng SV 5-18</v>
      </c>
      <c r="P545" s="2" t="str">
        <f>IFERROR(__xludf.DUMMYFUNCTION("""COMPUTED_VALUE"""),"Phân bón Lá PK Vi lượng SV 5-18")</f>
        <v>Phân bón Lá PK Vi lượng SV 5-18</v>
      </c>
      <c r="Q545" s="30" t="str">
        <f>IFERROR(__xludf.DUMMYFUNCTION("""COMPUTED_VALUE"""),"KHÔNG KHỚP")</f>
        <v>KHÔNG KHỚP</v>
      </c>
      <c r="R545" s="2"/>
      <c r="S545" s="2"/>
      <c r="T545" s="2"/>
      <c r="U545" s="2"/>
      <c r="V545" s="2"/>
      <c r="W545" s="2"/>
      <c r="X545" s="2"/>
      <c r="Y545" s="2"/>
    </row>
    <row r="546">
      <c r="A546" s="30">
        <f>IFERROR(__xludf.DUMMYFUNCTION("""COMPUTED_VALUE"""),543.0)</f>
        <v>543</v>
      </c>
      <c r="B546" s="39">
        <f>IFERROR(__xludf.DUMMYFUNCTION("""COMPUTED_VALUE"""),46044.0)</f>
        <v>46044</v>
      </c>
      <c r="C546" s="30">
        <f>IFERROR(__xludf.DUMMYFUNCTION("""COMPUTED_VALUE"""),2.0)</f>
        <v>2</v>
      </c>
      <c r="D546" s="30" t="str">
        <f>IFERROR(__xludf.DUMMYFUNCTION("""COMPUTED_VALUE"""),"CT CŨ")</f>
        <v>CT CŨ</v>
      </c>
      <c r="E546" s="30"/>
      <c r="F546" s="2"/>
      <c r="G546" s="2" t="str">
        <f>IFERROR(__xludf.DUMMYFUNCTION("""COMPUTED_VALUE"""),"HH4471")</f>
        <v>HH4471</v>
      </c>
      <c r="H546" s="2" t="str">
        <f>IFERROR(__xludf.DUMMYFUNCTION("""COMPUTED_VALUE"""),"GC - V - 4471 - CTY R3 - R3 BLOOM  (Nước xanh bơ sữa) - 300ml - 40")</f>
        <v>GC - V - 4471 - CTY R3 - R3 BLOOM  (Nước xanh bơ sữa) - 300ml - 40</v>
      </c>
      <c r="I546" s="39" t="str">
        <f>IFERROR(__xludf.DUMMYFUNCTION("""COMPUTED_VALUE"""),"lá NPK-vi lượng GNC19")</f>
        <v>lá NPK-vi lượng GNC19</v>
      </c>
      <c r="J546" s="2" t="str">
        <f>IFERROR(__xludf.DUMMYFUNCTION("""COMPUTED_VALUE"""),"A03260525")</f>
        <v>A03260525</v>
      </c>
      <c r="K546" s="2"/>
      <c r="L546" s="2" t="str">
        <f>IFERROR(__xludf.DUMMYFUNCTION("""COMPUTED_VALUE"""),"A03260525")</f>
        <v>A03260525</v>
      </c>
      <c r="M546" s="2" t="str">
        <f>IFERROR(__xludf.DUMMYFUNCTION("""COMPUTED_VALUE"""),"ĐÒNG TO BÔNG KẸO (CẢI TIẾN)")</f>
        <v>ĐÒNG TO BÔNG KẸO (CẢI TIẾN)</v>
      </c>
      <c r="N546" s="2" t="str">
        <f>IFERROR(__xludf.DUMMYFUNCTION("""COMPUTED_VALUE"""),"03DD0017V3")</f>
        <v>03DD0017V3</v>
      </c>
      <c r="O546" s="2" t="str">
        <f>IFERROR(__xludf.DUMMYFUNCTION("""COMPUTED_VALUE"""),"Phân bón lá NPK-Vi lượng GNC 19")</f>
        <v>Phân bón lá NPK-Vi lượng GNC 19</v>
      </c>
      <c r="P546" s="2" t="str">
        <f>IFERROR(__xludf.DUMMYFUNCTION("""COMPUTED_VALUE"""),"Phân bón lá NPK-vi lượng GNC19")</f>
        <v>Phân bón lá NPK-vi lượng GNC19</v>
      </c>
      <c r="Q546" s="30" t="str">
        <f>IFERROR(__xludf.DUMMYFUNCTION("""COMPUTED_VALUE"""),"KHÔNG KHỚP")</f>
        <v>KHÔNG KHỚP</v>
      </c>
      <c r="R546" s="2"/>
      <c r="S546" s="2"/>
      <c r="T546" s="2"/>
      <c r="U546" s="2"/>
      <c r="V546" s="2"/>
      <c r="W546" s="2"/>
      <c r="X546" s="2"/>
      <c r="Y546" s="2"/>
    </row>
    <row r="547">
      <c r="A547" s="30">
        <f>IFERROR(__xludf.DUMMYFUNCTION("""COMPUTED_VALUE"""),544.0)</f>
        <v>544</v>
      </c>
      <c r="B547" s="39">
        <f>IFERROR(__xludf.DUMMYFUNCTION("""COMPUTED_VALUE"""),46055.0)</f>
        <v>46055</v>
      </c>
      <c r="C547" s="30">
        <f>IFERROR(__xludf.DUMMYFUNCTION("""COMPUTED_VALUE"""),1.0)</f>
        <v>1</v>
      </c>
      <c r="D547" s="30" t="str">
        <f>IFERROR(__xludf.DUMMYFUNCTION("""COMPUTED_VALUE"""),"CT CŨ")</f>
        <v>CT CŨ</v>
      </c>
      <c r="E547" s="30"/>
      <c r="F547" s="2"/>
      <c r="G547" s="2" t="str">
        <f>IFERROR(__xludf.DUMMYFUNCTION("""COMPUTED_VALUE"""),"HH4738")</f>
        <v>HH4738</v>
      </c>
      <c r="H547" s="2" t="str">
        <f>IFERROR(__xludf.DUMMYFUNCTION("""COMPUTED_VALUE"""),"GC - V - 4738 - Cty Sen Hồng (A.Diễn) - VÔ GẠO SH.D87 (nước vàng sữa) - 500ml - 40")</f>
        <v>GC - V - 4738 - Cty Sen Hồng (A.Diễn) - VÔ GẠO SH.D87 (nước vàng sữa) - 500ml - 40</v>
      </c>
      <c r="I547" s="2" t="str">
        <f>IFERROR(__xludf.DUMMYFUNCTION("""COMPUTED_VALUE"""),"#N/A")</f>
        <v>#N/A</v>
      </c>
      <c r="J547" s="2" t="str">
        <f>IFERROR(__xludf.DUMMYFUNCTION("""COMPUTED_VALUE"""),"cùng ruột 1592")</f>
        <v>cùng ruột 1592</v>
      </c>
      <c r="K547" s="2"/>
      <c r="L547" s="2"/>
      <c r="M547" s="2" t="str">
        <f>IFERROR(__xludf.DUMMYFUNCTION("""COMPUTED_VALUE"""),"SIÊU VÔ GẠO - SEN HỒNG")</f>
        <v>SIÊU VÔ GẠO - SEN HỒNG</v>
      </c>
      <c r="N547" s="2" t="str">
        <f>IFERROR(__xludf.DUMMYFUNCTION("""COMPUTED_VALUE"""),"04VG0008V3")</f>
        <v>04VG0008V3</v>
      </c>
      <c r="O547" s="2" t="str">
        <f>IFERROR(__xludf.DUMMYFUNCTION("""COMPUTED_VALUE"""),"Phân bón Vi lượng Run Fast")</f>
        <v>Phân bón Vi lượng Run Fast</v>
      </c>
      <c r="P547" s="2" t="str">
        <f>IFERROR(__xludf.DUMMYFUNCTION("""COMPUTED_VALUE"""),"#N/A")</f>
        <v>#N/A</v>
      </c>
      <c r="Q547" s="30" t="str">
        <f>IFERROR(__xludf.DUMMYFUNCTION("""COMPUTED_VALUE"""),"KHÔNG KHỚP")</f>
        <v>KHÔNG KHỚP</v>
      </c>
      <c r="R547" s="2"/>
      <c r="S547" s="2"/>
      <c r="T547" s="2"/>
      <c r="U547" s="2"/>
      <c r="V547" s="2"/>
      <c r="W547" s="2"/>
      <c r="X547" s="2"/>
      <c r="Y547" s="2"/>
    </row>
    <row r="548">
      <c r="A548" s="30">
        <f>IFERROR(__xludf.DUMMYFUNCTION("""COMPUTED_VALUE"""),545.0)</f>
        <v>545</v>
      </c>
      <c r="B548" s="39">
        <f>IFERROR(__xludf.DUMMYFUNCTION("""COMPUTED_VALUE"""),45938.0)</f>
        <v>45938</v>
      </c>
      <c r="C548" s="30">
        <f>IFERROR(__xludf.DUMMYFUNCTION("""COMPUTED_VALUE"""),1.0)</f>
        <v>1</v>
      </c>
      <c r="D548" s="30" t="str">
        <f>IFERROR(__xludf.DUMMYFUNCTION("""COMPUTED_VALUE"""),"CT CŨ")</f>
        <v>CT CŨ</v>
      </c>
      <c r="E548" s="30"/>
      <c r="F548" s="2"/>
      <c r="G548" s="2" t="str">
        <f>IFERROR(__xludf.DUMMYFUNCTION("""COMPUTED_VALUE"""),"HH4732")</f>
        <v>HH4732</v>
      </c>
      <c r="H548" s="2" t="str">
        <f>IFERROR(__xludf.DUMMYFUNCTION("""COMPUTED_VALUE"""),"GC - V - 4732 - CTY GNH - Chuyên Lác - Cói (Nước nâu đen) - 1L - 20")</f>
        <v>GC - V - 4732 - CTY GNH - Chuyên Lác - Cói (Nước nâu đen) - 1L - 20</v>
      </c>
      <c r="I548" s="2" t="str">
        <f>IFERROR(__xludf.DUMMYFUNCTION("""COMPUTED_VALUE"""),"#N/A")</f>
        <v>#N/A</v>
      </c>
      <c r="J548" s="2" t="str">
        <f>IFERROR(__xludf.DUMMYFUNCTION("""COMPUTED_VALUE"""),"cùng ruột HH4301")</f>
        <v>cùng ruột HH4301</v>
      </c>
      <c r="K548" s="2"/>
      <c r="L548" s="2" t="str">
        <f>IFERROR(__xludf.DUMMYFUNCTION("""COMPUTED_VALUE"""),"A06270225")</f>
        <v>A06270225</v>
      </c>
      <c r="M548" s="2" t="str">
        <f>IFERROR(__xludf.DUMMYFUNCTION("""COMPUTED_VALUE"""),"RA RỄ NỞ BỤI")</f>
        <v>RA RỄ NỞ BỤI</v>
      </c>
      <c r="N548" s="2" t="str">
        <f>IFERROR(__xludf.DUMMYFUNCTION("""COMPUTED_VALUE"""),"01RR0049V1")</f>
        <v>01RR0049V1</v>
      </c>
      <c r="O548" s="2" t="str">
        <f>IFERROR(__xludf.DUMMYFUNCTION("""COMPUTED_VALUE"""),"Phân bón Vi lượng Quantity New")</f>
        <v>Phân bón Vi lượng Quantity New</v>
      </c>
      <c r="P548" s="2" t="str">
        <f>IFERROR(__xludf.DUMMYFUNCTION("""COMPUTED_VALUE"""),"#N/A")</f>
        <v>#N/A</v>
      </c>
      <c r="Q548" s="30" t="str">
        <f>IFERROR(__xludf.DUMMYFUNCTION("""COMPUTED_VALUE"""),"KHÔNG KHỚP")</f>
        <v>KHÔNG KHỚP</v>
      </c>
      <c r="R548" s="2"/>
      <c r="S548" s="2"/>
      <c r="T548" s="2"/>
      <c r="U548" s="2"/>
      <c r="V548" s="2"/>
      <c r="W548" s="2"/>
      <c r="X548" s="2"/>
      <c r="Y548" s="2"/>
    </row>
    <row r="549">
      <c r="A549" s="30">
        <f>IFERROR(__xludf.DUMMYFUNCTION("""COMPUTED_VALUE"""),546.0)</f>
        <v>546</v>
      </c>
      <c r="B549" s="39">
        <f>IFERROR(__xludf.DUMMYFUNCTION("""COMPUTED_VALUE"""),46020.0)</f>
        <v>46020</v>
      </c>
      <c r="C549" s="30">
        <f>IFERROR(__xludf.DUMMYFUNCTION("""COMPUTED_VALUE"""),1.0)</f>
        <v>1</v>
      </c>
      <c r="D549" s="30" t="str">
        <f>IFERROR(__xludf.DUMMYFUNCTION("""COMPUTED_VALUE"""),"CT MỚI")</f>
        <v>CT MỚI</v>
      </c>
      <c r="E549" s="30"/>
      <c r="F549" s="2"/>
      <c r="G549" s="2" t="str">
        <f>IFERROR(__xludf.DUMMYFUNCTION("""COMPUTED_VALUE"""),"HH4735")</f>
        <v>HH4735</v>
      </c>
      <c r="H549" s="2" t="str">
        <f>IFERROR(__xludf.DUMMYFUNCTION("""COMPUTED_VALUE"""),"GC - V - 4735 - CTY LÂM THÀNH - ZINC SC NANO (Nước xanh lá sữa) - 500ml - 40")</f>
        <v>GC - V - 4735 - CTY LÂM THÀNH - ZINC SC NANO (Nước xanh lá sữa) - 500ml - 40</v>
      </c>
      <c r="I549" s="39" t="str">
        <f>IFERROR(__xludf.DUMMYFUNCTION("""COMPUTED_VALUE"""),"Vi lượng MICKEY")</f>
        <v>Vi lượng MICKEY</v>
      </c>
      <c r="J549" s="2" t="str">
        <f>IFERROR(__xludf.DUMMYFUNCTION("""COMPUTED_VALUE"""),"A01181225")</f>
        <v>A01181225</v>
      </c>
      <c r="K549" s="2"/>
      <c r="L549" s="2" t="str">
        <f>IFERROR(__xludf.DUMMYFUNCTION("""COMPUTED_VALUE"""),"A01181225")</f>
        <v>A01181225</v>
      </c>
      <c r="M549" s="2" t="str">
        <f>IFERROR(__xludf.DUMMYFUNCTION("""COMPUTED_VALUE"""),"KẼM LÂM THÀNH ")</f>
        <v>KẼM LÂM THÀNH </v>
      </c>
      <c r="N549" s="2" t="str">
        <f>IFERROR(__xludf.DUMMYFUNCTION("""COMPUTED_VALUE"""),"13XL0018")</f>
        <v>13XL0018</v>
      </c>
      <c r="O549" s="2" t="str">
        <f>IFERROR(__xludf.DUMMYFUNCTION("""COMPUTED_VALUE"""),"Phân bón Vi lượng MICKEY")</f>
        <v>Phân bón Vi lượng MICKEY</v>
      </c>
      <c r="P549" s="2" t="str">
        <f>IFERROR(__xludf.DUMMYFUNCTION("""COMPUTED_VALUE"""),"Phân bón Vi lượng MICKEY")</f>
        <v>Phân bón Vi lượng MICKEY</v>
      </c>
      <c r="Q549" s="30" t="str">
        <f>IFERROR(__xludf.DUMMYFUNCTION("""COMPUTED_VALUE"""),"KHỚP")</f>
        <v>KHỚP</v>
      </c>
      <c r="R549" s="2"/>
      <c r="S549" s="2"/>
      <c r="T549" s="2"/>
      <c r="U549" s="2"/>
      <c r="V549" s="2"/>
      <c r="W549" s="2"/>
      <c r="X549" s="2"/>
      <c r="Y549" s="2"/>
    </row>
    <row r="550">
      <c r="A550" s="30">
        <f>IFERROR(__xludf.DUMMYFUNCTION("""COMPUTED_VALUE"""),547.0)</f>
        <v>547</v>
      </c>
      <c r="B550" s="39">
        <f>IFERROR(__xludf.DUMMYFUNCTION("""COMPUTED_VALUE"""),46055.0)</f>
        <v>46055</v>
      </c>
      <c r="C550" s="30">
        <f>IFERROR(__xludf.DUMMYFUNCTION("""COMPUTED_VALUE"""),1.0)</f>
        <v>1</v>
      </c>
      <c r="D550" s="30" t="str">
        <f>IFERROR(__xludf.DUMMYFUNCTION("""COMPUTED_VALUE"""),"CT MỚI")</f>
        <v>CT MỚI</v>
      </c>
      <c r="E550" s="30"/>
      <c r="F550" s="2"/>
      <c r="G550" s="2" t="str">
        <f>IFERROR(__xludf.DUMMYFUNCTION("""COMPUTED_VALUE"""),"HH4726")</f>
        <v>HH4726</v>
      </c>
      <c r="H550" s="2" t="str">
        <f>IFERROR(__xludf.DUMMYFUNCTION("""COMPUTED_VALUE"""),"LOT IDA (AN PHÁT NÔNG) - Vi lượng Run Fast - CALCIBOR - 500ml - 40")</f>
        <v>LOT IDA (AN PHÁT NÔNG) - Vi lượng Run Fast - CALCIBOR - 500ml - 40</v>
      </c>
      <c r="I550" s="2" t="str">
        <f>IFERROR(__xludf.DUMMYFUNCTION("""COMPUTED_VALUE"""),"#N/A")</f>
        <v>#N/A</v>
      </c>
      <c r="J550" s="2" t="str">
        <f>IFERROR(__xludf.DUMMYFUNCTION("""COMPUTED_VALUE"""),"Chung ruột HH3894")</f>
        <v>Chung ruột HH3894</v>
      </c>
      <c r="K550" s="2"/>
      <c r="L550" s="2"/>
      <c r="M550" s="2" t="str">
        <f>IFERROR(__xludf.DUMMYFUNCTION("""COMPUTED_VALUE"""),"CALCIBOR - AN PHÁT NÔNG")</f>
        <v>CALCIBOR - AN PHÁT NÔNG</v>
      </c>
      <c r="N550" s="2" t="str">
        <f>IFERROR(__xludf.DUMMYFUNCTION("""COMPUTED_VALUE"""),"10CR0011V1")</f>
        <v>10CR0011V1</v>
      </c>
      <c r="O550" s="2" t="str">
        <f>IFERROR(__xludf.DUMMYFUNCTION("""COMPUTED_VALUE"""),"Phân bón Vi lượng Run Fast")</f>
        <v>Phân bón Vi lượng Run Fast</v>
      </c>
      <c r="P550" s="2" t="str">
        <f>IFERROR(__xludf.DUMMYFUNCTION("""COMPUTED_VALUE"""),"#N/A")</f>
        <v>#N/A</v>
      </c>
      <c r="Q550" s="30" t="str">
        <f>IFERROR(__xludf.DUMMYFUNCTION("""COMPUTED_VALUE"""),"KHÔNG KHỚP")</f>
        <v>KHÔNG KHỚP</v>
      </c>
      <c r="R550" s="2"/>
      <c r="S550" s="2"/>
      <c r="T550" s="2"/>
      <c r="U550" s="2"/>
      <c r="V550" s="2"/>
      <c r="W550" s="2"/>
      <c r="X550" s="2"/>
      <c r="Y550" s="2"/>
    </row>
    <row r="551">
      <c r="A551" s="30">
        <f>IFERROR(__xludf.DUMMYFUNCTION("""COMPUTED_VALUE"""),548.0)</f>
        <v>548</v>
      </c>
      <c r="B551" s="39">
        <f>IFERROR(__xludf.DUMMYFUNCTION("""COMPUTED_VALUE"""),45997.0)</f>
        <v>45997</v>
      </c>
      <c r="C551" s="30">
        <f>IFERROR(__xludf.DUMMYFUNCTION("""COMPUTED_VALUE"""),2.0)</f>
        <v>2</v>
      </c>
      <c r="D551" s="30" t="str">
        <f>IFERROR(__xludf.DUMMYFUNCTION("""COMPUTED_VALUE"""),"CT CŨ")</f>
        <v>CT CŨ</v>
      </c>
      <c r="E551" s="30"/>
      <c r="F551" s="2"/>
      <c r="G551" s="2" t="str">
        <f>IFERROR(__xludf.DUMMYFUNCTION("""COMPUTED_VALUE"""),"HH4649")</f>
        <v>HH4649</v>
      </c>
      <c r="H551" s="2" t="str">
        <f>IFERROR(__xludf.DUMMYFUNCTION("""COMPUTED_VALUE"""),"IDA Global - I - 4649 - CANXI BO LIQUID (Nước trắng sữa) - 500ml - 40")</f>
        <v>IDA Global - I - 4649 - CANXI BO LIQUID (Nước trắng sữa) - 500ml - 40</v>
      </c>
      <c r="I551" s="2" t="str">
        <f>IFERROR(__xludf.DUMMYFUNCTION("""COMPUTED_VALUE"""),"#N/A")</f>
        <v>#N/A</v>
      </c>
      <c r="J551" s="2" t="str">
        <f>IFERROR(__xludf.DUMMYFUNCTION("""COMPUTED_VALUE"""),"Đóng theo đơn gần nhất")</f>
        <v>Đóng theo đơn gần nhất</v>
      </c>
      <c r="K551" s="2"/>
      <c r="L551" s="2"/>
      <c r="M551" s="2" t="str">
        <f>IFERROR(__xludf.DUMMYFUNCTION("""COMPUTED_VALUE"""),"CANXI BO MASTER")</f>
        <v>CANXI BO MASTER</v>
      </c>
      <c r="N551" s="2" t="str">
        <f>IFERROR(__xludf.DUMMYFUNCTION("""COMPUTED_VALUE"""),"10CR0015V1")</f>
        <v>10CR0015V1</v>
      </c>
      <c r="O551" s="2" t="str">
        <f>IFERROR(__xludf.DUMMYFUNCTION("""COMPUTED_VALUE"""),"Phân bón Vi lượng AGAMA-CANXI BO")</f>
        <v>Phân bón Vi lượng AGAMA-CANXI BO</v>
      </c>
      <c r="P551" s="2" t="str">
        <f>IFERROR(__xludf.DUMMYFUNCTION("""COMPUTED_VALUE"""),"#N/A")</f>
        <v>#N/A</v>
      </c>
      <c r="Q551" s="30" t="str">
        <f>IFERROR(__xludf.DUMMYFUNCTION("""COMPUTED_VALUE"""),"KHÔNG KHỚP")</f>
        <v>KHÔNG KHỚP</v>
      </c>
      <c r="R551" s="2"/>
      <c r="S551" s="2"/>
      <c r="T551" s="2"/>
      <c r="U551" s="2"/>
      <c r="V551" s="2"/>
      <c r="W551" s="2"/>
      <c r="X551" s="2"/>
      <c r="Y551" s="2"/>
    </row>
    <row r="552">
      <c r="A552" s="30">
        <f>IFERROR(__xludf.DUMMYFUNCTION("""COMPUTED_VALUE"""),549.0)</f>
        <v>549</v>
      </c>
      <c r="B552" s="39">
        <f>IFERROR(__xludf.DUMMYFUNCTION("""COMPUTED_VALUE"""),45993.0)</f>
        <v>45993</v>
      </c>
      <c r="C552" s="30">
        <f>IFERROR(__xludf.DUMMYFUNCTION("""COMPUTED_VALUE"""),2.0)</f>
        <v>2</v>
      </c>
      <c r="D552" s="30" t="str">
        <f>IFERROR(__xludf.DUMMYFUNCTION("""COMPUTED_VALUE"""),"CT CŨ")</f>
        <v>CT CŨ</v>
      </c>
      <c r="E552" s="30"/>
      <c r="F552" s="2"/>
      <c r="G552" s="2" t="str">
        <f>IFERROR(__xludf.DUMMYFUNCTION("""COMPUTED_VALUE"""),"HH4596")</f>
        <v>HH4596</v>
      </c>
      <c r="H552" s="2" t="str">
        <f>IFERROR(__xludf.DUMMYFUNCTION("""COMPUTED_VALUE"""),"IDA Global - I - 4596 - IDA ORGANIC X2 (Nước nâu đen) - 5L - 4")</f>
        <v>IDA Global - I - 4596 - IDA ORGANIC X2 (Nước nâu đen) - 5L - 4</v>
      </c>
      <c r="I552" s="2" t="str">
        <f>IFERROR(__xludf.DUMMYFUNCTION("""COMPUTED_VALUE"""),"#N/A")</f>
        <v>#N/A</v>
      </c>
      <c r="J552" s="2" t="str">
        <f>IFERROR(__xludf.DUMMYFUNCTION("""COMPUTED_VALUE"""),"Đóng theo đơn gần nhất")</f>
        <v>Đóng theo đơn gần nhất</v>
      </c>
      <c r="K552" s="2"/>
      <c r="L552" s="2"/>
      <c r="M552" s="2" t="str">
        <f>IFERROR(__xludf.DUMMYFUNCTION("""COMPUTED_VALUE"""),"ORGANIC X2")</f>
        <v>ORGANIC X2</v>
      </c>
      <c r="N552" s="2" t="str">
        <f>IFERROR(__xludf.DUMMYFUNCTION("""COMPUTED_VALUE"""),"01RR0044V3")</f>
        <v>01RR0044V3</v>
      </c>
      <c r="O552" s="2" t="str">
        <f>IFERROR(__xludf.DUMMYFUNCTION("""COMPUTED_VALUE"""),"Phân bón Hữu cơ SH Agro Organic Fertilizer 20")</f>
        <v>Phân bón Hữu cơ SH Agro Organic Fertilizer 20</v>
      </c>
      <c r="P552" s="2" t="str">
        <f>IFERROR(__xludf.DUMMYFUNCTION("""COMPUTED_VALUE"""),"#N/A")</f>
        <v>#N/A</v>
      </c>
      <c r="Q552" s="30" t="str">
        <f>IFERROR(__xludf.DUMMYFUNCTION("""COMPUTED_VALUE"""),"KHÔNG KHỚP")</f>
        <v>KHÔNG KHỚP</v>
      </c>
      <c r="R552" s="2"/>
      <c r="S552" s="2"/>
      <c r="T552" s="2"/>
      <c r="U552" s="2"/>
      <c r="V552" s="2"/>
      <c r="W552" s="2"/>
      <c r="X552" s="2"/>
      <c r="Y552" s="2"/>
    </row>
    <row r="553">
      <c r="A553" s="30">
        <f>IFERROR(__xludf.DUMMYFUNCTION("""COMPUTED_VALUE"""),550.0)</f>
        <v>550</v>
      </c>
      <c r="B553" s="39">
        <f>IFERROR(__xludf.DUMMYFUNCTION("""COMPUTED_VALUE"""),46050.0)</f>
        <v>46050</v>
      </c>
      <c r="C553" s="30">
        <f>IFERROR(__xludf.DUMMYFUNCTION("""COMPUTED_VALUE"""),1.0)</f>
        <v>1</v>
      </c>
      <c r="D553" s="30" t="str">
        <f>IFERROR(__xludf.DUMMYFUNCTION("""COMPUTED_VALUE"""),"CT MỚI")</f>
        <v>CT MỚI</v>
      </c>
      <c r="E553" s="30"/>
      <c r="F553" s="2"/>
      <c r="G553" s="2" t="str">
        <f>IFERROR(__xludf.DUMMYFUNCTION("""COMPUTED_VALUE"""),"HH4650")</f>
        <v>HH4650</v>
      </c>
      <c r="H553" s="2" t="str">
        <f>IFERROR(__xludf.DUMMYFUNCTION("""COMPUTED_VALUE"""),"IDA Global - I - 4650 - SIÊU KẼM 247 (Nước vàng sữa) - 250ml - 40")</f>
        <v>IDA Global - I - 4650 - SIÊU KẼM 247 (Nước vàng sữa) - 250ml - 40</v>
      </c>
      <c r="I553" s="2" t="str">
        <f>IFERROR(__xludf.DUMMYFUNCTION("""COMPUTED_VALUE"""),"#N/A")</f>
        <v>#N/A</v>
      </c>
      <c r="J553" s="2" t="str">
        <f>IFERROR(__xludf.DUMMYFUNCTION("""COMPUTED_VALUE"""),"Mã I03220126")</f>
        <v>Mã I03220126</v>
      </c>
      <c r="K553" s="2"/>
      <c r="L553" s="2" t="str">
        <f>IFERROR(__xludf.DUMMYFUNCTION("""COMPUTED_VALUE"""),"I03220126 ")</f>
        <v>I03220126 </v>
      </c>
      <c r="M553" s="2" t="str">
        <f>IFERROR(__xludf.DUMMYFUNCTION("""COMPUTED_VALUE"""),"SIÊU KẼM 247 (CẢI TIẾN)")</f>
        <v>SIÊU KẼM 247 (CẢI TIẾN)</v>
      </c>
      <c r="N553" s="2" t="str">
        <f>IFERROR(__xludf.DUMMYFUNCTION("""COMPUTED_VALUE"""),"19DD0029")</f>
        <v>19DD0029</v>
      </c>
      <c r="O553" s="2" t="str">
        <f>IFERROR(__xludf.DUMMYFUNCTION("""COMPUTED_VALUE"""),"Phân bón vi lượng Phú Sĩ FJ-09 Kẽm Mg")</f>
        <v>Phân bón vi lượng Phú Sĩ FJ-09 Kẽm Mg</v>
      </c>
      <c r="P553" s="2" t="str">
        <f>IFERROR(__xludf.DUMMYFUNCTION("""COMPUTED_VALUE"""),"#N/A")</f>
        <v>#N/A</v>
      </c>
      <c r="Q553" s="30" t="str">
        <f>IFERROR(__xludf.DUMMYFUNCTION("""COMPUTED_VALUE"""),"KHÔNG KHỚP")</f>
        <v>KHÔNG KHỚP</v>
      </c>
      <c r="R553" s="2"/>
      <c r="S553" s="2"/>
      <c r="T553" s="2"/>
      <c r="U553" s="2"/>
      <c r="V553" s="2"/>
      <c r="W553" s="2"/>
      <c r="X553" s="2"/>
      <c r="Y553" s="2"/>
    </row>
    <row r="554">
      <c r="A554" s="30">
        <f>IFERROR(__xludf.DUMMYFUNCTION("""COMPUTED_VALUE"""),551.0)</f>
        <v>551</v>
      </c>
      <c r="B554" s="39" t="str">
        <f>IFERROR(__xludf.DUMMYFUNCTION("""COMPUTED_VALUE"""),"")</f>
        <v/>
      </c>
      <c r="C554" s="30">
        <f>IFERROR(__xludf.DUMMYFUNCTION("""COMPUTED_VALUE"""),1.0)</f>
        <v>1</v>
      </c>
      <c r="D554" s="30" t="str">
        <f>IFERROR(__xludf.DUMMYFUNCTION("""COMPUTED_VALUE"""),"CT MỚI")</f>
        <v>CT MỚI</v>
      </c>
      <c r="E554" s="30"/>
      <c r="F554" s="2"/>
      <c r="G554" s="2" t="str">
        <f>IFERROR(__xludf.DUMMYFUNCTION("""COMPUTED_VALUE"""),"HH4416")</f>
        <v>HH4416</v>
      </c>
      <c r="H554" s="2" t="str">
        <f>IFERROR(__xludf.DUMMYFUNCTION("""COMPUTED_VALUE"""),"GC - V - 4416 - CTY NAUY - CHỐNG RỤNG TRÁI (Nước nâu đen) - 500ml - 40")</f>
        <v>GC - V - 4416 - CTY NAUY - CHỐNG RỤNG TRÁI (Nước nâu đen) - 500ml - 40</v>
      </c>
      <c r="I554" s="2" t="str">
        <f>IFERROR(__xludf.DUMMYFUNCTION("""COMPUTED_VALUE"""),"#N/A")</f>
        <v>#N/A</v>
      </c>
      <c r="J554" s="2" t="str">
        <f>IFERROR(__xludf.DUMMYFUNCTION("""COMPUTED_VALUE"""),"S04180225")</f>
        <v>S04180225</v>
      </c>
      <c r="K554" s="2"/>
      <c r="L554" s="2" t="str">
        <f>IFERROR(__xludf.DUMMYFUNCTION("""COMPUTED_VALUE"""),"")</f>
        <v/>
      </c>
      <c r="M554" s="2" t="str">
        <f>IFERROR(__xludf.DUMMYFUNCTION("""COMPUTED_VALUE"""),"")</f>
        <v/>
      </c>
      <c r="N554" s="2" t="str">
        <f>IFERROR(__xludf.DUMMYFUNCTION("""COMPUTED_VALUE"""),"Huỷ đơn")</f>
        <v>Huỷ đơn</v>
      </c>
      <c r="O554" s="2" t="str">
        <f>IFERROR(__xludf.DUMMYFUNCTION("""COMPUTED_VALUE"""),"")</f>
        <v/>
      </c>
      <c r="P554" s="2" t="str">
        <f>IFERROR(__xludf.DUMMYFUNCTION("""COMPUTED_VALUE"""),"#N/A")</f>
        <v>#N/A</v>
      </c>
      <c r="Q554" s="30" t="str">
        <f>IFERROR(__xludf.DUMMYFUNCTION("""COMPUTED_VALUE"""),"KHÔNG KHỚP")</f>
        <v>KHÔNG KHỚP</v>
      </c>
      <c r="R554" s="2"/>
      <c r="S554" s="2"/>
      <c r="T554" s="2"/>
      <c r="U554" s="2"/>
      <c r="V554" s="2"/>
      <c r="W554" s="2"/>
      <c r="X554" s="2"/>
      <c r="Y554" s="2"/>
    </row>
    <row r="555">
      <c r="A555" s="30">
        <f>IFERROR(__xludf.DUMMYFUNCTION("""COMPUTED_VALUE"""),552.0)</f>
        <v>552</v>
      </c>
      <c r="B555" s="39" t="str">
        <f>IFERROR(__xludf.DUMMYFUNCTION("""COMPUTED_VALUE"""),"")</f>
        <v/>
      </c>
      <c r="C555" s="30">
        <f>IFERROR(__xludf.DUMMYFUNCTION("""COMPUTED_VALUE"""),1.0)</f>
        <v>1</v>
      </c>
      <c r="D555" s="30" t="str">
        <f>IFERROR(__xludf.DUMMYFUNCTION("""COMPUTED_VALUE"""),"CT CŨ")</f>
        <v>CT CŨ</v>
      </c>
      <c r="E555" s="30"/>
      <c r="F555" s="2"/>
      <c r="G555" s="2" t="str">
        <f>IFERROR(__xludf.DUMMYFUNCTION("""COMPUTED_VALUE"""),"HH4414")</f>
        <v>HH4414</v>
      </c>
      <c r="H555" s="2" t="str">
        <f>IFERROR(__xludf.DUMMYFUNCTION("""COMPUTED_VALUE"""),"GC - V - 4414 - CTY NAUY - CHUYÊN GIA TO TRÁI (Nước nâu đen) - 500ml - 40")</f>
        <v>GC - V - 4414 - CTY NAUY - CHUYÊN GIA TO TRÁI (Nước nâu đen) - 500ml - 40</v>
      </c>
      <c r="I555" s="2" t="str">
        <f>IFERROR(__xludf.DUMMYFUNCTION("""COMPUTED_VALUE"""),"#N/A")</f>
        <v>#N/A</v>
      </c>
      <c r="J555" s="2" t="str">
        <f>IFERROR(__xludf.DUMMYFUNCTION("""COMPUTED_VALUE"""),"A09070825")</f>
        <v>A09070825</v>
      </c>
      <c r="K555" s="2"/>
      <c r="L555" s="2" t="str">
        <f>IFERROR(__xludf.DUMMYFUNCTION("""COMPUTED_VALUE"""),"")</f>
        <v/>
      </c>
      <c r="M555" s="2" t="str">
        <f>IFERROR(__xludf.DUMMYFUNCTION("""COMPUTED_VALUE"""),"")</f>
        <v/>
      </c>
      <c r="N555" s="2" t="str">
        <f>IFERROR(__xludf.DUMMYFUNCTION("""COMPUTED_VALUE"""),"Huỷ đơn")</f>
        <v>Huỷ đơn</v>
      </c>
      <c r="O555" s="2" t="str">
        <f>IFERROR(__xludf.DUMMYFUNCTION("""COMPUTED_VALUE"""),"")</f>
        <v/>
      </c>
      <c r="P555" s="2" t="str">
        <f>IFERROR(__xludf.DUMMYFUNCTION("""COMPUTED_VALUE"""),"#N/A")</f>
        <v>#N/A</v>
      </c>
      <c r="Q555" s="30" t="str">
        <f>IFERROR(__xludf.DUMMYFUNCTION("""COMPUTED_VALUE"""),"KHÔNG KHỚP")</f>
        <v>KHÔNG KHỚP</v>
      </c>
      <c r="R555" s="2"/>
      <c r="S555" s="2"/>
      <c r="T555" s="2"/>
      <c r="U555" s="2"/>
      <c r="V555" s="2"/>
      <c r="W555" s="2"/>
      <c r="X555" s="2"/>
      <c r="Y555" s="2"/>
    </row>
    <row r="556">
      <c r="A556" s="30">
        <f>IFERROR(__xludf.DUMMYFUNCTION("""COMPUTED_VALUE"""),553.0)</f>
        <v>553</v>
      </c>
      <c r="B556" s="39" t="str">
        <f>IFERROR(__xludf.DUMMYFUNCTION("""COMPUTED_VALUE"""),"")</f>
        <v/>
      </c>
      <c r="C556" s="30">
        <f>IFERROR(__xludf.DUMMYFUNCTION("""COMPUTED_VALUE"""),1.0)</f>
        <v>1</v>
      </c>
      <c r="D556" s="30" t="str">
        <f>IFERROR(__xludf.DUMMYFUNCTION("""COMPUTED_VALUE"""),"CT MỚI")</f>
        <v>CT MỚI</v>
      </c>
      <c r="E556" s="30"/>
      <c r="F556" s="2"/>
      <c r="G556" s="2" t="str">
        <f>IFERROR(__xludf.DUMMYFUNCTION("""COMPUTED_VALUE"""),"HH4415")</f>
        <v>HH4415</v>
      </c>
      <c r="H556" s="2" t="str">
        <f>IFERROR(__xludf.DUMMYFUNCTION("""COMPUTED_VALUE"""),"GC - V - 4415 - CTY NAUY - RA HOA (Nước nâu đen) - 500ml - 40")</f>
        <v>GC - V - 4415 - CTY NAUY - RA HOA (Nước nâu đen) - 500ml - 40</v>
      </c>
      <c r="I556" s="2" t="str">
        <f>IFERROR(__xludf.DUMMYFUNCTION("""COMPUTED_VALUE"""),"#N/A")</f>
        <v>#N/A</v>
      </c>
      <c r="J556" s="2" t="str">
        <f>IFERROR(__xludf.DUMMYFUNCTION("""COMPUTED_VALUE"""),"A02220825")</f>
        <v>A02220825</v>
      </c>
      <c r="K556" s="2"/>
      <c r="L556" s="2" t="str">
        <f>IFERROR(__xludf.DUMMYFUNCTION("""COMPUTED_VALUE"""),"")</f>
        <v/>
      </c>
      <c r="M556" s="2" t="str">
        <f>IFERROR(__xludf.DUMMYFUNCTION("""COMPUTED_VALUE"""),"")</f>
        <v/>
      </c>
      <c r="N556" s="2" t="str">
        <f>IFERROR(__xludf.DUMMYFUNCTION("""COMPUTED_VALUE"""),"Huỷ đơn")</f>
        <v>Huỷ đơn</v>
      </c>
      <c r="O556" s="2" t="str">
        <f>IFERROR(__xludf.DUMMYFUNCTION("""COMPUTED_VALUE"""),"")</f>
        <v/>
      </c>
      <c r="P556" s="2" t="str">
        <f>IFERROR(__xludf.DUMMYFUNCTION("""COMPUTED_VALUE"""),"#N/A")</f>
        <v>#N/A</v>
      </c>
      <c r="Q556" s="30" t="str">
        <f>IFERROR(__xludf.DUMMYFUNCTION("""COMPUTED_VALUE"""),"KHÔNG KHỚP")</f>
        <v>KHÔNG KHỚP</v>
      </c>
      <c r="R556" s="2"/>
      <c r="S556" s="2"/>
      <c r="T556" s="2"/>
      <c r="U556" s="2"/>
      <c r="V556" s="2"/>
      <c r="W556" s="2"/>
      <c r="X556" s="2"/>
      <c r="Y556" s="2"/>
    </row>
    <row r="557">
      <c r="A557" s="30">
        <f>IFERROR(__xludf.DUMMYFUNCTION("""COMPUTED_VALUE"""),554.0)</f>
        <v>554</v>
      </c>
      <c r="B557" s="39">
        <f>IFERROR(__xludf.DUMMYFUNCTION("""COMPUTED_VALUE"""),45983.0)</f>
        <v>45983</v>
      </c>
      <c r="C557" s="30">
        <f>IFERROR(__xludf.DUMMYFUNCTION("""COMPUTED_VALUE"""),2.0)</f>
        <v>2</v>
      </c>
      <c r="D557" s="30" t="str">
        <f>IFERROR(__xludf.DUMMYFUNCTION("""COMPUTED_VALUE"""),"CT MỚI")</f>
        <v>CT MỚI</v>
      </c>
      <c r="E557" s="30"/>
      <c r="F557" s="2"/>
      <c r="G557" s="2" t="str">
        <f>IFERROR(__xludf.DUMMYFUNCTION("""COMPUTED_VALUE"""),"HH4586")</f>
        <v>HH4586</v>
      </c>
      <c r="H557" s="2" t="str">
        <f>IFERROR(__xludf.DUMMYFUNCTION("""COMPUTED_VALUE"""),"LOTUS AGROCHEM - VI - 4586 - LOTUS DIỆP LỤC (Nước trắng sữa) - 500ml - 40")</f>
        <v>LOTUS AGROCHEM - VI - 4586 - LOTUS DIỆP LỤC (Nước trắng sữa) - 500ml - 40</v>
      </c>
      <c r="I557" s="39" t="str">
        <f>IFERROR(__xludf.DUMMYFUNCTION("""COMPUTED_VALUE"""),"vi lượng Phú Sĩ FJ-09 Kẽm Mg")</f>
        <v>vi lượng Phú Sĩ FJ-09 Kẽm Mg</v>
      </c>
      <c r="J557" s="2" t="str">
        <f>IFERROR(__xludf.DUMMYFUNCTION("""COMPUTED_VALUE"""),"Đóng theo đơn gần nhất")</f>
        <v>Đóng theo đơn gần nhất</v>
      </c>
      <c r="K557" s="2"/>
      <c r="L557" s="2" t="str">
        <f>IFERROR(__xludf.DUMMYFUNCTION("""COMPUTED_VALUE"""),"BB26040725")</f>
        <v>BB26040725</v>
      </c>
      <c r="M557" s="2" t="str">
        <f>IFERROR(__xludf.DUMMYFUNCTION("""COMPUTED_VALUE"""),"BAMBOO MG KẼM
LOTUS DIỆP LỤC")</f>
        <v>BAMBOO MG KẼM
LOTUS DIỆP LỤC</v>
      </c>
      <c r="N557" s="2" t="str">
        <f>IFERROR(__xludf.DUMMYFUNCTION("""COMPUTED_VALUE"""),"13XL0017V2")</f>
        <v>13XL0017V2</v>
      </c>
      <c r="O557" s="2" t="str">
        <f>IFERROR(__xludf.DUMMYFUNCTION("""COMPUTED_VALUE"""),"Phân bón vi lượng Phú Sĩ FJ-09 Kẽm Mg")</f>
        <v>Phân bón vi lượng Phú Sĩ FJ-09 Kẽm Mg</v>
      </c>
      <c r="P557" s="2" t="str">
        <f>IFERROR(__xludf.DUMMYFUNCTION("""COMPUTED_VALUE"""),"Phân bón vi lượng Phú Sĩ FJ-09 Kẽm Mg")</f>
        <v>Phân bón vi lượng Phú Sĩ FJ-09 Kẽm Mg</v>
      </c>
      <c r="Q557" s="30" t="str">
        <f>IFERROR(__xludf.DUMMYFUNCTION("""COMPUTED_VALUE"""),"KHỚP")</f>
        <v>KHỚP</v>
      </c>
      <c r="R557" s="2"/>
      <c r="S557" s="2"/>
      <c r="T557" s="2"/>
      <c r="U557" s="2"/>
      <c r="V557" s="2"/>
      <c r="W557" s="2"/>
      <c r="X557" s="2"/>
      <c r="Y557" s="2"/>
    </row>
    <row r="558">
      <c r="A558" s="30">
        <f>IFERROR(__xludf.DUMMYFUNCTION("""COMPUTED_VALUE"""),555.0)</f>
        <v>555</v>
      </c>
      <c r="B558" s="39">
        <f>IFERROR(__xludf.DUMMYFUNCTION("""COMPUTED_VALUE"""),46046.0)</f>
        <v>46046</v>
      </c>
      <c r="C558" s="30">
        <f>IFERROR(__xludf.DUMMYFUNCTION("""COMPUTED_VALUE"""),2.0)</f>
        <v>2</v>
      </c>
      <c r="D558" s="30" t="str">
        <f>IFERROR(__xludf.DUMMYFUNCTION("""COMPUTED_VALUE"""),"CT CŨ")</f>
        <v>CT CŨ</v>
      </c>
      <c r="E558" s="30"/>
      <c r="F558" s="2"/>
      <c r="G558" s="2" t="str">
        <f>IFERROR(__xludf.DUMMYFUNCTION("""COMPUTED_VALUE"""),"HH4648")</f>
        <v>HH4648</v>
      </c>
      <c r="H558" s="2" t="str">
        <f>IFERROR(__xludf.DUMMYFUNCTION("""COMPUTED_VALUE"""),"GC - V - 4648 - THÀNH CÔNG AGRI - ULTRA FRUIT (Gel nâu đen) - 20L - 1")</f>
        <v>GC - V - 4648 - THÀNH CÔNG AGRI - ULTRA FRUIT (Gel nâu đen) - 20L - 1</v>
      </c>
      <c r="I558" s="39" t="str">
        <f>IFERROR(__xludf.DUMMYFUNCTION("""COMPUTED_VALUE"""),"Vi lượng Quantity New")</f>
        <v>Vi lượng Quantity New</v>
      </c>
      <c r="J558" s="2" t="str">
        <f>IFERROR(__xludf.DUMMYFUNCTION("""COMPUTED_VALUE"""),"Cùng ruột 3972")</f>
        <v>Cùng ruột 3972</v>
      </c>
      <c r="K558" s="2"/>
      <c r="L558" s="2"/>
      <c r="M558" s="2" t="str">
        <f>IFERROR(__xludf.DUMMYFUNCTION("""COMPUTED_VALUE"""),"ULTRA FRUIT")</f>
        <v>ULTRA FRUIT</v>
      </c>
      <c r="N558" s="2" t="str">
        <f>IFERROR(__xludf.DUMMYFUNCTION("""COMPUTED_VALUE"""),"11TT0006V2")</f>
        <v>11TT0006V2</v>
      </c>
      <c r="O558" s="2" t="str">
        <f>IFERROR(__xludf.DUMMYFUNCTION("""COMPUTED_VALUE"""),"Phân bón Vi lượng Quantity New")</f>
        <v>Phân bón Vi lượng Quantity New</v>
      </c>
      <c r="P558" s="2" t="str">
        <f>IFERROR(__xludf.DUMMYFUNCTION("""COMPUTED_VALUE"""),"Phân bón Vi lượng Quantity New")</f>
        <v>Phân bón Vi lượng Quantity New</v>
      </c>
      <c r="Q558" s="30" t="str">
        <f>IFERROR(__xludf.DUMMYFUNCTION("""COMPUTED_VALUE"""),"KHỚP")</f>
        <v>KHỚP</v>
      </c>
      <c r="R558" s="2"/>
      <c r="S558" s="2"/>
      <c r="T558" s="2"/>
      <c r="U558" s="2"/>
      <c r="V558" s="2"/>
      <c r="W558" s="2"/>
      <c r="X558" s="2"/>
      <c r="Y558" s="2"/>
    </row>
    <row r="559">
      <c r="A559" s="30">
        <f>IFERROR(__xludf.DUMMYFUNCTION("""COMPUTED_VALUE"""),556.0)</f>
        <v>556</v>
      </c>
      <c r="B559" s="39">
        <f>IFERROR(__xludf.DUMMYFUNCTION("""COMPUTED_VALUE"""),45994.0)</f>
        <v>45994</v>
      </c>
      <c r="C559" s="30">
        <f>IFERROR(__xludf.DUMMYFUNCTION("""COMPUTED_VALUE"""),3.0)</f>
        <v>3</v>
      </c>
      <c r="D559" s="30" t="str">
        <f>IFERROR(__xludf.DUMMYFUNCTION("""COMPUTED_VALUE"""),"CT CŨ")</f>
        <v>CT CŨ</v>
      </c>
      <c r="E559" s="30"/>
      <c r="F559" s="2"/>
      <c r="G559" s="2" t="str">
        <f>IFERROR(__xludf.DUMMYFUNCTION("""COMPUTED_VALUE"""),"HH4556")</f>
        <v>HH4556</v>
      </c>
      <c r="H559" s="2" t="str">
        <f>IFERROR(__xludf.DUMMYFUNCTION("""COMPUTED_VALUE"""),"GC - V - 4556 - CTY NAUY - ZN++ GOLD (Nước xanh lá sữa) - 250ml - 40")</f>
        <v>GC - V - 4556 - CTY NAUY - ZN++ GOLD (Nước xanh lá sữa) - 250ml - 40</v>
      </c>
      <c r="I559" s="2" t="str">
        <f>IFERROR(__xludf.DUMMYFUNCTION("""COMPUTED_VALUE"""),"#N/A")</f>
        <v>#N/A</v>
      </c>
      <c r="J559" s="2" t="str">
        <f>IFERROR(__xludf.DUMMYFUNCTION("""COMPUTED_VALUE"""),"Cùng ruột 
HH3709
A09291024")</f>
        <v>Cùng ruột 
HH3709
A09291024</v>
      </c>
      <c r="K559" s="2"/>
      <c r="L559" s="2" t="str">
        <f>IFERROR(__xludf.DUMMYFUNCTION("""COMPUTED_VALUE"""),"A09291024")</f>
        <v>A09291024</v>
      </c>
      <c r="M559" s="2" t="str">
        <f>IFERROR(__xludf.DUMMYFUNCTION("""COMPUTED_VALUE"""),"BETA AMINO KẼM
ZN++ GOLD")</f>
        <v>BETA AMINO KẼM
ZN++ GOLD</v>
      </c>
      <c r="N559" s="2" t="str">
        <f>IFERROR(__xludf.DUMMYFUNCTION("""COMPUTED_VALUE"""),"13XL0011V1")</f>
        <v>13XL0011V1</v>
      </c>
      <c r="O559" s="2" t="str">
        <f>IFERROR(__xludf.DUMMYFUNCTION("""COMPUTED_VALUE"""),"Phân bón Vi lượng MICKEY")</f>
        <v>Phân bón Vi lượng MICKEY</v>
      </c>
      <c r="P559" s="2" t="str">
        <f>IFERROR(__xludf.DUMMYFUNCTION("""COMPUTED_VALUE"""),"#N/A")</f>
        <v>#N/A</v>
      </c>
      <c r="Q559" s="30" t="str">
        <f>IFERROR(__xludf.DUMMYFUNCTION("""COMPUTED_VALUE"""),"KHÔNG KHỚP")</f>
        <v>KHÔNG KHỚP</v>
      </c>
      <c r="R559" s="2"/>
      <c r="S559" s="2"/>
      <c r="T559" s="2"/>
      <c r="U559" s="2"/>
      <c r="V559" s="2"/>
      <c r="W559" s="2"/>
      <c r="X559" s="2"/>
      <c r="Y559" s="2"/>
    </row>
    <row r="560">
      <c r="A560" s="30">
        <f>IFERROR(__xludf.DUMMYFUNCTION("""COMPUTED_VALUE"""),557.0)</f>
        <v>557</v>
      </c>
      <c r="B560" s="39">
        <f>IFERROR(__xludf.DUMMYFUNCTION("""COMPUTED_VALUE"""),45964.0)</f>
        <v>45964</v>
      </c>
      <c r="C560" s="30">
        <f>IFERROR(__xludf.DUMMYFUNCTION("""COMPUTED_VALUE"""),3.0)</f>
        <v>3</v>
      </c>
      <c r="D560" s="30" t="str">
        <f>IFERROR(__xludf.DUMMYFUNCTION("""COMPUTED_VALUE"""),"CT CŨ")</f>
        <v>CT CŨ</v>
      </c>
      <c r="E560" s="30"/>
      <c r="F560" s="2"/>
      <c r="G560" s="2" t="str">
        <f>IFERROR(__xludf.DUMMYFUNCTION("""COMPUTED_VALUE"""),"HH4557")</f>
        <v>HH4557</v>
      </c>
      <c r="H560" s="2" t="str">
        <f>IFERROR(__xludf.DUMMYFUNCTION("""COMPUTED_VALUE"""),"GC - V - 4557 - CTY NAUY - SUPER GOLD (Nước nâu đen) - 250ml - 40")</f>
        <v>GC - V - 4557 - CTY NAUY - SUPER GOLD (Nước nâu đen) - 250ml - 40</v>
      </c>
      <c r="I560" s="2" t="str">
        <f>IFERROR(__xludf.DUMMYFUNCTION("""COMPUTED_VALUE"""),"#N/A")</f>
        <v>#N/A</v>
      </c>
      <c r="J560" s="2" t="str">
        <f>IFERROR(__xludf.DUMMYFUNCTION("""COMPUTED_VALUE"""),"Cùng ruột 
HH4001")</f>
        <v>Cùng ruột 
HH4001</v>
      </c>
      <c r="K560" s="2"/>
      <c r="L560" s="2" t="str">
        <f>IFERROR(__xludf.DUMMYFUNCTION("""COMPUTED_VALUE"""),"A05190825")</f>
        <v>A05190825</v>
      </c>
      <c r="M560" s="2" t="str">
        <f>IFERROR(__xludf.DUMMYFUNCTION("""COMPUTED_VALUE"""),"SUPER NANO VÔ GẠO
0 - 5 - 18 ")</f>
        <v>SUPER NANO VÔ GẠO
0 - 5 - 18 </v>
      </c>
      <c r="N560" s="2" t="str">
        <f>IFERROR(__xludf.DUMMYFUNCTION("""COMPUTED_VALUE"""),"04VG0045")</f>
        <v>04VG0045</v>
      </c>
      <c r="O560" s="2" t="str">
        <f>IFERROR(__xludf.DUMMYFUNCTION("""COMPUTED_VALUE"""),"Phân bón lá PK-Vi lượng SV 5-18")</f>
        <v>Phân bón lá PK-Vi lượng SV 5-18</v>
      </c>
      <c r="P560" s="2" t="str">
        <f>IFERROR(__xludf.DUMMYFUNCTION("""COMPUTED_VALUE"""),"#N/A")</f>
        <v>#N/A</v>
      </c>
      <c r="Q560" s="30" t="str">
        <f>IFERROR(__xludf.DUMMYFUNCTION("""COMPUTED_VALUE"""),"KHÔNG KHỚP")</f>
        <v>KHÔNG KHỚP</v>
      </c>
      <c r="R560" s="2"/>
      <c r="S560" s="2"/>
      <c r="T560" s="2"/>
      <c r="U560" s="2"/>
      <c r="V560" s="2"/>
      <c r="W560" s="2"/>
      <c r="X560" s="2"/>
      <c r="Y560" s="2"/>
    </row>
    <row r="561">
      <c r="A561" s="30">
        <f>IFERROR(__xludf.DUMMYFUNCTION("""COMPUTED_VALUE"""),558.0)</f>
        <v>558</v>
      </c>
      <c r="B561" s="39">
        <f>IFERROR(__xludf.DUMMYFUNCTION("""COMPUTED_VALUE"""),45983.0)</f>
        <v>45983</v>
      </c>
      <c r="C561" s="30">
        <f>IFERROR(__xludf.DUMMYFUNCTION("""COMPUTED_VALUE"""),5.0)</f>
        <v>5</v>
      </c>
      <c r="D561" s="30" t="str">
        <f>IFERROR(__xludf.DUMMYFUNCTION("""COMPUTED_VALUE"""),"CT CŨ")</f>
        <v>CT CŨ</v>
      </c>
      <c r="E561" s="30"/>
      <c r="F561" s="2"/>
      <c r="G561" s="2" t="str">
        <f>IFERROR(__xludf.DUMMYFUNCTION("""COMPUTED_VALUE"""),"HH4472")</f>
        <v>HH4472</v>
      </c>
      <c r="H561" s="2" t="str">
        <f>IFERROR(__xludf.DUMMYFUNCTION("""COMPUTED_VALUE"""),"GC - V - 4472 - CTY R3 - R3 VOGAO (Nước đỏ cam) - 300ml - 40")</f>
        <v>GC - V - 4472 - CTY R3 - R3 VOGAO (Nước đỏ cam) - 300ml - 40</v>
      </c>
      <c r="I561" s="39" t="str">
        <f>IFERROR(__xludf.DUMMYFUNCTION("""COMPUTED_VALUE"""),"Lá PK Vi lượng SV 5-18")</f>
        <v>Lá PK Vi lượng SV 5-18</v>
      </c>
      <c r="J561" s="2" t="str">
        <f>IFERROR(__xludf.DUMMYFUNCTION("""COMPUTED_VALUE"""),"A03091025")</f>
        <v>A03091025</v>
      </c>
      <c r="K561" s="2"/>
      <c r="L561" s="2" t="str">
        <f>IFERROR(__xludf.DUMMYFUNCTION("""COMPUTED_VALUE"""),"A03091025")</f>
        <v>A03091025</v>
      </c>
      <c r="M561" s="2" t="str">
        <f>IFERROR(__xludf.DUMMYFUNCTION("""COMPUTED_VALUE"""),"VÔ GẠO 0 - 5 -18 (02)")</f>
        <v>VÔ GẠO 0 - 5 -18 (02)</v>
      </c>
      <c r="N561" s="2" t="str">
        <f>IFERROR(__xludf.DUMMYFUNCTION("""COMPUTED_VALUE"""),"04VG0044")</f>
        <v>04VG0044</v>
      </c>
      <c r="O561" s="2" t="str">
        <f>IFERROR(__xludf.DUMMYFUNCTION("""COMPUTED_VALUE"""),"Phân bón lá PK-Vi lượng SV 5-18")</f>
        <v>Phân bón lá PK-Vi lượng SV 5-18</v>
      </c>
      <c r="P561" s="2" t="str">
        <f>IFERROR(__xludf.DUMMYFUNCTION("""COMPUTED_VALUE"""),"Phân bón Lá PK Vi lượng SV 5-18")</f>
        <v>Phân bón Lá PK Vi lượng SV 5-18</v>
      </c>
      <c r="Q561" s="30" t="str">
        <f>IFERROR(__xludf.DUMMYFUNCTION("""COMPUTED_VALUE"""),"KHÔNG KHỚP")</f>
        <v>KHÔNG KHỚP</v>
      </c>
      <c r="R561" s="2"/>
      <c r="S561" s="2"/>
      <c r="T561" s="2"/>
      <c r="U561" s="2"/>
      <c r="V561" s="2"/>
      <c r="W561" s="2"/>
      <c r="X561" s="2"/>
      <c r="Y561" s="2"/>
    </row>
    <row r="562">
      <c r="A562" s="30">
        <f>IFERROR(__xludf.DUMMYFUNCTION("""COMPUTED_VALUE"""),559.0)</f>
        <v>559</v>
      </c>
      <c r="B562" s="39">
        <f>IFERROR(__xludf.DUMMYFUNCTION("""COMPUTED_VALUE"""),45997.0)</f>
        <v>45997</v>
      </c>
      <c r="C562" s="30">
        <f>IFERROR(__xludf.DUMMYFUNCTION("""COMPUTED_VALUE"""),4.0)</f>
        <v>4</v>
      </c>
      <c r="D562" s="30" t="str">
        <f>IFERROR(__xludf.DUMMYFUNCTION("""COMPUTED_VALUE"""),"CT CŨ")</f>
        <v>CT CŨ</v>
      </c>
      <c r="E562" s="30"/>
      <c r="F562" s="2"/>
      <c r="G562" s="2" t="str">
        <f>IFERROR(__xludf.DUMMYFUNCTION("""COMPUTED_VALUE"""),"HH4478")</f>
        <v>HH4478</v>
      </c>
      <c r="H562" s="2" t="str">
        <f>IFERROR(__xludf.DUMMYFUNCTION("""COMPUTED_VALUE"""),"IDA Global - I - 4478 - CANXI BO LIQUID (LÚA) (Nước trắng sữa) - 500ml - 40")</f>
        <v>IDA Global - I - 4478 - CANXI BO LIQUID (LÚA) (Nước trắng sữa) - 500ml - 40</v>
      </c>
      <c r="I562" s="2" t="str">
        <f>IFERROR(__xludf.DUMMYFUNCTION("""COMPUTED_VALUE"""),"#N/A")</f>
        <v>#N/A</v>
      </c>
      <c r="J562" s="2" t="str">
        <f>IFERROR(__xludf.DUMMYFUNCTION("""COMPUTED_VALUE"""),"Đóng theo đơn gần nhất")</f>
        <v>Đóng theo đơn gần nhất</v>
      </c>
      <c r="K562" s="2"/>
      <c r="L562" s="2"/>
      <c r="M562" s="2" t="str">
        <f>IFERROR(__xludf.DUMMYFUNCTION("""COMPUTED_VALUE"""),"CANXI BO MASTER")</f>
        <v>CANXI BO MASTER</v>
      </c>
      <c r="N562" s="2" t="str">
        <f>IFERROR(__xludf.DUMMYFUNCTION("""COMPUTED_VALUE"""),"10CR0015V1")</f>
        <v>10CR0015V1</v>
      </c>
      <c r="O562" s="2" t="str">
        <f>IFERROR(__xludf.DUMMYFUNCTION("""COMPUTED_VALUE"""),"Phân bón Vi lượng AGAMA-CANXI BO")</f>
        <v>Phân bón Vi lượng AGAMA-CANXI BO</v>
      </c>
      <c r="P562" s="2" t="str">
        <f>IFERROR(__xludf.DUMMYFUNCTION("""COMPUTED_VALUE"""),"#N/A")</f>
        <v>#N/A</v>
      </c>
      <c r="Q562" s="30" t="str">
        <f>IFERROR(__xludf.DUMMYFUNCTION("""COMPUTED_VALUE"""),"KHÔNG KHỚP")</f>
        <v>KHÔNG KHỚP</v>
      </c>
      <c r="R562" s="2"/>
      <c r="S562" s="2"/>
      <c r="T562" s="2"/>
      <c r="U562" s="2"/>
      <c r="V562" s="2"/>
      <c r="W562" s="2"/>
      <c r="X562" s="2"/>
      <c r="Y562" s="2"/>
    </row>
    <row r="563">
      <c r="A563" s="30">
        <f>IFERROR(__xludf.DUMMYFUNCTION("""COMPUTED_VALUE"""),560.0)</f>
        <v>560</v>
      </c>
      <c r="B563" s="39">
        <f>IFERROR(__xludf.DUMMYFUNCTION("""COMPUTED_VALUE"""),45994.0)</f>
        <v>45994</v>
      </c>
      <c r="C563" s="30">
        <f>IFERROR(__xludf.DUMMYFUNCTION("""COMPUTED_VALUE"""),4.0)</f>
        <v>4</v>
      </c>
      <c r="D563" s="30" t="str">
        <f>IFERROR(__xludf.DUMMYFUNCTION("""COMPUTED_VALUE"""),"CT CŨ")</f>
        <v>CT CŨ</v>
      </c>
      <c r="E563" s="30"/>
      <c r="F563" s="2"/>
      <c r="G563" s="2" t="str">
        <f>IFERROR(__xludf.DUMMYFUNCTION("""COMPUTED_VALUE"""),"HH4556")</f>
        <v>HH4556</v>
      </c>
      <c r="H563" s="2" t="str">
        <f>IFERROR(__xludf.DUMMYFUNCTION("""COMPUTED_VALUE"""),"GC - V - 4556 - CTY NAUY - ZN++ GOLD (Nước xanh lá sữa) - 250ml - 40")</f>
        <v>GC - V - 4556 - CTY NAUY - ZN++ GOLD (Nước xanh lá sữa) - 250ml - 40</v>
      </c>
      <c r="I563" s="2" t="str">
        <f>IFERROR(__xludf.DUMMYFUNCTION("""COMPUTED_VALUE"""),"#N/A")</f>
        <v>#N/A</v>
      </c>
      <c r="J563" s="2" t="str">
        <f>IFERROR(__xludf.DUMMYFUNCTION("""COMPUTED_VALUE"""),"Cùng ruột 
HH3709
A09291024")</f>
        <v>Cùng ruột 
HH3709
A09291024</v>
      </c>
      <c r="K563" s="2"/>
      <c r="L563" s="2" t="str">
        <f>IFERROR(__xludf.DUMMYFUNCTION("""COMPUTED_VALUE"""),"A09291024")</f>
        <v>A09291024</v>
      </c>
      <c r="M563" s="2" t="str">
        <f>IFERROR(__xludf.DUMMYFUNCTION("""COMPUTED_VALUE"""),"BETA AMINO KẼM
ZN++ GOLD")</f>
        <v>BETA AMINO KẼM
ZN++ GOLD</v>
      </c>
      <c r="N563" s="2" t="str">
        <f>IFERROR(__xludf.DUMMYFUNCTION("""COMPUTED_VALUE"""),"13XL0011V1")</f>
        <v>13XL0011V1</v>
      </c>
      <c r="O563" s="2" t="str">
        <f>IFERROR(__xludf.DUMMYFUNCTION("""COMPUTED_VALUE"""),"Phân bón Vi lượng MICKEY")</f>
        <v>Phân bón Vi lượng MICKEY</v>
      </c>
      <c r="P563" s="2" t="str">
        <f>IFERROR(__xludf.DUMMYFUNCTION("""COMPUTED_VALUE"""),"#N/A")</f>
        <v>#N/A</v>
      </c>
      <c r="Q563" s="30" t="str">
        <f>IFERROR(__xludf.DUMMYFUNCTION("""COMPUTED_VALUE"""),"KHÔNG KHỚP")</f>
        <v>KHÔNG KHỚP</v>
      </c>
      <c r="R563" s="2"/>
      <c r="S563" s="2"/>
      <c r="T563" s="2"/>
      <c r="U563" s="2"/>
      <c r="V563" s="2"/>
      <c r="W563" s="2"/>
      <c r="X563" s="2"/>
      <c r="Y563" s="2"/>
    </row>
    <row r="564">
      <c r="A564" s="30">
        <f>IFERROR(__xludf.DUMMYFUNCTION("""COMPUTED_VALUE"""),561.0)</f>
        <v>561</v>
      </c>
      <c r="B564" s="39">
        <f>IFERROR(__xludf.DUMMYFUNCTION("""COMPUTED_VALUE"""),45964.0)</f>
        <v>45964</v>
      </c>
      <c r="C564" s="30">
        <f>IFERROR(__xludf.DUMMYFUNCTION("""COMPUTED_VALUE"""),4.0)</f>
        <v>4</v>
      </c>
      <c r="D564" s="30" t="str">
        <f>IFERROR(__xludf.DUMMYFUNCTION("""COMPUTED_VALUE"""),"CT CŨ")</f>
        <v>CT CŨ</v>
      </c>
      <c r="E564" s="30"/>
      <c r="F564" s="2"/>
      <c r="G564" s="2" t="str">
        <f>IFERROR(__xludf.DUMMYFUNCTION("""COMPUTED_VALUE"""),"HH4557")</f>
        <v>HH4557</v>
      </c>
      <c r="H564" s="2" t="str">
        <f>IFERROR(__xludf.DUMMYFUNCTION("""COMPUTED_VALUE"""),"GC - V - 4557 - CTY NAUY - SUPER GOLD (Nước nâu đen) - 250ml - 40")</f>
        <v>GC - V - 4557 - CTY NAUY - SUPER GOLD (Nước nâu đen) - 250ml - 40</v>
      </c>
      <c r="I564" s="2" t="str">
        <f>IFERROR(__xludf.DUMMYFUNCTION("""COMPUTED_VALUE"""),"#N/A")</f>
        <v>#N/A</v>
      </c>
      <c r="J564" s="2" t="str">
        <f>IFERROR(__xludf.DUMMYFUNCTION("""COMPUTED_VALUE"""),"Cùng ruột 
HH4001")</f>
        <v>Cùng ruột 
HH4001</v>
      </c>
      <c r="K564" s="2"/>
      <c r="L564" s="2" t="str">
        <f>IFERROR(__xludf.DUMMYFUNCTION("""COMPUTED_VALUE"""),"A05190825")</f>
        <v>A05190825</v>
      </c>
      <c r="M564" s="2" t="str">
        <f>IFERROR(__xludf.DUMMYFUNCTION("""COMPUTED_VALUE"""),"SUPER NANO VÔ GẠO
0 - 5 - 18 ")</f>
        <v>SUPER NANO VÔ GẠO
0 - 5 - 18 </v>
      </c>
      <c r="N564" s="2" t="str">
        <f>IFERROR(__xludf.DUMMYFUNCTION("""COMPUTED_VALUE"""),"04VG0045")</f>
        <v>04VG0045</v>
      </c>
      <c r="O564" s="2" t="str">
        <f>IFERROR(__xludf.DUMMYFUNCTION("""COMPUTED_VALUE"""),"Phân bón lá PK-Vi lượng SV 5-18")</f>
        <v>Phân bón lá PK-Vi lượng SV 5-18</v>
      </c>
      <c r="P564" s="2" t="str">
        <f>IFERROR(__xludf.DUMMYFUNCTION("""COMPUTED_VALUE"""),"#N/A")</f>
        <v>#N/A</v>
      </c>
      <c r="Q564" s="30" t="str">
        <f>IFERROR(__xludf.DUMMYFUNCTION("""COMPUTED_VALUE"""),"KHÔNG KHỚP")</f>
        <v>KHÔNG KHỚP</v>
      </c>
      <c r="R564" s="2"/>
      <c r="S564" s="2"/>
      <c r="T564" s="2"/>
      <c r="U564" s="2"/>
      <c r="V564" s="2"/>
      <c r="W564" s="2"/>
      <c r="X564" s="2"/>
      <c r="Y564" s="2"/>
    </row>
    <row r="565">
      <c r="A565" s="30">
        <f>IFERROR(__xludf.DUMMYFUNCTION("""COMPUTED_VALUE"""),562.0)</f>
        <v>562</v>
      </c>
      <c r="B565" s="39">
        <f>IFERROR(__xludf.DUMMYFUNCTION("""COMPUTED_VALUE"""),46056.0)</f>
        <v>46056</v>
      </c>
      <c r="C565" s="30">
        <f>IFERROR(__xludf.DUMMYFUNCTION("""COMPUTED_VALUE"""),1.0)</f>
        <v>1</v>
      </c>
      <c r="D565" s="30" t="str">
        <f>IFERROR(__xludf.DUMMYFUNCTION("""COMPUTED_VALUE"""),"CT MỚI")</f>
        <v>CT MỚI</v>
      </c>
      <c r="E565" s="30"/>
      <c r="F565" s="2"/>
      <c r="G565" s="2" t="str">
        <f>IFERROR(__xludf.DUMMYFUNCTION("""COMPUTED_VALUE"""),"HH4748")</f>
        <v>HH4748</v>
      </c>
      <c r="H565" s="2" t="str">
        <f>IFERROR(__xludf.DUMMYFUNCTION("""COMPUTED_VALUE"""),"GC - V - 4748 - DEGO - RUN FAST (Nước đen) - 18L - 1")</f>
        <v>GC - V - 4748 - DEGO - RUN FAST (Nước đen) - 18L - 1</v>
      </c>
      <c r="I565" s="39" t="str">
        <f>IFERROR(__xludf.DUMMYFUNCTION("""COMPUTED_VALUE"""),"Vi lượng Run Fast")</f>
        <v>Vi lượng Run Fast</v>
      </c>
      <c r="J565" s="2" t="str">
        <f>IFERROR(__xludf.DUMMYFUNCTION("""COMPUTED_VALUE"""),"30NT0001")</f>
        <v>30NT0001</v>
      </c>
      <c r="K565" s="2"/>
      <c r="L565" s="2"/>
      <c r="M565" s="2" t="str">
        <f>IFERROR(__xludf.DUMMYFUNCTION("""COMPUTED_VALUE"""),"BO HAI NGÀN")</f>
        <v>BO HAI NGÀN</v>
      </c>
      <c r="N565" s="2" t="str">
        <f>IFERROR(__xludf.DUMMYFUNCTION("""COMPUTED_VALUE"""),"30NT0001")</f>
        <v>30NT0001</v>
      </c>
      <c r="O565" s="2" t="str">
        <f>IFERROR(__xludf.DUMMYFUNCTION("""COMPUTED_VALUE"""),"Phân bón Vi lượng Run Fast")</f>
        <v>Phân bón Vi lượng Run Fast</v>
      </c>
      <c r="P565" s="2" t="str">
        <f>IFERROR(__xludf.DUMMYFUNCTION("""COMPUTED_VALUE"""),"Phân bón Vi lượng Run Fast")</f>
        <v>Phân bón Vi lượng Run Fast</v>
      </c>
      <c r="Q565" s="30" t="str">
        <f>IFERROR(__xludf.DUMMYFUNCTION("""COMPUTED_VALUE"""),"KHỚP")</f>
        <v>KHỚP</v>
      </c>
      <c r="R565" s="2"/>
      <c r="S565" s="2"/>
      <c r="T565" s="2"/>
      <c r="U565" s="2"/>
      <c r="V565" s="2"/>
      <c r="W565" s="2"/>
      <c r="X565" s="2"/>
      <c r="Y565" s="2"/>
    </row>
    <row r="566">
      <c r="A566" s="30">
        <f>IFERROR(__xludf.DUMMYFUNCTION("""COMPUTED_VALUE"""),563.0)</f>
        <v>563</v>
      </c>
      <c r="B566" s="39">
        <f>IFERROR(__xludf.DUMMYFUNCTION("""COMPUTED_VALUE"""),45923.0)</f>
        <v>45923</v>
      </c>
      <c r="C566" s="30">
        <f>IFERROR(__xludf.DUMMYFUNCTION("""COMPUTED_VALUE"""),1.0)</f>
        <v>1</v>
      </c>
      <c r="D566" s="30" t="str">
        <f>IFERROR(__xludf.DUMMYFUNCTION("""COMPUTED_VALUE"""),"CT CŨ")</f>
        <v>CT CŨ</v>
      </c>
      <c r="E566" s="30"/>
      <c r="F566" s="2"/>
      <c r="G566" s="2" t="str">
        <f>IFERROR(__xludf.DUMMYFUNCTION("""COMPUTED_VALUE"""),"HH4736")</f>
        <v>HH4736</v>
      </c>
      <c r="H566" s="2" t="str">
        <f>IFERROR(__xludf.DUMMYFUNCTION("""COMPUTED_VALUE"""),"GC - V - 4736 - CTY AGRITECH - PHOS-K (Nước xanh dương nhạt) - 500ml - 40")</f>
        <v>GC - V - 4736 - CTY AGRITECH - PHOS-K (Nước xanh dương nhạt) - 500ml - 40</v>
      </c>
      <c r="I566" s="2" t="str">
        <f>IFERROR(__xludf.DUMMYFUNCTION("""COMPUTED_VALUE"""),"#N/A")</f>
        <v>#N/A</v>
      </c>
      <c r="J566" s="2" t="str">
        <f>IFERROR(__xludf.DUMMYFUNCTION("""COMPUTED_VALUE"""),"A03160925
cùng ruột 4125")</f>
        <v>A03160925
cùng ruột 4125</v>
      </c>
      <c r="K566" s="2"/>
      <c r="L566" s="2" t="str">
        <f>IFERROR(__xludf.DUMMYFUNCTION("""COMPUTED_VALUE"""),"A03160925 ")</f>
        <v>A03160925 </v>
      </c>
      <c r="M566" s="2" t="str">
        <f>IFERROR(__xludf.DUMMYFUNCTION("""COMPUTED_VALUE"""),"LÂN 2 CHIỀU  - 01")</f>
        <v>LÂN 2 CHIỀU  - 01</v>
      </c>
      <c r="N566" s="2" t="str">
        <f>IFERROR(__xludf.DUMMYFUNCTION("""COMPUTED_VALUE"""),"08TM0025")</f>
        <v>08TM0025</v>
      </c>
      <c r="O566" s="2" t="str">
        <f>IFERROR(__xludf.DUMMYFUNCTION("""COMPUTED_VALUE"""),"Phân bón lá hỗn hợp PK AGRI FOS AB")</f>
        <v>Phân bón lá hỗn hợp PK AGRI FOS AB</v>
      </c>
      <c r="P566" s="2" t="str">
        <f>IFERROR(__xludf.DUMMYFUNCTION("""COMPUTED_VALUE"""),"#N/A")</f>
        <v>#N/A</v>
      </c>
      <c r="Q566" s="30" t="str">
        <f>IFERROR(__xludf.DUMMYFUNCTION("""COMPUTED_VALUE"""),"KHÔNG KHỚP")</f>
        <v>KHÔNG KHỚP</v>
      </c>
      <c r="R566" s="2"/>
      <c r="S566" s="2"/>
      <c r="T566" s="2"/>
      <c r="U566" s="2"/>
      <c r="V566" s="2"/>
      <c r="W566" s="2"/>
      <c r="X566" s="2"/>
      <c r="Y566" s="2"/>
    </row>
    <row r="567">
      <c r="A567" s="30">
        <f>IFERROR(__xludf.DUMMYFUNCTION("""COMPUTED_VALUE"""),564.0)</f>
        <v>564</v>
      </c>
      <c r="B567" s="39">
        <f>IFERROR(__xludf.DUMMYFUNCTION("""COMPUTED_VALUE"""),46059.0)</f>
        <v>46059</v>
      </c>
      <c r="C567" s="30">
        <f>IFERROR(__xludf.DUMMYFUNCTION("""COMPUTED_VALUE"""),1.0)</f>
        <v>1</v>
      </c>
      <c r="D567" s="30" t="str">
        <f>IFERROR(__xludf.DUMMYFUNCTION("""COMPUTED_VALUE"""),"CT MỚI")</f>
        <v>CT MỚI</v>
      </c>
      <c r="E567" s="30"/>
      <c r="F567" s="2"/>
      <c r="G567" s="2" t="str">
        <f>IFERROR(__xludf.DUMMYFUNCTION("""COMPUTED_VALUE"""),"HH4744")</f>
        <v>HH4744</v>
      </c>
      <c r="H567" s="2" t="str">
        <f>IFERROR(__xludf.DUMMYFUNCTION("""COMPUTED_VALUE"""),"GC - V - 4744 - AGC (TÂY NGUYÊN) - NUTRI PLUS - TA02 (Nước nâu đen) - 5L - 4")</f>
        <v>GC - V - 4744 - AGC (TÂY NGUYÊN) - NUTRI PLUS - TA02 (Nước nâu đen) - 5L - 4</v>
      </c>
      <c r="I567" s="2" t="str">
        <f>IFERROR(__xludf.DUMMYFUNCTION("""COMPUTED_VALUE"""),"#N/A")</f>
        <v>#N/A</v>
      </c>
      <c r="J567" s="2" t="str">
        <f>IFERROR(__xludf.DUMMYFUNCTION("""COMPUTED_VALUE"""),"Cùng ruột HH2102")</f>
        <v>Cùng ruột HH2102</v>
      </c>
      <c r="K567" s="2"/>
      <c r="L567" s="2"/>
      <c r="M567" s="2" t="str">
        <f>IFERROR(__xludf.DUMMYFUNCTION("""COMPUTED_VALUE"""),"NUTRI PLUS - TA02")</f>
        <v>NUTRI PLUS - TA02</v>
      </c>
      <c r="N567" s="2" t="str">
        <f>IFERROR(__xludf.DUMMYFUNCTION("""COMPUTED_VALUE"""),"01RR0019V2")</f>
        <v>01RR0019V2</v>
      </c>
      <c r="O567" s="2" t="str">
        <f>IFERROR(__xludf.DUMMYFUNCTION("""COMPUTED_VALUE"""),"Phân bón Hữu cơ SH Agro Organic Fertilizer 20")</f>
        <v>Phân bón Hữu cơ SH Agro Organic Fertilizer 20</v>
      </c>
      <c r="P567" s="2" t="str">
        <f>IFERROR(__xludf.DUMMYFUNCTION("""COMPUTED_VALUE"""),"#N/A")</f>
        <v>#N/A</v>
      </c>
      <c r="Q567" s="30" t="str">
        <f>IFERROR(__xludf.DUMMYFUNCTION("""COMPUTED_VALUE"""),"KHÔNG KHỚP")</f>
        <v>KHÔNG KHỚP</v>
      </c>
      <c r="R567" s="2"/>
      <c r="S567" s="2"/>
      <c r="T567" s="2"/>
      <c r="U567" s="2"/>
      <c r="V567" s="2"/>
      <c r="W567" s="2"/>
      <c r="X567" s="2"/>
      <c r="Y567" s="2"/>
    </row>
    <row r="568">
      <c r="A568" s="30">
        <f>IFERROR(__xludf.DUMMYFUNCTION("""COMPUTED_VALUE"""),565.0)</f>
        <v>565</v>
      </c>
      <c r="B568" s="39">
        <f>IFERROR(__xludf.DUMMYFUNCTION("""COMPUTED_VALUE"""),46036.0)</f>
        <v>46036</v>
      </c>
      <c r="C568" s="30">
        <f>IFERROR(__xludf.DUMMYFUNCTION("""COMPUTED_VALUE"""),1.0)</f>
        <v>1</v>
      </c>
      <c r="D568" s="30" t="str">
        <f>IFERROR(__xludf.DUMMYFUNCTION("""COMPUTED_VALUE"""),"CT CŨ")</f>
        <v>CT CŨ</v>
      </c>
      <c r="E568" s="30"/>
      <c r="F568" s="2"/>
      <c r="G568" s="2" t="str">
        <f>IFERROR(__xludf.DUMMYFUNCTION("""COMPUTED_VALUE"""),"HH4522")</f>
        <v>HH4522</v>
      </c>
      <c r="H568" s="2" t="str">
        <f>IFERROR(__xludf.DUMMYFUNCTION("""COMPUTED_VALUE"""),"GC - V - 4522 - CTY GNH - RA RỄ - BUNG CHỒI (Nước nâu đen) - 20 lít - 1")</f>
        <v>GC - V - 4522 - CTY GNH - RA RỄ - BUNG CHỒI (Nước nâu đen) - 20 lít - 1</v>
      </c>
      <c r="I568" s="2" t="str">
        <f>IFERROR(__xludf.DUMMYFUNCTION("""COMPUTED_VALUE"""),"#N/A")</f>
        <v>#N/A</v>
      </c>
      <c r="J568" s="2" t="str">
        <f>IFERROR(__xludf.DUMMYFUNCTION("""COMPUTED_VALUE"""),"A05181225- 01")</f>
        <v>A05181225- 01</v>
      </c>
      <c r="K568" s="2"/>
      <c r="L568" s="2" t="str">
        <f>IFERROR(__xludf.DUMMYFUNCTION("""COMPUTED_VALUE"""),"A05181225-01
I03240326")</f>
        <v>A05181225-01
I03240326</v>
      </c>
      <c r="M568" s="2" t="str">
        <f>IFERROR(__xludf.DUMMYFUNCTION("""COMPUTED_VALUE"""),"HỮU CƠ 20%")</f>
        <v>HỮU CƠ 20%</v>
      </c>
      <c r="N568" s="2" t="str">
        <f>IFERROR(__xludf.DUMMYFUNCTION("""COMPUTED_VALUE"""),"01RR0079V1")</f>
        <v>01RR0079V1</v>
      </c>
      <c r="O568" s="2" t="str">
        <f>IFERROR(__xludf.DUMMYFUNCTION("""COMPUTED_VALUE"""),"Phân bón Hữu cơ ORGANIC ĐGP 01 ")</f>
        <v>Phân bón Hữu cơ ORGANIC ĐGP 01 </v>
      </c>
      <c r="P568" s="2" t="str">
        <f>IFERROR(__xludf.DUMMYFUNCTION("""COMPUTED_VALUE"""),"#N/A")</f>
        <v>#N/A</v>
      </c>
      <c r="Q568" s="30" t="str">
        <f>IFERROR(__xludf.DUMMYFUNCTION("""COMPUTED_VALUE"""),"KHÔNG KHỚP")</f>
        <v>KHÔNG KHỚP</v>
      </c>
      <c r="R568" s="2"/>
      <c r="S568" s="2"/>
      <c r="T568" s="2"/>
      <c r="U568" s="2"/>
      <c r="V568" s="2"/>
      <c r="W568" s="2"/>
      <c r="X568" s="2"/>
      <c r="Y568" s="2"/>
    </row>
    <row r="569">
      <c r="A569" s="30">
        <f>IFERROR(__xludf.DUMMYFUNCTION("""COMPUTED_VALUE"""),566.0)</f>
        <v>566</v>
      </c>
      <c r="B569" s="39">
        <f>IFERROR(__xludf.DUMMYFUNCTION("""COMPUTED_VALUE"""),46036.0)</f>
        <v>46036</v>
      </c>
      <c r="C569" s="30">
        <f>IFERROR(__xludf.DUMMYFUNCTION("""COMPUTED_VALUE"""),1.0)</f>
        <v>1</v>
      </c>
      <c r="D569" s="30" t="str">
        <f>IFERROR(__xludf.DUMMYFUNCTION("""COMPUTED_VALUE"""),"CT CŨ")</f>
        <v>CT CŨ</v>
      </c>
      <c r="E569" s="30"/>
      <c r="F569" s="2"/>
      <c r="G569" s="2" t="str">
        <f>IFERROR(__xludf.DUMMYFUNCTION("""COMPUTED_VALUE"""),"HH4523")</f>
        <v>HH4523</v>
      </c>
      <c r="H569" s="2" t="str">
        <f>IFERROR(__xludf.DUMMYFUNCTION("""COMPUTED_VALUE"""),"GC - V - 4523 - CTY GNH - RA RỄ - BUNG CHỒI (Nước nâu đen) - 10 lít - 1")</f>
        <v>GC - V - 4523 - CTY GNH - RA RỄ - BUNG CHỒI (Nước nâu đen) - 10 lít - 1</v>
      </c>
      <c r="I569" s="2" t="str">
        <f>IFERROR(__xludf.DUMMYFUNCTION("""COMPUTED_VALUE"""),"#N/A")</f>
        <v>#N/A</v>
      </c>
      <c r="J569" s="2" t="str">
        <f>IFERROR(__xludf.DUMMYFUNCTION("""COMPUTED_VALUE"""),"A05181225- 01")</f>
        <v>A05181225- 01</v>
      </c>
      <c r="K569" s="2"/>
      <c r="L569" s="2" t="str">
        <f>IFERROR(__xludf.DUMMYFUNCTION("""COMPUTED_VALUE"""),"A05181225-01
I03240326")</f>
        <v>A05181225-01
I03240326</v>
      </c>
      <c r="M569" s="2" t="str">
        <f>IFERROR(__xludf.DUMMYFUNCTION("""COMPUTED_VALUE"""),"HỮU CƠ 20%")</f>
        <v>HỮU CƠ 20%</v>
      </c>
      <c r="N569" s="2" t="str">
        <f>IFERROR(__xludf.DUMMYFUNCTION("""COMPUTED_VALUE"""),"01RR0079V1")</f>
        <v>01RR0079V1</v>
      </c>
      <c r="O569" s="2" t="str">
        <f>IFERROR(__xludf.DUMMYFUNCTION("""COMPUTED_VALUE"""),"Phân bón Hữu cơ ORGANIC ĐGP 01 ")</f>
        <v>Phân bón Hữu cơ ORGANIC ĐGP 01 </v>
      </c>
      <c r="P569" s="2" t="str">
        <f>IFERROR(__xludf.DUMMYFUNCTION("""COMPUTED_VALUE"""),"#N/A")</f>
        <v>#N/A</v>
      </c>
      <c r="Q569" s="30" t="str">
        <f>IFERROR(__xludf.DUMMYFUNCTION("""COMPUTED_VALUE"""),"KHÔNG KHỚP")</f>
        <v>KHÔNG KHỚP</v>
      </c>
      <c r="R569" s="2"/>
      <c r="S569" s="2"/>
      <c r="T569" s="2"/>
      <c r="U569" s="2"/>
      <c r="V569" s="2"/>
      <c r="W569" s="2"/>
      <c r="X569" s="2"/>
      <c r="Y569" s="2"/>
    </row>
    <row r="570">
      <c r="A570" s="30">
        <f>IFERROR(__xludf.DUMMYFUNCTION("""COMPUTED_VALUE"""),567.0)</f>
        <v>567</v>
      </c>
      <c r="B570" s="39">
        <f>IFERROR(__xludf.DUMMYFUNCTION("""COMPUTED_VALUE"""),46007.0)</f>
        <v>46007</v>
      </c>
      <c r="C570" s="30">
        <f>IFERROR(__xludf.DUMMYFUNCTION("""COMPUTED_VALUE"""),2.0)</f>
        <v>2</v>
      </c>
      <c r="D570" s="30" t="str">
        <f>IFERROR(__xludf.DUMMYFUNCTION("""COMPUTED_VALUE"""),"CT CŨ")</f>
        <v>CT CŨ</v>
      </c>
      <c r="E570" s="30"/>
      <c r="F570" s="2"/>
      <c r="G570" s="2" t="str">
        <f>IFERROR(__xludf.DUMMYFUNCTION("""COMPUTED_VALUE"""),"HH4653")</f>
        <v>HH4653</v>
      </c>
      <c r="H570" s="2" t="str">
        <f>IFERROR(__xludf.DUMMYFUNCTION("""COMPUTED_VALUE"""),"GC - V - 4653 - CTY THIÊN DI - KÍCH RỄ MAI VÀNG (Nước nâu đen) - 100ml - 100")</f>
        <v>GC - V - 4653 - CTY THIÊN DI - KÍCH RỄ MAI VÀNG (Nước nâu đen) - 100ml - 100</v>
      </c>
      <c r="I570" s="2" t="str">
        <f>IFERROR(__xludf.DUMMYFUNCTION("""COMPUTED_VALUE"""),"#N/A")</f>
        <v>#N/A</v>
      </c>
      <c r="J570" s="2" t="str">
        <f>IFERROR(__xludf.DUMMYFUNCTION("""COMPUTED_VALUE"""),"Cùng ruột 3673
A06050325")</f>
        <v>Cùng ruột 3673
A06050325</v>
      </c>
      <c r="K570" s="2"/>
      <c r="L570" s="2" t="str">
        <f>IFERROR(__xludf.DUMMYFUNCTION("""COMPUTED_VALUE"""),"A06050325")</f>
        <v>A06050325</v>
      </c>
      <c r="M570" s="2" t="str">
        <f>IFERROR(__xludf.DUMMYFUNCTION("""COMPUTED_VALUE"""),"KÍCH RỄ MAI VÀNG")</f>
        <v>KÍCH RỄ MAI VÀNG</v>
      </c>
      <c r="N570" s="2" t="str">
        <f>IFERROR(__xludf.DUMMYFUNCTION("""COMPUTED_VALUE"""),"01RR0046V1")</f>
        <v>01RR0046V1</v>
      </c>
      <c r="O570" s="2" t="str">
        <f>IFERROR(__xludf.DUMMYFUNCTION("""COMPUTED_VALUE"""),"Phân bón Hữu cơ SH Agro Organic Fertilizer 20")</f>
        <v>Phân bón Hữu cơ SH Agro Organic Fertilizer 20</v>
      </c>
      <c r="P570" s="2" t="str">
        <f>IFERROR(__xludf.DUMMYFUNCTION("""COMPUTED_VALUE"""),"#N/A")</f>
        <v>#N/A</v>
      </c>
      <c r="Q570" s="30" t="str">
        <f>IFERROR(__xludf.DUMMYFUNCTION("""COMPUTED_VALUE"""),"KHÔNG KHỚP")</f>
        <v>KHÔNG KHỚP</v>
      </c>
      <c r="R570" s="2"/>
      <c r="S570" s="2"/>
      <c r="T570" s="2"/>
      <c r="U570" s="2"/>
      <c r="V570" s="2"/>
      <c r="W570" s="2"/>
      <c r="X570" s="2"/>
      <c r="Y570" s="2"/>
    </row>
    <row r="571">
      <c r="A571" s="30">
        <f>IFERROR(__xludf.DUMMYFUNCTION("""COMPUTED_VALUE"""),568.0)</f>
        <v>568</v>
      </c>
      <c r="B571" s="39">
        <f>IFERROR(__xludf.DUMMYFUNCTION("""COMPUTED_VALUE"""),45936.0)</f>
        <v>45936</v>
      </c>
      <c r="C571" s="30">
        <f>IFERROR(__xludf.DUMMYFUNCTION("""COMPUTED_VALUE"""),3.0)</f>
        <v>3</v>
      </c>
      <c r="D571" s="30" t="str">
        <f>IFERROR(__xludf.DUMMYFUNCTION("""COMPUTED_VALUE"""),"CT CŨ")</f>
        <v>CT CŨ</v>
      </c>
      <c r="E571" s="30"/>
      <c r="F571" s="2"/>
      <c r="G571" s="2" t="str">
        <f>IFERROR(__xludf.DUMMYFUNCTION("""COMPUTED_VALUE"""),"HH4180")</f>
        <v>HH4180</v>
      </c>
      <c r="H571" s="2" t="str">
        <f>IFERROR(__xludf.DUMMYFUNCTION("""COMPUTED_VALUE"""),"GC - IV - 4180 - CTY THIÊN DI - THIDI PLUM MAX+ (Nước nâu đen) - 500ml - 40")</f>
        <v>GC - IV - 4180 - CTY THIÊN DI - THIDI PLUM MAX+ (Nước nâu đen) - 500ml - 40</v>
      </c>
      <c r="I571" s="2" t="str">
        <f>IFERROR(__xludf.DUMMYFUNCTION("""COMPUTED_VALUE"""),"#N/A")</f>
        <v>#N/A</v>
      </c>
      <c r="J571" s="2" t="str">
        <f>IFERROR(__xludf.DUMMYFUNCTION("""COMPUTED_VALUE"""),"Cùng ruột HH3112")</f>
        <v>Cùng ruột HH3112</v>
      </c>
      <c r="K571" s="2"/>
      <c r="L571" s="2" t="str">
        <f>IFERROR(__xludf.DUMMYFUNCTION("""COMPUTED_VALUE"""),"A03060125")</f>
        <v>A03060125</v>
      </c>
      <c r="M571" s="2" t="str">
        <f>IFERROR(__xludf.DUMMYFUNCTION("""COMPUTED_VALUE"""),"THIDI PLUM MAX+")</f>
        <v>THIDI PLUM MAX+</v>
      </c>
      <c r="N571" s="2" t="str">
        <f>IFERROR(__xludf.DUMMYFUNCTION("""COMPUTED_VALUE"""),"04VG0028V1")</f>
        <v>04VG0028V1</v>
      </c>
      <c r="O571" s="2" t="str">
        <f>IFERROR(__xludf.DUMMYFUNCTION("""COMPUTED_VALUE"""),"Phân bón Vi lượng Quantity New")</f>
        <v>Phân bón Vi lượng Quantity New</v>
      </c>
      <c r="P571" s="2" t="str">
        <f>IFERROR(__xludf.DUMMYFUNCTION("""COMPUTED_VALUE"""),"#N/A")</f>
        <v>#N/A</v>
      </c>
      <c r="Q571" s="30" t="str">
        <f>IFERROR(__xludf.DUMMYFUNCTION("""COMPUTED_VALUE"""),"KHÔNG KHỚP")</f>
        <v>KHÔNG KHỚP</v>
      </c>
      <c r="R571" s="2"/>
      <c r="S571" s="2"/>
      <c r="T571" s="2"/>
      <c r="U571" s="2"/>
      <c r="V571" s="2"/>
      <c r="W571" s="2"/>
      <c r="X571" s="2"/>
      <c r="Y571" s="2"/>
    </row>
    <row r="572">
      <c r="A572" s="30">
        <f>IFERROR(__xludf.DUMMYFUNCTION("""COMPUTED_VALUE"""),569.0)</f>
        <v>569</v>
      </c>
      <c r="B572" s="39">
        <f>IFERROR(__xludf.DUMMYFUNCTION("""COMPUTED_VALUE"""),45940.0)</f>
        <v>45940</v>
      </c>
      <c r="C572" s="30">
        <f>IFERROR(__xludf.DUMMYFUNCTION("""COMPUTED_VALUE"""),9.0)</f>
        <v>9</v>
      </c>
      <c r="D572" s="30" t="str">
        <f>IFERROR(__xludf.DUMMYFUNCTION("""COMPUTED_VALUE"""),"CT CŨ")</f>
        <v>CT CŨ</v>
      </c>
      <c r="E572" s="30"/>
      <c r="F572" s="2"/>
      <c r="G572" s="2" t="str">
        <f>IFERROR(__xludf.DUMMYFUNCTION("""COMPUTED_VALUE"""),"HH4442")</f>
        <v>HH4442</v>
      </c>
      <c r="H572" s="2" t="str">
        <f>IFERROR(__xludf.DUMMYFUNCTION("""COMPUTED_VALUE"""),"GC - IX - 4442 - N2SBIO - N2 MG ZN-70 (Nước xanh lá) - 500ml - 40")</f>
        <v>GC - IX - 4442 - N2SBIO - N2 MG ZN-70 (Nước xanh lá) - 500ml - 40</v>
      </c>
      <c r="I572" s="39" t="str">
        <f>IFERROR(__xludf.DUMMYFUNCTION("""COMPUTED_VALUE"""),"vi lượng Phú Sĩ FJ-09 Kẽm Mg")</f>
        <v>vi lượng Phú Sĩ FJ-09 Kẽm Mg</v>
      </c>
      <c r="J572" s="2" t="str">
        <f>IFERROR(__xludf.DUMMYFUNCTION("""COMPUTED_VALUE"""),"N01080825")</f>
        <v>N01080825</v>
      </c>
      <c r="K572" s="2"/>
      <c r="L572" s="2" t="str">
        <f>IFERROR(__xludf.DUMMYFUNCTION("""COMPUTED_VALUE"""),"N01080825")</f>
        <v>N01080825</v>
      </c>
      <c r="M572" s="2" t="str">
        <f>IFERROR(__xludf.DUMMYFUNCTION("""COMPUTED_VALUE"""),"N2 MgZn-52")</f>
        <v>N2 MgZn-52</v>
      </c>
      <c r="N572" s="2" t="str">
        <f>IFERROR(__xludf.DUMMYFUNCTION("""COMPUTED_VALUE"""),"23GS0002V1")</f>
        <v>23GS0002V1</v>
      </c>
      <c r="O572" s="2" t="str">
        <f>IFERROR(__xludf.DUMMYFUNCTION("""COMPUTED_VALUE"""),"Phân bón vi lượng Phú Sĩ FJ-09 Kẽm Mg")</f>
        <v>Phân bón vi lượng Phú Sĩ FJ-09 Kẽm Mg</v>
      </c>
      <c r="P572" s="2" t="str">
        <f>IFERROR(__xludf.DUMMYFUNCTION("""COMPUTED_VALUE"""),"Phân bón vi lượng Phú Sĩ FJ-09 Kẽm Mg")</f>
        <v>Phân bón vi lượng Phú Sĩ FJ-09 Kẽm Mg</v>
      </c>
      <c r="Q572" s="30" t="str">
        <f>IFERROR(__xludf.DUMMYFUNCTION("""COMPUTED_VALUE"""),"KHỚP")</f>
        <v>KHỚP</v>
      </c>
      <c r="R572" s="2"/>
      <c r="S572" s="2"/>
      <c r="T572" s="2"/>
      <c r="U572" s="2"/>
      <c r="V572" s="2"/>
      <c r="W572" s="2"/>
      <c r="X572" s="2"/>
      <c r="Y572" s="2"/>
    </row>
    <row r="573">
      <c r="A573" s="30">
        <f>IFERROR(__xludf.DUMMYFUNCTION("""COMPUTED_VALUE"""),570.0)</f>
        <v>570</v>
      </c>
      <c r="B573" s="39">
        <f>IFERROR(__xludf.DUMMYFUNCTION("""COMPUTED_VALUE"""),45896.0)</f>
        <v>45896</v>
      </c>
      <c r="C573" s="30">
        <f>IFERROR(__xludf.DUMMYFUNCTION("""COMPUTED_VALUE"""),2.0)</f>
        <v>2</v>
      </c>
      <c r="D573" s="30" t="str">
        <f>IFERROR(__xludf.DUMMYFUNCTION("""COMPUTED_VALUE"""),"CT CŨ")</f>
        <v>CT CŨ</v>
      </c>
      <c r="E573" s="30"/>
      <c r="F573" s="2"/>
      <c r="G573" s="2" t="str">
        <f>IFERROR(__xludf.DUMMYFUNCTION("""COMPUTED_VALUE"""),"HH4410")</f>
        <v>HH4410</v>
      </c>
      <c r="H573" s="2" t="str">
        <f>IFERROR(__xludf.DUMMYFUNCTION("""COMPUTED_VALUE"""),"GC - IV - 4410 - NHP Group - CANXI BO BIO PLUS (Dạng SC - Trắng sữa) - 500ml - 40")</f>
        <v>GC - IV - 4410 - NHP Group - CANXI BO BIO PLUS (Dạng SC - Trắng sữa) - 500ml - 40</v>
      </c>
      <c r="I573" s="2" t="str">
        <f>IFERROR(__xludf.DUMMYFUNCTION("""COMPUTED_VALUE"""),"#N/A")</f>
        <v>#N/A</v>
      </c>
      <c r="J573" s="2" t="str">
        <f>IFERROR(__xludf.DUMMYFUNCTION("""COMPUTED_VALUE"""),"A02160725")</f>
        <v>A02160725</v>
      </c>
      <c r="K573" s="2"/>
      <c r="L573" s="2" t="str">
        <f>IFERROR(__xludf.DUMMYFUNCTION("""COMPUTED_VALUE"""),"A02160725")</f>
        <v>A02160725</v>
      </c>
      <c r="M573" s="2" t="str">
        <f>IFERROR(__xludf.DUMMYFUNCTION("""COMPUTED_VALUE"""),"AGAMA-CANXI BO
(KIM NGỌC)")</f>
        <v>AGAMA-CANXI BO
(KIM NGỌC)</v>
      </c>
      <c r="N573" s="2" t="str">
        <f>IFERROR(__xludf.DUMMYFUNCTION("""COMPUTED_VALUE"""),"10CR0021")</f>
        <v>10CR0021</v>
      </c>
      <c r="O573" s="2" t="str">
        <f>IFERROR(__xludf.DUMMYFUNCTION("""COMPUTED_VALUE"""),"Phân bón Vi lượng AGAMA-CANXI BO")</f>
        <v>Phân bón Vi lượng AGAMA-CANXI BO</v>
      </c>
      <c r="P573" s="2" t="str">
        <f>IFERROR(__xludf.DUMMYFUNCTION("""COMPUTED_VALUE"""),"#N/A")</f>
        <v>#N/A</v>
      </c>
      <c r="Q573" s="30" t="str">
        <f>IFERROR(__xludf.DUMMYFUNCTION("""COMPUTED_VALUE"""),"KHÔNG KHỚP")</f>
        <v>KHÔNG KHỚP</v>
      </c>
      <c r="R573" s="2"/>
      <c r="S573" s="2"/>
      <c r="T573" s="2"/>
      <c r="U573" s="2"/>
      <c r="V573" s="2"/>
      <c r="W573" s="2"/>
      <c r="X573" s="2"/>
      <c r="Y573" s="2"/>
    </row>
    <row r="574">
      <c r="A574" s="30">
        <f>IFERROR(__xludf.DUMMYFUNCTION("""COMPUTED_VALUE"""),571.0)</f>
        <v>571</v>
      </c>
      <c r="B574" s="39">
        <f>IFERROR(__xludf.DUMMYFUNCTION("""COMPUTED_VALUE"""),45892.0)</f>
        <v>45892</v>
      </c>
      <c r="C574" s="30">
        <f>IFERROR(__xludf.DUMMYFUNCTION("""COMPUTED_VALUE"""),1.0)</f>
        <v>1</v>
      </c>
      <c r="D574" s="30" t="str">
        <f>IFERROR(__xludf.DUMMYFUNCTION("""COMPUTED_VALUE"""),"CT CŨ")</f>
        <v>CT CŨ</v>
      </c>
      <c r="E574" s="30"/>
      <c r="F574" s="2"/>
      <c r="G574" s="2" t="str">
        <f>IFERROR(__xludf.DUMMYFUNCTION("""COMPUTED_VALUE"""),"HH4711")</f>
        <v>HH4711</v>
      </c>
      <c r="H574" s="2" t="str">
        <f>IFERROR(__xludf.DUMMYFUNCTION("""COMPUTED_VALUE"""),"GC - V - 4711 - NHP GROUP - ULTRAKEO ZN+ (Nước trắng sữa) - 200ml - 40")</f>
        <v>GC - V - 4711 - NHP GROUP - ULTRAKEO ZN+ (Nước trắng sữa) - 200ml - 40</v>
      </c>
      <c r="I574" s="2" t="str">
        <f>IFERROR(__xludf.DUMMYFUNCTION("""COMPUTED_VALUE"""),"#N/A")</f>
        <v>#N/A</v>
      </c>
      <c r="J574" s="2" t="str">
        <f>IFERROR(__xludf.DUMMYFUNCTION("""COMPUTED_VALUE"""),"Cùng ruột HH3007, 3121")</f>
        <v>Cùng ruột HH3007, 3121</v>
      </c>
      <c r="K574" s="2"/>
      <c r="L574" s="2" t="str">
        <f>IFERROR(__xludf.DUMMYFUNCTION("""COMPUTED_VALUE"""),"A02211024")</f>
        <v>A02211024</v>
      </c>
      <c r="M574" s="2" t="str">
        <f>IFERROR(__xludf.DUMMYFUNCTION("""COMPUTED_VALUE"""),"ULTRAKEO ZN+")</f>
        <v>ULTRAKEO ZN+</v>
      </c>
      <c r="N574" s="2" t="str">
        <f>IFERROR(__xludf.DUMMYFUNCTION("""COMPUTED_VALUE"""),"13XL0010")</f>
        <v>13XL0010</v>
      </c>
      <c r="O574" s="2" t="str">
        <f>IFERROR(__xludf.DUMMYFUNCTION("""COMPUTED_VALUE"""),"Phân bón Vi lượng MICKEY")</f>
        <v>Phân bón Vi lượng MICKEY</v>
      </c>
      <c r="P574" s="2" t="str">
        <f>IFERROR(__xludf.DUMMYFUNCTION("""COMPUTED_VALUE"""),"#N/A")</f>
        <v>#N/A</v>
      </c>
      <c r="Q574" s="30" t="str">
        <f>IFERROR(__xludf.DUMMYFUNCTION("""COMPUTED_VALUE"""),"KHÔNG KHỚP")</f>
        <v>KHÔNG KHỚP</v>
      </c>
      <c r="R574" s="2"/>
      <c r="S574" s="2"/>
      <c r="T574" s="2"/>
      <c r="U574" s="2"/>
      <c r="V574" s="2"/>
      <c r="W574" s="2"/>
      <c r="X574" s="2"/>
      <c r="Y574" s="2"/>
    </row>
    <row r="575">
      <c r="A575" s="30">
        <f>IFERROR(__xludf.DUMMYFUNCTION("""COMPUTED_VALUE"""),572.0)</f>
        <v>572</v>
      </c>
      <c r="B575" s="39">
        <f>IFERROR(__xludf.DUMMYFUNCTION("""COMPUTED_VALUE"""),45892.0)</f>
        <v>45892</v>
      </c>
      <c r="C575" s="30">
        <f>IFERROR(__xludf.DUMMYFUNCTION("""COMPUTED_VALUE"""),1.0)</f>
        <v>1</v>
      </c>
      <c r="D575" s="30" t="str">
        <f>IFERROR(__xludf.DUMMYFUNCTION("""COMPUTED_VALUE"""),"CT CŨ")</f>
        <v>CT CŨ</v>
      </c>
      <c r="E575" s="30"/>
      <c r="F575" s="2"/>
      <c r="G575" s="2" t="str">
        <f>IFERROR(__xludf.DUMMYFUNCTION("""COMPUTED_VALUE"""),"HH4709")</f>
        <v>HH4709</v>
      </c>
      <c r="H575" s="2" t="str">
        <f>IFERROR(__xludf.DUMMYFUNCTION("""COMPUTED_VALUE"""),"GC - V - 4709 - NHP GROUP - ULTRA KEO GROW (Nước nâu đen) - 200ml - 40")</f>
        <v>GC - V - 4709 - NHP GROUP - ULTRA KEO GROW (Nước nâu đen) - 200ml - 40</v>
      </c>
      <c r="I575" s="2" t="str">
        <f>IFERROR(__xludf.DUMMYFUNCTION("""COMPUTED_VALUE"""),"#N/A")</f>
        <v>#N/A</v>
      </c>
      <c r="J575" s="2" t="str">
        <f>IFERROR(__xludf.DUMMYFUNCTION("""COMPUTED_VALUE"""),"Cùng ruột 3850")</f>
        <v>Cùng ruột 3850</v>
      </c>
      <c r="K575" s="2"/>
      <c r="L575" s="2" t="str">
        <f>IFERROR(__xludf.DUMMYFUNCTION("""COMPUTED_VALUE"""),"A04071024")</f>
        <v>A04071024</v>
      </c>
      <c r="M575" s="2" t="str">
        <f>IFERROR(__xludf.DUMMYFUNCTION("""COMPUTED_VALUE"""),"ULTRA KEO GROW")</f>
        <v>ULTRA KEO GROW</v>
      </c>
      <c r="N575" s="2" t="str">
        <f>IFERROR(__xludf.DUMMYFUNCTION("""COMPUTED_VALUE"""),"01RR0037V1")</f>
        <v>01RR0037V1</v>
      </c>
      <c r="O575" s="2" t="str">
        <f>IFERROR(__xludf.DUMMYFUNCTION("""COMPUTED_VALUE"""),"Phân bón Hữu cơ SH Agro Organic Fertilizer 20")</f>
        <v>Phân bón Hữu cơ SH Agro Organic Fertilizer 20</v>
      </c>
      <c r="P575" s="2" t="str">
        <f>IFERROR(__xludf.DUMMYFUNCTION("""COMPUTED_VALUE"""),"#N/A")</f>
        <v>#N/A</v>
      </c>
      <c r="Q575" s="30" t="str">
        <f>IFERROR(__xludf.DUMMYFUNCTION("""COMPUTED_VALUE"""),"KHÔNG KHỚP")</f>
        <v>KHÔNG KHỚP</v>
      </c>
      <c r="R575" s="2"/>
      <c r="S575" s="2"/>
      <c r="T575" s="2"/>
      <c r="U575" s="2"/>
      <c r="V575" s="2"/>
      <c r="W575" s="2"/>
      <c r="X575" s="2"/>
      <c r="Y575" s="2"/>
    </row>
    <row r="576">
      <c r="A576" s="30">
        <f>IFERROR(__xludf.DUMMYFUNCTION("""COMPUTED_VALUE"""),573.0)</f>
        <v>573</v>
      </c>
      <c r="B576" s="39">
        <f>IFERROR(__xludf.DUMMYFUNCTION("""COMPUTED_VALUE"""),45892.0)</f>
        <v>45892</v>
      </c>
      <c r="C576" s="30">
        <f>IFERROR(__xludf.DUMMYFUNCTION("""COMPUTED_VALUE"""),1.0)</f>
        <v>1</v>
      </c>
      <c r="D576" s="30" t="str">
        <f>IFERROR(__xludf.DUMMYFUNCTION("""COMPUTED_VALUE"""),"CT CŨ")</f>
        <v>CT CŨ</v>
      </c>
      <c r="E576" s="30"/>
      <c r="F576" s="2"/>
      <c r="G576" s="2" t="str">
        <f>IFERROR(__xludf.DUMMYFUNCTION("""COMPUTED_VALUE"""),"HH4710")</f>
        <v>HH4710</v>
      </c>
      <c r="H576" s="2" t="str">
        <f>IFERROR(__xludf.DUMMYFUNCTION("""COMPUTED_VALUE"""),"GC - V - 4710 - NHP GROUP - ULTRA KEO CABOR (Nước vàng) - 200ml - 40")</f>
        <v>GC - V - 4710 - NHP GROUP - ULTRA KEO CABOR (Nước vàng) - 200ml - 40</v>
      </c>
      <c r="I576" s="2" t="str">
        <f>IFERROR(__xludf.DUMMYFUNCTION("""COMPUTED_VALUE"""),"#N/A")</f>
        <v>#N/A</v>
      </c>
      <c r="J576" s="2" t="str">
        <f>IFERROR(__xludf.DUMMYFUNCTION("""COMPUTED_VALUE"""),"Cùng ruột 3851")</f>
        <v>Cùng ruột 3851</v>
      </c>
      <c r="K576" s="2"/>
      <c r="L576" s="2"/>
      <c r="M576" s="2" t="str">
        <f>IFERROR(__xludf.DUMMYFUNCTION("""COMPUTED_VALUE"""),"ULTRA KEO CABOR
BOCAX
US.BOCAXX")</f>
        <v>ULTRA KEO CABOR
BOCAX
US.BOCAXX</v>
      </c>
      <c r="N576" s="2" t="str">
        <f>IFERROR(__xludf.DUMMYFUNCTION("""COMPUTED_VALUE"""),"10CR0001V1")</f>
        <v>10CR0001V1</v>
      </c>
      <c r="O576" s="2" t="str">
        <f>IFERROR(__xludf.DUMMYFUNCTION("""COMPUTED_VALUE"""),"Phân bón Vi lượng Run Fast")</f>
        <v>Phân bón Vi lượng Run Fast</v>
      </c>
      <c r="P576" s="2" t="str">
        <f>IFERROR(__xludf.DUMMYFUNCTION("""COMPUTED_VALUE"""),"#N/A")</f>
        <v>#N/A</v>
      </c>
      <c r="Q576" s="30" t="str">
        <f>IFERROR(__xludf.DUMMYFUNCTION("""COMPUTED_VALUE"""),"KHÔNG KHỚP")</f>
        <v>KHÔNG KHỚP</v>
      </c>
      <c r="R576" s="2"/>
      <c r="S576" s="2"/>
      <c r="T576" s="2"/>
      <c r="U576" s="2"/>
      <c r="V576" s="2"/>
      <c r="W576" s="2"/>
      <c r="X576" s="2"/>
      <c r="Y576" s="2"/>
    </row>
    <row r="577">
      <c r="A577" s="30">
        <f>IFERROR(__xludf.DUMMYFUNCTION("""COMPUTED_VALUE"""),574.0)</f>
        <v>574</v>
      </c>
      <c r="B577" s="39">
        <f>IFERROR(__xludf.DUMMYFUNCTION("""COMPUTED_VALUE"""),45993.0)</f>
        <v>45993</v>
      </c>
      <c r="C577" s="30">
        <f>IFERROR(__xludf.DUMMYFUNCTION("""COMPUTED_VALUE"""),1.0)</f>
        <v>1</v>
      </c>
      <c r="D577" s="30" t="str">
        <f>IFERROR(__xludf.DUMMYFUNCTION("""COMPUTED_VALUE"""),"CT CŨ")</f>
        <v>CT CŨ</v>
      </c>
      <c r="E577" s="30"/>
      <c r="F577" s="2"/>
      <c r="G577" s="2" t="str">
        <f>IFERROR(__xludf.DUMMYFUNCTION("""COMPUTED_VALUE"""),"HH3922")</f>
        <v>HH3922</v>
      </c>
      <c r="H577" s="2" t="str">
        <f>IFERROR(__xludf.DUMMYFUNCTION("""COMPUTED_VALUE"""),"GC - IV - 3922 - WINDY ALS - BOOM GOLD (Nước nâu đen) - 250ml - 40")</f>
        <v>GC - IV - 3922 - WINDY ALS - BOOM GOLD (Nước nâu đen) - 250ml - 40</v>
      </c>
      <c r="I577" s="2" t="str">
        <f>IFERROR(__xludf.DUMMYFUNCTION("""COMPUTED_VALUE"""),"#N/A")</f>
        <v>#N/A</v>
      </c>
      <c r="J577" s="2" t="str">
        <f>IFERROR(__xludf.DUMMYFUNCTION("""COMPUTED_VALUE"""),"A01200225-02")</f>
        <v>A01200225-02</v>
      </c>
      <c r="K577" s="2"/>
      <c r="L577" s="2" t="str">
        <f>IFERROR(__xludf.DUMMYFUNCTION("""COMPUTED_VALUE"""),"A01200225-02")</f>
        <v>A01200225-02</v>
      </c>
      <c r="M577" s="2" t="str">
        <f>IFERROR(__xludf.DUMMYFUNCTION("""COMPUTED_VALUE"""),"BOOMGOLD
AGRI BOOST")</f>
        <v>BOOMGOLD
AGRI BOOST</v>
      </c>
      <c r="N577" s="2" t="str">
        <f>IFERROR(__xludf.DUMMYFUNCTION("""COMPUTED_VALUE"""),"10CR0019V1")</f>
        <v>10CR0019V1</v>
      </c>
      <c r="O577" s="2" t="str">
        <f>IFERROR(__xludf.DUMMYFUNCTION("""COMPUTED_VALUE"""),"Phân bón Hữu cơ SH Agro Organic Fertilizer 20")</f>
        <v>Phân bón Hữu cơ SH Agro Organic Fertilizer 20</v>
      </c>
      <c r="P577" s="2" t="str">
        <f>IFERROR(__xludf.DUMMYFUNCTION("""COMPUTED_VALUE"""),"#N/A")</f>
        <v>#N/A</v>
      </c>
      <c r="Q577" s="30" t="str">
        <f>IFERROR(__xludf.DUMMYFUNCTION("""COMPUTED_VALUE"""),"KHÔNG KHỚP")</f>
        <v>KHÔNG KHỚP</v>
      </c>
      <c r="R577" s="2"/>
      <c r="S577" s="2"/>
      <c r="T577" s="2"/>
      <c r="U577" s="2"/>
      <c r="V577" s="2"/>
      <c r="W577" s="2"/>
      <c r="X577" s="2"/>
      <c r="Y577" s="2"/>
    </row>
    <row r="578">
      <c r="A578" s="30">
        <f>IFERROR(__xludf.DUMMYFUNCTION("""COMPUTED_VALUE"""),575.0)</f>
        <v>575</v>
      </c>
      <c r="B578" s="39">
        <f>IFERROR(__xludf.DUMMYFUNCTION("""COMPUTED_VALUE"""),45896.0)</f>
        <v>45896</v>
      </c>
      <c r="C578" s="30">
        <f>IFERROR(__xludf.DUMMYFUNCTION("""COMPUTED_VALUE"""),2.0)</f>
        <v>2</v>
      </c>
      <c r="D578" s="30" t="str">
        <f>IFERROR(__xludf.DUMMYFUNCTION("""COMPUTED_VALUE"""),"CT CŨ")</f>
        <v>CT CŨ</v>
      </c>
      <c r="E578" s="30"/>
      <c r="F578" s="2"/>
      <c r="G578" s="2" t="str">
        <f>IFERROR(__xludf.DUMMYFUNCTION("""COMPUTED_VALUE"""),"HH4049")</f>
        <v>HH4049</v>
      </c>
      <c r="H578" s="2" t="str">
        <f>IFERROR(__xludf.DUMMYFUNCTION("""COMPUTED_VALUE"""),"GC - IV - 4049 - WINDY ALS - CALCIBOZIN (Dạng SC - Trắng sữa) - 500ml - 40")</f>
        <v>GC - IV - 4049 - WINDY ALS - CALCIBOZIN (Dạng SC - Trắng sữa) - 500ml - 40</v>
      </c>
      <c r="I578" s="2" t="str">
        <f>IFERROR(__xludf.DUMMYFUNCTION("""COMPUTED_VALUE"""),"#N/A")</f>
        <v>#N/A</v>
      </c>
      <c r="J578" s="2" t="str">
        <f>IFERROR(__xludf.DUMMYFUNCTION("""COMPUTED_VALUE"""),"A02160725")</f>
        <v>A02160725</v>
      </c>
      <c r="K578" s="2"/>
      <c r="L578" s="2" t="str">
        <f>IFERROR(__xludf.DUMMYFUNCTION("""COMPUTED_VALUE"""),"A02160725")</f>
        <v>A02160725</v>
      </c>
      <c r="M578" s="2" t="str">
        <f>IFERROR(__xludf.DUMMYFUNCTION("""COMPUTED_VALUE"""),"AGAMA-CANXI BO
(KIM NGỌC)")</f>
        <v>AGAMA-CANXI BO
(KIM NGỌC)</v>
      </c>
      <c r="N578" s="2" t="str">
        <f>IFERROR(__xludf.DUMMYFUNCTION("""COMPUTED_VALUE"""),"10CR0021")</f>
        <v>10CR0021</v>
      </c>
      <c r="O578" s="2" t="str">
        <f>IFERROR(__xludf.DUMMYFUNCTION("""COMPUTED_VALUE"""),"Phân bón Vi lượng AGAMA-CANXI BO")</f>
        <v>Phân bón Vi lượng AGAMA-CANXI BO</v>
      </c>
      <c r="P578" s="2" t="str">
        <f>IFERROR(__xludf.DUMMYFUNCTION("""COMPUTED_VALUE"""),"#N/A")</f>
        <v>#N/A</v>
      </c>
      <c r="Q578" s="30" t="str">
        <f>IFERROR(__xludf.DUMMYFUNCTION("""COMPUTED_VALUE"""),"KHÔNG KHỚP")</f>
        <v>KHÔNG KHỚP</v>
      </c>
      <c r="R578" s="2"/>
      <c r="S578" s="2"/>
      <c r="T578" s="2"/>
      <c r="U578" s="2"/>
      <c r="V578" s="2"/>
      <c r="W578" s="2"/>
      <c r="X578" s="2"/>
      <c r="Y578" s="2"/>
    </row>
    <row r="579">
      <c r="A579" s="30">
        <f>IFERROR(__xludf.DUMMYFUNCTION("""COMPUTED_VALUE"""),576.0)</f>
        <v>576</v>
      </c>
      <c r="B579" s="39">
        <f>IFERROR(__xludf.DUMMYFUNCTION("""COMPUTED_VALUE"""),45909.0)</f>
        <v>45909</v>
      </c>
      <c r="C579" s="30">
        <f>IFERROR(__xludf.DUMMYFUNCTION("""COMPUTED_VALUE"""),2.0)</f>
        <v>2</v>
      </c>
      <c r="D579" s="30" t="str">
        <f>IFERROR(__xludf.DUMMYFUNCTION("""COMPUTED_VALUE"""),"CT CŨ")</f>
        <v>CT CŨ</v>
      </c>
      <c r="E579" s="30"/>
      <c r="F579" s="2"/>
      <c r="G579" s="2" t="str">
        <f>IFERROR(__xludf.DUMMYFUNCTION("""COMPUTED_VALUE"""),"HH4050")</f>
        <v>HH4050</v>
      </c>
      <c r="H579" s="2" t="str">
        <f>IFERROR(__xludf.DUMMYFUNCTION("""COMPUTED_VALUE"""),"GC - IV - 4050 - WINDY ALS - ZINC-MAGIE (Dạng SC - Xanh lá) - 450ml - 40")</f>
        <v>GC - IV - 4050 - WINDY ALS - ZINC-MAGIE (Dạng SC - Xanh lá) - 450ml - 40</v>
      </c>
      <c r="I579" s="2" t="str">
        <f>IFERROR(__xludf.DUMMYFUNCTION("""COMPUTED_VALUE"""),"#N/A")</f>
        <v>#N/A</v>
      </c>
      <c r="J579" s="2" t="str">
        <f>IFERROR(__xludf.DUMMYFUNCTION("""COMPUTED_VALUE"""),"A05200825")</f>
        <v>A05200825</v>
      </c>
      <c r="K579" s="2"/>
      <c r="L579" s="2" t="str">
        <f>IFERROR(__xludf.DUMMYFUNCTION("""COMPUTED_VALUE"""),"A05200825")</f>
        <v>A05200825</v>
      </c>
      <c r="M579" s="2" t="str">
        <f>IFERROR(__xludf.DUMMYFUNCTION("""COMPUTED_VALUE"""),"AMINO MAGIE - KẼM CAO CẤP 02")</f>
        <v>AMINO MAGIE - KẼM CAO CẤP 02</v>
      </c>
      <c r="N579" s="2" t="str">
        <f>IFERROR(__xludf.DUMMYFUNCTION("""COMPUTED_VALUE"""),"23GS0011")</f>
        <v>23GS0011</v>
      </c>
      <c r="O579" s="2" t="str">
        <f>IFERROR(__xludf.DUMMYFUNCTION("""COMPUTED_VALUE"""),"Phân bón vi lượng Phú Sĩ FJ-09 Kẽm Mg")</f>
        <v>Phân bón vi lượng Phú Sĩ FJ-09 Kẽm Mg</v>
      </c>
      <c r="P579" s="2" t="str">
        <f>IFERROR(__xludf.DUMMYFUNCTION("""COMPUTED_VALUE"""),"#N/A")</f>
        <v>#N/A</v>
      </c>
      <c r="Q579" s="30" t="str">
        <f>IFERROR(__xludf.DUMMYFUNCTION("""COMPUTED_VALUE"""),"KHÔNG KHỚP")</f>
        <v>KHÔNG KHỚP</v>
      </c>
      <c r="R579" s="2"/>
      <c r="S579" s="2"/>
      <c r="T579" s="2"/>
      <c r="U579" s="2"/>
      <c r="V579" s="2"/>
      <c r="W579" s="2"/>
      <c r="X579" s="2"/>
      <c r="Y579" s="2"/>
    </row>
    <row r="580">
      <c r="A580" s="30">
        <f>IFERROR(__xludf.DUMMYFUNCTION("""COMPUTED_VALUE"""),577.0)</f>
        <v>577</v>
      </c>
      <c r="B580" s="39">
        <f>IFERROR(__xludf.DUMMYFUNCTION("""COMPUTED_VALUE"""),46058.0)</f>
        <v>46058</v>
      </c>
      <c r="C580" s="30">
        <f>IFERROR(__xludf.DUMMYFUNCTION("""COMPUTED_VALUE"""),2.0)</f>
        <v>2</v>
      </c>
      <c r="D580" s="30" t="str">
        <f>IFERROR(__xludf.DUMMYFUNCTION("""COMPUTED_VALUE"""),"CT CŨ")</f>
        <v>CT CŨ</v>
      </c>
      <c r="E580" s="30"/>
      <c r="F580" s="2"/>
      <c r="G580" s="2" t="str">
        <f>IFERROR(__xludf.DUMMYFUNCTION("""COMPUTED_VALUE"""),"HH4666")</f>
        <v>HH4666</v>
      </c>
      <c r="H580" s="2" t="str">
        <f>IFERROR(__xludf.DUMMYFUNCTION("""COMPUTED_VALUE"""),"GC - IV - 4666 - Cty Master Win - ENERGROW (Gel nâu đen) - 1L - 20")</f>
        <v>GC - IV - 4666 - Cty Master Win - ENERGROW (Gel nâu đen) - 1L - 20</v>
      </c>
      <c r="I580" s="2" t="str">
        <f>IFERROR(__xludf.DUMMYFUNCTION("""COMPUTED_VALUE"""),"#N/A")</f>
        <v>#N/A</v>
      </c>
      <c r="J580" s="2" t="str">
        <f>IFERROR(__xludf.DUMMYFUNCTION("""COMPUTED_VALUE"""),"Cùng ruột 2756")</f>
        <v>Cùng ruột 2756</v>
      </c>
      <c r="K580" s="2"/>
      <c r="L580" s="2" t="str">
        <f>IFERROR(__xludf.DUMMYFUNCTION("""COMPUTED_VALUE"""),"A01271124")</f>
        <v>A01271124</v>
      </c>
      <c r="M580" s="2" t="str">
        <f>IFERROR(__xludf.DUMMYFUNCTION("""COMPUTED_VALUE"""),"ENERGROW")</f>
        <v>ENERGROW</v>
      </c>
      <c r="N580" s="2" t="str">
        <f>IFERROR(__xludf.DUMMYFUNCTION("""COMPUTED_VALUE"""),"19DD0021V3")</f>
        <v>19DD0021V3</v>
      </c>
      <c r="O580" s="2" t="str">
        <f>IFERROR(__xludf.DUMMYFUNCTION("""COMPUTED_VALUE"""),"Phân bón Hữu cơ CROPS CARE")</f>
        <v>Phân bón Hữu cơ CROPS CARE</v>
      </c>
      <c r="P580" s="2" t="str">
        <f>IFERROR(__xludf.DUMMYFUNCTION("""COMPUTED_VALUE"""),"#N/A")</f>
        <v>#N/A</v>
      </c>
      <c r="Q580" s="30" t="str">
        <f>IFERROR(__xludf.DUMMYFUNCTION("""COMPUTED_VALUE"""),"KHÔNG KHỚP")</f>
        <v>KHÔNG KHỚP</v>
      </c>
      <c r="R580" s="2"/>
      <c r="S580" s="2"/>
      <c r="T580" s="2"/>
      <c r="U580" s="2"/>
      <c r="V580" s="2"/>
      <c r="W580" s="2"/>
      <c r="X580" s="2"/>
      <c r="Y580" s="2"/>
    </row>
    <row r="581">
      <c r="A581" s="30">
        <f>IFERROR(__xludf.DUMMYFUNCTION("""COMPUTED_VALUE"""),578.0)</f>
        <v>578</v>
      </c>
      <c r="B581" s="39">
        <f>IFERROR(__xludf.DUMMYFUNCTION("""COMPUTED_VALUE"""),45892.0)</f>
        <v>45892</v>
      </c>
      <c r="C581" s="30">
        <f>IFERROR(__xludf.DUMMYFUNCTION("""COMPUTED_VALUE"""),2.0)</f>
        <v>2</v>
      </c>
      <c r="D581" s="30" t="str">
        <f>IFERROR(__xludf.DUMMYFUNCTION("""COMPUTED_VALUE"""),"CT CŨ")</f>
        <v>CT CŨ</v>
      </c>
      <c r="E581" s="30"/>
      <c r="F581" s="2"/>
      <c r="G581" s="2" t="str">
        <f>IFERROR(__xludf.DUMMYFUNCTION("""COMPUTED_VALUE"""),"HH4654")</f>
        <v>HH4654</v>
      </c>
      <c r="H581" s="2" t="str">
        <f>IFERROR(__xludf.DUMMYFUNCTION("""COMPUTED_VALUE"""),"GC - V - 4654 - CTY THIÊN DI - THIDI GREEN (Nước trắng sữa) - 500ml - 40")</f>
        <v>GC - V - 4654 - CTY THIÊN DI - THIDI GREEN (Nước trắng sữa) - 500ml - 40</v>
      </c>
      <c r="I581" s="2" t="str">
        <f>IFERROR(__xludf.DUMMYFUNCTION("""COMPUTED_VALUE"""),"#N/A")</f>
        <v>#N/A</v>
      </c>
      <c r="J581" s="2" t="str">
        <f>IFERROR(__xludf.DUMMYFUNCTION("""COMPUTED_VALUE"""),"cùng ruột HH3007")</f>
        <v>cùng ruột HH3007</v>
      </c>
      <c r="K581" s="2"/>
      <c r="L581" s="2" t="str">
        <f>IFERROR(__xludf.DUMMYFUNCTION("""COMPUTED_VALUE"""),"A02211024")</f>
        <v>A02211024</v>
      </c>
      <c r="M581" s="2" t="str">
        <f>IFERROR(__xludf.DUMMYFUNCTION("""COMPUTED_VALUE"""),"ULTRAKEO ZN+")</f>
        <v>ULTRAKEO ZN+</v>
      </c>
      <c r="N581" s="2" t="str">
        <f>IFERROR(__xludf.DUMMYFUNCTION("""COMPUTED_VALUE"""),"13XL0010")</f>
        <v>13XL0010</v>
      </c>
      <c r="O581" s="2" t="str">
        <f>IFERROR(__xludf.DUMMYFUNCTION("""COMPUTED_VALUE"""),"Phân bón Vi lượng MICKEY")</f>
        <v>Phân bón Vi lượng MICKEY</v>
      </c>
      <c r="P581" s="2" t="str">
        <f>IFERROR(__xludf.DUMMYFUNCTION("""COMPUTED_VALUE"""),"#N/A")</f>
        <v>#N/A</v>
      </c>
      <c r="Q581" s="30" t="str">
        <f>IFERROR(__xludf.DUMMYFUNCTION("""COMPUTED_VALUE"""),"KHÔNG KHỚP")</f>
        <v>KHÔNG KHỚP</v>
      </c>
      <c r="R581" s="2"/>
      <c r="S581" s="2"/>
      <c r="T581" s="2"/>
      <c r="U581" s="2"/>
      <c r="V581" s="2"/>
      <c r="W581" s="2"/>
      <c r="X581" s="2"/>
      <c r="Y581" s="2"/>
    </row>
    <row r="582">
      <c r="A582" s="30">
        <f>IFERROR(__xludf.DUMMYFUNCTION("""COMPUTED_VALUE"""),579.0)</f>
        <v>579</v>
      </c>
      <c r="B582" s="39">
        <f>IFERROR(__xludf.DUMMYFUNCTION("""COMPUTED_VALUE"""),46056.0)</f>
        <v>46056</v>
      </c>
      <c r="C582" s="30">
        <f>IFERROR(__xludf.DUMMYFUNCTION("""COMPUTED_VALUE"""),2.0)</f>
        <v>2</v>
      </c>
      <c r="D582" s="30" t="str">
        <f>IFERROR(__xludf.DUMMYFUNCTION("""COMPUTED_VALUE"""),"CT CŨ")</f>
        <v>CT CŨ</v>
      </c>
      <c r="E582" s="30"/>
      <c r="F582" s="2"/>
      <c r="G582" s="2" t="str">
        <f>IFERROR(__xludf.DUMMYFUNCTION("""COMPUTED_VALUE"""),"HH4748")</f>
        <v>HH4748</v>
      </c>
      <c r="H582" s="2" t="str">
        <f>IFERROR(__xludf.DUMMYFUNCTION("""COMPUTED_VALUE"""),"GC - V - 4748 - DEGO - RUN FAST (Nước đen) - 18L - 1")</f>
        <v>GC - V - 4748 - DEGO - RUN FAST (Nước đen) - 18L - 1</v>
      </c>
      <c r="I582" s="39" t="str">
        <f>IFERROR(__xludf.DUMMYFUNCTION("""COMPUTED_VALUE"""),"Vi lượng Run Fast")</f>
        <v>Vi lượng Run Fast</v>
      </c>
      <c r="J582" s="2" t="str">
        <f>IFERROR(__xludf.DUMMYFUNCTION("""COMPUTED_VALUE"""),"30NT0001")</f>
        <v>30NT0001</v>
      </c>
      <c r="K582" s="2"/>
      <c r="L582" s="2"/>
      <c r="M582" s="2" t="str">
        <f>IFERROR(__xludf.DUMMYFUNCTION("""COMPUTED_VALUE"""),"BO HAI NGÀN")</f>
        <v>BO HAI NGÀN</v>
      </c>
      <c r="N582" s="2" t="str">
        <f>IFERROR(__xludf.DUMMYFUNCTION("""COMPUTED_VALUE"""),"30NT0001")</f>
        <v>30NT0001</v>
      </c>
      <c r="O582" s="2" t="str">
        <f>IFERROR(__xludf.DUMMYFUNCTION("""COMPUTED_VALUE"""),"Phân bón Vi lượng Run Fast")</f>
        <v>Phân bón Vi lượng Run Fast</v>
      </c>
      <c r="P582" s="2" t="str">
        <f>IFERROR(__xludf.DUMMYFUNCTION("""COMPUTED_VALUE"""),"Phân bón Vi lượng Run Fast")</f>
        <v>Phân bón Vi lượng Run Fast</v>
      </c>
      <c r="Q582" s="30" t="str">
        <f>IFERROR(__xludf.DUMMYFUNCTION("""COMPUTED_VALUE"""),"KHỚP")</f>
        <v>KHỚP</v>
      </c>
      <c r="R582" s="2"/>
      <c r="S582" s="2"/>
      <c r="T582" s="2"/>
      <c r="U582" s="2"/>
      <c r="V582" s="2"/>
      <c r="W582" s="2"/>
      <c r="X582" s="2"/>
      <c r="Y582" s="2"/>
    </row>
    <row r="583">
      <c r="A583" s="30">
        <f>IFERROR(__xludf.DUMMYFUNCTION("""COMPUTED_VALUE"""),580.0)</f>
        <v>580</v>
      </c>
      <c r="B583" s="39">
        <f>IFERROR(__xludf.DUMMYFUNCTION("""COMPUTED_VALUE"""),45905.0)</f>
        <v>45905</v>
      </c>
      <c r="C583" s="30">
        <f>IFERROR(__xludf.DUMMYFUNCTION("""COMPUTED_VALUE"""),9.0)</f>
        <v>9</v>
      </c>
      <c r="D583" s="30" t="str">
        <f>IFERROR(__xludf.DUMMYFUNCTION("""COMPUTED_VALUE"""),"CT CŨ")</f>
        <v>CT CŨ</v>
      </c>
      <c r="E583" s="30"/>
      <c r="F583" s="2"/>
      <c r="G583" s="2" t="str">
        <f>IFERROR(__xludf.DUMMYFUNCTION("""COMPUTED_VALUE"""),"HH4183")</f>
        <v>HH4183</v>
      </c>
      <c r="H583" s="2" t="str">
        <f>IFERROR(__xludf.DUMMYFUNCTION("""COMPUTED_VALUE"""),"GC - V - 4183 - Cty Hương Nông - HN-pH++ (Nước nâu đen) - 5L - 4")</f>
        <v>GC - V - 4183 - Cty Hương Nông - HN-pH++ (Nước nâu đen) - 5L - 4</v>
      </c>
      <c r="I583" s="2" t="str">
        <f>IFERROR(__xludf.DUMMYFUNCTION("""COMPUTED_VALUE"""),"#N/A")</f>
        <v>#N/A</v>
      </c>
      <c r="J583" s="2" t="str">
        <f>IFERROR(__xludf.DUMMYFUNCTION("""COMPUTED_VALUE"""),"Cùng ruột 
HH3960")</f>
        <v>Cùng ruột 
HH3960</v>
      </c>
      <c r="K583" s="2"/>
      <c r="L583" s="2"/>
      <c r="M583" s="2" t="str">
        <f>IFERROR(__xludf.DUMMYFUNCTION("""COMPUTED_VALUE"""),"HN-pH++")</f>
        <v>HN-pH++</v>
      </c>
      <c r="N583" s="2" t="str">
        <f>IFERROR(__xludf.DUMMYFUNCTION("""COMPUTED_VALUE"""),"01RR0014V4")</f>
        <v>01RR0014V4</v>
      </c>
      <c r="O583" s="2" t="str">
        <f>IFERROR(__xludf.DUMMYFUNCTION("""COMPUTED_VALUE"""),"Phân bón Hữu cơ SH Agro Organic Fertilizer 20")</f>
        <v>Phân bón Hữu cơ SH Agro Organic Fertilizer 20</v>
      </c>
      <c r="P583" s="2" t="str">
        <f>IFERROR(__xludf.DUMMYFUNCTION("""COMPUTED_VALUE"""),"#N/A")</f>
        <v>#N/A</v>
      </c>
      <c r="Q583" s="30" t="str">
        <f>IFERROR(__xludf.DUMMYFUNCTION("""COMPUTED_VALUE"""),"KHÔNG KHỚP")</f>
        <v>KHÔNG KHỚP</v>
      </c>
      <c r="R583" s="2"/>
      <c r="S583" s="2"/>
      <c r="T583" s="2"/>
      <c r="U583" s="2"/>
      <c r="V583" s="2"/>
      <c r="W583" s="2"/>
      <c r="X583" s="2"/>
      <c r="Y583" s="2"/>
    </row>
    <row r="584">
      <c r="A584" s="30">
        <f>IFERROR(__xludf.DUMMYFUNCTION("""COMPUTED_VALUE"""),581.0)</f>
        <v>581</v>
      </c>
      <c r="B584" s="39">
        <f>IFERROR(__xludf.DUMMYFUNCTION("""COMPUTED_VALUE"""),46001.0)</f>
        <v>46001</v>
      </c>
      <c r="C584" s="30">
        <f>IFERROR(__xludf.DUMMYFUNCTION("""COMPUTED_VALUE"""),5.0)</f>
        <v>5</v>
      </c>
      <c r="D584" s="30" t="str">
        <f>IFERROR(__xludf.DUMMYFUNCTION("""COMPUTED_VALUE"""),"CT CŨ")</f>
        <v>CT CŨ</v>
      </c>
      <c r="E584" s="30"/>
      <c r="F584" s="2"/>
      <c r="G584" s="2" t="str">
        <f>IFERROR(__xludf.DUMMYFUNCTION("""COMPUTED_VALUE"""),"HH4262")</f>
        <v>HH4262</v>
      </c>
      <c r="H584" s="2" t="str">
        <f>IFERROR(__xludf.DUMMYFUNCTION("""COMPUTED_VALUE"""),"GC - IV - 4262 - CTY HƯƠNG NÔNG - BIO HỮU CƠ (Nước nâu đen) - 10L - 1")</f>
        <v>GC - IV - 4262 - CTY HƯƠNG NÔNG - BIO HỮU CƠ (Nước nâu đen) - 10L - 1</v>
      </c>
      <c r="I584" s="39" t="str">
        <f>IFERROR(__xludf.DUMMYFUNCTION("""COMPUTED_VALUE"""),"Hữu cơ Organic BM Gold  FW")</f>
        <v>Hữu cơ Organic BM Gold  FW</v>
      </c>
      <c r="J584" s="2" t="str">
        <f>IFERROR(__xludf.DUMMYFUNCTION("""COMPUTED_VALUE"""),"Cùng ruột 
HH3948")</f>
        <v>Cùng ruột 
HH3948</v>
      </c>
      <c r="K584" s="2"/>
      <c r="L584" s="2" t="str">
        <f>IFERROR(__xludf.DUMMYFUNCTION("""COMPUTED_VALUE"""),"A02281124
I01240326")</f>
        <v>A02281124
I01240326</v>
      </c>
      <c r="M584" s="2" t="str">
        <f>IFERROR(__xludf.DUMMYFUNCTION("""COMPUTED_VALUE"""),"BIO HỮU CƠ")</f>
        <v>BIO HỮU CƠ</v>
      </c>
      <c r="N584" s="2" t="str">
        <f>IFERROR(__xludf.DUMMYFUNCTION("""COMPUTED_VALUE"""),"11TT0010V1")</f>
        <v>11TT0010V1</v>
      </c>
      <c r="O584" s="2" t="str">
        <f>IFERROR(__xludf.DUMMYFUNCTION("""COMPUTED_VALUE"""),"Phân bón Hữu cơ ORGANIC BM GOLD FW")</f>
        <v>Phân bón Hữu cơ ORGANIC BM GOLD FW</v>
      </c>
      <c r="P584" s="2" t="str">
        <f>IFERROR(__xludf.DUMMYFUNCTION("""COMPUTED_VALUE"""),"Phân bón Hữu cơ Organic BM Gold  FW")</f>
        <v>Phân bón Hữu cơ Organic BM Gold  FW</v>
      </c>
      <c r="Q584" s="30" t="str">
        <f>IFERROR(__xludf.DUMMYFUNCTION("""COMPUTED_VALUE"""),"KHÔNG KHỚP")</f>
        <v>KHÔNG KHỚP</v>
      </c>
      <c r="R584" s="2"/>
      <c r="S584" s="2"/>
      <c r="T584" s="2"/>
      <c r="U584" s="2"/>
      <c r="V584" s="2"/>
      <c r="W584" s="2"/>
      <c r="X584" s="2"/>
      <c r="Y584" s="2"/>
    </row>
    <row r="585">
      <c r="A585" s="30">
        <f>IFERROR(__xludf.DUMMYFUNCTION("""COMPUTED_VALUE"""),582.0)</f>
        <v>582</v>
      </c>
      <c r="B585" s="39">
        <f>IFERROR(__xludf.DUMMYFUNCTION("""COMPUTED_VALUE"""),46036.0)</f>
        <v>46036</v>
      </c>
      <c r="C585" s="30">
        <f>IFERROR(__xludf.DUMMYFUNCTION("""COMPUTED_VALUE"""),2.0)</f>
        <v>2</v>
      </c>
      <c r="D585" s="30" t="str">
        <f>IFERROR(__xludf.DUMMYFUNCTION("""COMPUTED_VALUE"""),"CT CŨ")</f>
        <v>CT CŨ</v>
      </c>
      <c r="E585" s="30"/>
      <c r="F585" s="2"/>
      <c r="G585" s="2" t="str">
        <f>IFERROR(__xludf.DUMMYFUNCTION("""COMPUTED_VALUE"""),"HH4642")</f>
        <v>HH4642</v>
      </c>
      <c r="H585" s="2" t="str">
        <f>IFERROR(__xludf.DUMMYFUNCTION("""COMPUTED_VALUE"""),"GC - V - 4642 - CTY HÓA NÔNG ĐẤT VIỆT - KÍCH RỄ BUNG CHỒI (Nước nâu đen) - 20 lít - 1")</f>
        <v>GC - V - 4642 - CTY HÓA NÔNG ĐẤT VIỆT - KÍCH RỄ BUNG CHỒI (Nước nâu đen) - 20 lít - 1</v>
      </c>
      <c r="I585" s="39" t="str">
        <f>IFERROR(__xludf.DUMMYFUNCTION("""COMPUTED_VALUE"""),"Hữu Cơ Organic ĐGP 01")</f>
        <v>Hữu Cơ Organic ĐGP 01</v>
      </c>
      <c r="J585" s="2" t="str">
        <f>IFERROR(__xludf.DUMMYFUNCTION("""COMPUTED_VALUE"""),"A05181225- 01")</f>
        <v>A05181225- 01</v>
      </c>
      <c r="K585" s="2"/>
      <c r="L585" s="2" t="str">
        <f>IFERROR(__xludf.DUMMYFUNCTION("""COMPUTED_VALUE"""),"A05181225-01
I03240326")</f>
        <v>A05181225-01
I03240326</v>
      </c>
      <c r="M585" s="2" t="str">
        <f>IFERROR(__xludf.DUMMYFUNCTION("""COMPUTED_VALUE"""),"HỮU CƠ 20%")</f>
        <v>HỮU CƠ 20%</v>
      </c>
      <c r="N585" s="2" t="str">
        <f>IFERROR(__xludf.DUMMYFUNCTION("""COMPUTED_VALUE"""),"01RR0079V1")</f>
        <v>01RR0079V1</v>
      </c>
      <c r="O585" s="2" t="str">
        <f>IFERROR(__xludf.DUMMYFUNCTION("""COMPUTED_VALUE"""),"Phân bón Hữu cơ ORGANIC ĐGP 01 ")</f>
        <v>Phân bón Hữu cơ ORGANIC ĐGP 01 </v>
      </c>
      <c r="P585" s="2" t="str">
        <f>IFERROR(__xludf.DUMMYFUNCTION("""COMPUTED_VALUE"""),"Phân bón Hữu Cơ Organic ĐGP 01")</f>
        <v>Phân bón Hữu Cơ Organic ĐGP 01</v>
      </c>
      <c r="Q585" s="30" t="str">
        <f>IFERROR(__xludf.DUMMYFUNCTION("""COMPUTED_VALUE"""),"KHÔNG KHỚP")</f>
        <v>KHÔNG KHỚP</v>
      </c>
      <c r="R585" s="2"/>
      <c r="S585" s="2"/>
      <c r="T585" s="2"/>
      <c r="U585" s="2"/>
      <c r="V585" s="2"/>
      <c r="W585" s="2"/>
      <c r="X585" s="2"/>
      <c r="Y585" s="2"/>
    </row>
    <row r="586">
      <c r="A586" s="30">
        <f>IFERROR(__xludf.DUMMYFUNCTION("""COMPUTED_VALUE"""),583.0)</f>
        <v>583</v>
      </c>
      <c r="B586" s="39">
        <f>IFERROR(__xludf.DUMMYFUNCTION("""COMPUTED_VALUE"""),46056.0)</f>
        <v>46056</v>
      </c>
      <c r="C586" s="30">
        <f>IFERROR(__xludf.DUMMYFUNCTION("""COMPUTED_VALUE"""),3.0)</f>
        <v>3</v>
      </c>
      <c r="D586" s="30" t="str">
        <f>IFERROR(__xludf.DUMMYFUNCTION("""COMPUTED_VALUE"""),"CT CŨ")</f>
        <v>CT CŨ</v>
      </c>
      <c r="E586" s="30"/>
      <c r="F586" s="2"/>
      <c r="G586" s="2" t="str">
        <f>IFERROR(__xludf.DUMMYFUNCTION("""COMPUTED_VALUE"""),"HH4748")</f>
        <v>HH4748</v>
      </c>
      <c r="H586" s="2" t="str">
        <f>IFERROR(__xludf.DUMMYFUNCTION("""COMPUTED_VALUE"""),"GC - V - 4748 - DEGO - RUN FAST (Nước đen) - 18L - 1")</f>
        <v>GC - V - 4748 - DEGO - RUN FAST (Nước đen) - 18L - 1</v>
      </c>
      <c r="I586" s="39" t="str">
        <f>IFERROR(__xludf.DUMMYFUNCTION("""COMPUTED_VALUE"""),"Vi lượng Run Fast")</f>
        <v>Vi lượng Run Fast</v>
      </c>
      <c r="J586" s="2" t="str">
        <f>IFERROR(__xludf.DUMMYFUNCTION("""COMPUTED_VALUE"""),"30NT0001")</f>
        <v>30NT0001</v>
      </c>
      <c r="K586" s="2"/>
      <c r="L586" s="2"/>
      <c r="M586" s="2" t="str">
        <f>IFERROR(__xludf.DUMMYFUNCTION("""COMPUTED_VALUE"""),"BO HAI NGÀN")</f>
        <v>BO HAI NGÀN</v>
      </c>
      <c r="N586" s="2" t="str">
        <f>IFERROR(__xludf.DUMMYFUNCTION("""COMPUTED_VALUE"""),"30NT0001")</f>
        <v>30NT0001</v>
      </c>
      <c r="O586" s="2" t="str">
        <f>IFERROR(__xludf.DUMMYFUNCTION("""COMPUTED_VALUE"""),"Phân bón Vi lượng Run Fast")</f>
        <v>Phân bón Vi lượng Run Fast</v>
      </c>
      <c r="P586" s="2" t="str">
        <f>IFERROR(__xludf.DUMMYFUNCTION("""COMPUTED_VALUE"""),"Phân bón Vi lượng Run Fast")</f>
        <v>Phân bón Vi lượng Run Fast</v>
      </c>
      <c r="Q586" s="30" t="str">
        <f>IFERROR(__xludf.DUMMYFUNCTION("""COMPUTED_VALUE"""),"KHỚP")</f>
        <v>KHỚP</v>
      </c>
      <c r="R586" s="2"/>
      <c r="S586" s="2"/>
      <c r="T586" s="2"/>
      <c r="U586" s="2"/>
      <c r="V586" s="2"/>
      <c r="W586" s="2"/>
      <c r="X586" s="2"/>
      <c r="Y586" s="2"/>
    </row>
    <row r="587">
      <c r="A587" s="30">
        <f>IFERROR(__xludf.DUMMYFUNCTION("""COMPUTED_VALUE"""),584.0)</f>
        <v>584</v>
      </c>
      <c r="B587" s="39">
        <f>IFERROR(__xludf.DUMMYFUNCTION("""COMPUTED_VALUE"""),45892.0)</f>
        <v>45892</v>
      </c>
      <c r="C587" s="30">
        <f>IFERROR(__xludf.DUMMYFUNCTION("""COMPUTED_VALUE"""),2.0)</f>
        <v>2</v>
      </c>
      <c r="D587" s="30" t="str">
        <f>IFERROR(__xludf.DUMMYFUNCTION("""COMPUTED_VALUE"""),"CT CŨ")</f>
        <v>CT CŨ</v>
      </c>
      <c r="E587" s="30"/>
      <c r="F587" s="2"/>
      <c r="G587" s="2" t="str">
        <f>IFERROR(__xludf.DUMMYFUNCTION("""COMPUTED_VALUE"""),"HH4252")</f>
        <v>HH4252</v>
      </c>
      <c r="H587" s="2" t="str">
        <f>IFERROR(__xludf.DUMMYFUNCTION("""COMPUTED_VALUE"""),"GC - V - 4252 - Cty Agritech (Anh Trương) - CABOR PLUS+ (Nước vàng mật ong) - 500ml - 40")</f>
        <v>GC - V - 4252 - Cty Agritech (Anh Trương) - CABOR PLUS+ (Nước vàng mật ong) - 500ml - 40</v>
      </c>
      <c r="I587" s="2" t="str">
        <f>IFERROR(__xludf.DUMMYFUNCTION("""COMPUTED_VALUE"""),"#N/A")</f>
        <v>#N/A</v>
      </c>
      <c r="J587" s="2" t="str">
        <f>IFERROR(__xludf.DUMMYFUNCTION("""COMPUTED_VALUE"""),"Cùng ruột HH3871")</f>
        <v>Cùng ruột HH3871</v>
      </c>
      <c r="K587" s="2"/>
      <c r="L587" s="2"/>
      <c r="M587" s="2" t="str">
        <f>IFERROR(__xludf.DUMMYFUNCTION("""COMPUTED_VALUE"""),"ULTRA KEO CABOR
BOCAX
US.BOCAXX")</f>
        <v>ULTRA KEO CABOR
BOCAX
US.BOCAXX</v>
      </c>
      <c r="N587" s="2" t="str">
        <f>IFERROR(__xludf.DUMMYFUNCTION("""COMPUTED_VALUE"""),"10CR0001V1")</f>
        <v>10CR0001V1</v>
      </c>
      <c r="O587" s="2" t="str">
        <f>IFERROR(__xludf.DUMMYFUNCTION("""COMPUTED_VALUE"""),"Phân bón Vi lượng Run Fast")</f>
        <v>Phân bón Vi lượng Run Fast</v>
      </c>
      <c r="P587" s="2" t="str">
        <f>IFERROR(__xludf.DUMMYFUNCTION("""COMPUTED_VALUE"""),"#N/A")</f>
        <v>#N/A</v>
      </c>
      <c r="Q587" s="30" t="str">
        <f>IFERROR(__xludf.DUMMYFUNCTION("""COMPUTED_VALUE"""),"KHÔNG KHỚP")</f>
        <v>KHÔNG KHỚP</v>
      </c>
      <c r="R587" s="2"/>
      <c r="S587" s="2"/>
      <c r="T587" s="2"/>
      <c r="U587" s="2"/>
      <c r="V587" s="2"/>
      <c r="W587" s="2"/>
      <c r="X587" s="2"/>
      <c r="Y587" s="2"/>
    </row>
    <row r="588">
      <c r="A588" s="30">
        <f>IFERROR(__xludf.DUMMYFUNCTION("""COMPUTED_VALUE"""),585.0)</f>
        <v>585</v>
      </c>
      <c r="B588" s="39">
        <f>IFERROR(__xludf.DUMMYFUNCTION("""COMPUTED_VALUE"""),45983.0)</f>
        <v>45983</v>
      </c>
      <c r="C588" s="30">
        <f>IFERROR(__xludf.DUMMYFUNCTION("""COMPUTED_VALUE"""),2.0)</f>
        <v>2</v>
      </c>
      <c r="D588" s="30" t="str">
        <f>IFERROR(__xludf.DUMMYFUNCTION("""COMPUTED_VALUE"""),"CT CŨ")</f>
        <v>CT CŨ</v>
      </c>
      <c r="E588" s="30"/>
      <c r="F588" s="2"/>
      <c r="G588" s="2" t="str">
        <f>IFERROR(__xludf.DUMMYFUNCTION("""COMPUTED_VALUE"""),"HH4702")</f>
        <v>HH4702</v>
      </c>
      <c r="H588" s="2" t="str">
        <f>IFERROR(__xludf.DUMMYFUNCTION("""COMPUTED_VALUE"""),"GC - V - 4702 - CTY HÓA NÔNG CON ONG VÀNG - VÔ GẠO ONG CHÚA (Nước đỏ cam) - 500ml - 40")</f>
        <v>GC - V - 4702 - CTY HÓA NÔNG CON ONG VÀNG - VÔ GẠO ONG CHÚA (Nước đỏ cam) - 500ml - 40</v>
      </c>
      <c r="I588" s="2" t="str">
        <f>IFERROR(__xludf.DUMMYFUNCTION("""COMPUTED_VALUE"""),"#N/A")</f>
        <v>#N/A</v>
      </c>
      <c r="J588" s="2" t="str">
        <f>IFERROR(__xludf.DUMMYFUNCTION("""COMPUTED_VALUE"""),"A03091025")</f>
        <v>A03091025</v>
      </c>
      <c r="K588" s="2"/>
      <c r="L588" s="2" t="str">
        <f>IFERROR(__xludf.DUMMYFUNCTION("""COMPUTED_VALUE"""),"A03091025")</f>
        <v>A03091025</v>
      </c>
      <c r="M588" s="2" t="str">
        <f>IFERROR(__xludf.DUMMYFUNCTION("""COMPUTED_VALUE"""),"VÔ GẠO 0 - 5 -18 (02)")</f>
        <v>VÔ GẠO 0 - 5 -18 (02)</v>
      </c>
      <c r="N588" s="2" t="str">
        <f>IFERROR(__xludf.DUMMYFUNCTION("""COMPUTED_VALUE"""),"04VG0044")</f>
        <v>04VG0044</v>
      </c>
      <c r="O588" s="2" t="str">
        <f>IFERROR(__xludf.DUMMYFUNCTION("""COMPUTED_VALUE"""),"Phân bón lá PK-Vi lượng SV 5-18")</f>
        <v>Phân bón lá PK-Vi lượng SV 5-18</v>
      </c>
      <c r="P588" s="2" t="str">
        <f>IFERROR(__xludf.DUMMYFUNCTION("""COMPUTED_VALUE"""),"#N/A")</f>
        <v>#N/A</v>
      </c>
      <c r="Q588" s="30" t="str">
        <f>IFERROR(__xludf.DUMMYFUNCTION("""COMPUTED_VALUE"""),"KHỚP")</f>
        <v>KHỚP</v>
      </c>
      <c r="R588" s="2"/>
      <c r="S588" s="2"/>
      <c r="T588" s="2"/>
      <c r="U588" s="2"/>
      <c r="V588" s="2"/>
      <c r="W588" s="2"/>
      <c r="X588" s="2"/>
      <c r="Y588" s="2"/>
    </row>
    <row r="589">
      <c r="A589" s="30">
        <f>IFERROR(__xludf.DUMMYFUNCTION("""COMPUTED_VALUE"""),586.0)</f>
        <v>586</v>
      </c>
      <c r="B589" s="39">
        <f>IFERROR(__xludf.DUMMYFUNCTION("""COMPUTED_VALUE"""),45896.0)</f>
        <v>45896</v>
      </c>
      <c r="C589" s="30">
        <f>IFERROR(__xludf.DUMMYFUNCTION("""COMPUTED_VALUE"""),3.0)</f>
        <v>3</v>
      </c>
      <c r="D589" s="30" t="str">
        <f>IFERROR(__xludf.DUMMYFUNCTION("""COMPUTED_VALUE"""),"CT CŨ")</f>
        <v>CT CŨ</v>
      </c>
      <c r="E589" s="30"/>
      <c r="F589" s="2"/>
      <c r="G589" s="2" t="str">
        <f>IFERROR(__xludf.DUMMYFUNCTION("""COMPUTED_VALUE"""),"HH4602")</f>
        <v>HH4602</v>
      </c>
      <c r="H589" s="2" t="str">
        <f>IFERROR(__xludf.DUMMYFUNCTION("""COMPUTED_VALUE"""),"GC - V - 4602 - CTY THIÊN DI - THIDI CANXIBO (Nước trắng sữa) - 500ml - 40")</f>
        <v>GC - V - 4602 - CTY THIÊN DI - THIDI CANXIBO (Nước trắng sữa) - 500ml - 40</v>
      </c>
      <c r="I589" s="2" t="str">
        <f>IFERROR(__xludf.DUMMYFUNCTION("""COMPUTED_VALUE"""),"#N/A")</f>
        <v>#N/A</v>
      </c>
      <c r="J589" s="2" t="str">
        <f>IFERROR(__xludf.DUMMYFUNCTION("""COMPUTED_VALUE"""),"A02160725")</f>
        <v>A02160725</v>
      </c>
      <c r="K589" s="2"/>
      <c r="L589" s="2" t="str">
        <f>IFERROR(__xludf.DUMMYFUNCTION("""COMPUTED_VALUE"""),"A02160725")</f>
        <v>A02160725</v>
      </c>
      <c r="M589" s="2" t="str">
        <f>IFERROR(__xludf.DUMMYFUNCTION("""COMPUTED_VALUE"""),"AGAMA-CANXI BO
(KIM NGỌC)")</f>
        <v>AGAMA-CANXI BO
(KIM NGỌC)</v>
      </c>
      <c r="N589" s="2" t="str">
        <f>IFERROR(__xludf.DUMMYFUNCTION("""COMPUTED_VALUE"""),"10CR0021")</f>
        <v>10CR0021</v>
      </c>
      <c r="O589" s="2" t="str">
        <f>IFERROR(__xludf.DUMMYFUNCTION("""COMPUTED_VALUE"""),"Phân bón Vi lượng AGAMA-CANXI BO")</f>
        <v>Phân bón Vi lượng AGAMA-CANXI BO</v>
      </c>
      <c r="P589" s="2" t="str">
        <f>IFERROR(__xludf.DUMMYFUNCTION("""COMPUTED_VALUE"""),"#N/A")</f>
        <v>#N/A</v>
      </c>
      <c r="Q589" s="30" t="str">
        <f>IFERROR(__xludf.DUMMYFUNCTION("""COMPUTED_VALUE"""),"KHÔNG KHỚP")</f>
        <v>KHÔNG KHỚP</v>
      </c>
      <c r="R589" s="2"/>
      <c r="S589" s="2"/>
      <c r="T589" s="2"/>
      <c r="U589" s="2"/>
      <c r="V589" s="2"/>
      <c r="W589" s="2"/>
      <c r="X589" s="2"/>
      <c r="Y589" s="2"/>
    </row>
    <row r="590">
      <c r="A590" s="30">
        <f>IFERROR(__xludf.DUMMYFUNCTION("""COMPUTED_VALUE"""),587.0)</f>
        <v>587</v>
      </c>
      <c r="B590" s="39">
        <f>IFERROR(__xludf.DUMMYFUNCTION("""COMPUTED_VALUE"""),46077.0)</f>
        <v>46077</v>
      </c>
      <c r="C590" s="30">
        <f>IFERROR(__xludf.DUMMYFUNCTION("""COMPUTED_VALUE"""),1.0)</f>
        <v>1</v>
      </c>
      <c r="D590" s="30" t="str">
        <f>IFERROR(__xludf.DUMMYFUNCTION("""COMPUTED_VALUE"""),"CT MỚI")</f>
        <v>CT MỚI</v>
      </c>
      <c r="E590" s="30"/>
      <c r="F590" s="2"/>
      <c r="G590" s="2" t="str">
        <f>IFERROR(__xludf.DUMMYFUNCTION("""COMPUTED_VALUE"""),"HH4764")</f>
        <v>HH4764</v>
      </c>
      <c r="H590" s="2" t="str">
        <f>IFERROR(__xludf.DUMMYFUNCTION("""COMPUTED_VALUE"""),"AGRITECH - ANH TRƯƠNG - Vi lượng Quantity New - AGRI AMINO (CHUYÊN CÂY ĂN TRÁI) - 500ml - 40")</f>
        <v>AGRITECH - ANH TRƯƠNG - Vi lượng Quantity New - AGRI AMINO (CHUYÊN CÂY ĂN TRÁI) - 500ml - 40</v>
      </c>
      <c r="I590" s="2" t="str">
        <f>IFERROR(__xludf.DUMMYFUNCTION("""COMPUTED_VALUE"""),"#N/A")</f>
        <v>#N/A</v>
      </c>
      <c r="J590" s="2" t="str">
        <f>IFERROR(__xludf.DUMMYFUNCTION("""COMPUTED_VALUE"""),"Cùng ruột HH3472")</f>
        <v>Cùng ruột HH3472</v>
      </c>
      <c r="K590" s="2"/>
      <c r="L590" s="2"/>
      <c r="M590" s="2" t="str">
        <f>IFERROR(__xludf.DUMMYFUNCTION("""COMPUTED_VALUE"""),"AGRI AMINO")</f>
        <v>AGRI AMINO</v>
      </c>
      <c r="N590" s="2" t="str">
        <f>IFERROR(__xludf.DUMMYFUNCTION("""COMPUTED_VALUE"""),"11TT0004V2")</f>
        <v>11TT0004V2</v>
      </c>
      <c r="O590" s="2" t="str">
        <f>IFERROR(__xludf.DUMMYFUNCTION("""COMPUTED_VALUE"""),"Phân bón Vi lượng Quantity New")</f>
        <v>Phân bón Vi lượng Quantity New</v>
      </c>
      <c r="P590" s="2" t="str">
        <f>IFERROR(__xludf.DUMMYFUNCTION("""COMPUTED_VALUE"""),"#N/A")</f>
        <v>#N/A</v>
      </c>
      <c r="Q590" s="30" t="str">
        <f>IFERROR(__xludf.DUMMYFUNCTION("""COMPUTED_VALUE"""),"KHÔNG KHỚP")</f>
        <v>KHÔNG KHỚP</v>
      </c>
      <c r="R590" s="2"/>
      <c r="S590" s="2"/>
      <c r="T590" s="2"/>
      <c r="U590" s="2"/>
      <c r="V590" s="2"/>
      <c r="W590" s="2"/>
      <c r="X590" s="2"/>
      <c r="Y590" s="2"/>
    </row>
    <row r="591">
      <c r="A591" s="30">
        <f>IFERROR(__xludf.DUMMYFUNCTION("""COMPUTED_VALUE"""),588.0)</f>
        <v>588</v>
      </c>
      <c r="B591" s="39">
        <f>IFERROR(__xludf.DUMMYFUNCTION("""COMPUTED_VALUE"""),45974.0)</f>
        <v>45974</v>
      </c>
      <c r="C591" s="30">
        <f>IFERROR(__xludf.DUMMYFUNCTION("""COMPUTED_VALUE"""),1.0)</f>
        <v>1</v>
      </c>
      <c r="D591" s="30" t="str">
        <f>IFERROR(__xludf.DUMMYFUNCTION("""COMPUTED_VALUE"""),"CT MỚI")</f>
        <v>CT MỚI</v>
      </c>
      <c r="E591" s="30"/>
      <c r="F591" s="2"/>
      <c r="G591" s="2" t="str">
        <f>IFERROR(__xludf.DUMMYFUNCTION("""COMPUTED_VALUE"""),"HH4742")</f>
        <v>HH4742</v>
      </c>
      <c r="H591" s="2" t="str">
        <f>IFERROR(__xludf.DUMMYFUNCTION("""COMPUTED_VALUE"""),"GC ABA - USA FARM - Hữu cơ FUSEMIN COMBI+ - FUSEMIN COMBI+ - 500ml - 40")</f>
        <v>GC ABA - USA FARM - Hữu cơ FUSEMIN COMBI+ - FUSEMIN COMBI+ - 500ml - 40</v>
      </c>
      <c r="I591" s="2" t="str">
        <f>IFERROR(__xludf.DUMMYFUNCTION("""COMPUTED_VALUE"""),"#N/A")</f>
        <v>#N/A</v>
      </c>
      <c r="J591" s="2" t="str">
        <f>IFERROR(__xludf.DUMMYFUNCTION("""COMPUTED_VALUE"""),"A04060825")</f>
        <v>A04060825</v>
      </c>
      <c r="K591" s="2"/>
      <c r="L591" s="2" t="str">
        <f>IFERROR(__xludf.DUMMYFUNCTION("""COMPUTED_VALUE"""),"A04060825 ")</f>
        <v>A04060825 </v>
      </c>
      <c r="M591" s="2" t="str">
        <f>IFERROR(__xludf.DUMMYFUNCTION("""COMPUTED_VALUE"""),"KÍCH CHỒI, DƯỠNG LÁ - 01")</f>
        <v>KÍCH CHỒI, DƯỠNG LÁ - 01</v>
      </c>
      <c r="N591" s="2" t="str">
        <f>IFERROR(__xludf.DUMMYFUNCTION("""COMPUTED_VALUE"""),"05KC0011")</f>
        <v>05KC0011</v>
      </c>
      <c r="O591" s="2" t="str">
        <f>IFERROR(__xludf.DUMMYFUNCTION("""COMPUTED_VALUE"""),"Phân bón hữu cơ FUSEMIN COMBI+")</f>
        <v>Phân bón hữu cơ FUSEMIN COMBI+</v>
      </c>
      <c r="P591" s="2" t="str">
        <f>IFERROR(__xludf.DUMMYFUNCTION("""COMPUTED_VALUE"""),"#N/A")</f>
        <v>#N/A</v>
      </c>
      <c r="Q591" s="30" t="str">
        <f>IFERROR(__xludf.DUMMYFUNCTION("""COMPUTED_VALUE"""),"KHÔNG KHỚP")</f>
        <v>KHÔNG KHỚP</v>
      </c>
      <c r="R591" s="2"/>
      <c r="S591" s="2"/>
      <c r="T591" s="2"/>
      <c r="U591" s="2"/>
      <c r="V591" s="2"/>
      <c r="W591" s="2"/>
      <c r="X591" s="2"/>
      <c r="Y591" s="2"/>
    </row>
    <row r="592">
      <c r="A592" s="30">
        <f>IFERROR(__xludf.DUMMYFUNCTION("""COMPUTED_VALUE"""),589.0)</f>
        <v>589</v>
      </c>
      <c r="B592" s="39">
        <f>IFERROR(__xludf.DUMMYFUNCTION("""COMPUTED_VALUE"""),45974.0)</f>
        <v>45974</v>
      </c>
      <c r="C592" s="30">
        <f>IFERROR(__xludf.DUMMYFUNCTION("""COMPUTED_VALUE"""),1.0)</f>
        <v>1</v>
      </c>
      <c r="D592" s="30" t="str">
        <f>IFERROR(__xludf.DUMMYFUNCTION("""COMPUTED_VALUE"""),"CT MỚI")</f>
        <v>CT MỚI</v>
      </c>
      <c r="E592" s="30"/>
      <c r="F592" s="2"/>
      <c r="G592" s="2" t="str">
        <f>IFERROR(__xludf.DUMMYFUNCTION("""COMPUTED_VALUE"""),"HH4745")</f>
        <v>HH4745</v>
      </c>
      <c r="H592" s="2" t="str">
        <f>IFERROR(__xludf.DUMMYFUNCTION("""COMPUTED_VALUE"""),"GC ABA - USA FARM - Hữu cơ FUSEMIN COMBI+ - FUSEMIN COMBI+ - 500ml - 41")</f>
        <v>GC ABA - USA FARM - Hữu cơ FUSEMIN COMBI+ - FUSEMIN COMBI+ - 500ml - 41</v>
      </c>
      <c r="I592" s="2" t="str">
        <f>IFERROR(__xludf.DUMMYFUNCTION("""COMPUTED_VALUE"""),"#N/A")</f>
        <v>#N/A</v>
      </c>
      <c r="J592" s="2" t="str">
        <f>IFERROR(__xludf.DUMMYFUNCTION("""COMPUTED_VALUE"""),"A04060825")</f>
        <v>A04060825</v>
      </c>
      <c r="K592" s="2"/>
      <c r="L592" s="2" t="str">
        <f>IFERROR(__xludf.DUMMYFUNCTION("""COMPUTED_VALUE"""),"A04060825 ")</f>
        <v>A04060825 </v>
      </c>
      <c r="M592" s="2" t="str">
        <f>IFERROR(__xludf.DUMMYFUNCTION("""COMPUTED_VALUE"""),"KÍCH CHỒI, DƯỠNG LÁ - 01")</f>
        <v>KÍCH CHỒI, DƯỠNG LÁ - 01</v>
      </c>
      <c r="N592" s="2" t="str">
        <f>IFERROR(__xludf.DUMMYFUNCTION("""COMPUTED_VALUE"""),"05KC0011")</f>
        <v>05KC0011</v>
      </c>
      <c r="O592" s="2" t="str">
        <f>IFERROR(__xludf.DUMMYFUNCTION("""COMPUTED_VALUE"""),"Phân bón hữu cơ FUSEMIN COMBI+")</f>
        <v>Phân bón hữu cơ FUSEMIN COMBI+</v>
      </c>
      <c r="P592" s="2" t="str">
        <f>IFERROR(__xludf.DUMMYFUNCTION("""COMPUTED_VALUE"""),"#N/A")</f>
        <v>#N/A</v>
      </c>
      <c r="Q592" s="30" t="str">
        <f>IFERROR(__xludf.DUMMYFUNCTION("""COMPUTED_VALUE"""),"KHÔNG KHỚP")</f>
        <v>KHÔNG KHỚP</v>
      </c>
      <c r="R592" s="2"/>
      <c r="S592" s="2"/>
      <c r="T592" s="2"/>
      <c r="U592" s="2"/>
      <c r="V592" s="2"/>
      <c r="W592" s="2"/>
      <c r="X592" s="2"/>
      <c r="Y592" s="2"/>
    </row>
    <row r="593">
      <c r="A593" s="30">
        <f>IFERROR(__xludf.DUMMYFUNCTION("""COMPUTED_VALUE"""),590.0)</f>
        <v>590</v>
      </c>
      <c r="B593" s="39">
        <f>IFERROR(__xludf.DUMMYFUNCTION("""COMPUTED_VALUE"""),45964.0)</f>
        <v>45964</v>
      </c>
      <c r="C593" s="30">
        <f>IFERROR(__xludf.DUMMYFUNCTION("""COMPUTED_VALUE"""),3.0)</f>
        <v>3</v>
      </c>
      <c r="D593" s="30" t="str">
        <f>IFERROR(__xludf.DUMMYFUNCTION("""COMPUTED_VALUE"""),"CT CŨ")</f>
        <v>CT CŨ</v>
      </c>
      <c r="E593" s="30"/>
      <c r="F593" s="2"/>
      <c r="G593" s="2" t="str">
        <f>IFERROR(__xludf.DUMMYFUNCTION("""COMPUTED_VALUE"""),"HH4001")</f>
        <v>HH4001</v>
      </c>
      <c r="H593" s="2" t="str">
        <f>IFERROR(__xludf.DUMMYFUNCTION("""COMPUTED_VALUE"""),"GC - V - 4001 - CTY NAUY - NANO PROMAX (Vô gạo) (Nước nâu đen) - 500ml - 40")</f>
        <v>GC - V - 4001 - CTY NAUY - NANO PROMAX (Vô gạo) (Nước nâu đen) - 500ml - 40</v>
      </c>
      <c r="I593" s="2" t="str">
        <f>IFERROR(__xludf.DUMMYFUNCTION("""COMPUTED_VALUE"""),"#N/A")</f>
        <v>#N/A</v>
      </c>
      <c r="J593" s="2" t="str">
        <f>IFERROR(__xludf.DUMMYFUNCTION("""COMPUTED_VALUE"""),"A05190825")</f>
        <v>A05190825</v>
      </c>
      <c r="K593" s="2"/>
      <c r="L593" s="2" t="str">
        <f>IFERROR(__xludf.DUMMYFUNCTION("""COMPUTED_VALUE"""),"A05190825")</f>
        <v>A05190825</v>
      </c>
      <c r="M593" s="2" t="str">
        <f>IFERROR(__xludf.DUMMYFUNCTION("""COMPUTED_VALUE"""),"SUPER NANO VÔ GẠO
0 - 5 - 18 ")</f>
        <v>SUPER NANO VÔ GẠO
0 - 5 - 18 </v>
      </c>
      <c r="N593" s="2" t="str">
        <f>IFERROR(__xludf.DUMMYFUNCTION("""COMPUTED_VALUE"""),"04VG0045")</f>
        <v>04VG0045</v>
      </c>
      <c r="O593" s="2" t="str">
        <f>IFERROR(__xludf.DUMMYFUNCTION("""COMPUTED_VALUE"""),"Phân bón lá PK-Vi lượng SV 5-18")</f>
        <v>Phân bón lá PK-Vi lượng SV 5-18</v>
      </c>
      <c r="P593" s="2" t="str">
        <f>IFERROR(__xludf.DUMMYFUNCTION("""COMPUTED_VALUE"""),"#N/A")</f>
        <v>#N/A</v>
      </c>
      <c r="Q593" s="30" t="str">
        <f>IFERROR(__xludf.DUMMYFUNCTION("""COMPUTED_VALUE"""),"KHỚP")</f>
        <v>KHỚP</v>
      </c>
      <c r="R593" s="2"/>
      <c r="S593" s="2"/>
      <c r="T593" s="2"/>
      <c r="U593" s="2"/>
      <c r="V593" s="2"/>
      <c r="W593" s="2"/>
      <c r="X593" s="2"/>
      <c r="Y593" s="2"/>
    </row>
    <row r="594">
      <c r="A594" s="30">
        <f>IFERROR(__xludf.DUMMYFUNCTION("""COMPUTED_VALUE"""),591.0)</f>
        <v>591</v>
      </c>
      <c r="B594" s="39">
        <f>IFERROR(__xludf.DUMMYFUNCTION("""COMPUTED_VALUE"""),45957.0)</f>
        <v>45957</v>
      </c>
      <c r="C594" s="30">
        <f>IFERROR(__xludf.DUMMYFUNCTION("""COMPUTED_VALUE"""),2.0)</f>
        <v>2</v>
      </c>
      <c r="D594" s="30" t="str">
        <f>IFERROR(__xludf.DUMMYFUNCTION("""COMPUTED_VALUE"""),"CT CŨ")</f>
        <v>CT CŨ</v>
      </c>
      <c r="E594" s="30"/>
      <c r="F594" s="2"/>
      <c r="G594" s="2" t="str">
        <f>IFERROR(__xludf.DUMMYFUNCTION("""COMPUTED_VALUE"""),"HH4264")</f>
        <v>HH4264</v>
      </c>
      <c r="H594" s="2" t="str">
        <f>IFERROR(__xludf.DUMMYFUNCTION("""COMPUTED_VALUE"""),"GC - V - 4264 - CTY NGỌC BẢO LONG AGRI - SIÊU VÔ GẠO (nước nâu đen) - 500ml - 30")</f>
        <v>GC - V - 4264 - CTY NGỌC BẢO LONG AGRI - SIÊU VÔ GẠO (nước nâu đen) - 500ml - 30</v>
      </c>
      <c r="I594" s="39" t="str">
        <f>IFERROR(__xludf.DUMMYFUNCTION("""COMPUTED_VALUE"""),"Lá PK-Vi lượng SV 5-18")</f>
        <v>Lá PK-Vi lượng SV 5-18</v>
      </c>
      <c r="J594" s="2" t="str">
        <f>IFERROR(__xludf.DUMMYFUNCTION("""COMPUTED_VALUE"""),"A07111025")</f>
        <v>A07111025</v>
      </c>
      <c r="K594" s="2"/>
      <c r="L594" s="2" t="str">
        <f>IFERROR(__xludf.DUMMYFUNCTION("""COMPUTED_VALUE"""),"A07111025")</f>
        <v>A07111025</v>
      </c>
      <c r="M594" s="2" t="str">
        <f>IFERROR(__xludf.DUMMYFUNCTION("""COMPUTED_VALUE"""),"VÔ GẠO NBL")</f>
        <v>VÔ GẠO NBL</v>
      </c>
      <c r="N594" s="2" t="str">
        <f>IFERROR(__xludf.DUMMYFUNCTION("""COMPUTED_VALUE"""),"04VG0041")</f>
        <v>04VG0041</v>
      </c>
      <c r="O594" s="2" t="str">
        <f>IFERROR(__xludf.DUMMYFUNCTION("""COMPUTED_VALUE"""),"Phân bón lá PK-Vi lượng SV 5-18")</f>
        <v>Phân bón lá PK-Vi lượng SV 5-18</v>
      </c>
      <c r="P594" s="2" t="str">
        <f>IFERROR(__xludf.DUMMYFUNCTION("""COMPUTED_VALUE"""),"Phân bón Lá PK-Vi lượng SV 5-18")</f>
        <v>Phân bón Lá PK-Vi lượng SV 5-18</v>
      </c>
      <c r="Q594" s="30" t="str">
        <f>IFERROR(__xludf.DUMMYFUNCTION("""COMPUTED_VALUE"""),"KHỚP")</f>
        <v>KHỚP</v>
      </c>
      <c r="R594" s="2"/>
      <c r="S594" s="2"/>
      <c r="T594" s="2"/>
      <c r="U594" s="2"/>
      <c r="V594" s="2"/>
      <c r="W594" s="2"/>
      <c r="X594" s="2"/>
      <c r="Y594" s="2"/>
    </row>
    <row r="595">
      <c r="A595" s="30">
        <f>IFERROR(__xludf.DUMMYFUNCTION("""COMPUTED_VALUE"""),592.0)</f>
        <v>592</v>
      </c>
      <c r="B595" s="39">
        <f>IFERROR(__xludf.DUMMYFUNCTION("""COMPUTED_VALUE"""),46083.0)</f>
        <v>46083</v>
      </c>
      <c r="C595" s="30">
        <f>IFERROR(__xludf.DUMMYFUNCTION("""COMPUTED_VALUE"""),2.0)</f>
        <v>2</v>
      </c>
      <c r="D595" s="30" t="str">
        <f>IFERROR(__xludf.DUMMYFUNCTION("""COMPUTED_VALUE"""),"CT CŨ")</f>
        <v>CT CŨ</v>
      </c>
      <c r="E595" s="30"/>
      <c r="F595" s="2"/>
      <c r="G595" s="2" t="str">
        <f>IFERROR(__xludf.DUMMYFUNCTION("""COMPUTED_VALUE"""),"HH4672")</f>
        <v>HH4672</v>
      </c>
      <c r="H595" s="2" t="str">
        <f>IFERROR(__xludf.DUMMYFUNCTION("""COMPUTED_VALUE"""),"LOT ABA - V - 4672 - THIÊN AN - NEW AMINO (Nước nâu đen) - 500ml - 30")</f>
        <v>LOT ABA - V - 4672 - THIÊN AN - NEW AMINO (Nước nâu đen) - 500ml - 30</v>
      </c>
      <c r="I595" s="39" t="str">
        <f>IFERROR(__xludf.DUMMYFUNCTION("""COMPUTED_VALUE"""),"Hữu cơ Organic BM Gold  FW")</f>
        <v>Hữu cơ Organic BM Gold  FW</v>
      </c>
      <c r="J595" s="2" t="str">
        <f>IFERROR(__xludf.DUMMYFUNCTION("""COMPUTED_VALUE"""),"Cùng ruột HH2776")</f>
        <v>Cùng ruột HH2776</v>
      </c>
      <c r="K595" s="2"/>
      <c r="L595" s="2" t="str">
        <f>IFERROR(__xludf.DUMMYFUNCTION("""COMPUTED_VALUE"""),"A02270924")</f>
        <v>A02270924</v>
      </c>
      <c r="M595" s="2" t="str">
        <f>IFERROR(__xludf.DUMMYFUNCTION("""COMPUTED_VALUE"""),"NEW AMINO")</f>
        <v>NEW AMINO</v>
      </c>
      <c r="N595" s="2" t="str">
        <f>IFERROR(__xludf.DUMMYFUNCTION("""COMPUTED_VALUE"""),"01RR0035V3")</f>
        <v>01RR0035V3</v>
      </c>
      <c r="O595" s="2" t="str">
        <f>IFERROR(__xludf.DUMMYFUNCTION("""COMPUTED_VALUE"""),"Phân bón Hữu cơ ORGANIC BM GOLD FW")</f>
        <v>Phân bón Hữu cơ ORGANIC BM GOLD FW</v>
      </c>
      <c r="P595" s="2" t="str">
        <f>IFERROR(__xludf.DUMMYFUNCTION("""COMPUTED_VALUE"""),"Phân bón Hữu cơ Organic BM Gold  FW")</f>
        <v>Phân bón Hữu cơ Organic BM Gold  FW</v>
      </c>
      <c r="Q595" s="30" t="str">
        <f>IFERROR(__xludf.DUMMYFUNCTION("""COMPUTED_VALUE"""),"KHỚP")</f>
        <v>KHỚP</v>
      </c>
      <c r="R595" s="2"/>
      <c r="S595" s="2"/>
      <c r="T595" s="2"/>
      <c r="U595" s="2"/>
      <c r="V595" s="2"/>
      <c r="W595" s="2"/>
      <c r="X595" s="2"/>
      <c r="Y595" s="2"/>
    </row>
    <row r="596">
      <c r="A596" s="30">
        <f>IFERROR(__xludf.DUMMYFUNCTION("""COMPUTED_VALUE"""),593.0)</f>
        <v>593</v>
      </c>
      <c r="B596" s="39">
        <f>IFERROR(__xludf.DUMMYFUNCTION("""COMPUTED_VALUE"""),46056.0)</f>
        <v>46056</v>
      </c>
      <c r="C596" s="30">
        <f>IFERROR(__xludf.DUMMYFUNCTION("""COMPUTED_VALUE"""),4.0)</f>
        <v>4</v>
      </c>
      <c r="D596" s="30" t="str">
        <f>IFERROR(__xludf.DUMMYFUNCTION("""COMPUTED_VALUE"""),"CT CŨ")</f>
        <v>CT CŨ</v>
      </c>
      <c r="E596" s="30"/>
      <c r="F596" s="2"/>
      <c r="G596" s="2" t="str">
        <f>IFERROR(__xludf.DUMMYFUNCTION("""COMPUTED_VALUE"""),"HH4748")</f>
        <v>HH4748</v>
      </c>
      <c r="H596" s="2" t="str">
        <f>IFERROR(__xludf.DUMMYFUNCTION("""COMPUTED_VALUE"""),"GC - V - 4748 - DEGO - RUN FAST (Nước đen) - 18L - 1")</f>
        <v>GC - V - 4748 - DEGO - RUN FAST (Nước đen) - 18L - 1</v>
      </c>
      <c r="I596" s="39" t="str">
        <f>IFERROR(__xludf.DUMMYFUNCTION("""COMPUTED_VALUE"""),"Vi lượng Run Fast")</f>
        <v>Vi lượng Run Fast</v>
      </c>
      <c r="J596" s="2" t="str">
        <f>IFERROR(__xludf.DUMMYFUNCTION("""COMPUTED_VALUE"""),"30NT0001")</f>
        <v>30NT0001</v>
      </c>
      <c r="K596" s="2"/>
      <c r="L596" s="2"/>
      <c r="M596" s="2" t="str">
        <f>IFERROR(__xludf.DUMMYFUNCTION("""COMPUTED_VALUE"""),"BO HAI NGÀN")</f>
        <v>BO HAI NGÀN</v>
      </c>
      <c r="N596" s="2" t="str">
        <f>IFERROR(__xludf.DUMMYFUNCTION("""COMPUTED_VALUE"""),"30NT0001")</f>
        <v>30NT0001</v>
      </c>
      <c r="O596" s="2" t="str">
        <f>IFERROR(__xludf.DUMMYFUNCTION("""COMPUTED_VALUE"""),"Phân bón Vi lượng Run Fast")</f>
        <v>Phân bón Vi lượng Run Fast</v>
      </c>
      <c r="P596" s="2" t="str">
        <f>IFERROR(__xludf.DUMMYFUNCTION("""COMPUTED_VALUE"""),"Phân bón Vi lượng Run Fast")</f>
        <v>Phân bón Vi lượng Run Fast</v>
      </c>
      <c r="Q596" s="30" t="str">
        <f>IFERROR(__xludf.DUMMYFUNCTION("""COMPUTED_VALUE"""),"KHỚP")</f>
        <v>KHỚP</v>
      </c>
      <c r="R596" s="2"/>
      <c r="S596" s="2"/>
      <c r="T596" s="2"/>
      <c r="U596" s="2"/>
      <c r="V596" s="2"/>
      <c r="W596" s="2"/>
      <c r="X596" s="2"/>
      <c r="Y596" s="2"/>
    </row>
    <row r="597">
      <c r="A597" s="30">
        <f>IFERROR(__xludf.DUMMYFUNCTION("""COMPUTED_VALUE"""),594.0)</f>
        <v>594</v>
      </c>
      <c r="B597" s="39">
        <f>IFERROR(__xludf.DUMMYFUNCTION("""COMPUTED_VALUE"""),46076.0)</f>
        <v>46076</v>
      </c>
      <c r="C597" s="30">
        <f>IFERROR(__xludf.DUMMYFUNCTION("""COMPUTED_VALUE"""),1.0)</f>
        <v>1</v>
      </c>
      <c r="D597" s="30" t="str">
        <f>IFERROR(__xludf.DUMMYFUNCTION("""COMPUTED_VALUE"""),"CT MỚI")</f>
        <v>CT MỚI</v>
      </c>
      <c r="E597" s="30"/>
      <c r="F597" s="2"/>
      <c r="G597" s="2" t="str">
        <f>IFERROR(__xludf.DUMMYFUNCTION("""COMPUTED_VALUE"""),"HH4751")</f>
        <v>HH4751</v>
      </c>
      <c r="H597" s="2" t="str">
        <f>IFERROR(__xludf.DUMMYFUNCTION("""COMPUTED_VALUE"""),"GC ABA - MASTER WIN - Hữu Cơ Crops Care - CANXI-BO - 500ml - 40")</f>
        <v>GC ABA - MASTER WIN - Hữu Cơ Crops Care - CANXI-BO - 500ml - 40</v>
      </c>
      <c r="I597" s="39" t="str">
        <f>IFERROR(__xludf.DUMMYFUNCTION("""COMPUTED_VALUE"""),"Hữu Cơ Crops Care")</f>
        <v>Hữu Cơ Crops Care</v>
      </c>
      <c r="J597" s="2" t="str">
        <f>IFERROR(__xludf.DUMMYFUNCTION("""COMPUTED_VALUE"""),"A05040226")</f>
        <v>A05040226</v>
      </c>
      <c r="K597" s="2"/>
      <c r="L597" s="2" t="str">
        <f>IFERROR(__xludf.DUMMYFUNCTION("""COMPUTED_VALUE"""),"A05040226")</f>
        <v>A05040226</v>
      </c>
      <c r="M597" s="2" t="str">
        <f>IFERROR(__xludf.DUMMYFUNCTION("""COMPUTED_VALUE"""),"CANXI BO 02")</f>
        <v>CANXI BO 02</v>
      </c>
      <c r="N597" s="2" t="str">
        <f>IFERROR(__xludf.DUMMYFUNCTION("""COMPUTED_VALUE"""),"10CR0029")</f>
        <v>10CR0029</v>
      </c>
      <c r="O597" s="2" t="str">
        <f>IFERROR(__xludf.DUMMYFUNCTION("""COMPUTED_VALUE"""),"Phân bón Hữu cơ CROPS CARE")</f>
        <v>Phân bón Hữu cơ CROPS CARE</v>
      </c>
      <c r="P597" s="2" t="str">
        <f>IFERROR(__xludf.DUMMYFUNCTION("""COMPUTED_VALUE"""),"Phân bón Hữu Cơ Crops Care")</f>
        <v>Phân bón Hữu Cơ Crops Care</v>
      </c>
      <c r="Q597" s="30" t="str">
        <f>IFERROR(__xludf.DUMMYFUNCTION("""COMPUTED_VALUE"""),"KHỚP")</f>
        <v>KHỚP</v>
      </c>
      <c r="R597" s="2"/>
      <c r="S597" s="2"/>
      <c r="T597" s="2"/>
      <c r="U597" s="2"/>
      <c r="V597" s="2"/>
      <c r="W597" s="2"/>
      <c r="X597" s="2"/>
      <c r="Y597" s="2"/>
    </row>
    <row r="598">
      <c r="A598" s="30">
        <f>IFERROR(__xludf.DUMMYFUNCTION("""COMPUTED_VALUE"""),595.0)</f>
        <v>595</v>
      </c>
      <c r="B598" s="39">
        <f>IFERROR(__xludf.DUMMYFUNCTION("""COMPUTED_VALUE"""),46036.0)</f>
        <v>46036</v>
      </c>
      <c r="C598" s="30">
        <f>IFERROR(__xludf.DUMMYFUNCTION("""COMPUTED_VALUE"""),4.0)</f>
        <v>4</v>
      </c>
      <c r="D598" s="30" t="str">
        <f>IFERROR(__xludf.DUMMYFUNCTION("""COMPUTED_VALUE"""),"CT CŨ")</f>
        <v>CT CŨ</v>
      </c>
      <c r="E598" s="30"/>
      <c r="F598" s="2"/>
      <c r="G598" s="2" t="str">
        <f>IFERROR(__xludf.DUMMYFUNCTION("""COMPUTED_VALUE"""),"HH2899")</f>
        <v>HH2899</v>
      </c>
      <c r="H598" s="2" t="str">
        <f>IFERROR(__xludf.DUMMYFUNCTION("""COMPUTED_VALUE"""),"GC - IV - 2899 - CTY ASAHI NHẬT BẢN - ULTRA BUD (Nước nâu đen) - 22kg - 1")</f>
        <v>GC - IV - 2899 - CTY ASAHI NHẬT BẢN - ULTRA BUD (Nước nâu đen) - 22kg - 1</v>
      </c>
      <c r="I598" s="2" t="str">
        <f>IFERROR(__xludf.DUMMYFUNCTION("""COMPUTED_VALUE"""),"#N/A")</f>
        <v>#N/A</v>
      </c>
      <c r="J598" s="2" t="str">
        <f>IFERROR(__xludf.DUMMYFUNCTION("""COMPUTED_VALUE"""),"A06291024")</f>
        <v>A06291024</v>
      </c>
      <c r="K598" s="2"/>
      <c r="L598" s="2" t="str">
        <f>IFERROR(__xludf.DUMMYFUNCTION("""COMPUTED_VALUE"""),"A06291024")</f>
        <v>A06291024</v>
      </c>
      <c r="M598" s="2" t="str">
        <f>IFERROR(__xludf.DUMMYFUNCTION("""COMPUTED_VALUE"""),"ULTRA BUD")</f>
        <v>ULTRA BUD</v>
      </c>
      <c r="N598" s="2" t="str">
        <f>IFERROR(__xludf.DUMMYFUNCTION("""COMPUTED_VALUE"""),"01RR0036V2")</f>
        <v>01RR0036V2</v>
      </c>
      <c r="O598" s="2" t="str">
        <f>IFERROR(__xludf.DUMMYFUNCTION("""COMPUTED_VALUE"""),"Phân bón Hữu cơ SH Agro Organic Fertilizer 20")</f>
        <v>Phân bón Hữu cơ SH Agro Organic Fertilizer 20</v>
      </c>
      <c r="P598" s="2" t="str">
        <f>IFERROR(__xludf.DUMMYFUNCTION("""COMPUTED_VALUE"""),"#N/A")</f>
        <v>#N/A</v>
      </c>
      <c r="Q598" s="30" t="str">
        <f>IFERROR(__xludf.DUMMYFUNCTION("""COMPUTED_VALUE"""),"KHÔNG KHỚP")</f>
        <v>KHÔNG KHỚP</v>
      </c>
      <c r="R598" s="2"/>
      <c r="S598" s="2"/>
      <c r="T598" s="2"/>
      <c r="U598" s="2"/>
      <c r="V598" s="2"/>
      <c r="W598" s="2"/>
      <c r="X598" s="2"/>
      <c r="Y598" s="2"/>
    </row>
    <row r="599">
      <c r="A599" s="30">
        <f>IFERROR(__xludf.DUMMYFUNCTION("""COMPUTED_VALUE"""),596.0)</f>
        <v>596</v>
      </c>
      <c r="B599" s="39">
        <f>IFERROR(__xludf.DUMMYFUNCTION("""COMPUTED_VALUE"""),46036.0)</f>
        <v>46036</v>
      </c>
      <c r="C599" s="30">
        <f>IFERROR(__xludf.DUMMYFUNCTION("""COMPUTED_VALUE"""),3.0)</f>
        <v>3</v>
      </c>
      <c r="D599" s="30" t="str">
        <f>IFERROR(__xludf.DUMMYFUNCTION("""COMPUTED_VALUE"""),"CT CŨ")</f>
        <v>CT CŨ</v>
      </c>
      <c r="E599" s="30"/>
      <c r="F599" s="2"/>
      <c r="G599" s="2" t="str">
        <f>IFERROR(__xludf.DUMMYFUNCTION("""COMPUTED_VALUE"""),"HH2893")</f>
        <v>HH2893</v>
      </c>
      <c r="H599" s="2" t="str">
        <f>IFERROR(__xludf.DUMMYFUNCTION("""COMPUTED_VALUE"""),"GC - IV - 2893 - CTY ASAHI NHẬT BẢN - KINONE KÍCH RỄ (Nước nâu đen) - 22kg - 1")</f>
        <v>GC - IV - 2893 - CTY ASAHI NHẬT BẢN - KINONE KÍCH RỄ (Nước nâu đen) - 22kg - 1</v>
      </c>
      <c r="I599" s="2" t="str">
        <f>IFERROR(__xludf.DUMMYFUNCTION("""COMPUTED_VALUE"""),"#N/A")</f>
        <v>#N/A</v>
      </c>
      <c r="J599" s="2" t="str">
        <f>IFERROR(__xludf.DUMMYFUNCTION("""COMPUTED_VALUE"""),"A05291024")</f>
        <v>A05291024</v>
      </c>
      <c r="K599" s="2"/>
      <c r="L599" s="2" t="str">
        <f>IFERROR(__xludf.DUMMYFUNCTION("""COMPUTED_VALUE"""),"A06291024")</f>
        <v>A06291024</v>
      </c>
      <c r="M599" s="2" t="str">
        <f>IFERROR(__xludf.DUMMYFUNCTION("""COMPUTED_VALUE"""),"ULTRA BUD")</f>
        <v>ULTRA BUD</v>
      </c>
      <c r="N599" s="2" t="str">
        <f>IFERROR(__xludf.DUMMYFUNCTION("""COMPUTED_VALUE"""),"01RR0036V2")</f>
        <v>01RR0036V2</v>
      </c>
      <c r="O599" s="2" t="str">
        <f>IFERROR(__xludf.DUMMYFUNCTION("""COMPUTED_VALUE"""),"Phân bón Hữu cơ SH Agro Organic Fertilizer 20")</f>
        <v>Phân bón Hữu cơ SH Agro Organic Fertilizer 20</v>
      </c>
      <c r="P599" s="2" t="str">
        <f>IFERROR(__xludf.DUMMYFUNCTION("""COMPUTED_VALUE"""),"#N/A")</f>
        <v>#N/A</v>
      </c>
      <c r="Q599" s="30" t="str">
        <f>IFERROR(__xludf.DUMMYFUNCTION("""COMPUTED_VALUE"""),"KHÔNG KHỚP")</f>
        <v>KHÔNG KHỚP</v>
      </c>
      <c r="R599" s="2"/>
      <c r="S599" s="2"/>
      <c r="T599" s="2"/>
      <c r="U599" s="2"/>
      <c r="V599" s="2"/>
      <c r="W599" s="2"/>
      <c r="X599" s="2"/>
      <c r="Y599" s="2"/>
    </row>
    <row r="600">
      <c r="A600" s="30">
        <f>IFERROR(__xludf.DUMMYFUNCTION("""COMPUTED_VALUE"""),597.0)</f>
        <v>597</v>
      </c>
      <c r="B600" s="39">
        <f>IFERROR(__xludf.DUMMYFUNCTION("""COMPUTED_VALUE"""),46030.0)</f>
        <v>46030</v>
      </c>
      <c r="C600" s="30">
        <f>IFERROR(__xludf.DUMMYFUNCTION("""COMPUTED_VALUE"""),2.0)</f>
        <v>2</v>
      </c>
      <c r="D600" s="30" t="str">
        <f>IFERROR(__xludf.DUMMYFUNCTION("""COMPUTED_VALUE"""),"CT CŨ")</f>
        <v>CT CŨ</v>
      </c>
      <c r="E600" s="30"/>
      <c r="F600" s="2"/>
      <c r="G600" s="2" t="str">
        <f>IFERROR(__xludf.DUMMYFUNCTION("""COMPUTED_VALUE"""),"HH4608")</f>
        <v>HH4608</v>
      </c>
      <c r="H600" s="2" t="str">
        <f>IFERROR(__xludf.DUMMYFUNCTION("""COMPUTED_VALUE"""),"GC - V - 4608 - CTY ASAHI NHẬT BẢN - RONBIN SAMURAI (Gel nâu đen) - 500ml - 40")</f>
        <v>GC - V - 4608 - CTY ASAHI NHẬT BẢN - RONBIN SAMURAI (Gel nâu đen) - 500ml - 40</v>
      </c>
      <c r="I600" s="39" t="str">
        <f>IFERROR(__xludf.DUMMYFUNCTION("""COMPUTED_VALUE"""),"Vi lượng Quantity New")</f>
        <v>Vi lượng Quantity New</v>
      </c>
      <c r="J600" s="2" t="str">
        <f>IFERROR(__xludf.DUMMYFUNCTION("""COMPUTED_VALUE"""),"A04270225")</f>
        <v>A04270225</v>
      </c>
      <c r="K600" s="2"/>
      <c r="L600" s="2" t="str">
        <f>IFERROR(__xludf.DUMMYFUNCTION("""COMPUTED_VALUE"""),"A04270225")</f>
        <v>A04270225</v>
      </c>
      <c r="M600" s="2" t="str">
        <f>IFERROR(__xludf.DUMMYFUNCTION("""COMPUTED_VALUE"""),"AMINO RONG BIỂN")</f>
        <v>AMINO RONG BIỂN</v>
      </c>
      <c r="N600" s="2" t="str">
        <f>IFERROR(__xludf.DUMMYFUNCTION("""COMPUTED_VALUE"""),"13XL0008V3")</f>
        <v>13XL0008V3</v>
      </c>
      <c r="O600" s="2" t="str">
        <f>IFERROR(__xludf.DUMMYFUNCTION("""COMPUTED_VALUE"""),"Phân bón Vi lượng Quantity New")</f>
        <v>Phân bón Vi lượng Quantity New</v>
      </c>
      <c r="P600" s="2" t="str">
        <f>IFERROR(__xludf.DUMMYFUNCTION("""COMPUTED_VALUE"""),"Phân bón Vi lượng Quantity New")</f>
        <v>Phân bón Vi lượng Quantity New</v>
      </c>
      <c r="Q600" s="30" t="str">
        <f>IFERROR(__xludf.DUMMYFUNCTION("""COMPUTED_VALUE"""),"KHỚP")</f>
        <v>KHỚP</v>
      </c>
      <c r="R600" s="2"/>
      <c r="S600" s="2"/>
      <c r="T600" s="2"/>
      <c r="U600" s="2"/>
      <c r="V600" s="2"/>
      <c r="W600" s="2"/>
      <c r="X600" s="2"/>
      <c r="Y600" s="2"/>
    </row>
    <row r="601">
      <c r="A601" s="30">
        <f>IFERROR(__xludf.DUMMYFUNCTION("""COMPUTED_VALUE"""),598.0)</f>
        <v>598</v>
      </c>
      <c r="B601" s="39">
        <f>IFERROR(__xludf.DUMMYFUNCTION("""COMPUTED_VALUE"""),46081.0)</f>
        <v>46081</v>
      </c>
      <c r="C601" s="30">
        <f>IFERROR(__xludf.DUMMYFUNCTION("""COMPUTED_VALUE"""),1.0)</f>
        <v>1</v>
      </c>
      <c r="D601" s="30" t="str">
        <f>IFERROR(__xludf.DUMMYFUNCTION("""COMPUTED_VALUE"""),"CT CŨ")</f>
        <v>CT CŨ</v>
      </c>
      <c r="E601" s="30"/>
      <c r="F601" s="2"/>
      <c r="G601" s="2" t="str">
        <f>IFERROR(__xludf.DUMMYFUNCTION("""COMPUTED_VALUE"""),"HH3937")</f>
        <v>HH3937</v>
      </c>
      <c r="H601" s="2" t="str">
        <f>IFERROR(__xludf.DUMMYFUNCTION("""COMPUTED_VALUE"""),"GC - IV - 3937 - CTY NÔNG DƯỢC BETA - BETA VÔ GẠO 555 (Dạng SC - Hồng nhạt) - 500ml - 30")</f>
        <v>GC - IV - 3937 - CTY NÔNG DƯỢC BETA - BETA VÔ GẠO 555 (Dạng SC - Hồng nhạt) - 500ml - 30</v>
      </c>
      <c r="I601" s="2" t="str">
        <f>IFERROR(__xludf.DUMMYFUNCTION("""COMPUTED_VALUE"""),"#N/A")</f>
        <v>#N/A</v>
      </c>
      <c r="J601" s="2" t="str">
        <f>IFERROR(__xludf.DUMMYFUNCTION("""COMPUTED_VALUE"""),"A01211124-03")</f>
        <v>A01211124-03</v>
      </c>
      <c r="K601" s="2"/>
      <c r="L601" s="2" t="str">
        <f>IFERROR(__xludf.DUMMYFUNCTION("""COMPUTED_VALUE"""),"A07291024-01")</f>
        <v>A07291024-01</v>
      </c>
      <c r="M601" s="2" t="str">
        <f>IFERROR(__xludf.DUMMYFUNCTION("""COMPUTED_VALUE"""),"KALI SỮA")</f>
        <v>KALI SỮA</v>
      </c>
      <c r="N601" s="2" t="str">
        <f>IFERROR(__xludf.DUMMYFUNCTION("""COMPUTED_VALUE"""),"04VG0052")</f>
        <v>04VG0052</v>
      </c>
      <c r="O601" s="2" t="str">
        <f>IFERROR(__xludf.DUMMYFUNCTION("""COMPUTED_VALUE"""),"Phân bón NPK-Vi lượng MASSIVE-BLUE")</f>
        <v>Phân bón NPK-Vi lượng MASSIVE-BLUE</v>
      </c>
      <c r="P601" s="2" t="str">
        <f>IFERROR(__xludf.DUMMYFUNCTION("""COMPUTED_VALUE"""),"#N/A")</f>
        <v>#N/A</v>
      </c>
      <c r="Q601" s="30" t="str">
        <f>IFERROR(__xludf.DUMMYFUNCTION("""COMPUTED_VALUE"""),"KHÔNG KHỚP")</f>
        <v>KHÔNG KHỚP</v>
      </c>
      <c r="R601" s="2"/>
      <c r="S601" s="2"/>
      <c r="T601" s="2"/>
      <c r="U601" s="2"/>
      <c r="V601" s="2"/>
      <c r="W601" s="2"/>
      <c r="X601" s="2"/>
      <c r="Y601" s="2"/>
    </row>
    <row r="602">
      <c r="A602" s="30">
        <f>IFERROR(__xludf.DUMMYFUNCTION("""COMPUTED_VALUE"""),599.0)</f>
        <v>599</v>
      </c>
      <c r="B602" s="39">
        <f>IFERROR(__xludf.DUMMYFUNCTION("""COMPUTED_VALUE"""),46036.0)</f>
        <v>46036</v>
      </c>
      <c r="C602" s="30">
        <f>IFERROR(__xludf.DUMMYFUNCTION("""COMPUTED_VALUE"""),3.0)</f>
        <v>3</v>
      </c>
      <c r="D602" s="30" t="str">
        <f>IFERROR(__xludf.DUMMYFUNCTION("""COMPUTED_VALUE"""),"CT CŨ")</f>
        <v>CT CŨ</v>
      </c>
      <c r="E602" s="30"/>
      <c r="F602" s="2"/>
      <c r="G602" s="2" t="str">
        <f>IFERROR(__xludf.DUMMYFUNCTION("""COMPUTED_VALUE"""),"HH4642")</f>
        <v>HH4642</v>
      </c>
      <c r="H602" s="2" t="str">
        <f>IFERROR(__xludf.DUMMYFUNCTION("""COMPUTED_VALUE"""),"GC - V - 4642 - CTY HÓA NÔNG ĐẤT VIỆT - ĐẤT VIỆT BIOGREEN (Nước nâu đen) - 20 lít - 1")</f>
        <v>GC - V - 4642 - CTY HÓA NÔNG ĐẤT VIỆT - ĐẤT VIỆT BIOGREEN (Nước nâu đen) - 20 lít - 1</v>
      </c>
      <c r="I602" s="39" t="str">
        <f>IFERROR(__xludf.DUMMYFUNCTION("""COMPUTED_VALUE"""),"Hữu Cơ Organic ĐGP 01")</f>
        <v>Hữu Cơ Organic ĐGP 01</v>
      </c>
      <c r="J602" s="2" t="str">
        <f>IFERROR(__xludf.DUMMYFUNCTION("""COMPUTED_VALUE"""),"A05181225- 01")</f>
        <v>A05181225- 01</v>
      </c>
      <c r="K602" s="2"/>
      <c r="L602" s="2" t="str">
        <f>IFERROR(__xludf.DUMMYFUNCTION("""COMPUTED_VALUE"""),"A05181225-01
I03240326")</f>
        <v>A05181225-01
I03240326</v>
      </c>
      <c r="M602" s="2" t="str">
        <f>IFERROR(__xludf.DUMMYFUNCTION("""COMPUTED_VALUE"""),"HỮU CƠ 20%")</f>
        <v>HỮU CƠ 20%</v>
      </c>
      <c r="N602" s="2" t="str">
        <f>IFERROR(__xludf.DUMMYFUNCTION("""COMPUTED_VALUE"""),"01RR0079V1")</f>
        <v>01RR0079V1</v>
      </c>
      <c r="O602" s="2" t="str">
        <f>IFERROR(__xludf.DUMMYFUNCTION("""COMPUTED_VALUE"""),"Phân bón Hữu cơ ORGANIC ĐGP 01 ")</f>
        <v>Phân bón Hữu cơ ORGANIC ĐGP 01 </v>
      </c>
      <c r="P602" s="2" t="str">
        <f>IFERROR(__xludf.DUMMYFUNCTION("""COMPUTED_VALUE"""),"Phân bón Hữu Cơ Organic ĐGP 01")</f>
        <v>Phân bón Hữu Cơ Organic ĐGP 01</v>
      </c>
      <c r="Q602" s="30" t="str">
        <f>IFERROR(__xludf.DUMMYFUNCTION("""COMPUTED_VALUE"""),"KHỚP")</f>
        <v>KHỚP</v>
      </c>
      <c r="R602" s="2"/>
      <c r="S602" s="2"/>
      <c r="T602" s="2"/>
      <c r="U602" s="2"/>
      <c r="V602" s="2"/>
      <c r="W602" s="2"/>
      <c r="X602" s="2"/>
      <c r="Y602" s="2"/>
    </row>
    <row r="603">
      <c r="A603" s="30">
        <f>IFERROR(__xludf.DUMMYFUNCTION("""COMPUTED_VALUE"""),600.0)</f>
        <v>600</v>
      </c>
      <c r="B603" s="39">
        <f>IFERROR(__xludf.DUMMYFUNCTION("""COMPUTED_VALUE"""),46007.0)</f>
        <v>46007</v>
      </c>
      <c r="C603" s="30">
        <f>IFERROR(__xludf.DUMMYFUNCTION("""COMPUTED_VALUE"""),3.0)</f>
        <v>3</v>
      </c>
      <c r="D603" s="30" t="str">
        <f>IFERROR(__xludf.DUMMYFUNCTION("""COMPUTED_VALUE"""),"CT CŨ")</f>
        <v>CT CŨ</v>
      </c>
      <c r="E603" s="30"/>
      <c r="F603" s="2"/>
      <c r="G603" s="2" t="str">
        <f>IFERROR(__xludf.DUMMYFUNCTION("""COMPUTED_VALUE"""),"HH4653")</f>
        <v>HH4653</v>
      </c>
      <c r="H603" s="2" t="str">
        <f>IFERROR(__xludf.DUMMYFUNCTION("""COMPUTED_VALUE"""),"GC - V - 4653 - CTY THIÊN DI - KÍCH RỄ MAI VÀNG (Nước nâu đen) - 100ml - 100")</f>
        <v>GC - V - 4653 - CTY THIÊN DI - KÍCH RỄ MAI VÀNG (Nước nâu đen) - 100ml - 100</v>
      </c>
      <c r="I603" s="2" t="str">
        <f>IFERROR(__xludf.DUMMYFUNCTION("""COMPUTED_VALUE"""),"#N/A")</f>
        <v>#N/A</v>
      </c>
      <c r="J603" s="2" t="str">
        <f>IFERROR(__xludf.DUMMYFUNCTION("""COMPUTED_VALUE"""),"Cùng ruột 3673
A06050325")</f>
        <v>Cùng ruột 3673
A06050325</v>
      </c>
      <c r="K603" s="2"/>
      <c r="L603" s="2" t="str">
        <f>IFERROR(__xludf.DUMMYFUNCTION("""COMPUTED_VALUE"""),"A06050325")</f>
        <v>A06050325</v>
      </c>
      <c r="M603" s="2" t="str">
        <f>IFERROR(__xludf.DUMMYFUNCTION("""COMPUTED_VALUE"""),"KÍCH RỄ MAI VÀNG")</f>
        <v>KÍCH RỄ MAI VÀNG</v>
      </c>
      <c r="N603" s="2" t="str">
        <f>IFERROR(__xludf.DUMMYFUNCTION("""COMPUTED_VALUE"""),"01RR0046V1")</f>
        <v>01RR0046V1</v>
      </c>
      <c r="O603" s="2" t="str">
        <f>IFERROR(__xludf.DUMMYFUNCTION("""COMPUTED_VALUE"""),"Phân bón Hữu cơ SH Agro Organic Fertilizer 20")</f>
        <v>Phân bón Hữu cơ SH Agro Organic Fertilizer 20</v>
      </c>
      <c r="P603" s="2" t="str">
        <f>IFERROR(__xludf.DUMMYFUNCTION("""COMPUTED_VALUE"""),"#N/A")</f>
        <v>#N/A</v>
      </c>
      <c r="Q603" s="30" t="str">
        <f>IFERROR(__xludf.DUMMYFUNCTION("""COMPUTED_VALUE"""),"KHÔNG KHỚP")</f>
        <v>KHÔNG KHỚP</v>
      </c>
      <c r="R603" s="2"/>
      <c r="S603" s="2"/>
      <c r="T603" s="2"/>
      <c r="U603" s="2"/>
      <c r="V603" s="2"/>
      <c r="W603" s="2"/>
      <c r="X603" s="2"/>
      <c r="Y603" s="2"/>
    </row>
    <row r="604">
      <c r="A604" s="30">
        <f>IFERROR(__xludf.DUMMYFUNCTION("""COMPUTED_VALUE"""),601.0)</f>
        <v>601</v>
      </c>
      <c r="B604" s="39">
        <f>IFERROR(__xludf.DUMMYFUNCTION("""COMPUTED_VALUE"""),45983.0)</f>
        <v>45983</v>
      </c>
      <c r="C604" s="30">
        <f>IFERROR(__xludf.DUMMYFUNCTION("""COMPUTED_VALUE"""),3.0)</f>
        <v>3</v>
      </c>
      <c r="D604" s="30" t="str">
        <f>IFERROR(__xludf.DUMMYFUNCTION("""COMPUTED_VALUE"""),"CT CŨ")</f>
        <v>CT CŨ</v>
      </c>
      <c r="E604" s="30"/>
      <c r="F604" s="2"/>
      <c r="G604" s="2" t="str">
        <f>IFERROR(__xludf.DUMMYFUNCTION("""COMPUTED_VALUE"""),"HH4586")</f>
        <v>HH4586</v>
      </c>
      <c r="H604" s="2" t="str">
        <f>IFERROR(__xludf.DUMMYFUNCTION("""COMPUTED_VALUE"""),"LOTUS AGROCHEM - VI - 4586 - LOTUS DIỆP LỤC (Nước trắng sữa) - 500ml - 40")</f>
        <v>LOTUS AGROCHEM - VI - 4586 - LOTUS DIỆP LỤC (Nước trắng sữa) - 500ml - 40</v>
      </c>
      <c r="I604" s="39" t="str">
        <f>IFERROR(__xludf.DUMMYFUNCTION("""COMPUTED_VALUE"""),"vi lượng Phú Sĩ FJ-09 Kẽm Mg")</f>
        <v>vi lượng Phú Sĩ FJ-09 Kẽm Mg</v>
      </c>
      <c r="J604" s="2" t="str">
        <f>IFERROR(__xludf.DUMMYFUNCTION("""COMPUTED_VALUE"""),"Đóng theo đơn gần nhất")</f>
        <v>Đóng theo đơn gần nhất</v>
      </c>
      <c r="K604" s="2"/>
      <c r="L604" s="2" t="str">
        <f>IFERROR(__xludf.DUMMYFUNCTION("""COMPUTED_VALUE"""),"BB26040725")</f>
        <v>BB26040725</v>
      </c>
      <c r="M604" s="2" t="str">
        <f>IFERROR(__xludf.DUMMYFUNCTION("""COMPUTED_VALUE"""),"BAMBOO MG KẼM
LOTUS DIỆP LỤC")</f>
        <v>BAMBOO MG KẼM
LOTUS DIỆP LỤC</v>
      </c>
      <c r="N604" s="2" t="str">
        <f>IFERROR(__xludf.DUMMYFUNCTION("""COMPUTED_VALUE"""),"13XL0017V2")</f>
        <v>13XL0017V2</v>
      </c>
      <c r="O604" s="2" t="str">
        <f>IFERROR(__xludf.DUMMYFUNCTION("""COMPUTED_VALUE"""),"Phân bón vi lượng Phú Sĩ FJ-09 Kẽm Mg")</f>
        <v>Phân bón vi lượng Phú Sĩ FJ-09 Kẽm Mg</v>
      </c>
      <c r="P604" s="2" t="str">
        <f>IFERROR(__xludf.DUMMYFUNCTION("""COMPUTED_VALUE"""),"Phân bón vi lượng Phú Sĩ FJ-09 Kẽm Mg")</f>
        <v>Phân bón vi lượng Phú Sĩ FJ-09 Kẽm Mg</v>
      </c>
      <c r="Q604" s="30" t="str">
        <f>IFERROR(__xludf.DUMMYFUNCTION("""COMPUTED_VALUE"""),"KHỚP")</f>
        <v>KHỚP</v>
      </c>
      <c r="R604" s="2"/>
      <c r="S604" s="2"/>
      <c r="T604" s="2"/>
      <c r="U604" s="2"/>
      <c r="V604" s="2"/>
      <c r="W604" s="2"/>
      <c r="X604" s="2"/>
      <c r="Y604" s="2"/>
    </row>
    <row r="605">
      <c r="A605" s="30">
        <f>IFERROR(__xludf.DUMMYFUNCTION("""COMPUTED_VALUE"""),602.0)</f>
        <v>602</v>
      </c>
      <c r="B605" s="39">
        <f>IFERROR(__xludf.DUMMYFUNCTION("""COMPUTED_VALUE"""),45905.0)</f>
        <v>45905</v>
      </c>
      <c r="C605" s="30">
        <f>IFERROR(__xludf.DUMMYFUNCTION("""COMPUTED_VALUE"""),10.0)</f>
        <v>10</v>
      </c>
      <c r="D605" s="30" t="str">
        <f>IFERROR(__xludf.DUMMYFUNCTION("""COMPUTED_VALUE"""),"CT CŨ")</f>
        <v>CT CŨ</v>
      </c>
      <c r="E605" s="30"/>
      <c r="F605" s="2"/>
      <c r="G605" s="2" t="str">
        <f>IFERROR(__xludf.DUMMYFUNCTION("""COMPUTED_VALUE"""),"HH4183")</f>
        <v>HH4183</v>
      </c>
      <c r="H605" s="2" t="str">
        <f>IFERROR(__xludf.DUMMYFUNCTION("""COMPUTED_VALUE"""),"GC - V - 4183 - Cty Hương Nông - HN-pH++ (Nước nâu đen) - 5L - 4")</f>
        <v>GC - V - 4183 - Cty Hương Nông - HN-pH++ (Nước nâu đen) - 5L - 4</v>
      </c>
      <c r="I605" s="2" t="str">
        <f>IFERROR(__xludf.DUMMYFUNCTION("""COMPUTED_VALUE"""),"#N/A")</f>
        <v>#N/A</v>
      </c>
      <c r="J605" s="2" t="str">
        <f>IFERROR(__xludf.DUMMYFUNCTION("""COMPUTED_VALUE"""),"Cùng ruột 
HH3960")</f>
        <v>Cùng ruột 
HH3960</v>
      </c>
      <c r="K605" s="2"/>
      <c r="L605" s="2"/>
      <c r="M605" s="2" t="str">
        <f>IFERROR(__xludf.DUMMYFUNCTION("""COMPUTED_VALUE"""),"HN-pH++")</f>
        <v>HN-pH++</v>
      </c>
      <c r="N605" s="2" t="str">
        <f>IFERROR(__xludf.DUMMYFUNCTION("""COMPUTED_VALUE"""),"01RR0014V4")</f>
        <v>01RR0014V4</v>
      </c>
      <c r="O605" s="2" t="str">
        <f>IFERROR(__xludf.DUMMYFUNCTION("""COMPUTED_VALUE"""),"Phân bón Hữu cơ SH Agro Organic Fertilizer 20")</f>
        <v>Phân bón Hữu cơ SH Agro Organic Fertilizer 20</v>
      </c>
      <c r="P605" s="2" t="str">
        <f>IFERROR(__xludf.DUMMYFUNCTION("""COMPUTED_VALUE"""),"#N/A")</f>
        <v>#N/A</v>
      </c>
      <c r="Q605" s="30" t="str">
        <f>IFERROR(__xludf.DUMMYFUNCTION("""COMPUTED_VALUE"""),"KHÔNG KHỚP")</f>
        <v>KHÔNG KHỚP</v>
      </c>
      <c r="R605" s="2"/>
      <c r="S605" s="2"/>
      <c r="T605" s="2"/>
      <c r="U605" s="2"/>
      <c r="V605" s="2"/>
      <c r="W605" s="2"/>
      <c r="X605" s="2"/>
      <c r="Y605" s="2"/>
    </row>
    <row r="606">
      <c r="A606" s="30">
        <f>IFERROR(__xludf.DUMMYFUNCTION("""COMPUTED_VALUE"""),603.0)</f>
        <v>603</v>
      </c>
      <c r="B606" s="39">
        <f>IFERROR(__xludf.DUMMYFUNCTION("""COMPUTED_VALUE"""),45896.0)</f>
        <v>45896</v>
      </c>
      <c r="C606" s="30">
        <f>IFERROR(__xludf.DUMMYFUNCTION("""COMPUTED_VALUE"""),3.0)</f>
        <v>3</v>
      </c>
      <c r="D606" s="30" t="str">
        <f>IFERROR(__xludf.DUMMYFUNCTION("""COMPUTED_VALUE"""),"CT CŨ")</f>
        <v>CT CŨ</v>
      </c>
      <c r="E606" s="30"/>
      <c r="F606" s="2"/>
      <c r="G606" s="2" t="str">
        <f>IFERROR(__xludf.DUMMYFUNCTION("""COMPUTED_VALUE"""),"HH4374")</f>
        <v>HH4374</v>
      </c>
      <c r="H606" s="2" t="str">
        <f>IFERROR(__xludf.DUMMYFUNCTION("""COMPUTED_VALUE"""),"GC - IV - 4374 - KIM NGỌC - AGAMA-CANXI BO (Nước trắng sữa) - 500ml - 40")</f>
        <v>GC - IV - 4374 - KIM NGỌC - AGAMA-CANXI BO (Nước trắng sữa) - 500ml - 40</v>
      </c>
      <c r="I606" s="2" t="str">
        <f>IFERROR(__xludf.DUMMYFUNCTION("""COMPUTED_VALUE"""),"#N/A")</f>
        <v>#N/A</v>
      </c>
      <c r="J606" s="2" t="str">
        <f>IFERROR(__xludf.DUMMYFUNCTION("""COMPUTED_VALUE"""),"A02160725")</f>
        <v>A02160725</v>
      </c>
      <c r="K606" s="2"/>
      <c r="L606" s="2" t="str">
        <f>IFERROR(__xludf.DUMMYFUNCTION("""COMPUTED_VALUE"""),"A02160725")</f>
        <v>A02160725</v>
      </c>
      <c r="M606" s="2" t="str">
        <f>IFERROR(__xludf.DUMMYFUNCTION("""COMPUTED_VALUE"""),"AGAMA-CANXI BO
(KIM NGỌC)")</f>
        <v>AGAMA-CANXI BO
(KIM NGỌC)</v>
      </c>
      <c r="N606" s="2" t="str">
        <f>IFERROR(__xludf.DUMMYFUNCTION("""COMPUTED_VALUE"""),"10CR0021")</f>
        <v>10CR0021</v>
      </c>
      <c r="O606" s="2" t="str">
        <f>IFERROR(__xludf.DUMMYFUNCTION("""COMPUTED_VALUE"""),"Phân bón Vi lượng AGAMA-CANXI BO")</f>
        <v>Phân bón Vi lượng AGAMA-CANXI BO</v>
      </c>
      <c r="P606" s="2" t="str">
        <f>IFERROR(__xludf.DUMMYFUNCTION("""COMPUTED_VALUE"""),"#N/A")</f>
        <v>#N/A</v>
      </c>
      <c r="Q606" s="30" t="str">
        <f>IFERROR(__xludf.DUMMYFUNCTION("""COMPUTED_VALUE"""),"KHÔNG KHỚP")</f>
        <v>KHÔNG KHỚP</v>
      </c>
      <c r="R606" s="2"/>
      <c r="S606" s="2"/>
      <c r="T606" s="2"/>
      <c r="U606" s="2"/>
      <c r="V606" s="2"/>
      <c r="W606" s="2"/>
      <c r="X606" s="2"/>
      <c r="Y606" s="2"/>
    </row>
    <row r="607">
      <c r="A607" s="30">
        <f>IFERROR(__xludf.DUMMYFUNCTION("""COMPUTED_VALUE"""),604.0)</f>
        <v>604</v>
      </c>
      <c r="B607" s="39">
        <f>IFERROR(__xludf.DUMMYFUNCTION("""COMPUTED_VALUE"""),46001.0)</f>
        <v>46001</v>
      </c>
      <c r="C607" s="30">
        <f>IFERROR(__xludf.DUMMYFUNCTION("""COMPUTED_VALUE"""),6.0)</f>
        <v>6</v>
      </c>
      <c r="D607" s="30" t="str">
        <f>IFERROR(__xludf.DUMMYFUNCTION("""COMPUTED_VALUE"""),"CT CŨ")</f>
        <v>CT CŨ</v>
      </c>
      <c r="E607" s="30"/>
      <c r="F607" s="2"/>
      <c r="G607" s="2" t="str">
        <f>IFERROR(__xludf.DUMMYFUNCTION("""COMPUTED_VALUE"""),"HH4262")</f>
        <v>HH4262</v>
      </c>
      <c r="H607" s="2" t="str">
        <f>IFERROR(__xludf.DUMMYFUNCTION("""COMPUTED_VALUE"""),"GC - IV - 4262 - CTY HƯƠNG NÔNG - BIO HỮU CƠ (Nước nâu đen) - 10L - 1")</f>
        <v>GC - IV - 4262 - CTY HƯƠNG NÔNG - BIO HỮU CƠ (Nước nâu đen) - 10L - 1</v>
      </c>
      <c r="I607" s="39" t="str">
        <f>IFERROR(__xludf.DUMMYFUNCTION("""COMPUTED_VALUE"""),"Hữu cơ Organic BM Gold  FW")</f>
        <v>Hữu cơ Organic BM Gold  FW</v>
      </c>
      <c r="J607" s="2" t="str">
        <f>IFERROR(__xludf.DUMMYFUNCTION("""COMPUTED_VALUE"""),"Cùng ruột 
HH3948")</f>
        <v>Cùng ruột 
HH3948</v>
      </c>
      <c r="K607" s="2"/>
      <c r="L607" s="2" t="str">
        <f>IFERROR(__xludf.DUMMYFUNCTION("""COMPUTED_VALUE"""),"A02281124
I01240326")</f>
        <v>A02281124
I01240326</v>
      </c>
      <c r="M607" s="2" t="str">
        <f>IFERROR(__xludf.DUMMYFUNCTION("""COMPUTED_VALUE"""),"BIO HỮU CƠ")</f>
        <v>BIO HỮU CƠ</v>
      </c>
      <c r="N607" s="2" t="str">
        <f>IFERROR(__xludf.DUMMYFUNCTION("""COMPUTED_VALUE"""),"11TT0010V1")</f>
        <v>11TT0010V1</v>
      </c>
      <c r="O607" s="2" t="str">
        <f>IFERROR(__xludf.DUMMYFUNCTION("""COMPUTED_VALUE"""),"Phân bón Hữu cơ ORGANIC BM GOLD FW")</f>
        <v>Phân bón Hữu cơ ORGANIC BM GOLD FW</v>
      </c>
      <c r="P607" s="2" t="str">
        <f>IFERROR(__xludf.DUMMYFUNCTION("""COMPUTED_VALUE"""),"Phân bón Hữu cơ Organic BM Gold  FW")</f>
        <v>Phân bón Hữu cơ Organic BM Gold  FW</v>
      </c>
      <c r="Q607" s="30" t="str">
        <f>IFERROR(__xludf.DUMMYFUNCTION("""COMPUTED_VALUE"""),"KHỚP")</f>
        <v>KHỚP</v>
      </c>
      <c r="R607" s="2"/>
      <c r="S607" s="2"/>
      <c r="T607" s="2"/>
      <c r="U607" s="2"/>
      <c r="V607" s="2"/>
      <c r="W607" s="2"/>
      <c r="X607" s="2"/>
      <c r="Y607" s="2"/>
    </row>
    <row r="608">
      <c r="A608" s="30">
        <f>IFERROR(__xludf.DUMMYFUNCTION("""COMPUTED_VALUE"""),605.0)</f>
        <v>605</v>
      </c>
      <c r="B608" s="39">
        <f>IFERROR(__xludf.DUMMYFUNCTION("""COMPUTED_VALUE"""),46007.0)</f>
        <v>46007</v>
      </c>
      <c r="C608" s="30">
        <f>IFERROR(__xludf.DUMMYFUNCTION("""COMPUTED_VALUE"""),4.0)</f>
        <v>4</v>
      </c>
      <c r="D608" s="30" t="str">
        <f>IFERROR(__xludf.DUMMYFUNCTION("""COMPUTED_VALUE"""),"CT CŨ")</f>
        <v>CT CŨ</v>
      </c>
      <c r="E608" s="30"/>
      <c r="F608" s="2"/>
      <c r="G608" s="2" t="str">
        <f>IFERROR(__xludf.DUMMYFUNCTION("""COMPUTED_VALUE"""),"HH4653")</f>
        <v>HH4653</v>
      </c>
      <c r="H608" s="2" t="str">
        <f>IFERROR(__xludf.DUMMYFUNCTION("""COMPUTED_VALUE"""),"GC - V - 4653 - CTY THIÊN DI - KÍCH RỄ MAI VÀNG (Nước nâu đen) - 100ml - 100")</f>
        <v>GC - V - 4653 - CTY THIÊN DI - KÍCH RỄ MAI VÀNG (Nước nâu đen) - 100ml - 100</v>
      </c>
      <c r="I608" s="2" t="str">
        <f>IFERROR(__xludf.DUMMYFUNCTION("""COMPUTED_VALUE"""),"#N/A")</f>
        <v>#N/A</v>
      </c>
      <c r="J608" s="2" t="str">
        <f>IFERROR(__xludf.DUMMYFUNCTION("""COMPUTED_VALUE"""),"Cùng ruột 3673
A06050325")</f>
        <v>Cùng ruột 3673
A06050325</v>
      </c>
      <c r="K608" s="2"/>
      <c r="L608" s="2" t="str">
        <f>IFERROR(__xludf.DUMMYFUNCTION("""COMPUTED_VALUE"""),"A06050325")</f>
        <v>A06050325</v>
      </c>
      <c r="M608" s="2" t="str">
        <f>IFERROR(__xludf.DUMMYFUNCTION("""COMPUTED_VALUE"""),"KÍCH RỄ MAI VÀNG")</f>
        <v>KÍCH RỄ MAI VÀNG</v>
      </c>
      <c r="N608" s="2" t="str">
        <f>IFERROR(__xludf.DUMMYFUNCTION("""COMPUTED_VALUE"""),"01RR0046V1")</f>
        <v>01RR0046V1</v>
      </c>
      <c r="O608" s="2" t="str">
        <f>IFERROR(__xludf.DUMMYFUNCTION("""COMPUTED_VALUE"""),"Phân bón Hữu cơ SH Agro Organic Fertilizer 20")</f>
        <v>Phân bón Hữu cơ SH Agro Organic Fertilizer 20</v>
      </c>
      <c r="P608" s="2" t="str">
        <f>IFERROR(__xludf.DUMMYFUNCTION("""COMPUTED_VALUE"""),"#N/A")</f>
        <v>#N/A</v>
      </c>
      <c r="Q608" s="30" t="str">
        <f>IFERROR(__xludf.DUMMYFUNCTION("""COMPUTED_VALUE"""),"KHÔNG KHỚP")</f>
        <v>KHÔNG KHỚP</v>
      </c>
      <c r="R608" s="2"/>
      <c r="S608" s="2"/>
      <c r="T608" s="2"/>
      <c r="U608" s="2"/>
      <c r="V608" s="2"/>
      <c r="W608" s="2"/>
      <c r="X608" s="2"/>
      <c r="Y608" s="2"/>
    </row>
    <row r="609">
      <c r="A609" s="30">
        <f>IFERROR(__xludf.DUMMYFUNCTION("""COMPUTED_VALUE"""),606.0)</f>
        <v>606</v>
      </c>
      <c r="B609" s="39">
        <f>IFERROR(__xludf.DUMMYFUNCTION("""COMPUTED_VALUE"""),45946.0)</f>
        <v>45946</v>
      </c>
      <c r="C609" s="30">
        <f>IFERROR(__xludf.DUMMYFUNCTION("""COMPUTED_VALUE"""),2.0)</f>
        <v>2</v>
      </c>
      <c r="D609" s="30" t="str">
        <f>IFERROR(__xludf.DUMMYFUNCTION("""COMPUTED_VALUE"""),"CT CŨ")</f>
        <v>CT CŨ</v>
      </c>
      <c r="E609" s="30"/>
      <c r="F609" s="2"/>
      <c r="G609" s="2" t="str">
        <f>IFERROR(__xludf.DUMMYFUNCTION("""COMPUTED_VALUE"""),"HH4321")</f>
        <v>HH4321</v>
      </c>
      <c r="H609" s="2" t="str">
        <f>IFERROR(__xludf.DUMMYFUNCTION("""COMPUTED_VALUE"""),"GC - IV - 4321 - NHP GROUP - KODO STOP (Nước nâu đen) - 1L - 20")</f>
        <v>GC - IV - 4321 - NHP GROUP - KODO STOP (Nước nâu đen) - 1L - 20</v>
      </c>
      <c r="I609" s="39" t="str">
        <f>IFERROR(__xludf.DUMMYFUNCTION("""COMPUTED_VALUE"""),"Vi lượng Quantity New")</f>
        <v>Vi lượng Quantity New</v>
      </c>
      <c r="J609" s="2" t="str">
        <f>IFERROR(__xludf.DUMMYFUNCTION("""COMPUTED_VALUE"""),"cùng ruột HH4011")</f>
        <v>cùng ruột HH4011</v>
      </c>
      <c r="K609" s="2"/>
      <c r="L609" s="2" t="str">
        <f>IFERROR(__xludf.DUMMYFUNCTION("""COMPUTED_VALUE"""),"CHẶN ĐỌT DÒNG V1")</f>
        <v>CHẶN ĐỌT DÒNG V1</v>
      </c>
      <c r="M609" s="2" t="str">
        <f>IFERROR(__xludf.DUMMYFUNCTION("""COMPUTED_VALUE"""),"KODO STOP
DR.STOP
DR.H2")</f>
        <v>KODO STOP
DR.STOP
DR.H2</v>
      </c>
      <c r="N609" s="2" t="str">
        <f>IFERROR(__xludf.DUMMYFUNCTION("""COMPUTED_VALUE"""),"06CD0006V1")</f>
        <v>06CD0006V1</v>
      </c>
      <c r="O609" s="2" t="str">
        <f>IFERROR(__xludf.DUMMYFUNCTION("""COMPUTED_VALUE"""),"Phân bón Vi lượng Quantity New")</f>
        <v>Phân bón Vi lượng Quantity New</v>
      </c>
      <c r="P609" s="2" t="str">
        <f>IFERROR(__xludf.DUMMYFUNCTION("""COMPUTED_VALUE"""),"Phân bón Vi lượng Quantity New")</f>
        <v>Phân bón Vi lượng Quantity New</v>
      </c>
      <c r="Q609" s="30" t="str">
        <f>IFERROR(__xludf.DUMMYFUNCTION("""COMPUTED_VALUE"""),"KHỚP")</f>
        <v>KHỚP</v>
      </c>
      <c r="R609" s="2"/>
      <c r="S609" s="2"/>
      <c r="T609" s="2"/>
      <c r="U609" s="2"/>
      <c r="V609" s="2"/>
      <c r="W609" s="2"/>
      <c r="X609" s="2"/>
      <c r="Y609" s="2"/>
    </row>
    <row r="610">
      <c r="A610" s="30">
        <f>IFERROR(__xludf.DUMMYFUNCTION("""COMPUTED_VALUE"""),607.0)</f>
        <v>607</v>
      </c>
      <c r="B610" s="39">
        <f>IFERROR(__xludf.DUMMYFUNCTION("""COMPUTED_VALUE"""),45896.0)</f>
        <v>45896</v>
      </c>
      <c r="C610" s="30">
        <f>IFERROR(__xludf.DUMMYFUNCTION("""COMPUTED_VALUE"""),1.0)</f>
        <v>1</v>
      </c>
      <c r="D610" s="30" t="str">
        <f>IFERROR(__xludf.DUMMYFUNCTION("""COMPUTED_VALUE"""),"CT CŨ")</f>
        <v>CT CŨ</v>
      </c>
      <c r="E610" s="30"/>
      <c r="F610" s="2"/>
      <c r="G610" s="2" t="str">
        <f>IFERROR(__xludf.DUMMYFUNCTION("""COMPUTED_VALUE"""),"HH4777")</f>
        <v>HH4777</v>
      </c>
      <c r="H610" s="2" t="str">
        <f>IFERROR(__xludf.DUMMYFUNCTION("""COMPUTED_VALUE"""),"GC - V - 4777 - CTY HÓA NÔNG SHINO - BOOM GOLD (Nước trắng sữa) - 500ml - 30")</f>
        <v>GC - V - 4777 - CTY HÓA NÔNG SHINO - BOOM GOLD (Nước trắng sữa) - 500ml - 30</v>
      </c>
      <c r="I610" s="2" t="str">
        <f>IFERROR(__xludf.DUMMYFUNCTION("""COMPUTED_VALUE"""),"#N/A")</f>
        <v>#N/A</v>
      </c>
      <c r="J610" s="2" t="str">
        <f>IFERROR(__xludf.DUMMYFUNCTION("""COMPUTED_VALUE"""),"A02160725")</f>
        <v>A02160725</v>
      </c>
      <c r="K610" s="2"/>
      <c r="L610" s="2" t="str">
        <f>IFERROR(__xludf.DUMMYFUNCTION("""COMPUTED_VALUE"""),"A02160725")</f>
        <v>A02160725</v>
      </c>
      <c r="M610" s="2" t="str">
        <f>IFERROR(__xludf.DUMMYFUNCTION("""COMPUTED_VALUE"""),"AGAMA-CANXI BO
(KIM NGỌC)")</f>
        <v>AGAMA-CANXI BO
(KIM NGỌC)</v>
      </c>
      <c r="N610" s="2" t="str">
        <f>IFERROR(__xludf.DUMMYFUNCTION("""COMPUTED_VALUE"""),"10CR0021")</f>
        <v>10CR0021</v>
      </c>
      <c r="O610" s="2" t="str">
        <f>IFERROR(__xludf.DUMMYFUNCTION("""COMPUTED_VALUE"""),"Phân bón Vi lượng AGAMA-CANXI BO")</f>
        <v>Phân bón Vi lượng AGAMA-CANXI BO</v>
      </c>
      <c r="P610" s="2" t="str">
        <f>IFERROR(__xludf.DUMMYFUNCTION("""COMPUTED_VALUE"""),"#N/A")</f>
        <v>#N/A</v>
      </c>
      <c r="Q610" s="30" t="str">
        <f>IFERROR(__xludf.DUMMYFUNCTION("""COMPUTED_VALUE"""),"KHÔNG KHỚP")</f>
        <v>KHÔNG KHỚP</v>
      </c>
      <c r="R610" s="2"/>
      <c r="S610" s="2"/>
      <c r="T610" s="2"/>
      <c r="U610" s="2"/>
      <c r="V610" s="2"/>
      <c r="W610" s="2"/>
      <c r="X610" s="2"/>
      <c r="Y610" s="2"/>
    </row>
    <row r="611">
      <c r="A611" s="30">
        <f>IFERROR(__xludf.DUMMYFUNCTION("""COMPUTED_VALUE"""),608.0)</f>
        <v>608</v>
      </c>
      <c r="B611" s="39">
        <f>IFERROR(__xludf.DUMMYFUNCTION("""COMPUTED_VALUE"""),45896.0)</f>
        <v>45896</v>
      </c>
      <c r="C611" s="30">
        <f>IFERROR(__xludf.DUMMYFUNCTION("""COMPUTED_VALUE"""),1.0)</f>
        <v>1</v>
      </c>
      <c r="D611" s="30" t="str">
        <f>IFERROR(__xludf.DUMMYFUNCTION("""COMPUTED_VALUE"""),"CT CŨ")</f>
        <v>CT CŨ</v>
      </c>
      <c r="E611" s="30"/>
      <c r="F611" s="2"/>
      <c r="G611" s="2" t="str">
        <f>IFERROR(__xludf.DUMMYFUNCTION("""COMPUTED_VALUE"""),"HH4763")</f>
        <v>HH4763</v>
      </c>
      <c r="H611" s="2" t="str">
        <f>IFERROR(__xludf.DUMMYFUNCTION("""COMPUTED_VALUE"""),"GC - V - 4763 - A.LUÂN LUTA - CANXI BO (Nước trắng sữa) - 200ml - 40")</f>
        <v>GC - V - 4763 - A.LUÂN LUTA - CANXI BO (Nước trắng sữa) - 200ml - 40</v>
      </c>
      <c r="I611" s="2" t="str">
        <f>IFERROR(__xludf.DUMMYFUNCTION("""COMPUTED_VALUE"""),"#N/A")</f>
        <v>#N/A</v>
      </c>
      <c r="J611" s="2" t="str">
        <f>IFERROR(__xludf.DUMMYFUNCTION("""COMPUTED_VALUE"""),"A02160726")</f>
        <v>A02160726</v>
      </c>
      <c r="K611" s="2"/>
      <c r="L611" s="2" t="str">
        <f>IFERROR(__xludf.DUMMYFUNCTION("""COMPUTED_VALUE"""),"A02160725")</f>
        <v>A02160725</v>
      </c>
      <c r="M611" s="2" t="str">
        <f>IFERROR(__xludf.DUMMYFUNCTION("""COMPUTED_VALUE"""),"AGAMA-CANXI BO
(KIM NGỌC)")</f>
        <v>AGAMA-CANXI BO
(KIM NGỌC)</v>
      </c>
      <c r="N611" s="2" t="str">
        <f>IFERROR(__xludf.DUMMYFUNCTION("""COMPUTED_VALUE"""),"10CR0021")</f>
        <v>10CR0021</v>
      </c>
      <c r="O611" s="2" t="str">
        <f>IFERROR(__xludf.DUMMYFUNCTION("""COMPUTED_VALUE"""),"Phân bón Vi lượng AGAMA-CANXI BO")</f>
        <v>Phân bón Vi lượng AGAMA-CANXI BO</v>
      </c>
      <c r="P611" s="2" t="str">
        <f>IFERROR(__xludf.DUMMYFUNCTION("""COMPUTED_VALUE"""),"#N/A")</f>
        <v>#N/A</v>
      </c>
      <c r="Q611" s="30" t="str">
        <f>IFERROR(__xludf.DUMMYFUNCTION("""COMPUTED_VALUE"""),"KHÔNG KHỚP")</f>
        <v>KHÔNG KHỚP</v>
      </c>
      <c r="R611" s="2"/>
      <c r="S611" s="2"/>
      <c r="T611" s="2"/>
      <c r="U611" s="2"/>
      <c r="V611" s="2"/>
      <c r="W611" s="2"/>
      <c r="X611" s="2"/>
      <c r="Y611" s="2"/>
    </row>
    <row r="612">
      <c r="A612" s="30">
        <f>IFERROR(__xludf.DUMMYFUNCTION("""COMPUTED_VALUE"""),609.0)</f>
        <v>609</v>
      </c>
      <c r="B612" s="39">
        <f>IFERROR(__xludf.DUMMYFUNCTION("""COMPUTED_VALUE"""),46084.0)</f>
        <v>46084</v>
      </c>
      <c r="C612" s="30">
        <f>IFERROR(__xludf.DUMMYFUNCTION("""COMPUTED_VALUE"""),1.0)</f>
        <v>1</v>
      </c>
      <c r="D612" s="30" t="str">
        <f>IFERROR(__xludf.DUMMYFUNCTION("""COMPUTED_VALUE"""),"CT MỚI")</f>
        <v>CT MỚI</v>
      </c>
      <c r="E612" s="30"/>
      <c r="F612" s="2"/>
      <c r="G612" s="2" t="str">
        <f>IFERROR(__xludf.DUMMYFUNCTION("""COMPUTED_VALUE"""),"HH4776")</f>
        <v>HH4776</v>
      </c>
      <c r="H612" s="2" t="str">
        <f>IFERROR(__xludf.DUMMYFUNCTION("""COMPUTED_VALUE"""),"GC - V - 4776 - Cty Newtex - NT-K+ (Dạng SC Trắng sữa) - 500ml - 40")</f>
        <v>GC - V - 4776 - Cty Newtex - NT-K+ (Dạng SC Trắng sữa) - 500ml - 40</v>
      </c>
      <c r="I612" s="2" t="str">
        <f>IFERROR(__xludf.DUMMYFUNCTION("""COMPUTED_VALUE"""),"#N/A")</f>
        <v>#N/A</v>
      </c>
      <c r="J612" s="2" t="str">
        <f>IFERROR(__xludf.DUMMYFUNCTION("""COMPUTED_VALUE"""),"A01301225")</f>
        <v>A01301225</v>
      </c>
      <c r="K612" s="2"/>
      <c r="L612" s="2" t="str">
        <f>IFERROR(__xludf.DUMMYFUNCTION("""COMPUTED_VALUE"""),"A01301225")</f>
        <v>A01301225</v>
      </c>
      <c r="M612" s="2" t="str">
        <f>IFERROR(__xludf.DUMMYFUNCTION("""COMPUTED_VALUE"""),"SUPER VÔ GẠO (TRẮNG SỮA)")</f>
        <v>SUPER VÔ GẠO (TRẮNG SỮA)</v>
      </c>
      <c r="N612" s="2" t="str">
        <f>IFERROR(__xludf.DUMMYFUNCTION("""COMPUTED_VALUE"""),"04VG0053")</f>
        <v>04VG0053</v>
      </c>
      <c r="O612" s="2" t="str">
        <f>IFERROR(__xludf.DUMMYFUNCTION("""COMPUTED_VALUE"""),"Phân bón lá PK-Vi lượng SV 5-18")</f>
        <v>Phân bón lá PK-Vi lượng SV 5-18</v>
      </c>
      <c r="P612" s="2" t="str">
        <f>IFERROR(__xludf.DUMMYFUNCTION("""COMPUTED_VALUE"""),"#N/A")</f>
        <v>#N/A</v>
      </c>
      <c r="Q612" s="30" t="str">
        <f>IFERROR(__xludf.DUMMYFUNCTION("""COMPUTED_VALUE"""),"KHỚP")</f>
        <v>KHỚP</v>
      </c>
      <c r="R612" s="2"/>
      <c r="S612" s="2"/>
      <c r="T612" s="2"/>
      <c r="U612" s="2"/>
      <c r="V612" s="2"/>
      <c r="W612" s="2"/>
      <c r="X612" s="2"/>
      <c r="Y612" s="2"/>
    </row>
    <row r="613">
      <c r="A613" s="30">
        <f>IFERROR(__xludf.DUMMYFUNCTION("""COMPUTED_VALUE"""),610.0)</f>
        <v>610</v>
      </c>
      <c r="B613" s="39">
        <f>IFERROR(__xludf.DUMMYFUNCTION("""COMPUTED_VALUE"""),45923.0)</f>
        <v>45923</v>
      </c>
      <c r="C613" s="30">
        <f>IFERROR(__xludf.DUMMYFUNCTION("""COMPUTED_VALUE"""),1.0)</f>
        <v>1</v>
      </c>
      <c r="D613" s="30" t="str">
        <f>IFERROR(__xludf.DUMMYFUNCTION("""COMPUTED_VALUE"""),"CT CŨ")</f>
        <v>CT CŨ</v>
      </c>
      <c r="E613" s="30"/>
      <c r="F613" s="2"/>
      <c r="G613" s="2" t="str">
        <f>IFERROR(__xludf.DUMMYFUNCTION("""COMPUTED_VALUE"""),"HH4563")</f>
        <v>HH4563</v>
      </c>
      <c r="H613" s="2" t="str">
        <f>IFERROR(__xludf.DUMMYFUNCTION("""COMPUTED_VALUE"""),"GC - V - 4563 - Cty Newtex - NT-PHOS T1 (Nước xanh dương) - 500ml - 40")</f>
        <v>GC - V - 4563 - Cty Newtex - NT-PHOS T1 (Nước xanh dương) - 500ml - 40</v>
      </c>
      <c r="I613" s="2" t="str">
        <f>IFERROR(__xludf.DUMMYFUNCTION("""COMPUTED_VALUE"""),"#N/A")</f>
        <v>#N/A</v>
      </c>
      <c r="J613" s="2" t="str">
        <f>IFERROR(__xludf.DUMMYFUNCTION("""COMPUTED_VALUE"""),"A03160925")</f>
        <v>A03160925</v>
      </c>
      <c r="K613" s="2"/>
      <c r="L613" s="2" t="str">
        <f>IFERROR(__xludf.DUMMYFUNCTION("""COMPUTED_VALUE"""),"A03160925 ")</f>
        <v>A03160925 </v>
      </c>
      <c r="M613" s="2" t="str">
        <f>IFERROR(__xludf.DUMMYFUNCTION("""COMPUTED_VALUE"""),"LÂN 2 CHIỀU  - 01")</f>
        <v>LÂN 2 CHIỀU  - 01</v>
      </c>
      <c r="N613" s="2" t="str">
        <f>IFERROR(__xludf.DUMMYFUNCTION("""COMPUTED_VALUE"""),"08TM0025")</f>
        <v>08TM0025</v>
      </c>
      <c r="O613" s="2" t="str">
        <f>IFERROR(__xludf.DUMMYFUNCTION("""COMPUTED_VALUE"""),"Phân bón lá hỗn hợp PK AGRI FOS AB")</f>
        <v>Phân bón lá hỗn hợp PK AGRI FOS AB</v>
      </c>
      <c r="P613" s="2" t="str">
        <f>IFERROR(__xludf.DUMMYFUNCTION("""COMPUTED_VALUE"""),"#N/A")</f>
        <v>#N/A</v>
      </c>
      <c r="Q613" s="30" t="str">
        <f>IFERROR(__xludf.DUMMYFUNCTION("""COMPUTED_VALUE"""),"KHÔNG KHỚP")</f>
        <v>KHÔNG KHỚP</v>
      </c>
      <c r="R613" s="2"/>
      <c r="S613" s="2"/>
      <c r="T613" s="2"/>
      <c r="U613" s="2"/>
      <c r="V613" s="2"/>
      <c r="W613" s="2"/>
      <c r="X613" s="2"/>
      <c r="Y613" s="2"/>
    </row>
    <row r="614">
      <c r="A614" s="30">
        <f>IFERROR(__xludf.DUMMYFUNCTION("""COMPUTED_VALUE"""),611.0)</f>
        <v>611</v>
      </c>
      <c r="B614" s="39">
        <f>IFERROR(__xludf.DUMMYFUNCTION("""COMPUTED_VALUE"""),45896.0)</f>
        <v>45896</v>
      </c>
      <c r="C614" s="30">
        <f>IFERROR(__xludf.DUMMYFUNCTION("""COMPUTED_VALUE"""),2.0)</f>
        <v>2</v>
      </c>
      <c r="D614" s="30" t="str">
        <f>IFERROR(__xludf.DUMMYFUNCTION("""COMPUTED_VALUE"""),"CT CŨ")</f>
        <v>CT CŨ</v>
      </c>
      <c r="E614" s="30"/>
      <c r="F614" s="2"/>
      <c r="G614" s="2" t="str">
        <f>IFERROR(__xludf.DUMMYFUNCTION("""COMPUTED_VALUE"""),"HH4564")</f>
        <v>HH4564</v>
      </c>
      <c r="H614" s="2" t="str">
        <f>IFERROR(__xludf.DUMMYFUNCTION("""COMPUTED_VALUE"""),"GC - V - 4564 - CTY NEWTEX - CANXI BO KẼM T8 (Nước trắng sữa) - 1L - 20")</f>
        <v>GC - V - 4564 - CTY NEWTEX - CANXI BO KẼM T8 (Nước trắng sữa) - 1L - 20</v>
      </c>
      <c r="I614" s="2" t="str">
        <f>IFERROR(__xludf.DUMMYFUNCTION("""COMPUTED_VALUE"""),"#N/A")</f>
        <v>#N/A</v>
      </c>
      <c r="J614" s="2" t="str">
        <f>IFERROR(__xludf.DUMMYFUNCTION("""COMPUTED_VALUE"""),"A02160725")</f>
        <v>A02160725</v>
      </c>
      <c r="K614" s="2"/>
      <c r="L614" s="2" t="str">
        <f>IFERROR(__xludf.DUMMYFUNCTION("""COMPUTED_VALUE"""),"A02160725")</f>
        <v>A02160725</v>
      </c>
      <c r="M614" s="2" t="str">
        <f>IFERROR(__xludf.DUMMYFUNCTION("""COMPUTED_VALUE"""),"AGAMA-CANXI BO
(KIM NGỌC)")</f>
        <v>AGAMA-CANXI BO
(KIM NGỌC)</v>
      </c>
      <c r="N614" s="2" t="str">
        <f>IFERROR(__xludf.DUMMYFUNCTION("""COMPUTED_VALUE"""),"10CR0021")</f>
        <v>10CR0021</v>
      </c>
      <c r="O614" s="2" t="str">
        <f>IFERROR(__xludf.DUMMYFUNCTION("""COMPUTED_VALUE"""),"Phân bón Vi lượng AGAMA-CANXI BO")</f>
        <v>Phân bón Vi lượng AGAMA-CANXI BO</v>
      </c>
      <c r="P614" s="2" t="str">
        <f>IFERROR(__xludf.DUMMYFUNCTION("""COMPUTED_VALUE"""),"#N/A")</f>
        <v>#N/A</v>
      </c>
      <c r="Q614" s="30" t="str">
        <f>IFERROR(__xludf.DUMMYFUNCTION("""COMPUTED_VALUE"""),"KHÔNG KHỚP")</f>
        <v>KHÔNG KHỚP</v>
      </c>
      <c r="R614" s="2"/>
      <c r="S614" s="2"/>
      <c r="T614" s="2"/>
      <c r="U614" s="2"/>
      <c r="V614" s="2"/>
      <c r="W614" s="2"/>
      <c r="X614" s="2"/>
      <c r="Y614" s="2"/>
    </row>
    <row r="615">
      <c r="A615" s="30">
        <f>IFERROR(__xludf.DUMMYFUNCTION("""COMPUTED_VALUE"""),612.0)</f>
        <v>612</v>
      </c>
      <c r="B615" s="39">
        <f>IFERROR(__xludf.DUMMYFUNCTION("""COMPUTED_VALUE"""),46050.0)</f>
        <v>46050</v>
      </c>
      <c r="C615" s="30">
        <f>IFERROR(__xludf.DUMMYFUNCTION("""COMPUTED_VALUE"""),2.0)</f>
        <v>2</v>
      </c>
      <c r="D615" s="30" t="str">
        <f>IFERROR(__xludf.DUMMYFUNCTION("""COMPUTED_VALUE"""),"CT CŨ")</f>
        <v>CT CŨ</v>
      </c>
      <c r="E615" s="30"/>
      <c r="F615" s="2"/>
      <c r="G615" s="2" t="str">
        <f>IFERROR(__xludf.DUMMYFUNCTION("""COMPUTED_VALUE"""),"HH4650")</f>
        <v>HH4650</v>
      </c>
      <c r="H615" s="2" t="str">
        <f>IFERROR(__xludf.DUMMYFUNCTION("""COMPUTED_VALUE"""),"IDA Global - I - 4650 - SIÊU KẼM 247 (Nước vàng sữa) - 250ml - 40")</f>
        <v>IDA Global - I - 4650 - SIÊU KẼM 247 (Nước vàng sữa) - 250ml - 40</v>
      </c>
      <c r="I615" s="2" t="str">
        <f>IFERROR(__xludf.DUMMYFUNCTION("""COMPUTED_VALUE"""),"#N/A")</f>
        <v>#N/A</v>
      </c>
      <c r="J615" s="2" t="str">
        <f>IFERROR(__xludf.DUMMYFUNCTION("""COMPUTED_VALUE"""),"Mã I03220126")</f>
        <v>Mã I03220126</v>
      </c>
      <c r="K615" s="2"/>
      <c r="L615" s="2" t="str">
        <f>IFERROR(__xludf.DUMMYFUNCTION("""COMPUTED_VALUE"""),"I03220126 ")</f>
        <v>I03220126 </v>
      </c>
      <c r="M615" s="2" t="str">
        <f>IFERROR(__xludf.DUMMYFUNCTION("""COMPUTED_VALUE"""),"SIÊU KẼM 247 (CẢI TIẾN)")</f>
        <v>SIÊU KẼM 247 (CẢI TIẾN)</v>
      </c>
      <c r="N615" s="2" t="str">
        <f>IFERROR(__xludf.DUMMYFUNCTION("""COMPUTED_VALUE"""),"19DD0029")</f>
        <v>19DD0029</v>
      </c>
      <c r="O615" s="2" t="str">
        <f>IFERROR(__xludf.DUMMYFUNCTION("""COMPUTED_VALUE"""),"Phân bón vi lượng Phú Sĩ FJ-09 Kẽm Mg")</f>
        <v>Phân bón vi lượng Phú Sĩ FJ-09 Kẽm Mg</v>
      </c>
      <c r="P615" s="2" t="str">
        <f>IFERROR(__xludf.DUMMYFUNCTION("""COMPUTED_VALUE"""),"#N/A")</f>
        <v>#N/A</v>
      </c>
      <c r="Q615" s="30" t="str">
        <f>IFERROR(__xludf.DUMMYFUNCTION("""COMPUTED_VALUE"""),"KHÔNG KHỚP")</f>
        <v>KHÔNG KHỚP</v>
      </c>
      <c r="R615" s="2"/>
      <c r="S615" s="2"/>
      <c r="T615" s="2"/>
      <c r="U615" s="2"/>
      <c r="V615" s="2"/>
      <c r="W615" s="2"/>
      <c r="X615" s="2"/>
      <c r="Y615" s="2"/>
    </row>
    <row r="616">
      <c r="A616" s="30">
        <f>IFERROR(__xludf.DUMMYFUNCTION("""COMPUTED_VALUE"""),613.0)</f>
        <v>613</v>
      </c>
      <c r="B616" s="39">
        <f>IFERROR(__xludf.DUMMYFUNCTION("""COMPUTED_VALUE"""),45940.0)</f>
        <v>45940</v>
      </c>
      <c r="C616" s="30">
        <f>IFERROR(__xludf.DUMMYFUNCTION("""COMPUTED_VALUE"""),3.0)</f>
        <v>3</v>
      </c>
      <c r="D616" s="30" t="str">
        <f>IFERROR(__xludf.DUMMYFUNCTION("""COMPUTED_VALUE"""),"CT CŨ")</f>
        <v>CT CŨ</v>
      </c>
      <c r="E616" s="30"/>
      <c r="F616" s="2"/>
      <c r="G616" s="2" t="str">
        <f>IFERROR(__xludf.DUMMYFUNCTION("""COMPUTED_VALUE"""),"HH4328")</f>
        <v>HH4328</v>
      </c>
      <c r="H616" s="2" t="str">
        <f>IFERROR(__xludf.DUMMYFUNCTION("""COMPUTED_VALUE"""),"GC - IV - 4328 - Cty Hóa Nông Shino - KALI SỮA (Nước hồng sữa) - 500ml - 30")</f>
        <v>GC - IV - 4328 - Cty Hóa Nông Shino - KALI SỮA (Nước hồng sữa) - 500ml - 30</v>
      </c>
      <c r="I616" s="2" t="str">
        <f>IFERROR(__xludf.DUMMYFUNCTION("""COMPUTED_VALUE"""),"#N/A")</f>
        <v>#N/A</v>
      </c>
      <c r="J616" s="2" t="str">
        <f>IFERROR(__xludf.DUMMYFUNCTION("""COMPUTED_VALUE"""),"A02020525")</f>
        <v>A02020525</v>
      </c>
      <c r="K616" s="2"/>
      <c r="L616" s="2" t="str">
        <f>IFERROR(__xludf.DUMMYFUNCTION("""COMPUTED_VALUE"""),"A02020525")</f>
        <v>A02020525</v>
      </c>
      <c r="M616" s="2" t="str">
        <f>IFERROR(__xludf.DUMMYFUNCTION("""COMPUTED_VALUE"""),"KALI SỮA")</f>
        <v>KALI SỮA</v>
      </c>
      <c r="N616" s="2" t="str">
        <f>IFERROR(__xludf.DUMMYFUNCTION("""COMPUTED_VALUE"""),"04VG0026V2")</f>
        <v>04VG0026V2</v>
      </c>
      <c r="O616" s="2" t="str">
        <f>IFERROR(__xludf.DUMMYFUNCTION("""COMPUTED_VALUE"""),"Phân bón Hỗn hợp NPK AGAMA-SRH")</f>
        <v>Phân bón Hỗn hợp NPK AGAMA-SRH</v>
      </c>
      <c r="P616" s="2" t="str">
        <f>IFERROR(__xludf.DUMMYFUNCTION("""COMPUTED_VALUE"""),"#N/A")</f>
        <v>#N/A</v>
      </c>
      <c r="Q616" s="30" t="str">
        <f>IFERROR(__xludf.DUMMYFUNCTION("""COMPUTED_VALUE"""),"KHÔNG KHỚP")</f>
        <v>KHÔNG KHỚP</v>
      </c>
      <c r="R616" s="2"/>
      <c r="S616" s="2"/>
      <c r="T616" s="2"/>
      <c r="U616" s="2"/>
      <c r="V616" s="2"/>
      <c r="W616" s="2"/>
      <c r="X616" s="2"/>
      <c r="Y616" s="2"/>
    </row>
    <row r="617">
      <c r="A617" s="30">
        <f>IFERROR(__xludf.DUMMYFUNCTION("""COMPUTED_VALUE"""),614.0)</f>
        <v>614</v>
      </c>
      <c r="B617" s="39">
        <f>IFERROR(__xludf.DUMMYFUNCTION("""COMPUTED_VALUE"""),45896.0)</f>
        <v>45896</v>
      </c>
      <c r="C617" s="30">
        <f>IFERROR(__xludf.DUMMYFUNCTION("""COMPUTED_VALUE"""),2.0)</f>
        <v>2</v>
      </c>
      <c r="D617" s="30" t="str">
        <f>IFERROR(__xludf.DUMMYFUNCTION("""COMPUTED_VALUE"""),"CT CŨ")</f>
        <v>CT CŨ</v>
      </c>
      <c r="E617" s="30"/>
      <c r="F617" s="2"/>
      <c r="G617" s="2" t="str">
        <f>IFERROR(__xludf.DUMMYFUNCTION("""COMPUTED_VALUE"""),"HH4182")</f>
        <v>HH4182</v>
      </c>
      <c r="H617" s="2" t="str">
        <f>IFERROR(__xludf.DUMMYFUNCTION("""COMPUTED_VALUE"""),"GC - IV - 4182 - Hóa Nông Shino - CANXI BO (Nước trắng sữa) - 500ml - 30")</f>
        <v>GC - IV - 4182 - Hóa Nông Shino - CANXI BO (Nước trắng sữa) - 500ml - 30</v>
      </c>
      <c r="I617" s="2" t="str">
        <f>IFERROR(__xludf.DUMMYFUNCTION("""COMPUTED_VALUE"""),"#N/A")</f>
        <v>#N/A</v>
      </c>
      <c r="J617" s="2" t="str">
        <f>IFERROR(__xludf.DUMMYFUNCTION("""COMPUTED_VALUE"""),"A02160725")</f>
        <v>A02160725</v>
      </c>
      <c r="K617" s="2"/>
      <c r="L617" s="2" t="str">
        <f>IFERROR(__xludf.DUMMYFUNCTION("""COMPUTED_VALUE"""),"A02160725")</f>
        <v>A02160725</v>
      </c>
      <c r="M617" s="2" t="str">
        <f>IFERROR(__xludf.DUMMYFUNCTION("""COMPUTED_VALUE"""),"AGAMA-CANXI BO
(KIM NGỌC)")</f>
        <v>AGAMA-CANXI BO
(KIM NGỌC)</v>
      </c>
      <c r="N617" s="2" t="str">
        <f>IFERROR(__xludf.DUMMYFUNCTION("""COMPUTED_VALUE"""),"10CR0021")</f>
        <v>10CR0021</v>
      </c>
      <c r="O617" s="2" t="str">
        <f>IFERROR(__xludf.DUMMYFUNCTION("""COMPUTED_VALUE"""),"Phân bón Vi lượng AGAMA-CANXI BO")</f>
        <v>Phân bón Vi lượng AGAMA-CANXI BO</v>
      </c>
      <c r="P617" s="2" t="str">
        <f>IFERROR(__xludf.DUMMYFUNCTION("""COMPUTED_VALUE"""),"#N/A")</f>
        <v>#N/A</v>
      </c>
      <c r="Q617" s="30" t="str">
        <f>IFERROR(__xludf.DUMMYFUNCTION("""COMPUTED_VALUE"""),"KHÔNG KHỚP")</f>
        <v>KHÔNG KHỚP</v>
      </c>
      <c r="R617" s="2"/>
      <c r="S617" s="2"/>
      <c r="T617" s="2"/>
      <c r="U617" s="2"/>
      <c r="V617" s="2"/>
      <c r="W617" s="2"/>
      <c r="X617" s="2"/>
      <c r="Y617" s="2"/>
    </row>
    <row r="618">
      <c r="A618" s="30">
        <f>IFERROR(__xludf.DUMMYFUNCTION("""COMPUTED_VALUE"""),615.0)</f>
        <v>615</v>
      </c>
      <c r="B618" s="39">
        <f>IFERROR(__xludf.DUMMYFUNCTION("""COMPUTED_VALUE"""),45896.0)</f>
        <v>45896</v>
      </c>
      <c r="C618" s="30">
        <f>IFERROR(__xludf.DUMMYFUNCTION("""COMPUTED_VALUE"""),1.0)</f>
        <v>1</v>
      </c>
      <c r="D618" s="30" t="str">
        <f>IFERROR(__xludf.DUMMYFUNCTION("""COMPUTED_VALUE"""),"CT CŨ")</f>
        <v>CT CŨ</v>
      </c>
      <c r="E618" s="30"/>
      <c r="F618" s="2"/>
      <c r="G618" s="2" t="str">
        <f>IFERROR(__xludf.DUMMYFUNCTION("""COMPUTED_VALUE"""),"HH4526")</f>
        <v>HH4526</v>
      </c>
      <c r="H618" s="2" t="str">
        <f>IFERROR(__xludf.DUMMYFUNCTION("""COMPUTED_VALUE"""),"GC ABA - CTY ĐỊA LONG - Vi lượng AGAMA-CANXI BO - CANXI BO - 250ml - 40")</f>
        <v>GC ABA - CTY ĐỊA LONG - Vi lượng AGAMA-CANXI BO - CANXI BO - 250ml - 40</v>
      </c>
      <c r="I618" s="2" t="str">
        <f>IFERROR(__xludf.DUMMYFUNCTION("""COMPUTED_VALUE"""),"#N/A")</f>
        <v>#N/A</v>
      </c>
      <c r="J618" s="2" t="str">
        <f>IFERROR(__xludf.DUMMYFUNCTION("""COMPUTED_VALUE"""),"A02160725")</f>
        <v>A02160725</v>
      </c>
      <c r="K618" s="2"/>
      <c r="L618" s="2" t="str">
        <f>IFERROR(__xludf.DUMMYFUNCTION("""COMPUTED_VALUE"""),"A02160725")</f>
        <v>A02160725</v>
      </c>
      <c r="M618" s="2" t="str">
        <f>IFERROR(__xludf.DUMMYFUNCTION("""COMPUTED_VALUE"""),"AGAMA-CANXI BO
(KIM NGỌC)")</f>
        <v>AGAMA-CANXI BO
(KIM NGỌC)</v>
      </c>
      <c r="N618" s="2" t="str">
        <f>IFERROR(__xludf.DUMMYFUNCTION("""COMPUTED_VALUE"""),"10CR0021")</f>
        <v>10CR0021</v>
      </c>
      <c r="O618" s="2" t="str">
        <f>IFERROR(__xludf.DUMMYFUNCTION("""COMPUTED_VALUE"""),"Phân bón Vi lượng AGAMA-CANXI BO")</f>
        <v>Phân bón Vi lượng AGAMA-CANXI BO</v>
      </c>
      <c r="P618" s="2" t="str">
        <f>IFERROR(__xludf.DUMMYFUNCTION("""COMPUTED_VALUE"""),"#N/A")</f>
        <v>#N/A</v>
      </c>
      <c r="Q618" s="30" t="str">
        <f>IFERROR(__xludf.DUMMYFUNCTION("""COMPUTED_VALUE"""),"KHÔNG KHỚP")</f>
        <v>KHÔNG KHỚP</v>
      </c>
      <c r="R618" s="2"/>
      <c r="S618" s="2"/>
      <c r="T618" s="2"/>
      <c r="U618" s="2"/>
      <c r="V618" s="2"/>
      <c r="W618" s="2"/>
      <c r="X618" s="2"/>
      <c r="Y618" s="2"/>
    </row>
    <row r="619">
      <c r="A619" s="30">
        <f>IFERROR(__xludf.DUMMYFUNCTION("""COMPUTED_VALUE"""),616.0)</f>
        <v>616</v>
      </c>
      <c r="B619" s="39">
        <f>IFERROR(__xludf.DUMMYFUNCTION("""COMPUTED_VALUE"""),45994.0)</f>
        <v>45994</v>
      </c>
      <c r="C619" s="30">
        <f>IFERROR(__xludf.DUMMYFUNCTION("""COMPUTED_VALUE"""),5.0)</f>
        <v>5</v>
      </c>
      <c r="D619" s="30" t="str">
        <f>IFERROR(__xludf.DUMMYFUNCTION("""COMPUTED_VALUE"""),"CT CŨ")</f>
        <v>CT CŨ</v>
      </c>
      <c r="E619" s="30"/>
      <c r="F619" s="2"/>
      <c r="G619" s="2" t="str">
        <f>IFERROR(__xludf.DUMMYFUNCTION("""COMPUTED_VALUE"""),"HH4556")</f>
        <v>HH4556</v>
      </c>
      <c r="H619" s="2" t="str">
        <f>IFERROR(__xludf.DUMMYFUNCTION("""COMPUTED_VALUE"""),"GC - V - 4556 - CTY NAUY - ZN++ GOLD (Nước xanh lá sữa) - 250ml - 40")</f>
        <v>GC - V - 4556 - CTY NAUY - ZN++ GOLD (Nước xanh lá sữa) - 250ml - 40</v>
      </c>
      <c r="I619" s="2" t="str">
        <f>IFERROR(__xludf.DUMMYFUNCTION("""COMPUTED_VALUE"""),"#N/A")</f>
        <v>#N/A</v>
      </c>
      <c r="J619" s="2" t="str">
        <f>IFERROR(__xludf.DUMMYFUNCTION("""COMPUTED_VALUE"""),"Cùng ruột 
HH3709
A09291024")</f>
        <v>Cùng ruột 
HH3709
A09291024</v>
      </c>
      <c r="K619" s="2"/>
      <c r="L619" s="2" t="str">
        <f>IFERROR(__xludf.DUMMYFUNCTION("""COMPUTED_VALUE"""),"A09291024")</f>
        <v>A09291024</v>
      </c>
      <c r="M619" s="2" t="str">
        <f>IFERROR(__xludf.DUMMYFUNCTION("""COMPUTED_VALUE"""),"BETA AMINO KẼM
ZN++ GOLD")</f>
        <v>BETA AMINO KẼM
ZN++ GOLD</v>
      </c>
      <c r="N619" s="2" t="str">
        <f>IFERROR(__xludf.DUMMYFUNCTION("""COMPUTED_VALUE"""),"13XL0011V1")</f>
        <v>13XL0011V1</v>
      </c>
      <c r="O619" s="2" t="str">
        <f>IFERROR(__xludf.DUMMYFUNCTION("""COMPUTED_VALUE"""),"Phân bón Vi lượng MICKEY")</f>
        <v>Phân bón Vi lượng MICKEY</v>
      </c>
      <c r="P619" s="2" t="str">
        <f>IFERROR(__xludf.DUMMYFUNCTION("""COMPUTED_VALUE"""),"#N/A")</f>
        <v>#N/A</v>
      </c>
      <c r="Q619" s="30" t="str">
        <f>IFERROR(__xludf.DUMMYFUNCTION("""COMPUTED_VALUE"""),"KHÔNG KHỚP")</f>
        <v>KHÔNG KHỚP</v>
      </c>
      <c r="R619" s="2"/>
      <c r="S619" s="2"/>
      <c r="T619" s="2"/>
      <c r="U619" s="2"/>
      <c r="V619" s="2"/>
      <c r="W619" s="2"/>
      <c r="X619" s="2"/>
      <c r="Y619" s="2"/>
    </row>
    <row r="620">
      <c r="A620" s="30">
        <f>IFERROR(__xludf.DUMMYFUNCTION("""COMPUTED_VALUE"""),617.0)</f>
        <v>617</v>
      </c>
      <c r="B620" s="39">
        <f>IFERROR(__xludf.DUMMYFUNCTION("""COMPUTED_VALUE"""),45964.0)</f>
        <v>45964</v>
      </c>
      <c r="C620" s="30">
        <f>IFERROR(__xludf.DUMMYFUNCTION("""COMPUTED_VALUE"""),5.0)</f>
        <v>5</v>
      </c>
      <c r="D620" s="30" t="str">
        <f>IFERROR(__xludf.DUMMYFUNCTION("""COMPUTED_VALUE"""),"CT CŨ")</f>
        <v>CT CŨ</v>
      </c>
      <c r="E620" s="30"/>
      <c r="F620" s="2"/>
      <c r="G620" s="2" t="str">
        <f>IFERROR(__xludf.DUMMYFUNCTION("""COMPUTED_VALUE"""),"HH4557")</f>
        <v>HH4557</v>
      </c>
      <c r="H620" s="2" t="str">
        <f>IFERROR(__xludf.DUMMYFUNCTION("""COMPUTED_VALUE"""),"GC - V - 4557 - CTY NAUY - SUPER GOLD (Nước nâu đen) - 250ml - 40")</f>
        <v>GC - V - 4557 - CTY NAUY - SUPER GOLD (Nước nâu đen) - 250ml - 40</v>
      </c>
      <c r="I620" s="2" t="str">
        <f>IFERROR(__xludf.DUMMYFUNCTION("""COMPUTED_VALUE"""),"#N/A")</f>
        <v>#N/A</v>
      </c>
      <c r="J620" s="2" t="str">
        <f>IFERROR(__xludf.DUMMYFUNCTION("""COMPUTED_VALUE"""),"Cùng ruột 
HH4001")</f>
        <v>Cùng ruột 
HH4001</v>
      </c>
      <c r="K620" s="2"/>
      <c r="L620" s="2" t="str">
        <f>IFERROR(__xludf.DUMMYFUNCTION("""COMPUTED_VALUE"""),"A05190825")</f>
        <v>A05190825</v>
      </c>
      <c r="M620" s="2" t="str">
        <f>IFERROR(__xludf.DUMMYFUNCTION("""COMPUTED_VALUE"""),"SUPER NANO VÔ GẠO
0 - 5 - 18 ")</f>
        <v>SUPER NANO VÔ GẠO
0 - 5 - 18 </v>
      </c>
      <c r="N620" s="2" t="str">
        <f>IFERROR(__xludf.DUMMYFUNCTION("""COMPUTED_VALUE"""),"04VG0045")</f>
        <v>04VG0045</v>
      </c>
      <c r="O620" s="2" t="str">
        <f>IFERROR(__xludf.DUMMYFUNCTION("""COMPUTED_VALUE"""),"Phân bón lá PK-Vi lượng SV 5-18")</f>
        <v>Phân bón lá PK-Vi lượng SV 5-18</v>
      </c>
      <c r="P620" s="2" t="str">
        <f>IFERROR(__xludf.DUMMYFUNCTION("""COMPUTED_VALUE"""),"#N/A")</f>
        <v>#N/A</v>
      </c>
      <c r="Q620" s="30" t="str">
        <f>IFERROR(__xludf.DUMMYFUNCTION("""COMPUTED_VALUE"""),"KHỚP")</f>
        <v>KHỚP</v>
      </c>
      <c r="R620" s="2"/>
      <c r="S620" s="2"/>
      <c r="T620" s="2"/>
      <c r="U620" s="2"/>
      <c r="V620" s="2"/>
      <c r="W620" s="2"/>
      <c r="X620" s="2"/>
      <c r="Y620" s="2"/>
    </row>
    <row r="621">
      <c r="A621" s="30">
        <f>IFERROR(__xludf.DUMMYFUNCTION("""COMPUTED_VALUE"""),618.0)</f>
        <v>618</v>
      </c>
      <c r="B621" s="39">
        <f>IFERROR(__xludf.DUMMYFUNCTION("""COMPUTED_VALUE"""),45964.0)</f>
        <v>45964</v>
      </c>
      <c r="C621" s="30">
        <f>IFERROR(__xludf.DUMMYFUNCTION("""COMPUTED_VALUE"""),3.0)</f>
        <v>3</v>
      </c>
      <c r="D621" s="30" t="str">
        <f>IFERROR(__xludf.DUMMYFUNCTION("""COMPUTED_VALUE"""),"CT CŨ")</f>
        <v>CT CŨ</v>
      </c>
      <c r="E621" s="30"/>
      <c r="F621" s="2"/>
      <c r="G621" s="2" t="str">
        <f>IFERROR(__xludf.DUMMYFUNCTION("""COMPUTED_VALUE"""),"HH4345")</f>
        <v>HH4345</v>
      </c>
      <c r="H621" s="2" t="str">
        <f>IFERROR(__xludf.DUMMYFUNCTION("""COMPUTED_VALUE"""),"GC - V - 4345 - CTY NAUY - SUPER NANO (Nước nâu đen) - 500ml - 40")</f>
        <v>GC - V - 4345 - CTY NAUY - SUPER NANO (Nước nâu đen) - 500ml - 40</v>
      </c>
      <c r="I621" s="2" t="str">
        <f>IFERROR(__xludf.DUMMYFUNCTION("""COMPUTED_VALUE"""),"#N/A")</f>
        <v>#N/A</v>
      </c>
      <c r="J621" s="2" t="str">
        <f>IFERROR(__xludf.DUMMYFUNCTION("""COMPUTED_VALUE"""),"Cùng ruột HH4432")</f>
        <v>Cùng ruột HH4432</v>
      </c>
      <c r="K621" s="2"/>
      <c r="L621" s="2" t="str">
        <f>IFERROR(__xludf.DUMMYFUNCTION("""COMPUTED_VALUE"""),"A05190825")</f>
        <v>A05190825</v>
      </c>
      <c r="M621" s="2" t="str">
        <f>IFERROR(__xludf.DUMMYFUNCTION("""COMPUTED_VALUE"""),"SUPER NANO VÔ GẠO
0 - 5 - 18 ")</f>
        <v>SUPER NANO VÔ GẠO
0 - 5 - 18 </v>
      </c>
      <c r="N621" s="2" t="str">
        <f>IFERROR(__xludf.DUMMYFUNCTION("""COMPUTED_VALUE"""),"04VG0045")</f>
        <v>04VG0045</v>
      </c>
      <c r="O621" s="2" t="str">
        <f>IFERROR(__xludf.DUMMYFUNCTION("""COMPUTED_VALUE"""),"Phân bón lá PK-Vi lượng SV 5-18")</f>
        <v>Phân bón lá PK-Vi lượng SV 5-18</v>
      </c>
      <c r="P621" s="2" t="str">
        <f>IFERROR(__xludf.DUMMYFUNCTION("""COMPUTED_VALUE"""),"#N/A")</f>
        <v>#N/A</v>
      </c>
      <c r="Q621" s="30" t="str">
        <f>IFERROR(__xludf.DUMMYFUNCTION("""COMPUTED_VALUE"""),"KHỚP")</f>
        <v>KHỚP</v>
      </c>
      <c r="R621" s="2"/>
      <c r="S621" s="2"/>
      <c r="T621" s="2"/>
      <c r="U621" s="2"/>
      <c r="V621" s="2"/>
      <c r="W621" s="2"/>
      <c r="X621" s="2"/>
      <c r="Y621" s="2"/>
    </row>
    <row r="622">
      <c r="A622" s="30">
        <f>IFERROR(__xludf.DUMMYFUNCTION("""COMPUTED_VALUE"""),619.0)</f>
        <v>619</v>
      </c>
      <c r="B622" s="39">
        <f>IFERROR(__xludf.DUMMYFUNCTION("""COMPUTED_VALUE"""),45892.0)</f>
        <v>45892</v>
      </c>
      <c r="C622" s="30">
        <f>IFERROR(__xludf.DUMMYFUNCTION("""COMPUTED_VALUE"""),1.0)</f>
        <v>1</v>
      </c>
      <c r="D622" s="30" t="str">
        <f>IFERROR(__xludf.DUMMYFUNCTION("""COMPUTED_VALUE"""),"CT CŨ")</f>
        <v>CT CŨ</v>
      </c>
      <c r="E622" s="30"/>
      <c r="F622" s="2"/>
      <c r="G622" s="2" t="str">
        <f>IFERROR(__xludf.DUMMYFUNCTION("""COMPUTED_VALUE"""),"HH4765")</f>
        <v>HH4765</v>
      </c>
      <c r="H622" s="2" t="str">
        <f>IFERROR(__xludf.DUMMYFUNCTION("""COMPUTED_VALUE"""),"GC - V - 4765 - CTY QUANG ĐĂNG AGRICULTURE - DIỆP LỤC TỐ SUPER ZINC+ QĐ GREEN (Nước trắng sữa) - 500ml - 40")</f>
        <v>GC - V - 4765 - CTY QUANG ĐĂNG AGRICULTURE - DIỆP LỤC TỐ SUPER ZINC+ QĐ GREEN (Nước trắng sữa) - 500ml - 40</v>
      </c>
      <c r="I622" s="2" t="str">
        <f>IFERROR(__xludf.DUMMYFUNCTION("""COMPUTED_VALUE"""),"#N/A")</f>
        <v>#N/A</v>
      </c>
      <c r="J622" s="2" t="str">
        <f>IFERROR(__xludf.DUMMYFUNCTION("""COMPUTED_VALUE"""),"mã NL:  A02211024 (dưỡng cây xanh lá)")</f>
        <v>mã NL:  A02211024 (dưỡng cây xanh lá)</v>
      </c>
      <c r="K622" s="2"/>
      <c r="L622" s="2" t="str">
        <f>IFERROR(__xludf.DUMMYFUNCTION("""COMPUTED_VALUE"""),"A02211024")</f>
        <v>A02211024</v>
      </c>
      <c r="M622" s="2" t="str">
        <f>IFERROR(__xludf.DUMMYFUNCTION("""COMPUTED_VALUE"""),"ULTRAKEO ZN+")</f>
        <v>ULTRAKEO ZN+</v>
      </c>
      <c r="N622" s="2" t="str">
        <f>IFERROR(__xludf.DUMMYFUNCTION("""COMPUTED_VALUE"""),"13XL0010")</f>
        <v>13XL0010</v>
      </c>
      <c r="O622" s="2" t="str">
        <f>IFERROR(__xludf.DUMMYFUNCTION("""COMPUTED_VALUE"""),"Phân bón Vi lượng MICKEY")</f>
        <v>Phân bón Vi lượng MICKEY</v>
      </c>
      <c r="P622" s="2" t="str">
        <f>IFERROR(__xludf.DUMMYFUNCTION("""COMPUTED_VALUE"""),"#N/A")</f>
        <v>#N/A</v>
      </c>
      <c r="Q622" s="30" t="str">
        <f>IFERROR(__xludf.DUMMYFUNCTION("""COMPUTED_VALUE"""),"KHÔNG KHỚP")</f>
        <v>KHÔNG KHỚP</v>
      </c>
      <c r="R622" s="2"/>
      <c r="S622" s="2"/>
      <c r="T622" s="2"/>
      <c r="U622" s="2"/>
      <c r="V622" s="2"/>
      <c r="W622" s="2"/>
      <c r="X622" s="2"/>
      <c r="Y622" s="2"/>
    </row>
    <row r="623">
      <c r="A623" s="30">
        <f>IFERROR(__xludf.DUMMYFUNCTION("""COMPUTED_VALUE"""),620.0)</f>
        <v>620</v>
      </c>
      <c r="B623" s="39">
        <f>IFERROR(__xludf.DUMMYFUNCTION("""COMPUTED_VALUE"""),46020.0)</f>
        <v>46020</v>
      </c>
      <c r="C623" s="30">
        <f>IFERROR(__xludf.DUMMYFUNCTION("""COMPUTED_VALUE"""),1.0)</f>
        <v>1</v>
      </c>
      <c r="D623" s="30" t="str">
        <f>IFERROR(__xludf.DUMMYFUNCTION("""COMPUTED_VALUE"""),"CT CŨ")</f>
        <v>CT CŨ</v>
      </c>
      <c r="E623" s="30"/>
      <c r="F623" s="2"/>
      <c r="G623" s="2" t="str">
        <f>IFERROR(__xludf.DUMMYFUNCTION("""COMPUTED_VALUE"""),"HH4781")</f>
        <v>HH4781</v>
      </c>
      <c r="H623" s="2" t="str">
        <f>IFERROR(__xludf.DUMMYFUNCTION("""COMPUTED_VALUE"""),"GC ABA - THÀNH CÔNG AGRI - vi lượng Phú Sĩ FJ-09 Kẽm Mg - ULTRA GREEN - 300ml - 40")</f>
        <v>GC ABA - THÀNH CÔNG AGRI - vi lượng Phú Sĩ FJ-09 Kẽm Mg - ULTRA GREEN - 300ml - 40</v>
      </c>
      <c r="I623" s="2" t="str">
        <f>IFERROR(__xludf.DUMMYFUNCTION("""COMPUTED_VALUE"""),"#N/A")</f>
        <v>#N/A</v>
      </c>
      <c r="J623" s="2" t="str">
        <f>IFERROR(__xludf.DUMMYFUNCTION("""COMPUTED_VALUE"""),"A02181225")</f>
        <v>A02181225</v>
      </c>
      <c r="K623" s="2"/>
      <c r="L623" s="2" t="str">
        <f>IFERROR(__xludf.DUMMYFUNCTION("""COMPUTED_VALUE"""),"A02181225")</f>
        <v>A02181225</v>
      </c>
      <c r="M623" s="2" t="str">
        <f>IFERROR(__xludf.DUMMYFUNCTION("""COMPUTED_VALUE"""),"MG ZN THÀNH CÔNG")</f>
        <v>MG ZN THÀNH CÔNG</v>
      </c>
      <c r="N623" s="2" t="str">
        <f>IFERROR(__xludf.DUMMYFUNCTION("""COMPUTED_VALUE"""),"23GS0018")</f>
        <v>23GS0018</v>
      </c>
      <c r="O623" s="2" t="str">
        <f>IFERROR(__xludf.DUMMYFUNCTION("""COMPUTED_VALUE"""),"Phân bón vi lượng Phú Sĩ FJ-09 Kẽm Mg")</f>
        <v>Phân bón vi lượng Phú Sĩ FJ-09 Kẽm Mg</v>
      </c>
      <c r="P623" s="2" t="str">
        <f>IFERROR(__xludf.DUMMYFUNCTION("""COMPUTED_VALUE"""),"#N/A")</f>
        <v>#N/A</v>
      </c>
      <c r="Q623" s="30" t="str">
        <f>IFERROR(__xludf.DUMMYFUNCTION("""COMPUTED_VALUE"""),"KHÔNG KHỚP")</f>
        <v>KHÔNG KHỚP</v>
      </c>
      <c r="R623" s="2"/>
      <c r="S623" s="2"/>
      <c r="T623" s="2"/>
      <c r="U623" s="2"/>
      <c r="V623" s="2"/>
      <c r="W623" s="2"/>
      <c r="X623" s="2"/>
      <c r="Y623" s="2"/>
    </row>
    <row r="624">
      <c r="A624" s="30">
        <f>IFERROR(__xludf.DUMMYFUNCTION("""COMPUTED_VALUE"""),621.0)</f>
        <v>621</v>
      </c>
      <c r="B624" s="39">
        <f>IFERROR(__xludf.DUMMYFUNCTION("""COMPUTED_VALUE"""),45940.0)</f>
        <v>45940</v>
      </c>
      <c r="C624" s="30">
        <f>IFERROR(__xludf.DUMMYFUNCTION("""COMPUTED_VALUE"""),10.0)</f>
        <v>10</v>
      </c>
      <c r="D624" s="30" t="str">
        <f>IFERROR(__xludf.DUMMYFUNCTION("""COMPUTED_VALUE"""),"CT CŨ")</f>
        <v>CT CŨ</v>
      </c>
      <c r="E624" s="30"/>
      <c r="F624" s="2"/>
      <c r="G624" s="2" t="str">
        <f>IFERROR(__xludf.DUMMYFUNCTION("""COMPUTED_VALUE"""),"HH4442")</f>
        <v>HH4442</v>
      </c>
      <c r="H624" s="2" t="str">
        <f>IFERROR(__xludf.DUMMYFUNCTION("""COMPUTED_VALUE"""),"GC - IX - 4442 - N2SBIO - N2 MG ZN-70 (Nước xanh lá) - 500ml - 40")</f>
        <v>GC - IX - 4442 - N2SBIO - N2 MG ZN-70 (Nước xanh lá) - 500ml - 40</v>
      </c>
      <c r="I624" s="39" t="str">
        <f>IFERROR(__xludf.DUMMYFUNCTION("""COMPUTED_VALUE"""),"vi lượng Phú Sĩ FJ-09 Kẽm Mg")</f>
        <v>vi lượng Phú Sĩ FJ-09 Kẽm Mg</v>
      </c>
      <c r="J624" s="2" t="str">
        <f>IFERROR(__xludf.DUMMYFUNCTION("""COMPUTED_VALUE"""),"N01080825")</f>
        <v>N01080825</v>
      </c>
      <c r="K624" s="2"/>
      <c r="L624" s="2" t="str">
        <f>IFERROR(__xludf.DUMMYFUNCTION("""COMPUTED_VALUE"""),"N01080825")</f>
        <v>N01080825</v>
      </c>
      <c r="M624" s="2" t="str">
        <f>IFERROR(__xludf.DUMMYFUNCTION("""COMPUTED_VALUE"""),"N2 MgZn-52")</f>
        <v>N2 MgZn-52</v>
      </c>
      <c r="N624" s="2" t="str">
        <f>IFERROR(__xludf.DUMMYFUNCTION("""COMPUTED_VALUE"""),"23GS0002V1")</f>
        <v>23GS0002V1</v>
      </c>
      <c r="O624" s="2" t="str">
        <f>IFERROR(__xludf.DUMMYFUNCTION("""COMPUTED_VALUE"""),"Phân bón vi lượng Phú Sĩ FJ-09 Kẽm Mg")</f>
        <v>Phân bón vi lượng Phú Sĩ FJ-09 Kẽm Mg</v>
      </c>
      <c r="P624" s="2" t="str">
        <f>IFERROR(__xludf.DUMMYFUNCTION("""COMPUTED_VALUE"""),"Phân bón vi lượng Phú Sĩ FJ-09 Kẽm Mg")</f>
        <v>Phân bón vi lượng Phú Sĩ FJ-09 Kẽm Mg</v>
      </c>
      <c r="Q624" s="30" t="str">
        <f>IFERROR(__xludf.DUMMYFUNCTION("""COMPUTED_VALUE"""),"KHỚP")</f>
        <v>KHỚP</v>
      </c>
      <c r="R624" s="2"/>
      <c r="S624" s="2"/>
      <c r="T624" s="2"/>
      <c r="U624" s="2"/>
      <c r="V624" s="2"/>
      <c r="W624" s="2"/>
      <c r="X624" s="2"/>
      <c r="Y624" s="2"/>
    </row>
    <row r="625">
      <c r="A625" s="30">
        <f>IFERROR(__xludf.DUMMYFUNCTION("""COMPUTED_VALUE"""),622.0)</f>
        <v>622</v>
      </c>
      <c r="B625" s="39">
        <f>IFERROR(__xludf.DUMMYFUNCTION("""COMPUTED_VALUE"""),45959.0)</f>
        <v>45959</v>
      </c>
      <c r="C625" s="30">
        <f>IFERROR(__xludf.DUMMYFUNCTION("""COMPUTED_VALUE"""),6.0)</f>
        <v>6</v>
      </c>
      <c r="D625" s="30" t="str">
        <f>IFERROR(__xludf.DUMMYFUNCTION("""COMPUTED_VALUE"""),"CT CŨ")</f>
        <v>CT CŨ</v>
      </c>
      <c r="E625" s="30"/>
      <c r="F625" s="2"/>
      <c r="G625" s="2" t="str">
        <f>IFERROR(__xludf.DUMMYFUNCTION("""COMPUTED_VALUE"""),"HH4187")</f>
        <v>HH4187</v>
      </c>
      <c r="H625" s="2" t="str">
        <f>IFERROR(__xludf.DUMMYFUNCTION("""COMPUTED_VALUE"""),"GC - IX - 4187 - N2SBIO - N2 ULTRA LOCK (Dạng SC - Trắng sữa) - 500ml - 40")</f>
        <v>GC - IX - 4187 - N2SBIO - N2 ULTRA LOCK (Dạng SC - Trắng sữa) - 500ml - 40</v>
      </c>
      <c r="I625" s="39" t="str">
        <f>IFERROR(__xludf.DUMMYFUNCTION("""COMPUTED_VALUE"""),"Lá PK-Trung Lượng NBC-Photphonate")</f>
        <v>Lá PK-Trung Lượng NBC-Photphonate</v>
      </c>
      <c r="J625" s="2" t="str">
        <f>IFERROR(__xludf.DUMMYFUNCTION("""COMPUTED_VALUE"""),"N04290725")</f>
        <v>N04290725</v>
      </c>
      <c r="K625" s="2"/>
      <c r="L625" s="2" t="str">
        <f>IFERROR(__xludf.DUMMYFUNCTION("""COMPUTED_VALUE"""),"N04290725")</f>
        <v>N04290725</v>
      </c>
      <c r="M625" s="2" t="str">
        <f>IFERROR(__xludf.DUMMYFUNCTION("""COMPUTED_VALUE"""),"N2 ULTRA LOCK")</f>
        <v>N2 ULTRA LOCK</v>
      </c>
      <c r="N625" s="2" t="str">
        <f>IFERROR(__xludf.DUMMYFUNCTION("""COMPUTED_VALUE"""),"06CD0016V1")</f>
        <v>06CD0016V1</v>
      </c>
      <c r="O625" s="2" t="str">
        <f>IFERROR(__xludf.DUMMYFUNCTION("""COMPUTED_VALUE"""),"Phân bón lá PK-Trung lượng NBC-PHOTPHONATE")</f>
        <v>Phân bón lá PK-Trung lượng NBC-PHOTPHONATE</v>
      </c>
      <c r="P625" s="2" t="str">
        <f>IFERROR(__xludf.DUMMYFUNCTION("""COMPUTED_VALUE"""),"Phân bón Lá PK-Trung Lượng NBC-Photphonate")</f>
        <v>Phân bón Lá PK-Trung Lượng NBC-Photphonate</v>
      </c>
      <c r="Q625" s="30" t="str">
        <f>IFERROR(__xludf.DUMMYFUNCTION("""COMPUTED_VALUE"""),"KHỚP")</f>
        <v>KHỚP</v>
      </c>
      <c r="R625" s="2"/>
      <c r="S625" s="2"/>
      <c r="T625" s="2"/>
      <c r="U625" s="2"/>
      <c r="V625" s="2"/>
      <c r="W625" s="2"/>
      <c r="X625" s="2"/>
      <c r="Y625" s="2"/>
    </row>
    <row r="626">
      <c r="A626" s="30">
        <f>IFERROR(__xludf.DUMMYFUNCTION("""COMPUTED_VALUE"""),623.0)</f>
        <v>623</v>
      </c>
      <c r="B626" s="39">
        <f>IFERROR(__xludf.DUMMYFUNCTION("""COMPUTED_VALUE"""),46080.0)</f>
        <v>46080</v>
      </c>
      <c r="C626" s="30">
        <f>IFERROR(__xludf.DUMMYFUNCTION("""COMPUTED_VALUE"""),1.0)</f>
        <v>1</v>
      </c>
      <c r="D626" s="30" t="str">
        <f>IFERROR(__xludf.DUMMYFUNCTION("""COMPUTED_VALUE"""),"CT MỚI")</f>
        <v>CT MỚI</v>
      </c>
      <c r="E626" s="30"/>
      <c r="F626" s="2"/>
      <c r="G626" s="2" t="str">
        <f>IFERROR(__xludf.DUMMYFUNCTION("""COMPUTED_VALUE"""),"HH4780")</f>
        <v>HH4780</v>
      </c>
      <c r="H626" s="2" t="str">
        <f>IFERROR(__xludf.DUMMYFUNCTION("""COMPUTED_VALUE"""),"GC - V - 4780 - GC THIỆN THÀNH - TO CỦ KHOAI MÌ (Nước nâu đen) - 20 lít - 1")</f>
        <v>GC - V - 4780 - GC THIỆN THÀNH - TO CỦ KHOAI MÌ (Nước nâu đen) - 20 lít - 1</v>
      </c>
      <c r="I626" s="2" t="str">
        <f>IFERROR(__xludf.DUMMYFUNCTION("""COMPUTED_VALUE"""),"#N/A")</f>
        <v>#N/A</v>
      </c>
      <c r="J626" s="2" t="str">
        <f>IFERROR(__xludf.DUMMYFUNCTION("""COMPUTED_VALUE"""),"L03271025 - TĂNG CỦ")</f>
        <v>L03271025 - TĂNG CỦ</v>
      </c>
      <c r="K626" s="2"/>
      <c r="L626" s="2" t="str">
        <f>IFERROR(__xludf.DUMMYFUNCTION("""COMPUTED_VALUE"""),"L03271025")</f>
        <v>L03271025</v>
      </c>
      <c r="M626" s="2" t="str">
        <f>IFERROR(__xludf.DUMMYFUNCTION("""COMPUTED_VALUE"""),"TĂNG CỦ")</f>
        <v>TĂNG CỦ</v>
      </c>
      <c r="N626" s="2" t="str">
        <f>IFERROR(__xludf.DUMMYFUNCTION("""COMPUTED_VALUE"""),"27TC0001V1")</f>
        <v>27TC0001V1</v>
      </c>
      <c r="O626" s="2" t="str">
        <f>IFERROR(__xludf.DUMMYFUNCTION("""COMPUTED_VALUE"""),"Phân bón Hữu cơ ORGANIC ĐGP 01 ")</f>
        <v>Phân bón Hữu cơ ORGANIC ĐGP 01 </v>
      </c>
      <c r="P626" s="2" t="str">
        <f>IFERROR(__xludf.DUMMYFUNCTION("""COMPUTED_VALUE"""),"#N/A")</f>
        <v>#N/A</v>
      </c>
      <c r="Q626" s="30" t="str">
        <f>IFERROR(__xludf.DUMMYFUNCTION("""COMPUTED_VALUE"""),"KHỚP")</f>
        <v>KHỚP</v>
      </c>
      <c r="R626" s="2"/>
      <c r="S626" s="2"/>
      <c r="T626" s="2"/>
      <c r="U626" s="2"/>
      <c r="V626" s="2"/>
      <c r="W626" s="2"/>
      <c r="X626" s="2"/>
      <c r="Y626" s="2"/>
    </row>
    <row r="627">
      <c r="A627" s="30">
        <f>IFERROR(__xludf.DUMMYFUNCTION("""COMPUTED_VALUE"""),624.0)</f>
        <v>624</v>
      </c>
      <c r="B627" s="39">
        <f>IFERROR(__xludf.DUMMYFUNCTION("""COMPUTED_VALUE"""),46055.0)</f>
        <v>46055</v>
      </c>
      <c r="C627" s="30">
        <f>IFERROR(__xludf.DUMMYFUNCTION("""COMPUTED_VALUE"""),2.0)</f>
        <v>2</v>
      </c>
      <c r="D627" s="30" t="str">
        <f>IFERROR(__xludf.DUMMYFUNCTION("""COMPUTED_VALUE"""),"CT CŨ")</f>
        <v>CT CŨ</v>
      </c>
      <c r="E627" s="30"/>
      <c r="F627" s="2"/>
      <c r="G627" s="2" t="str">
        <f>IFERROR(__xludf.DUMMYFUNCTION("""COMPUTED_VALUE"""),"HH4726")</f>
        <v>HH4726</v>
      </c>
      <c r="H627" s="2" t="str">
        <f>IFERROR(__xludf.DUMMYFUNCTION("""COMPUTED_VALUE"""),"LOT IDA Global - I - 4726 - An Phát Nông - CALCIBOR (Nước vàng) - 500ml - 40")</f>
        <v>LOT IDA Global - I - 4726 - An Phát Nông - CALCIBOR (Nước vàng) - 500ml - 40</v>
      </c>
      <c r="I627" s="2" t="str">
        <f>IFERROR(__xludf.DUMMYFUNCTION("""COMPUTED_VALUE"""),"#N/A")</f>
        <v>#N/A</v>
      </c>
      <c r="J627" s="2" t="str">
        <f>IFERROR(__xludf.DUMMYFUNCTION("""COMPUTED_VALUE"""),"Chung ruột HH3894")</f>
        <v>Chung ruột HH3894</v>
      </c>
      <c r="K627" s="2"/>
      <c r="L627" s="2"/>
      <c r="M627" s="2" t="str">
        <f>IFERROR(__xludf.DUMMYFUNCTION("""COMPUTED_VALUE"""),"CALCIBOR - AN PHÁT NÔNG")</f>
        <v>CALCIBOR - AN PHÁT NÔNG</v>
      </c>
      <c r="N627" s="2" t="str">
        <f>IFERROR(__xludf.DUMMYFUNCTION("""COMPUTED_VALUE"""),"10CR0011V1")</f>
        <v>10CR0011V1</v>
      </c>
      <c r="O627" s="2" t="str">
        <f>IFERROR(__xludf.DUMMYFUNCTION("""COMPUTED_VALUE"""),"Phân bón Vi lượng Run Fast")</f>
        <v>Phân bón Vi lượng Run Fast</v>
      </c>
      <c r="P627" s="2" t="str">
        <f>IFERROR(__xludf.DUMMYFUNCTION("""COMPUTED_VALUE"""),"#N/A")</f>
        <v>#N/A</v>
      </c>
      <c r="Q627" s="30" t="str">
        <f>IFERROR(__xludf.DUMMYFUNCTION("""COMPUTED_VALUE"""),"KHÔNG KHỚP")</f>
        <v>KHÔNG KHỚP</v>
      </c>
      <c r="R627" s="2"/>
      <c r="S627" s="2"/>
      <c r="T627" s="2"/>
      <c r="U627" s="2"/>
      <c r="V627" s="2"/>
      <c r="W627" s="2"/>
      <c r="X627" s="2"/>
      <c r="Y627" s="2"/>
    </row>
    <row r="628">
      <c r="A628" s="30">
        <f>IFERROR(__xludf.DUMMYFUNCTION("""COMPUTED_VALUE"""),625.0)</f>
        <v>625</v>
      </c>
      <c r="B628" s="39">
        <f>IFERROR(__xludf.DUMMYFUNCTION("""COMPUTED_VALUE"""),46056.0)</f>
        <v>46056</v>
      </c>
      <c r="C628" s="30">
        <f>IFERROR(__xludf.DUMMYFUNCTION("""COMPUTED_VALUE"""),5.0)</f>
        <v>5</v>
      </c>
      <c r="D628" s="30" t="str">
        <f>IFERROR(__xludf.DUMMYFUNCTION("""COMPUTED_VALUE"""),"CT CŨ")</f>
        <v>CT CŨ</v>
      </c>
      <c r="E628" s="30"/>
      <c r="F628" s="2"/>
      <c r="G628" s="2" t="str">
        <f>IFERROR(__xludf.DUMMYFUNCTION("""COMPUTED_VALUE"""),"HH4748")</f>
        <v>HH4748</v>
      </c>
      <c r="H628" s="2" t="str">
        <f>IFERROR(__xludf.DUMMYFUNCTION("""COMPUTED_VALUE"""),"GC - V - 4748 - DEGO - RUN FAST (Nước đen) - 18L - 1")</f>
        <v>GC - V - 4748 - DEGO - RUN FAST (Nước đen) - 18L - 1</v>
      </c>
      <c r="I628" s="39" t="str">
        <f>IFERROR(__xludf.DUMMYFUNCTION("""COMPUTED_VALUE"""),"Vi lượng Run Fast")</f>
        <v>Vi lượng Run Fast</v>
      </c>
      <c r="J628" s="2" t="str">
        <f>IFERROR(__xludf.DUMMYFUNCTION("""COMPUTED_VALUE"""),"30NT0001")</f>
        <v>30NT0001</v>
      </c>
      <c r="K628" s="2"/>
      <c r="L628" s="2"/>
      <c r="M628" s="2" t="str">
        <f>IFERROR(__xludf.DUMMYFUNCTION("""COMPUTED_VALUE"""),"BO HAI NGÀN")</f>
        <v>BO HAI NGÀN</v>
      </c>
      <c r="N628" s="2" t="str">
        <f>IFERROR(__xludf.DUMMYFUNCTION("""COMPUTED_VALUE"""),"30NT0001")</f>
        <v>30NT0001</v>
      </c>
      <c r="O628" s="2" t="str">
        <f>IFERROR(__xludf.DUMMYFUNCTION("""COMPUTED_VALUE"""),"Phân bón Vi lượng Run Fast")</f>
        <v>Phân bón Vi lượng Run Fast</v>
      </c>
      <c r="P628" s="2" t="str">
        <f>IFERROR(__xludf.DUMMYFUNCTION("""COMPUTED_VALUE"""),"Phân bón Vi lượng Run Fast")</f>
        <v>Phân bón Vi lượng Run Fast</v>
      </c>
      <c r="Q628" s="30" t="str">
        <f>IFERROR(__xludf.DUMMYFUNCTION("""COMPUTED_VALUE"""),"KHỚP")</f>
        <v>KHỚP</v>
      </c>
      <c r="R628" s="2"/>
      <c r="S628" s="2"/>
      <c r="T628" s="2"/>
      <c r="U628" s="2"/>
      <c r="V628" s="2"/>
      <c r="W628" s="2"/>
      <c r="X628" s="2"/>
      <c r="Y628" s="2"/>
    </row>
    <row r="629">
      <c r="A629" s="30">
        <f>IFERROR(__xludf.DUMMYFUNCTION("""COMPUTED_VALUE"""),626.0)</f>
        <v>626</v>
      </c>
      <c r="B629" s="39">
        <f>IFERROR(__xludf.DUMMYFUNCTION("""COMPUTED_VALUE"""),46081.0)</f>
        <v>46081</v>
      </c>
      <c r="C629" s="30">
        <f>IFERROR(__xludf.DUMMYFUNCTION("""COMPUTED_VALUE"""),1.0)</f>
        <v>1</v>
      </c>
      <c r="D629" s="30" t="str">
        <f>IFERROR(__xludf.DUMMYFUNCTION("""COMPUTED_VALUE"""),"CT CŨ")</f>
        <v>CT CŨ</v>
      </c>
      <c r="E629" s="30"/>
      <c r="F629" s="2"/>
      <c r="G629" s="2" t="str">
        <f>IFERROR(__xludf.DUMMYFUNCTION("""COMPUTED_VALUE"""),"HH4775")</f>
        <v>HH4775</v>
      </c>
      <c r="H629" s="2" t="str">
        <f>IFERROR(__xludf.DUMMYFUNCTION("""COMPUTED_VALUE"""),"GC - V - 4775 - CTY NÔNG DƯỢC BETA - BETA VÔ GẠO 555 (Dạng SC - Hồng nhạt) - 500ml - 30")</f>
        <v>GC - V - 4775 - CTY NÔNG DƯỢC BETA - BETA VÔ GẠO 555 (Dạng SC - Hồng nhạt) - 500ml - 30</v>
      </c>
      <c r="I629" s="2" t="str">
        <f>IFERROR(__xludf.DUMMYFUNCTION("""COMPUTED_VALUE"""),"#N/A")</f>
        <v>#N/A</v>
      </c>
      <c r="J629" s="2" t="str">
        <f>IFERROR(__xludf.DUMMYFUNCTION("""COMPUTED_VALUE"""),"A01211124-03")</f>
        <v>A01211124-03</v>
      </c>
      <c r="K629" s="2"/>
      <c r="L629" s="2" t="str">
        <f>IFERROR(__xludf.DUMMYFUNCTION("""COMPUTED_VALUE"""),"A07291024-01")</f>
        <v>A07291024-01</v>
      </c>
      <c r="M629" s="2" t="str">
        <f>IFERROR(__xludf.DUMMYFUNCTION("""COMPUTED_VALUE"""),"KALI SỮA")</f>
        <v>KALI SỮA</v>
      </c>
      <c r="N629" s="2" t="str">
        <f>IFERROR(__xludf.DUMMYFUNCTION("""COMPUTED_VALUE"""),"04VG0052")</f>
        <v>04VG0052</v>
      </c>
      <c r="O629" s="2" t="str">
        <f>IFERROR(__xludf.DUMMYFUNCTION("""COMPUTED_VALUE"""),"Phân bón NPK-Vi lượng MASSIVE-BLUE")</f>
        <v>Phân bón NPK-Vi lượng MASSIVE-BLUE</v>
      </c>
      <c r="P629" s="2" t="str">
        <f>IFERROR(__xludf.DUMMYFUNCTION("""COMPUTED_VALUE"""),"#N/A")</f>
        <v>#N/A</v>
      </c>
      <c r="Q629" s="30" t="str">
        <f>IFERROR(__xludf.DUMMYFUNCTION("""COMPUTED_VALUE"""),"KHÔNG KHỚP")</f>
        <v>KHÔNG KHỚP</v>
      </c>
      <c r="R629" s="2"/>
      <c r="S629" s="2"/>
      <c r="T629" s="2"/>
      <c r="U629" s="2"/>
      <c r="V629" s="2"/>
      <c r="W629" s="2"/>
      <c r="X629" s="2"/>
      <c r="Y629" s="2"/>
    </row>
    <row r="630">
      <c r="A630" s="30">
        <f>IFERROR(__xludf.DUMMYFUNCTION("""COMPUTED_VALUE"""),627.0)</f>
        <v>627</v>
      </c>
      <c r="B630" s="39">
        <f>IFERROR(__xludf.DUMMYFUNCTION("""COMPUTED_VALUE"""),45915.0)</f>
        <v>45915</v>
      </c>
      <c r="C630" s="30">
        <f>IFERROR(__xludf.DUMMYFUNCTION("""COMPUTED_VALUE"""),1.0)</f>
        <v>1</v>
      </c>
      <c r="D630" s="30" t="str">
        <f>IFERROR(__xludf.DUMMYFUNCTION("""COMPUTED_VALUE"""),"CT CŨ")</f>
        <v>CT CŨ</v>
      </c>
      <c r="E630" s="30"/>
      <c r="F630" s="2"/>
      <c r="G630" s="2" t="str">
        <f>IFERROR(__xludf.DUMMYFUNCTION("""COMPUTED_VALUE"""),"HH4782")</f>
        <v>HH4782</v>
      </c>
      <c r="H630" s="2" t="str">
        <f>IFERROR(__xludf.DUMMYFUNCTION("""COMPUTED_VALUE"""),"GC - V - 4782 - Kim Ngọc - Trợ Lực Thấm Sâu (nước vàng) - 100ml - 50")</f>
        <v>GC - V - 4782 - Kim Ngọc - Trợ Lực Thấm Sâu (nước vàng) - 100ml - 50</v>
      </c>
      <c r="I630" s="2" t="str">
        <f>IFERROR(__xludf.DUMMYFUNCTION("""COMPUTED_VALUE"""),"#N/A")</f>
        <v>#N/A</v>
      </c>
      <c r="J630" s="2" t="str">
        <f>IFERROR(__xludf.DUMMYFUNCTION("""COMPUTED_VALUE"""),"Cùng ruột 3237")</f>
        <v>Cùng ruột 3237</v>
      </c>
      <c r="K630" s="2"/>
      <c r="L630" s="2"/>
      <c r="M630" s="2" t="str">
        <f>IFERROR(__xludf.DUMMYFUNCTION("""COMPUTED_VALUE"""),"TRỢ LỰC D1")</f>
        <v>TRỢ LỰC D1</v>
      </c>
      <c r="N630" s="2" t="str">
        <f>IFERROR(__xludf.DUMMYFUNCTION("""COMPUTED_VALUE"""),"18TL0004V1")</f>
        <v>18TL0004V1</v>
      </c>
      <c r="O630" s="2" t="str">
        <f>IFERROR(__xludf.DUMMYFUNCTION("""COMPUTED_VALUE"""),"Phân bón Vi lượng Quantity New")</f>
        <v>Phân bón Vi lượng Quantity New</v>
      </c>
      <c r="P630" s="2" t="str">
        <f>IFERROR(__xludf.DUMMYFUNCTION("""COMPUTED_VALUE"""),"#N/A")</f>
        <v>#N/A</v>
      </c>
      <c r="Q630" s="30" t="str">
        <f>IFERROR(__xludf.DUMMYFUNCTION("""COMPUTED_VALUE"""),"KHÔNG KHỚP")</f>
        <v>KHÔNG KHỚP</v>
      </c>
      <c r="R630" s="2"/>
      <c r="S630" s="2"/>
      <c r="T630" s="2"/>
      <c r="U630" s="2"/>
      <c r="V630" s="2"/>
      <c r="W630" s="2"/>
      <c r="X630" s="2"/>
      <c r="Y630" s="2"/>
    </row>
    <row r="631">
      <c r="A631" s="30">
        <f>IFERROR(__xludf.DUMMYFUNCTION("""COMPUTED_VALUE"""),628.0)</f>
        <v>628</v>
      </c>
      <c r="B631" s="39">
        <f>IFERROR(__xludf.DUMMYFUNCTION("""COMPUTED_VALUE"""),45896.0)</f>
        <v>45896</v>
      </c>
      <c r="C631" s="30">
        <f>IFERROR(__xludf.DUMMYFUNCTION("""COMPUTED_VALUE"""),3.0)</f>
        <v>3</v>
      </c>
      <c r="D631" s="30" t="str">
        <f>IFERROR(__xludf.DUMMYFUNCTION("""COMPUTED_VALUE"""),"CT CŨ")</f>
        <v>CT CŨ</v>
      </c>
      <c r="E631" s="30"/>
      <c r="F631" s="2"/>
      <c r="G631" s="2" t="str">
        <f>IFERROR(__xludf.DUMMYFUNCTION("""COMPUTED_VALUE"""),"HH4259")</f>
        <v>HH4259</v>
      </c>
      <c r="H631" s="2" t="str">
        <f>IFERROR(__xludf.DUMMYFUNCTION("""COMPUTED_VALUE"""),"GC - V - 4259 - CTY DONA VINA - CANXIBO MAXI (Nước trắng sữa) - 500ml - 40")</f>
        <v>GC - V - 4259 - CTY DONA VINA - CANXIBO MAXI (Nước trắng sữa) - 500ml - 40</v>
      </c>
      <c r="I631" s="2" t="str">
        <f>IFERROR(__xludf.DUMMYFUNCTION("""COMPUTED_VALUE"""),"#N/A")</f>
        <v>#N/A</v>
      </c>
      <c r="J631" s="2" t="str">
        <f>IFERROR(__xludf.DUMMYFUNCTION("""COMPUTED_VALUE"""),"Cùng ruột HH3883")</f>
        <v>Cùng ruột HH3883</v>
      </c>
      <c r="K631" s="2"/>
      <c r="L631" s="2" t="str">
        <f>IFERROR(__xludf.DUMMYFUNCTION("""COMPUTED_VALUE"""),"A02160725")</f>
        <v>A02160725</v>
      </c>
      <c r="M631" s="2" t="str">
        <f>IFERROR(__xludf.DUMMYFUNCTION("""COMPUTED_VALUE"""),"AGAMA-CANXI BO
(KIM NGỌC)")</f>
        <v>AGAMA-CANXI BO
(KIM NGỌC)</v>
      </c>
      <c r="N631" s="2" t="str">
        <f>IFERROR(__xludf.DUMMYFUNCTION("""COMPUTED_VALUE"""),"10CR0021")</f>
        <v>10CR0021</v>
      </c>
      <c r="O631" s="2" t="str">
        <f>IFERROR(__xludf.DUMMYFUNCTION("""COMPUTED_VALUE"""),"Phân bón Vi lượng AGAMA-CANXI BO")</f>
        <v>Phân bón Vi lượng AGAMA-CANXI BO</v>
      </c>
      <c r="P631" s="2" t="str">
        <f>IFERROR(__xludf.DUMMYFUNCTION("""COMPUTED_VALUE"""),"#N/A")</f>
        <v>#N/A</v>
      </c>
      <c r="Q631" s="30" t="str">
        <f>IFERROR(__xludf.DUMMYFUNCTION("""COMPUTED_VALUE"""),"KHÔNG KHỚP")</f>
        <v>KHÔNG KHỚP</v>
      </c>
      <c r="R631" s="2"/>
      <c r="S631" s="2"/>
      <c r="T631" s="2"/>
      <c r="U631" s="2"/>
      <c r="V631" s="2"/>
      <c r="W631" s="2"/>
      <c r="X631" s="2"/>
      <c r="Y631" s="2"/>
    </row>
    <row r="632">
      <c r="A632" s="30">
        <f>IFERROR(__xludf.DUMMYFUNCTION("""COMPUTED_VALUE"""),629.0)</f>
        <v>629</v>
      </c>
      <c r="B632" s="39">
        <f>IFERROR(__xludf.DUMMYFUNCTION("""COMPUTED_VALUE"""),46055.0)</f>
        <v>46055</v>
      </c>
      <c r="C632" s="30">
        <f>IFERROR(__xludf.DUMMYFUNCTION("""COMPUTED_VALUE"""),4.0)</f>
        <v>4</v>
      </c>
      <c r="D632" s="30" t="str">
        <f>IFERROR(__xludf.DUMMYFUNCTION("""COMPUTED_VALUE"""),"CT CŨ")</f>
        <v>CT CŨ</v>
      </c>
      <c r="E632" s="30"/>
      <c r="F632" s="2"/>
      <c r="G632" s="2" t="str">
        <f>IFERROR(__xludf.DUMMYFUNCTION("""COMPUTED_VALUE"""),"HH4259")</f>
        <v>HH4259</v>
      </c>
      <c r="H632" s="2" t="str">
        <f>IFERROR(__xludf.DUMMYFUNCTION("""COMPUTED_VALUE"""),"LOT IDA Global - I - 4726 - An Phát Nông - CALCIBOR (Nước vàng) - 500ml - 40")</f>
        <v>LOT IDA Global - I - 4726 - An Phát Nông - CALCIBOR (Nước vàng) - 500ml - 40</v>
      </c>
      <c r="I632" s="2" t="str">
        <f>IFERROR(__xludf.DUMMYFUNCTION("""COMPUTED_VALUE"""),"#N/A")</f>
        <v>#N/A</v>
      </c>
      <c r="J632" s="2" t="str">
        <f>IFERROR(__xludf.DUMMYFUNCTION("""COMPUTED_VALUE"""),"Đóng theo đơn gần nhất")</f>
        <v>Đóng theo đơn gần nhất</v>
      </c>
      <c r="K632" s="2"/>
      <c r="L632" s="2"/>
      <c r="M632" s="2" t="str">
        <f>IFERROR(__xludf.DUMMYFUNCTION("""COMPUTED_VALUE"""),"CALCIBOR - AN PHÁT NÔNG")</f>
        <v>CALCIBOR - AN PHÁT NÔNG</v>
      </c>
      <c r="N632" s="2" t="str">
        <f>IFERROR(__xludf.DUMMYFUNCTION("""COMPUTED_VALUE"""),"10CR0011V1")</f>
        <v>10CR0011V1</v>
      </c>
      <c r="O632" s="2" t="str">
        <f>IFERROR(__xludf.DUMMYFUNCTION("""COMPUTED_VALUE"""),"Phân bón Vi lượng Run Fast")</f>
        <v>Phân bón Vi lượng Run Fast</v>
      </c>
      <c r="P632" s="2" t="str">
        <f>IFERROR(__xludf.DUMMYFUNCTION("""COMPUTED_VALUE"""),"#N/A")</f>
        <v>#N/A</v>
      </c>
      <c r="Q632" s="30" t="str">
        <f>IFERROR(__xludf.DUMMYFUNCTION("""COMPUTED_VALUE"""),"KHÔNG KHỚP")</f>
        <v>KHÔNG KHỚP</v>
      </c>
      <c r="R632" s="2"/>
      <c r="S632" s="2"/>
      <c r="T632" s="2"/>
      <c r="U632" s="2"/>
      <c r="V632" s="2"/>
      <c r="W632" s="2"/>
      <c r="X632" s="2"/>
      <c r="Y632" s="2"/>
    </row>
    <row r="633">
      <c r="A633" s="30">
        <f>IFERROR(__xludf.DUMMYFUNCTION("""COMPUTED_VALUE"""),630.0)</f>
        <v>630</v>
      </c>
      <c r="B633" s="39">
        <f>IFERROR(__xludf.DUMMYFUNCTION("""COMPUTED_VALUE"""),46060.0)</f>
        <v>46060</v>
      </c>
      <c r="C633" s="30">
        <f>IFERROR(__xludf.DUMMYFUNCTION("""COMPUTED_VALUE"""),7.0)</f>
        <v>7</v>
      </c>
      <c r="D633" s="30" t="str">
        <f>IFERROR(__xludf.DUMMYFUNCTION("""COMPUTED_VALUE"""),"CT MỚI")</f>
        <v>CT MỚI</v>
      </c>
      <c r="E633" s="30"/>
      <c r="F633" s="2"/>
      <c r="G633" s="2" t="str">
        <f>IFERROR(__xludf.DUMMYFUNCTION("""COMPUTED_VALUE"""),"HH4058")</f>
        <v>HH4058</v>
      </c>
      <c r="H633" s="2" t="str">
        <f>IFERROR(__xludf.DUMMYFUNCTION("""COMPUTED_VALUE"""),"GC - IX - 4058 - N2SBIO -  SIÊU BO SỮA (Dạng SC - Trắng sữa) - 250ml - 40")</f>
        <v>GC - IX - 4058 - N2SBIO -  SIÊU BO SỮA (Dạng SC - Trắng sữa) - 250ml - 40</v>
      </c>
      <c r="I633" s="2" t="str">
        <f>IFERROR(__xludf.DUMMYFUNCTION("""COMPUTED_VALUE"""),"#N/A")</f>
        <v>#N/A</v>
      </c>
      <c r="J633" s="2" t="str">
        <f>IFERROR(__xludf.DUMMYFUNCTION("""COMPUTED_VALUE"""),"N01190825")</f>
        <v>N01190825</v>
      </c>
      <c r="K633" s="2"/>
      <c r="L633" s="2" t="str">
        <f>IFERROR(__xludf.DUMMYFUNCTION("""COMPUTED_VALUE"""),"N01190825")</f>
        <v>N01190825</v>
      </c>
      <c r="M633" s="2" t="str">
        <f>IFERROR(__xludf.DUMMYFUNCTION("""COMPUTED_VALUE"""),"N2 SIÊU BO SỮA ")</f>
        <v>N2 SIÊU BO SỮA </v>
      </c>
      <c r="N633" s="2" t="str">
        <f>IFERROR(__xludf.DUMMYFUNCTION("""COMPUTED_VALUE"""),"10CR0027V5")</f>
        <v>10CR0027V5</v>
      </c>
      <c r="O633" s="2" t="str">
        <f>IFERROR(__xludf.DUMMYFUNCTION("""COMPUTED_VALUE"""),"Phân bón lá Vi lượng NBC-BO.15")</f>
        <v>Phân bón lá Vi lượng NBC-BO.15</v>
      </c>
      <c r="P633" s="2" t="str">
        <f>IFERROR(__xludf.DUMMYFUNCTION("""COMPUTED_VALUE"""),"#N/A")</f>
        <v>#N/A</v>
      </c>
      <c r="Q633" s="30" t="str">
        <f>IFERROR(__xludf.DUMMYFUNCTION("""COMPUTED_VALUE"""),"KHỚP")</f>
        <v>KHỚP</v>
      </c>
      <c r="R633" s="2" t="str">
        <f>IFERROR(__xludf.DUMMYFUNCTION("""COMPUTED_VALUE"""),"Chuẩn lại công thức")</f>
        <v>Chuẩn lại công thức</v>
      </c>
      <c r="S633" s="2"/>
      <c r="T633" s="2"/>
      <c r="U633" s="2"/>
      <c r="V633" s="2"/>
      <c r="W633" s="2"/>
      <c r="X633" s="2"/>
      <c r="Y633" s="2"/>
    </row>
    <row r="634">
      <c r="A634" s="30">
        <f>IFERROR(__xludf.DUMMYFUNCTION("""COMPUTED_VALUE"""),631.0)</f>
        <v>631</v>
      </c>
      <c r="B634" s="39">
        <f>IFERROR(__xludf.DUMMYFUNCTION("""COMPUTED_VALUE"""),45978.0)</f>
        <v>45978</v>
      </c>
      <c r="C634" s="30">
        <f>IFERROR(__xludf.DUMMYFUNCTION("""COMPUTED_VALUE"""),2.0)</f>
        <v>2</v>
      </c>
      <c r="D634" s="30" t="str">
        <f>IFERROR(__xludf.DUMMYFUNCTION("""COMPUTED_VALUE"""),"CT CŨ")</f>
        <v>CT CŨ</v>
      </c>
      <c r="E634" s="30"/>
      <c r="F634" s="2"/>
      <c r="G634" s="2" t="str">
        <f>IFERROR(__xludf.DUMMYFUNCTION("""COMPUTED_VALUE"""),"HH4338")</f>
        <v>HH4338</v>
      </c>
      <c r="H634" s="2" t="str">
        <f>IFERROR(__xludf.DUMMYFUNCTION("""COMPUTED_VALUE"""),"GC - V - 4338 - NHP Group - BUD P02 (Gel màu tím) - 500ml - 40")</f>
        <v>GC - V - 4338 - NHP Group - BUD P02 (Gel màu tím) - 500ml - 40</v>
      </c>
      <c r="I634" s="2" t="str">
        <f>IFERROR(__xludf.DUMMYFUNCTION("""COMPUTED_VALUE"""),"#N/A")</f>
        <v>#N/A</v>
      </c>
      <c r="J634" s="2" t="str">
        <f>IFERROR(__xludf.DUMMYFUNCTION("""COMPUTED_VALUE"""),"Cùng ruột HH3160, 4179")</f>
        <v>Cùng ruột HH3160, 4179</v>
      </c>
      <c r="K634" s="2"/>
      <c r="L634" s="2" t="str">
        <f>IFERROR(__xludf.DUMMYFUNCTION("""COMPUTED_VALUE"""),"A01090425")</f>
        <v>A01090425</v>
      </c>
      <c r="M634" s="2" t="str">
        <f>IFERROR(__xludf.DUMMYFUNCTION("""COMPUTED_VALUE"""),"DƯỠNG CHẤT VÔ CƠ CHUYÊN SẦU RIÊNG")</f>
        <v>DƯỠNG CHẤT VÔ CƠ CHUYÊN SẦU RIÊNG</v>
      </c>
      <c r="N634" s="2" t="str">
        <f>IFERROR(__xludf.DUMMYFUNCTION("""COMPUTED_VALUE"""),"19DD0018V2")</f>
        <v>19DD0018V2</v>
      </c>
      <c r="O634" s="2" t="str">
        <f>IFERROR(__xludf.DUMMYFUNCTION("""COMPUTED_VALUE"""),"Phân bón Hỗn hợp NP AGAMA-AP")</f>
        <v>Phân bón Hỗn hợp NP AGAMA-AP</v>
      </c>
      <c r="P634" s="2" t="str">
        <f>IFERROR(__xludf.DUMMYFUNCTION("""COMPUTED_VALUE"""),"#N/A")</f>
        <v>#N/A</v>
      </c>
      <c r="Q634" s="30" t="str">
        <f>IFERROR(__xludf.DUMMYFUNCTION("""COMPUTED_VALUE"""),"KHÔNG KHỚP")</f>
        <v>KHÔNG KHỚP</v>
      </c>
      <c r="R634" s="2"/>
      <c r="S634" s="2"/>
      <c r="T634" s="2"/>
      <c r="U634" s="2"/>
      <c r="V634" s="2"/>
      <c r="W634" s="2"/>
      <c r="X634" s="2"/>
      <c r="Y634" s="2"/>
    </row>
    <row r="635">
      <c r="A635" s="30">
        <f>IFERROR(__xludf.DUMMYFUNCTION("""COMPUTED_VALUE"""),632.0)</f>
        <v>632</v>
      </c>
      <c r="B635" s="39">
        <f>IFERROR(__xludf.DUMMYFUNCTION("""COMPUTED_VALUE"""),46085.0)</f>
        <v>46085</v>
      </c>
      <c r="C635" s="30">
        <f>IFERROR(__xludf.DUMMYFUNCTION("""COMPUTED_VALUE"""),1.0)</f>
        <v>1</v>
      </c>
      <c r="D635" s="30" t="str">
        <f>IFERROR(__xludf.DUMMYFUNCTION("""COMPUTED_VALUE"""),"CT CŨ")</f>
        <v>CT CŨ</v>
      </c>
      <c r="E635" s="30"/>
      <c r="F635" s="2"/>
      <c r="G635" s="2" t="str">
        <f>IFERROR(__xludf.DUMMYFUNCTION("""COMPUTED_VALUE"""),"HH4785")</f>
        <v>HH4785</v>
      </c>
      <c r="H635" s="2" t="str">
        <f>IFERROR(__xludf.DUMMYFUNCTION("""COMPUTED_VALUE"""),"HH4785 GC - V - 4785 - CTY NGỌC BẢO LONG AGRI - CỨNG CÂY ĐỨNG LÁ (nước trắng xám) - 500ml - 30")</f>
        <v>HH4785 GC - V - 4785 - CTY NGỌC BẢO LONG AGRI - CỨNG CÂY ĐỨNG LÁ (nước trắng xám) - 500ml - 30</v>
      </c>
      <c r="I635" s="2" t="str">
        <f>IFERROR(__xludf.DUMMYFUNCTION("""COMPUTED_VALUE"""),"#N/A")</f>
        <v>#N/A</v>
      </c>
      <c r="J635" s="2" t="str">
        <f>IFERROR(__xludf.DUMMYFUNCTION("""COMPUTED_VALUE"""),"A03181224")</f>
        <v>A03181224</v>
      </c>
      <c r="K635" s="2"/>
      <c r="L635" s="2" t="str">
        <f>IFERROR(__xludf.DUMMYFUNCTION("""COMPUTED_VALUE"""),"A03181224")</f>
        <v>A03181224</v>
      </c>
      <c r="M635" s="2" t="str">
        <f>IFERROR(__xludf.DUMMYFUNCTION("""COMPUTED_VALUE"""),"CỨNG CÂY ĐỨNG LÁ")</f>
        <v>CỨNG CÂY ĐỨNG LÁ</v>
      </c>
      <c r="N635" s="2" t="str">
        <f>IFERROR(__xludf.DUMMYFUNCTION("""COMPUTED_VALUE"""),"10CR0016V1")</f>
        <v>10CR0016V1</v>
      </c>
      <c r="O635" s="2" t="str">
        <f>IFERROR(__xludf.DUMMYFUNCTION("""COMPUTED_VALUE"""),"Phân bón Vi lượng AGAMA-CANXI BO")</f>
        <v>Phân bón Vi lượng AGAMA-CANXI BO</v>
      </c>
      <c r="P635" s="2" t="str">
        <f>IFERROR(__xludf.DUMMYFUNCTION("""COMPUTED_VALUE"""),"#N/A")</f>
        <v>#N/A</v>
      </c>
      <c r="Q635" s="30" t="str">
        <f>IFERROR(__xludf.DUMMYFUNCTION("""COMPUTED_VALUE"""),"KHÔNG KHỚP")</f>
        <v>KHÔNG KHỚP</v>
      </c>
      <c r="R635" s="2"/>
      <c r="S635" s="2"/>
      <c r="T635" s="2"/>
      <c r="U635" s="2"/>
      <c r="V635" s="2"/>
      <c r="W635" s="2"/>
      <c r="X635" s="2"/>
      <c r="Y635" s="2"/>
    </row>
    <row r="636">
      <c r="A636" s="30">
        <f>IFERROR(__xludf.DUMMYFUNCTION("""COMPUTED_VALUE"""),633.0)</f>
        <v>633</v>
      </c>
      <c r="B636" s="39">
        <f>IFERROR(__xludf.DUMMYFUNCTION("""COMPUTED_VALUE"""),45953.0)</f>
        <v>45953</v>
      </c>
      <c r="C636" s="30">
        <f>IFERROR(__xludf.DUMMYFUNCTION("""COMPUTED_VALUE"""),5.0)</f>
        <v>5</v>
      </c>
      <c r="D636" s="30" t="str">
        <f>IFERROR(__xludf.DUMMYFUNCTION("""COMPUTED_VALUE"""),"CT CŨ")</f>
        <v>CT CŨ</v>
      </c>
      <c r="E636" s="30"/>
      <c r="F636" s="2"/>
      <c r="G636" s="2" t="str">
        <f>IFERROR(__xludf.DUMMYFUNCTION("""COMPUTED_VALUE"""),"HH4212")</f>
        <v>HH4212</v>
      </c>
      <c r="H636" s="2" t="str">
        <f>IFERROR(__xludf.DUMMYFUNCTION("""COMPUTED_VALUE"""),"GC - V - 4212 - Cty CAPY GLOBAL - NUTRI BIO KING (Gel nâu đen) - 5L - 4")</f>
        <v>GC - V - 4212 - Cty CAPY GLOBAL - NUTRI BIO KING (Gel nâu đen) - 5L - 4</v>
      </c>
      <c r="I636" s="2" t="str">
        <f>IFERROR(__xludf.DUMMYFUNCTION("""COMPUTED_VALUE"""),"#N/A")</f>
        <v>#N/A</v>
      </c>
      <c r="J636" s="2" t="str">
        <f>IFERROR(__xludf.DUMMYFUNCTION("""COMPUTED_VALUE"""),"A02131025")</f>
        <v>A02131025</v>
      </c>
      <c r="K636" s="2"/>
      <c r="L636" s="2" t="str">
        <f>IFERROR(__xludf.DUMMYFUNCTION("""COMPUTED_VALUE"""),"A02131025")</f>
        <v>A02131025</v>
      </c>
      <c r="M636" s="2" t="str">
        <f>IFERROR(__xludf.DUMMYFUNCTION("""COMPUTED_VALUE"""),"NUTRI BIOKING - CROP CARE")</f>
        <v>NUTRI BIOKING - CROP CARE</v>
      </c>
      <c r="N636" s="2" t="str">
        <f>IFERROR(__xludf.DUMMYFUNCTION("""COMPUTED_VALUE"""),"01RR0076")</f>
        <v>01RR0076</v>
      </c>
      <c r="O636" s="2" t="str">
        <f>IFERROR(__xludf.DUMMYFUNCTION("""COMPUTED_VALUE"""),"Phân bón Hữu cơ CROPS CARE")</f>
        <v>Phân bón Hữu cơ CROPS CARE</v>
      </c>
      <c r="P636" s="2" t="str">
        <f>IFERROR(__xludf.DUMMYFUNCTION("""COMPUTED_VALUE"""),"#N/A")</f>
        <v>#N/A</v>
      </c>
      <c r="Q636" s="30" t="str">
        <f>IFERROR(__xludf.DUMMYFUNCTION("""COMPUTED_VALUE"""),"KHÔNG KHỚP")</f>
        <v>KHÔNG KHỚP</v>
      </c>
      <c r="R636" s="2"/>
      <c r="S636" s="2"/>
      <c r="T636" s="2"/>
      <c r="U636" s="2"/>
      <c r="V636" s="2"/>
      <c r="W636" s="2"/>
      <c r="X636" s="2"/>
      <c r="Y636" s="2"/>
    </row>
    <row r="637">
      <c r="A637" s="30">
        <f>IFERROR(__xludf.DUMMYFUNCTION("""COMPUTED_VALUE"""),634.0)</f>
        <v>634</v>
      </c>
      <c r="B637" s="39">
        <f>IFERROR(__xludf.DUMMYFUNCTION("""COMPUTED_VALUE"""),45938.0)</f>
        <v>45938</v>
      </c>
      <c r="C637" s="30">
        <f>IFERROR(__xludf.DUMMYFUNCTION("""COMPUTED_VALUE"""),3.0)</f>
        <v>3</v>
      </c>
      <c r="D637" s="30" t="str">
        <f>IFERROR(__xludf.DUMMYFUNCTION("""COMPUTED_VALUE"""),"CT CŨ")</f>
        <v>CT CŨ</v>
      </c>
      <c r="E637" s="30"/>
      <c r="F637" s="2"/>
      <c r="G637" s="2" t="str">
        <f>IFERROR(__xludf.DUMMYFUNCTION("""COMPUTED_VALUE"""),"HH4301")</f>
        <v>HH4301</v>
      </c>
      <c r="H637" s="2" t="str">
        <f>IFERROR(__xludf.DUMMYFUNCTION("""COMPUTED_VALUE"""),"GC - IV - 4301 - CTY GNH - Ra Rễ Nở Bụi (nước nâu đen) - 1L - 20")</f>
        <v>GC - IV - 4301 - CTY GNH - Ra Rễ Nở Bụi (nước nâu đen) - 1L - 20</v>
      </c>
      <c r="I637" s="2" t="str">
        <f>IFERROR(__xludf.DUMMYFUNCTION("""COMPUTED_VALUE"""),"#N/A")</f>
        <v>#N/A</v>
      </c>
      <c r="J637" s="2" t="str">
        <f>IFERROR(__xludf.DUMMYFUNCTION("""COMPUTED_VALUE"""),"cừng ruột HH3244")</f>
        <v>cừng ruột HH3244</v>
      </c>
      <c r="K637" s="2"/>
      <c r="L637" s="2" t="str">
        <f>IFERROR(__xludf.DUMMYFUNCTION("""COMPUTED_VALUE"""),"A06270225")</f>
        <v>A06270225</v>
      </c>
      <c r="M637" s="2" t="str">
        <f>IFERROR(__xludf.DUMMYFUNCTION("""COMPUTED_VALUE"""),"RA RỄ NỞ BỤI")</f>
        <v>RA RỄ NỞ BỤI</v>
      </c>
      <c r="N637" s="2" t="str">
        <f>IFERROR(__xludf.DUMMYFUNCTION("""COMPUTED_VALUE"""),"01RR0049V1")</f>
        <v>01RR0049V1</v>
      </c>
      <c r="O637" s="2" t="str">
        <f>IFERROR(__xludf.DUMMYFUNCTION("""COMPUTED_VALUE"""),"Phân bón Vi lượng Quantity New")</f>
        <v>Phân bón Vi lượng Quantity New</v>
      </c>
      <c r="P637" s="2" t="str">
        <f>IFERROR(__xludf.DUMMYFUNCTION("""COMPUTED_VALUE"""),"#N/A")</f>
        <v>#N/A</v>
      </c>
      <c r="Q637" s="30" t="str">
        <f>IFERROR(__xludf.DUMMYFUNCTION("""COMPUTED_VALUE"""),"KHÔNG KHỚP")</f>
        <v>KHÔNG KHỚP</v>
      </c>
      <c r="R637" s="2"/>
      <c r="S637" s="2"/>
      <c r="T637" s="2"/>
      <c r="U637" s="2"/>
      <c r="V637" s="2"/>
      <c r="W637" s="2"/>
      <c r="X637" s="2"/>
      <c r="Y637" s="2"/>
    </row>
    <row r="638">
      <c r="A638" s="30">
        <f>IFERROR(__xludf.DUMMYFUNCTION("""COMPUTED_VALUE"""),635.0)</f>
        <v>635</v>
      </c>
      <c r="B638" s="39">
        <f>IFERROR(__xludf.DUMMYFUNCTION("""COMPUTED_VALUE"""),45938.0)</f>
        <v>45938</v>
      </c>
      <c r="C638" s="30">
        <f>IFERROR(__xludf.DUMMYFUNCTION("""COMPUTED_VALUE"""),2.0)</f>
        <v>2</v>
      </c>
      <c r="D638" s="30" t="str">
        <f>IFERROR(__xludf.DUMMYFUNCTION("""COMPUTED_VALUE"""),"CT CŨ")</f>
        <v>CT CŨ</v>
      </c>
      <c r="E638" s="30"/>
      <c r="F638" s="2"/>
      <c r="G638" s="2" t="str">
        <f>IFERROR(__xludf.DUMMYFUNCTION("""COMPUTED_VALUE"""),"HH4340")</f>
        <v>HH4340</v>
      </c>
      <c r="H638" s="2" t="str">
        <f>IFERROR(__xludf.DUMMYFUNCTION("""COMPUTED_VALUE"""),"GC - IV - 4340 - GNH - Siêu Kích Rễ (Nước nâu đen) - 500ml - 40")</f>
        <v>GC - IV - 4340 - GNH - Siêu Kích Rễ (Nước nâu đen) - 500ml - 40</v>
      </c>
      <c r="I638" s="2" t="str">
        <f>IFERROR(__xludf.DUMMYFUNCTION("""COMPUTED_VALUE"""),"#N/A")</f>
        <v>#N/A</v>
      </c>
      <c r="J638" s="2" t="str">
        <f>IFERROR(__xludf.DUMMYFUNCTION("""COMPUTED_VALUE"""),"cùng ruột HH3893")</f>
        <v>cùng ruột HH3893</v>
      </c>
      <c r="K638" s="2"/>
      <c r="L638" s="2" t="str">
        <f>IFERROR(__xludf.DUMMYFUNCTION("""COMPUTED_VALUE"""),"A06270225")</f>
        <v>A06270225</v>
      </c>
      <c r="M638" s="2" t="str">
        <f>IFERROR(__xludf.DUMMYFUNCTION("""COMPUTED_VALUE"""),"RA RỄ NỞ BỤI")</f>
        <v>RA RỄ NỞ BỤI</v>
      </c>
      <c r="N638" s="2" t="str">
        <f>IFERROR(__xludf.DUMMYFUNCTION("""COMPUTED_VALUE"""),"01RR0049V1")</f>
        <v>01RR0049V1</v>
      </c>
      <c r="O638" s="2" t="str">
        <f>IFERROR(__xludf.DUMMYFUNCTION("""COMPUTED_VALUE"""),"Phân bón Vi lượng Quantity New")</f>
        <v>Phân bón Vi lượng Quantity New</v>
      </c>
      <c r="P638" s="2" t="str">
        <f>IFERROR(__xludf.DUMMYFUNCTION("""COMPUTED_VALUE"""),"#N/A")</f>
        <v>#N/A</v>
      </c>
      <c r="Q638" s="30" t="str">
        <f>IFERROR(__xludf.DUMMYFUNCTION("""COMPUTED_VALUE"""),"KHÔNG KHỚP")</f>
        <v>KHÔNG KHỚP</v>
      </c>
      <c r="R638" s="2"/>
      <c r="S638" s="2"/>
      <c r="T638" s="2"/>
      <c r="U638" s="2"/>
      <c r="V638" s="2"/>
      <c r="W638" s="2"/>
      <c r="X638" s="2"/>
      <c r="Y638" s="2"/>
    </row>
    <row r="639">
      <c r="A639" s="30">
        <f>IFERROR(__xludf.DUMMYFUNCTION("""COMPUTED_VALUE"""),636.0)</f>
        <v>636</v>
      </c>
      <c r="B639" s="39">
        <f>IFERROR(__xludf.DUMMYFUNCTION("""COMPUTED_VALUE"""),45946.0)</f>
        <v>45946</v>
      </c>
      <c r="C639" s="30">
        <f>IFERROR(__xludf.DUMMYFUNCTION("""COMPUTED_VALUE"""),6.0)</f>
        <v>6</v>
      </c>
      <c r="D639" s="30" t="str">
        <f>IFERROR(__xludf.DUMMYFUNCTION("""COMPUTED_VALUE"""),"CT CŨ")</f>
        <v>CT CŨ</v>
      </c>
      <c r="E639" s="30"/>
      <c r="F639" s="2"/>
      <c r="G639" s="2" t="str">
        <f>IFERROR(__xludf.DUMMYFUNCTION("""COMPUTED_VALUE"""),"HH4235")</f>
        <v>HH4235</v>
      </c>
      <c r="H639" s="2" t="str">
        <f>IFERROR(__xludf.DUMMYFUNCTION("""COMPUTED_VALUE"""),"GC - II - 4235 - LOT AGC (CAPY GLOBAL) - DR.STOP (Nước nâu đen) - 1L - 20")</f>
        <v>GC - II - 4235 - LOT AGC (CAPY GLOBAL) - DR.STOP (Nước nâu đen) - 1L - 20</v>
      </c>
      <c r="I639" s="39" t="str">
        <f>IFERROR(__xludf.DUMMYFUNCTION("""COMPUTED_VALUE"""),"Vi lượng Quantity New")</f>
        <v>Vi lượng Quantity New</v>
      </c>
      <c r="J639" s="2" t="str">
        <f>IFERROR(__xludf.DUMMYFUNCTION("""COMPUTED_VALUE"""),"Cùng ruột HH4155")</f>
        <v>Cùng ruột HH4155</v>
      </c>
      <c r="K639" s="2"/>
      <c r="L639" s="2" t="str">
        <f>IFERROR(__xludf.DUMMYFUNCTION("""COMPUTED_VALUE"""),"CHẶN ĐỌT DÒNG V1")</f>
        <v>CHẶN ĐỌT DÒNG V1</v>
      </c>
      <c r="M639" s="2" t="str">
        <f>IFERROR(__xludf.DUMMYFUNCTION("""COMPUTED_VALUE"""),"KODO STOP
DR.STOP
DR.H2")</f>
        <v>KODO STOP
DR.STOP
DR.H2</v>
      </c>
      <c r="N639" s="2" t="str">
        <f>IFERROR(__xludf.DUMMYFUNCTION("""COMPUTED_VALUE"""),"06CD0006V1")</f>
        <v>06CD0006V1</v>
      </c>
      <c r="O639" s="2" t="str">
        <f>IFERROR(__xludf.DUMMYFUNCTION("""COMPUTED_VALUE"""),"Phân bón Vi lượng Quantity New")</f>
        <v>Phân bón Vi lượng Quantity New</v>
      </c>
      <c r="P639" s="2" t="str">
        <f>IFERROR(__xludf.DUMMYFUNCTION("""COMPUTED_VALUE"""),"Phân bón Vi lượng Quantity New")</f>
        <v>Phân bón Vi lượng Quantity New</v>
      </c>
      <c r="Q639" s="30" t="str">
        <f>IFERROR(__xludf.DUMMYFUNCTION("""COMPUTED_VALUE"""),"KHỚP")</f>
        <v>KHỚP</v>
      </c>
      <c r="R639" s="2"/>
      <c r="S639" s="2"/>
      <c r="T639" s="2"/>
      <c r="U639" s="2"/>
      <c r="V639" s="2"/>
      <c r="W639" s="2"/>
      <c r="X639" s="2"/>
      <c r="Y639" s="2"/>
    </row>
    <row r="640">
      <c r="A640" s="30">
        <f>IFERROR(__xludf.DUMMYFUNCTION("""COMPUTED_VALUE"""),637.0)</f>
        <v>637</v>
      </c>
      <c r="B640" s="39">
        <f>IFERROR(__xludf.DUMMYFUNCTION("""COMPUTED_VALUE"""),45946.0)</f>
        <v>45946</v>
      </c>
      <c r="C640" s="30">
        <f>IFERROR(__xludf.DUMMYFUNCTION("""COMPUTED_VALUE"""),3.0)</f>
        <v>3</v>
      </c>
      <c r="D640" s="30" t="str">
        <f>IFERROR(__xludf.DUMMYFUNCTION("""COMPUTED_VALUE"""),"CT CŨ")</f>
        <v>CT CŨ</v>
      </c>
      <c r="E640" s="30"/>
      <c r="F640" s="2"/>
      <c r="G640" s="2" t="str">
        <f>IFERROR(__xludf.DUMMYFUNCTION("""COMPUTED_VALUE"""),"HH4278")</f>
        <v>HH4278</v>
      </c>
      <c r="H640" s="2" t="str">
        <f>IFERROR(__xludf.DUMMYFUNCTION("""COMPUTED_VALUE"""),"GC - IV - 4278 - CTY CAPY GLOBAL - DR.H2 (Nước nâu đen) - 1L - 20")</f>
        <v>GC - IV - 4278 - CTY CAPY GLOBAL - DR.H2 (Nước nâu đen) - 1L - 20</v>
      </c>
      <c r="I640" s="2" t="str">
        <f>IFERROR(__xludf.DUMMYFUNCTION("""COMPUTED_VALUE"""),"#N/A")</f>
        <v>#N/A</v>
      </c>
      <c r="J640" s="2" t="str">
        <f>IFERROR(__xludf.DUMMYFUNCTION("""COMPUTED_VALUE"""),"cùng ruột 4017, chặn đọt dòng V1")</f>
        <v>cùng ruột 4017, chặn đọt dòng V1</v>
      </c>
      <c r="K640" s="2"/>
      <c r="L640" s="2" t="str">
        <f>IFERROR(__xludf.DUMMYFUNCTION("""COMPUTED_VALUE"""),"CHẶN ĐỌT DÒNG V1")</f>
        <v>CHẶN ĐỌT DÒNG V1</v>
      </c>
      <c r="M640" s="2" t="str">
        <f>IFERROR(__xludf.DUMMYFUNCTION("""COMPUTED_VALUE"""),"KODO STOP
DR.STOP
DR.H2")</f>
        <v>KODO STOP
DR.STOP
DR.H2</v>
      </c>
      <c r="N640" s="2" t="str">
        <f>IFERROR(__xludf.DUMMYFUNCTION("""COMPUTED_VALUE"""),"06CD0006V1")</f>
        <v>06CD0006V1</v>
      </c>
      <c r="O640" s="2" t="str">
        <f>IFERROR(__xludf.DUMMYFUNCTION("""COMPUTED_VALUE"""),"Phân bón Vi lượng Quantity New")</f>
        <v>Phân bón Vi lượng Quantity New</v>
      </c>
      <c r="P640" s="2" t="str">
        <f>IFERROR(__xludf.DUMMYFUNCTION("""COMPUTED_VALUE"""),"#N/A")</f>
        <v>#N/A</v>
      </c>
      <c r="Q640" s="30" t="str">
        <f>IFERROR(__xludf.DUMMYFUNCTION("""COMPUTED_VALUE"""),"KHÔNG KHỚP")</f>
        <v>KHÔNG KHỚP</v>
      </c>
      <c r="R640" s="2"/>
      <c r="S640" s="2"/>
      <c r="T640" s="2"/>
      <c r="U640" s="2"/>
      <c r="V640" s="2"/>
      <c r="W640" s="2"/>
      <c r="X640" s="2"/>
      <c r="Y640" s="2"/>
    </row>
    <row r="641">
      <c r="A641" s="30">
        <f>IFERROR(__xludf.DUMMYFUNCTION("""COMPUTED_VALUE"""),638.0)</f>
        <v>638</v>
      </c>
      <c r="B641" s="39">
        <f>IFERROR(__xludf.DUMMYFUNCTION("""COMPUTED_VALUE"""),46056.0)</f>
        <v>46056</v>
      </c>
      <c r="C641" s="30">
        <f>IFERROR(__xludf.DUMMYFUNCTION("""COMPUTED_VALUE"""),6.0)</f>
        <v>6</v>
      </c>
      <c r="D641" s="30" t="str">
        <f>IFERROR(__xludf.DUMMYFUNCTION("""COMPUTED_VALUE"""),"CT CŨ")</f>
        <v>CT CŨ</v>
      </c>
      <c r="E641" s="30"/>
      <c r="F641" s="2"/>
      <c r="G641" s="2" t="str">
        <f>IFERROR(__xludf.DUMMYFUNCTION("""COMPUTED_VALUE"""),"HH4748")</f>
        <v>HH4748</v>
      </c>
      <c r="H641" s="2" t="str">
        <f>IFERROR(__xludf.DUMMYFUNCTION("""COMPUTED_VALUE"""),"GC - V - 4748 - DEGO - RUN FAST (Nước đen) - 18L - 1")</f>
        <v>GC - V - 4748 - DEGO - RUN FAST (Nước đen) - 18L - 1</v>
      </c>
      <c r="I641" s="39" t="str">
        <f>IFERROR(__xludf.DUMMYFUNCTION("""COMPUTED_VALUE"""),"Vi lượng Run Fast")</f>
        <v>Vi lượng Run Fast</v>
      </c>
      <c r="J641" s="2" t="str">
        <f>IFERROR(__xludf.DUMMYFUNCTION("""COMPUTED_VALUE"""),"30NT0001")</f>
        <v>30NT0001</v>
      </c>
      <c r="K641" s="2"/>
      <c r="L641" s="2"/>
      <c r="M641" s="2" t="str">
        <f>IFERROR(__xludf.DUMMYFUNCTION("""COMPUTED_VALUE"""),"BO HAI NGÀN")</f>
        <v>BO HAI NGÀN</v>
      </c>
      <c r="N641" s="2" t="str">
        <f>IFERROR(__xludf.DUMMYFUNCTION("""COMPUTED_VALUE"""),"30NT0001")</f>
        <v>30NT0001</v>
      </c>
      <c r="O641" s="2" t="str">
        <f>IFERROR(__xludf.DUMMYFUNCTION("""COMPUTED_VALUE"""),"Phân bón Vi lượng Run Fast")</f>
        <v>Phân bón Vi lượng Run Fast</v>
      </c>
      <c r="P641" s="2" t="str">
        <f>IFERROR(__xludf.DUMMYFUNCTION("""COMPUTED_VALUE"""),"Phân bón Vi lượng Run Fast")</f>
        <v>Phân bón Vi lượng Run Fast</v>
      </c>
      <c r="Q641" s="30" t="str">
        <f>IFERROR(__xludf.DUMMYFUNCTION("""COMPUTED_VALUE"""),"KHỚP")</f>
        <v>KHỚP</v>
      </c>
      <c r="R641" s="2"/>
      <c r="S641" s="2"/>
      <c r="T641" s="2"/>
      <c r="U641" s="2"/>
      <c r="V641" s="2"/>
      <c r="W641" s="2"/>
      <c r="X641" s="2"/>
      <c r="Y641" s="2"/>
    </row>
    <row r="642">
      <c r="A642" s="30">
        <f>IFERROR(__xludf.DUMMYFUNCTION("""COMPUTED_VALUE"""),639.0)</f>
        <v>639</v>
      </c>
      <c r="B642" s="39">
        <f>IFERROR(__xludf.DUMMYFUNCTION("""COMPUTED_VALUE"""),46001.0)</f>
        <v>46001</v>
      </c>
      <c r="C642" s="30">
        <f>IFERROR(__xludf.DUMMYFUNCTION("""COMPUTED_VALUE"""),7.0)</f>
        <v>7</v>
      </c>
      <c r="D642" s="30" t="str">
        <f>IFERROR(__xludf.DUMMYFUNCTION("""COMPUTED_VALUE"""),"CT CŨ")</f>
        <v>CT CŨ</v>
      </c>
      <c r="E642" s="30"/>
      <c r="F642" s="2"/>
      <c r="G642" s="2" t="str">
        <f>IFERROR(__xludf.DUMMYFUNCTION("""COMPUTED_VALUE"""),"HH4262")</f>
        <v>HH4262</v>
      </c>
      <c r="H642" s="2" t="str">
        <f>IFERROR(__xludf.DUMMYFUNCTION("""COMPUTED_VALUE"""),"GC - V - 4262 - CTY HƯƠNG NÔNG - BIO HỮU CƠ (Nước nâu đen) - 10L - 1")</f>
        <v>GC - V - 4262 - CTY HƯƠNG NÔNG - BIO HỮU CƠ (Nước nâu đen) - 10L - 1</v>
      </c>
      <c r="I642" s="39" t="str">
        <f>IFERROR(__xludf.DUMMYFUNCTION("""COMPUTED_VALUE"""),"Hữu cơ Organic BM Gold  FW")</f>
        <v>Hữu cơ Organic BM Gold  FW</v>
      </c>
      <c r="J642" s="2" t="str">
        <f>IFERROR(__xludf.DUMMYFUNCTION("""COMPUTED_VALUE"""),"Cùng ruột 
HH3948")</f>
        <v>Cùng ruột 
HH3948</v>
      </c>
      <c r="K642" s="2"/>
      <c r="L642" s="2" t="str">
        <f>IFERROR(__xludf.DUMMYFUNCTION("""COMPUTED_VALUE"""),"A02281124
I01240326")</f>
        <v>A02281124
I01240326</v>
      </c>
      <c r="M642" s="2" t="str">
        <f>IFERROR(__xludf.DUMMYFUNCTION("""COMPUTED_VALUE"""),"BIO HỮU CƠ")</f>
        <v>BIO HỮU CƠ</v>
      </c>
      <c r="N642" s="2" t="str">
        <f>IFERROR(__xludf.DUMMYFUNCTION("""COMPUTED_VALUE"""),"11TT0010V1")</f>
        <v>11TT0010V1</v>
      </c>
      <c r="O642" s="2" t="str">
        <f>IFERROR(__xludf.DUMMYFUNCTION("""COMPUTED_VALUE"""),"Phân bón Hữu cơ ORGANIC BM GOLD FW")</f>
        <v>Phân bón Hữu cơ ORGANIC BM GOLD FW</v>
      </c>
      <c r="P642" s="2" t="str">
        <f>IFERROR(__xludf.DUMMYFUNCTION("""COMPUTED_VALUE"""),"Phân bón Hữu cơ Organic BM Gold  FW")</f>
        <v>Phân bón Hữu cơ Organic BM Gold  FW</v>
      </c>
      <c r="Q642" s="30" t="str">
        <f>IFERROR(__xludf.DUMMYFUNCTION("""COMPUTED_VALUE"""),"KHỚP")</f>
        <v>KHỚP</v>
      </c>
      <c r="R642" s="2"/>
      <c r="S642" s="2"/>
      <c r="T642" s="2"/>
      <c r="U642" s="2"/>
      <c r="V642" s="2"/>
      <c r="W642" s="2"/>
      <c r="X642" s="2"/>
      <c r="Y642" s="2"/>
    </row>
    <row r="643">
      <c r="A643" s="30">
        <f>IFERROR(__xludf.DUMMYFUNCTION("""COMPUTED_VALUE"""),640.0)</f>
        <v>640</v>
      </c>
      <c r="B643" s="39">
        <f>IFERROR(__xludf.DUMMYFUNCTION("""COMPUTED_VALUE"""),46041.0)</f>
        <v>46041</v>
      </c>
      <c r="C643" s="30">
        <f>IFERROR(__xludf.DUMMYFUNCTION("""COMPUTED_VALUE"""),2.0)</f>
        <v>2</v>
      </c>
      <c r="D643" s="30" t="str">
        <f>IFERROR(__xludf.DUMMYFUNCTION("""COMPUTED_VALUE"""),"CT CŨ")</f>
        <v>CT CŨ</v>
      </c>
      <c r="E643" s="30"/>
      <c r="F643" s="2"/>
      <c r="G643" s="2" t="str">
        <f>IFERROR(__xludf.DUMMYFUNCTION("""COMPUTED_VALUE"""),"HH4670")</f>
        <v>HH4670</v>
      </c>
      <c r="H643" s="2" t="str">
        <f>IFERROR(__xludf.DUMMYFUNCTION("""COMPUTED_VALUE"""),"GC - IV - 4670 - CTY USAFARM - FUSEMIN (Nước nâu đen) - 500ml - 40")</f>
        <v>GC - IV - 4670 - CTY USAFARM - FUSEMIN (Nước nâu đen) - 500ml - 40</v>
      </c>
      <c r="I643" s="2" t="str">
        <f>IFERROR(__xludf.DUMMYFUNCTION("""COMPUTED_VALUE"""),"#N/A")</f>
        <v>#N/A</v>
      </c>
      <c r="J643" s="2" t="str">
        <f>IFERROR(__xludf.DUMMYFUNCTION("""COMPUTED_VALUE"""),"A04300924")</f>
        <v>A04300924</v>
      </c>
      <c r="K643" s="2"/>
      <c r="L643" s="2" t="str">
        <f>IFERROR(__xludf.DUMMYFUNCTION("""COMPUTED_VALUE"""),"A04300924")</f>
        <v>A04300924</v>
      </c>
      <c r="M643" s="2" t="str">
        <f>IFERROR(__xludf.DUMMYFUNCTION("""COMPUTED_VALUE"""),"FUSEMIN")</f>
        <v>FUSEMIN</v>
      </c>
      <c r="N643" s="2" t="str">
        <f>IFERROR(__xludf.DUMMYFUNCTION("""COMPUTED_VALUE"""),"01RR0042V1")</f>
        <v>01RR0042V1</v>
      </c>
      <c r="O643" s="2" t="str">
        <f>IFERROR(__xludf.DUMMYFUNCTION("""COMPUTED_VALUE"""),"Phân bón hữu cơ FUSEMIN COMBI+")</f>
        <v>Phân bón hữu cơ FUSEMIN COMBI+</v>
      </c>
      <c r="P643" s="2" t="str">
        <f>IFERROR(__xludf.DUMMYFUNCTION("""COMPUTED_VALUE"""),"#N/A")</f>
        <v>#N/A</v>
      </c>
      <c r="Q643" s="30" t="str">
        <f>IFERROR(__xludf.DUMMYFUNCTION("""COMPUTED_VALUE"""),"KHÔNG KHỚP")</f>
        <v>KHÔNG KHỚP</v>
      </c>
      <c r="R643" s="2"/>
      <c r="S643" s="2"/>
      <c r="T643" s="2"/>
      <c r="U643" s="2"/>
      <c r="V643" s="2"/>
      <c r="W643" s="2"/>
      <c r="X643" s="2"/>
      <c r="Y643" s="2"/>
    </row>
    <row r="644">
      <c r="A644" s="30">
        <f>IFERROR(__xludf.DUMMYFUNCTION("""COMPUTED_VALUE"""),641.0)</f>
        <v>641</v>
      </c>
      <c r="B644" s="39">
        <f>IFERROR(__xludf.DUMMYFUNCTION("""COMPUTED_VALUE"""),45971.0)</f>
        <v>45971</v>
      </c>
      <c r="C644" s="30">
        <f>IFERROR(__xludf.DUMMYFUNCTION("""COMPUTED_VALUE"""),3.0)</f>
        <v>3</v>
      </c>
      <c r="D644" s="30" t="str">
        <f>IFERROR(__xludf.DUMMYFUNCTION("""COMPUTED_VALUE"""),"CT CŨ")</f>
        <v>CT CŨ</v>
      </c>
      <c r="E644" s="30"/>
      <c r="F644" s="2"/>
      <c r="G644" s="2" t="str">
        <f>IFERROR(__xludf.DUMMYFUNCTION("""COMPUTED_VALUE"""),"HH4324")</f>
        <v>HH4324</v>
      </c>
      <c r="H644" s="2" t="str">
        <f>IFERROR(__xludf.DUMMYFUNCTION("""COMPUTED_VALUE"""),"GC - V - 4324 - CTY USAFARM - MAGIE-KẼM (Gel xanh lá) - 500ml - 40")</f>
        <v>GC - V - 4324 - CTY USAFARM - MAGIE-KẼM (Gel xanh lá) - 500ml - 40</v>
      </c>
      <c r="I644" s="2" t="str">
        <f>IFERROR(__xludf.DUMMYFUNCTION("""COMPUTED_VALUE"""),"#N/A")</f>
        <v>#N/A</v>
      </c>
      <c r="J644" s="2" t="str">
        <f>IFERROR(__xludf.DUMMYFUNCTION("""COMPUTED_VALUE"""),"A04070825 cùng ruột 3988")</f>
        <v>A04070825 cùng ruột 3988</v>
      </c>
      <c r="K644" s="2"/>
      <c r="L644" s="2" t="str">
        <f>IFERROR(__xludf.DUMMYFUNCTION("""COMPUTED_VALUE"""),"A04070825")</f>
        <v>A04070825</v>
      </c>
      <c r="M644" s="2" t="str">
        <f>IFERROR(__xludf.DUMMYFUNCTION("""COMPUTED_VALUE"""),"Amino Magie Kẽm 02")</f>
        <v>Amino Magie Kẽm 02</v>
      </c>
      <c r="N644" s="2" t="str">
        <f>IFERROR(__xludf.DUMMYFUNCTION("""COMPUTED_VALUE"""),"23GS0004V1")</f>
        <v>23GS0004V1</v>
      </c>
      <c r="O644" s="2" t="str">
        <f>IFERROR(__xludf.DUMMYFUNCTION("""COMPUTED_VALUE"""),"Phân bón vi lượng Phú Sĩ FJ-09 Kẽm Mg")</f>
        <v>Phân bón vi lượng Phú Sĩ FJ-09 Kẽm Mg</v>
      </c>
      <c r="P644" s="2" t="str">
        <f>IFERROR(__xludf.DUMMYFUNCTION("""COMPUTED_VALUE"""),"#N/A")</f>
        <v>#N/A</v>
      </c>
      <c r="Q644" s="30" t="str">
        <f>IFERROR(__xludf.DUMMYFUNCTION("""COMPUTED_VALUE"""),"KHÔNG KHỚP")</f>
        <v>KHÔNG KHỚP</v>
      </c>
      <c r="R644" s="2"/>
      <c r="S644" s="2"/>
      <c r="T644" s="2"/>
      <c r="U644" s="2"/>
      <c r="V644" s="2"/>
      <c r="W644" s="2"/>
      <c r="X644" s="2"/>
      <c r="Y644" s="2"/>
    </row>
    <row r="645">
      <c r="A645" s="30">
        <f>IFERROR(__xludf.DUMMYFUNCTION("""COMPUTED_VALUE"""),642.0)</f>
        <v>642</v>
      </c>
      <c r="B645" s="39">
        <f>IFERROR(__xludf.DUMMYFUNCTION("""COMPUTED_VALUE"""),45971.0)</f>
        <v>45971</v>
      </c>
      <c r="C645" s="30">
        <f>IFERROR(__xludf.DUMMYFUNCTION("""COMPUTED_VALUE"""),3.0)</f>
        <v>3</v>
      </c>
      <c r="D645" s="30" t="str">
        <f>IFERROR(__xludf.DUMMYFUNCTION("""COMPUTED_VALUE"""),"CT CŨ")</f>
        <v>CT CŨ</v>
      </c>
      <c r="E645" s="30"/>
      <c r="F645" s="2"/>
      <c r="G645" s="2" t="str">
        <f>IFERROR(__xludf.DUMMYFUNCTION("""COMPUTED_VALUE"""),"HH4323")</f>
        <v>HH4323</v>
      </c>
      <c r="H645" s="2" t="str">
        <f>IFERROR(__xludf.DUMMYFUNCTION("""COMPUTED_VALUE"""),"GC - V - 4323 - Cty Tiến Vinh - KẼM MAGIE TIVI (Gel xanh lá) - 500ml - 40")</f>
        <v>GC - V - 4323 - Cty Tiến Vinh - KẼM MAGIE TIVI (Gel xanh lá) - 500ml - 40</v>
      </c>
      <c r="I645" s="2" t="str">
        <f>IFERROR(__xludf.DUMMYFUNCTION("""COMPUTED_VALUE"""),"#N/A")</f>
        <v>#N/A</v>
      </c>
      <c r="J645" s="2" t="str">
        <f>IFERROR(__xludf.DUMMYFUNCTION("""COMPUTED_VALUE"""),"A04070825 cùng ruột 3988")</f>
        <v>A04070825 cùng ruột 3988</v>
      </c>
      <c r="K645" s="2"/>
      <c r="L645" s="2" t="str">
        <f>IFERROR(__xludf.DUMMYFUNCTION("""COMPUTED_VALUE"""),"A04070825")</f>
        <v>A04070825</v>
      </c>
      <c r="M645" s="2" t="str">
        <f>IFERROR(__xludf.DUMMYFUNCTION("""COMPUTED_VALUE"""),"Amino Magie Kẽm 02")</f>
        <v>Amino Magie Kẽm 02</v>
      </c>
      <c r="N645" s="2" t="str">
        <f>IFERROR(__xludf.DUMMYFUNCTION("""COMPUTED_VALUE"""),"23GS0004V1")</f>
        <v>23GS0004V1</v>
      </c>
      <c r="O645" s="2" t="str">
        <f>IFERROR(__xludf.DUMMYFUNCTION("""COMPUTED_VALUE"""),"Phân bón vi lượng Phú Sĩ FJ-09 Kẽm Mg")</f>
        <v>Phân bón vi lượng Phú Sĩ FJ-09 Kẽm Mg</v>
      </c>
      <c r="P645" s="2" t="str">
        <f>IFERROR(__xludf.DUMMYFUNCTION("""COMPUTED_VALUE"""),"#N/A")</f>
        <v>#N/A</v>
      </c>
      <c r="Q645" s="30" t="str">
        <f>IFERROR(__xludf.DUMMYFUNCTION("""COMPUTED_VALUE"""),"KHÔNG KHỚP")</f>
        <v>KHÔNG KHỚP</v>
      </c>
      <c r="R645" s="2"/>
      <c r="S645" s="2"/>
      <c r="T645" s="2"/>
      <c r="U645" s="2"/>
      <c r="V645" s="2"/>
      <c r="W645" s="2"/>
      <c r="X645" s="2"/>
      <c r="Y645" s="2"/>
    </row>
    <row r="646">
      <c r="A646" s="30">
        <f>IFERROR(__xludf.DUMMYFUNCTION("""COMPUTED_VALUE"""),643.0)</f>
        <v>643</v>
      </c>
      <c r="B646" s="39">
        <f>IFERROR(__xludf.DUMMYFUNCTION("""COMPUTED_VALUE"""),46081.0)</f>
        <v>46081</v>
      </c>
      <c r="C646" s="30">
        <f>IFERROR(__xludf.DUMMYFUNCTION("""COMPUTED_VALUE"""),2.0)</f>
        <v>2</v>
      </c>
      <c r="D646" s="30" t="str">
        <f>IFERROR(__xludf.DUMMYFUNCTION("""COMPUTED_VALUE"""),"CT CŨ")</f>
        <v>CT CŨ</v>
      </c>
      <c r="E646" s="30"/>
      <c r="F646" s="2"/>
      <c r="G646" s="2" t="str">
        <f>IFERROR(__xludf.DUMMYFUNCTION("""COMPUTED_VALUE"""),"HH3937")</f>
        <v>HH3937</v>
      </c>
      <c r="H646" s="2" t="str">
        <f>IFERROR(__xludf.DUMMYFUNCTION("""COMPUTED_VALUE"""),"GC - IV - 3937 - CTY NÔNG DƯỢC BETA - BETA VÔ GẠO 555 (Dạng SC - Hồng nhạt) - 500ml - 30")</f>
        <v>GC - IV - 3937 - CTY NÔNG DƯỢC BETA - BETA VÔ GẠO 555 (Dạng SC - Hồng nhạt) - 500ml - 30</v>
      </c>
      <c r="I646" s="2" t="str">
        <f>IFERROR(__xludf.DUMMYFUNCTION("""COMPUTED_VALUE"""),"#N/A")</f>
        <v>#N/A</v>
      </c>
      <c r="J646" s="2" t="str">
        <f>IFERROR(__xludf.DUMMYFUNCTION("""COMPUTED_VALUE"""),"A07291024-01")</f>
        <v>A07291024-01</v>
      </c>
      <c r="K646" s="2"/>
      <c r="L646" s="2" t="str">
        <f>IFERROR(__xludf.DUMMYFUNCTION("""COMPUTED_VALUE"""),"A07291024-01")</f>
        <v>A07291024-01</v>
      </c>
      <c r="M646" s="2" t="str">
        <f>IFERROR(__xludf.DUMMYFUNCTION("""COMPUTED_VALUE"""),"KALI SỮA")</f>
        <v>KALI SỮA</v>
      </c>
      <c r="N646" s="2" t="str">
        <f>IFERROR(__xludf.DUMMYFUNCTION("""COMPUTED_VALUE"""),"04VG0052")</f>
        <v>04VG0052</v>
      </c>
      <c r="O646" s="2" t="str">
        <f>IFERROR(__xludf.DUMMYFUNCTION("""COMPUTED_VALUE"""),"Phân bón NPK-Vi lượng MASSIVE-BLUE")</f>
        <v>Phân bón NPK-Vi lượng MASSIVE-BLUE</v>
      </c>
      <c r="P646" s="2" t="str">
        <f>IFERROR(__xludf.DUMMYFUNCTION("""COMPUTED_VALUE"""),"#N/A")</f>
        <v>#N/A</v>
      </c>
      <c r="Q646" s="30" t="str">
        <f>IFERROR(__xludf.DUMMYFUNCTION("""COMPUTED_VALUE"""),"KHÔNG KHỚP")</f>
        <v>KHÔNG KHỚP</v>
      </c>
      <c r="R646" s="2"/>
      <c r="S646" s="2"/>
      <c r="T646" s="2"/>
      <c r="U646" s="2"/>
      <c r="V646" s="2"/>
      <c r="W646" s="2"/>
      <c r="X646" s="2"/>
      <c r="Y646" s="2"/>
    </row>
    <row r="647">
      <c r="A647" s="30">
        <f>IFERROR(__xludf.DUMMYFUNCTION("""COMPUTED_VALUE"""),644.0)</f>
        <v>644</v>
      </c>
      <c r="B647" s="39">
        <f>IFERROR(__xludf.DUMMYFUNCTION("""COMPUTED_VALUE"""),45929.0)</f>
        <v>45929</v>
      </c>
      <c r="C647" s="30">
        <f>IFERROR(__xludf.DUMMYFUNCTION("""COMPUTED_VALUE"""),4.0)</f>
        <v>4</v>
      </c>
      <c r="D647" s="30" t="str">
        <f>IFERROR(__xludf.DUMMYFUNCTION("""COMPUTED_VALUE"""),"CT CŨ")</f>
        <v>CT CŨ</v>
      </c>
      <c r="E647" s="30"/>
      <c r="F647" s="2"/>
      <c r="G647" s="2" t="str">
        <f>IFERROR(__xludf.DUMMYFUNCTION("""COMPUTED_VALUE"""),"HH3794")</f>
        <v>HH3794</v>
      </c>
      <c r="H647" s="2" t="str">
        <f>IFERROR(__xludf.DUMMYFUNCTION("""COMPUTED_VALUE"""),"GC - V - 3794 - Cty Sen Hồng (A.Diễn) - VÔ GẠO TE+ (Gel đỏ cam) - 500ml - 40")</f>
        <v>GC - V - 3794 - Cty Sen Hồng (A.Diễn) - VÔ GẠO TE+ (Gel đỏ cam) - 500ml - 40</v>
      </c>
      <c r="I647" s="2" t="str">
        <f>IFERROR(__xludf.DUMMYFUNCTION("""COMPUTED_VALUE"""),"#N/A")</f>
        <v>#N/A</v>
      </c>
      <c r="J647" s="2" t="str">
        <f>IFERROR(__xludf.DUMMYFUNCTION("""COMPUTED_VALUE"""),"Cùng ruột HH3525")</f>
        <v>Cùng ruột HH3525</v>
      </c>
      <c r="K647" s="2"/>
      <c r="L647" s="2"/>
      <c r="M647" s="2" t="str">
        <f>IFERROR(__xludf.DUMMYFUNCTION("""COMPUTED_VALUE"""),"SIÊU VÔ GẠO TE+
1 TẤN 4
SHINO 1 TẤN 4
SHINO RICE")</f>
        <v>SIÊU VÔ GẠO TE+
1 TẤN 4
SHINO 1 TẤN 4
SHINO RICE</v>
      </c>
      <c r="N647" s="2" t="str">
        <f>IFERROR(__xludf.DUMMYFUNCTION("""COMPUTED_VALUE"""),"04VG0014V1")</f>
        <v>04VG0014V1</v>
      </c>
      <c r="O647" s="2" t="str">
        <f>IFERROR(__xludf.DUMMYFUNCTION("""COMPUTED_VALUE"""),"Phân bón NPK-Vi lượng MASSIVE-BLUE")</f>
        <v>Phân bón NPK-Vi lượng MASSIVE-BLUE</v>
      </c>
      <c r="P647" s="2" t="str">
        <f>IFERROR(__xludf.DUMMYFUNCTION("""COMPUTED_VALUE"""),"#N/A")</f>
        <v>#N/A</v>
      </c>
      <c r="Q647" s="30" t="str">
        <f>IFERROR(__xludf.DUMMYFUNCTION("""COMPUTED_VALUE"""),"KHÔNG KHỚP")</f>
        <v>KHÔNG KHỚP</v>
      </c>
      <c r="R647" s="2"/>
      <c r="S647" s="2"/>
      <c r="T647" s="2"/>
      <c r="U647" s="2"/>
      <c r="V647" s="2"/>
      <c r="W647" s="2"/>
      <c r="X647" s="2"/>
      <c r="Y647" s="2"/>
    </row>
    <row r="648">
      <c r="A648" s="30">
        <f>IFERROR(__xludf.DUMMYFUNCTION("""COMPUTED_VALUE"""),645.0)</f>
        <v>645</v>
      </c>
      <c r="B648" s="39" t="str">
        <f>IFERROR(__xludf.DUMMYFUNCTION("""COMPUTED_VALUE"""),"")</f>
        <v/>
      </c>
      <c r="C648" s="30">
        <f>IFERROR(__xludf.DUMMYFUNCTION("""COMPUTED_VALUE"""),1.0)</f>
        <v>1</v>
      </c>
      <c r="D648" s="30" t="str">
        <f>IFERROR(__xludf.DUMMYFUNCTION("""COMPUTED_VALUE"""),"CT XỬ LÝ LỖI")</f>
        <v>CT XỬ LÝ LỖI</v>
      </c>
      <c r="E648" s="30"/>
      <c r="F648" s="2"/>
      <c r="G648" s="2" t="str">
        <f>IFERROR(__xludf.DUMMYFUNCTION("""COMPUTED_VALUE"""),"HH3557")</f>
        <v>HH3557</v>
      </c>
      <c r="H648" s="2" t="str">
        <f>IFERROR(__xludf.DUMMYFUNCTION("""COMPUTED_VALUE"""),"DR.XANH - VIII - 3557 - DR.RICE (Nước đỏ cam) - 500ml - 40")</f>
        <v>DR.XANH - VIII - 3557 - DR.RICE (Nước đỏ cam) - 500ml - 40</v>
      </c>
      <c r="I648" s="2" t="str">
        <f>IFERROR(__xludf.DUMMYFUNCTION("""COMPUTED_VALUE"""),"#N/A")</f>
        <v>#N/A</v>
      </c>
      <c r="J648" s="2" t="str">
        <f>IFERROR(__xludf.DUMMYFUNCTION("""COMPUTED_VALUE"""),"X02080325")</f>
        <v>X02080325</v>
      </c>
      <c r="K648" s="2"/>
      <c r="L648" s="2" t="str">
        <f>IFERROR(__xludf.DUMMYFUNCTION("""COMPUTED_VALUE"""),"")</f>
        <v/>
      </c>
      <c r="M648" s="2" t="str">
        <f>IFERROR(__xludf.DUMMYFUNCTION("""COMPUTED_VALUE"""),"")</f>
        <v/>
      </c>
      <c r="N648" s="2" t="str">
        <f>IFERROR(__xludf.DUMMYFUNCTION("""COMPUTED_VALUE"""),"Chưa có công thức")</f>
        <v>Chưa có công thức</v>
      </c>
      <c r="O648" s="2" t="str">
        <f>IFERROR(__xludf.DUMMYFUNCTION("""COMPUTED_VALUE"""),"")</f>
        <v/>
      </c>
      <c r="P648" s="2" t="str">
        <f>IFERROR(__xludf.DUMMYFUNCTION("""COMPUTED_VALUE"""),"#N/A")</f>
        <v>#N/A</v>
      </c>
      <c r="Q648" s="30" t="str">
        <f>IFERROR(__xludf.DUMMYFUNCTION("""COMPUTED_VALUE"""),"KHÔNG KHỚP")</f>
        <v>KHÔNG KHỚP</v>
      </c>
      <c r="R648" s="2" t="str">
        <f>IFERROR(__xludf.DUMMYFUNCTION("""COMPUTED_VALUE"""),"Lab chưa nhận được BTP lỗi để xử lý")</f>
        <v>Lab chưa nhận được BTP lỗi để xử lý</v>
      </c>
      <c r="S648" s="2"/>
      <c r="T648" s="2"/>
      <c r="U648" s="2"/>
      <c r="V648" s="2"/>
      <c r="W648" s="2"/>
      <c r="X648" s="2"/>
      <c r="Y648" s="2"/>
    </row>
    <row r="649">
      <c r="A649" s="30">
        <f>IFERROR(__xludf.DUMMYFUNCTION("""COMPUTED_VALUE"""),646.0)</f>
        <v>646</v>
      </c>
      <c r="B649" s="39">
        <f>IFERROR(__xludf.DUMMYFUNCTION("""COMPUTED_VALUE"""),45896.0)</f>
        <v>45896</v>
      </c>
      <c r="C649" s="30">
        <f>IFERROR(__xludf.DUMMYFUNCTION("""COMPUTED_VALUE"""),1.0)</f>
        <v>1</v>
      </c>
      <c r="D649" s="30" t="str">
        <f>IFERROR(__xludf.DUMMYFUNCTION("""COMPUTED_VALUE"""),"CT CŨ")</f>
        <v>CT CŨ</v>
      </c>
      <c r="E649" s="30"/>
      <c r="F649" s="2"/>
      <c r="G649" s="2" t="str">
        <f>IFERROR(__xludf.DUMMYFUNCTION("""COMPUTED_VALUE"""),"HH4800")</f>
        <v>HH4800</v>
      </c>
      <c r="H649" s="2" t="str">
        <f>IFERROR(__xludf.DUMMYFUNCTION("""COMPUTED_VALUE"""),"GC - V - 4800 - CTY DONA VINA - CANXIBO MAXI (Nước trắng sữa) - 500ml - 40")</f>
        <v>GC - V - 4800 - CTY DONA VINA - CANXIBO MAXI (Nước trắng sữa) - 500ml - 40</v>
      </c>
      <c r="I649" s="39" t="str">
        <f>IFERROR(__xludf.DUMMYFUNCTION("""COMPUTED_VALUE"""),"Vi lượng AGAMA-CANXI BO")</f>
        <v>Vi lượng AGAMA-CANXI BO</v>
      </c>
      <c r="J649" s="2" t="str">
        <f>IFERROR(__xludf.DUMMYFUNCTION("""COMPUTED_VALUE"""),"A02160725")</f>
        <v>A02160725</v>
      </c>
      <c r="K649" s="2"/>
      <c r="L649" s="2" t="str">
        <f>IFERROR(__xludf.DUMMYFUNCTION("""COMPUTED_VALUE"""),"A02160725")</f>
        <v>A02160725</v>
      </c>
      <c r="M649" s="2" t="str">
        <f>IFERROR(__xludf.DUMMYFUNCTION("""COMPUTED_VALUE"""),"AGAMA-CANXI BO
(KIM NGỌC)")</f>
        <v>AGAMA-CANXI BO
(KIM NGỌC)</v>
      </c>
      <c r="N649" s="2" t="str">
        <f>IFERROR(__xludf.DUMMYFUNCTION("""COMPUTED_VALUE"""),"10CR0021")</f>
        <v>10CR0021</v>
      </c>
      <c r="O649" s="2" t="str">
        <f>IFERROR(__xludf.DUMMYFUNCTION("""COMPUTED_VALUE"""),"Phân bón Vi lượng AGAMA-CANXI BO")</f>
        <v>Phân bón Vi lượng AGAMA-CANXI BO</v>
      </c>
      <c r="P649" s="2" t="str">
        <f>IFERROR(__xludf.DUMMYFUNCTION("""COMPUTED_VALUE"""),"Phân bón Vi lượng AGAMA-CANXI BO")</f>
        <v>Phân bón Vi lượng AGAMA-CANXI BO</v>
      </c>
      <c r="Q649" s="30" t="str">
        <f>IFERROR(__xludf.DUMMYFUNCTION("""COMPUTED_VALUE"""),"KHỚP")</f>
        <v>KHỚP</v>
      </c>
      <c r="R649" s="2"/>
      <c r="S649" s="2"/>
      <c r="T649" s="2"/>
      <c r="U649" s="2"/>
      <c r="V649" s="2"/>
      <c r="W649" s="2"/>
      <c r="X649" s="2"/>
      <c r="Y649" s="2"/>
    </row>
    <row r="650">
      <c r="A650" s="30">
        <f>IFERROR(__xludf.DUMMYFUNCTION("""COMPUTED_VALUE"""),647.0)</f>
        <v>647</v>
      </c>
      <c r="B650" s="39">
        <f>IFERROR(__xludf.DUMMYFUNCTION("""COMPUTED_VALUE"""),45662.0)</f>
        <v>45662</v>
      </c>
      <c r="C650" s="30">
        <f>IFERROR(__xludf.DUMMYFUNCTION("""COMPUTED_VALUE"""),1.0)</f>
        <v>1</v>
      </c>
      <c r="D650" s="30" t="str">
        <f>IFERROR(__xludf.DUMMYFUNCTION("""COMPUTED_VALUE"""),"CT CŨ")</f>
        <v>CT CŨ</v>
      </c>
      <c r="E650" s="30"/>
      <c r="F650" s="2"/>
      <c r="G650" s="2" t="str">
        <f>IFERROR(__xludf.DUMMYFUNCTION("""COMPUTED_VALUE"""),"HH4626")</f>
        <v>HH4626</v>
      </c>
      <c r="H650" s="2" t="str">
        <f>IFERROR(__xludf.DUMMYFUNCTION("""COMPUTED_VALUE"""),"GC - V - 4626 - CSSX An Khang (A.Dinh) - TAK06 (Gel nâu đen) - 5L - 4")</f>
        <v>GC - V - 4626 - CSSX An Khang (A.Dinh) - TAK06 (Gel nâu đen) - 5L - 4</v>
      </c>
      <c r="I650" s="2" t="str">
        <f>IFERROR(__xludf.DUMMYFUNCTION("""COMPUTED_VALUE"""),"#N/A")</f>
        <v>#N/A</v>
      </c>
      <c r="J650" s="2" t="str">
        <f>IFERROR(__xludf.DUMMYFUNCTION("""COMPUTED_VALUE"""),"A01091225")</f>
        <v>A01091225</v>
      </c>
      <c r="K650" s="2"/>
      <c r="L650" s="2" t="str">
        <f>IFERROR(__xludf.DUMMYFUNCTION("""COMPUTED_VALUE"""),"A01091225")</f>
        <v>A01091225</v>
      </c>
      <c r="M650" s="2" t="str">
        <f>IFERROR(__xludf.DUMMYFUNCTION("""COMPUTED_VALUE"""),"TAK06")</f>
        <v>TAK06</v>
      </c>
      <c r="N650" s="2" t="str">
        <f>IFERROR(__xludf.DUMMYFUNCTION("""COMPUTED_VALUE"""),"19DD0014V4")</f>
        <v>19DD0014V4</v>
      </c>
      <c r="O650" s="2" t="str">
        <f>IFERROR(__xludf.DUMMYFUNCTION("""COMPUTED_VALUE"""),"Phân bón Vi lượng Run Fast")</f>
        <v>Phân bón Vi lượng Run Fast</v>
      </c>
      <c r="P650" s="2" t="str">
        <f>IFERROR(__xludf.DUMMYFUNCTION("""COMPUTED_VALUE"""),"#N/A")</f>
        <v>#N/A</v>
      </c>
      <c r="Q650" s="30" t="str">
        <f>IFERROR(__xludf.DUMMYFUNCTION("""COMPUTED_VALUE"""),"KHÔNG KHỚP")</f>
        <v>KHÔNG KHỚP</v>
      </c>
      <c r="R650" s="2"/>
      <c r="S650" s="2"/>
      <c r="T650" s="2"/>
      <c r="U650" s="2"/>
      <c r="V650" s="2"/>
      <c r="W650" s="2"/>
      <c r="X650" s="2"/>
      <c r="Y650" s="2"/>
    </row>
    <row r="651">
      <c r="A651" s="30">
        <f>IFERROR(__xludf.DUMMYFUNCTION("""COMPUTED_VALUE"""),648.0)</f>
        <v>648</v>
      </c>
      <c r="B651" s="39">
        <f>IFERROR(__xludf.DUMMYFUNCTION("""COMPUTED_VALUE"""),45662.0)</f>
        <v>45662</v>
      </c>
      <c r="C651" s="30">
        <f>IFERROR(__xludf.DUMMYFUNCTION("""COMPUTED_VALUE"""),2.0)</f>
        <v>2</v>
      </c>
      <c r="D651" s="30" t="str">
        <f>IFERROR(__xludf.DUMMYFUNCTION("""COMPUTED_VALUE"""),"CT CŨ")</f>
        <v>CT CŨ</v>
      </c>
      <c r="E651" s="30"/>
      <c r="F651" s="2"/>
      <c r="G651" s="2" t="str">
        <f>IFERROR(__xludf.DUMMYFUNCTION("""COMPUTED_VALUE"""),"HH4534")</f>
        <v>HH4534</v>
      </c>
      <c r="H651" s="2" t="str">
        <f>IFERROR(__xludf.DUMMYFUNCTION("""COMPUTED_VALUE"""),"GC - V - 4534 - CSSX An Khang (A.Dinh) - TAK06 (Gel nâu đen) - 20L - 1")</f>
        <v>GC - V - 4534 - CSSX An Khang (A.Dinh) - TAK06 (Gel nâu đen) - 20L - 1</v>
      </c>
      <c r="I651" s="39" t="str">
        <f>IFERROR(__xludf.DUMMYFUNCTION("""COMPUTED_VALUE"""),"Vi lượng Run Fast")</f>
        <v>Vi lượng Run Fast</v>
      </c>
      <c r="J651" s="2" t="str">
        <f>IFERROR(__xludf.DUMMYFUNCTION("""COMPUTED_VALUE"""),"A01091225")</f>
        <v>A01091225</v>
      </c>
      <c r="K651" s="2"/>
      <c r="L651" s="2" t="str">
        <f>IFERROR(__xludf.DUMMYFUNCTION("""COMPUTED_VALUE"""),"A01091225")</f>
        <v>A01091225</v>
      </c>
      <c r="M651" s="2" t="str">
        <f>IFERROR(__xludf.DUMMYFUNCTION("""COMPUTED_VALUE"""),"TAK06")</f>
        <v>TAK06</v>
      </c>
      <c r="N651" s="2" t="str">
        <f>IFERROR(__xludf.DUMMYFUNCTION("""COMPUTED_VALUE"""),"19DD0014V4")</f>
        <v>19DD0014V4</v>
      </c>
      <c r="O651" s="2" t="str">
        <f>IFERROR(__xludf.DUMMYFUNCTION("""COMPUTED_VALUE"""),"Phân bón Vi lượng Run Fast")</f>
        <v>Phân bón Vi lượng Run Fast</v>
      </c>
      <c r="P651" s="2" t="str">
        <f>IFERROR(__xludf.DUMMYFUNCTION("""COMPUTED_VALUE"""),"Phân bón Vi lượng Run Fast")</f>
        <v>Phân bón Vi lượng Run Fast</v>
      </c>
      <c r="Q651" s="30" t="str">
        <f>IFERROR(__xludf.DUMMYFUNCTION("""COMPUTED_VALUE"""),"KHỚP")</f>
        <v>KHỚP</v>
      </c>
      <c r="R651" s="2"/>
      <c r="S651" s="2"/>
      <c r="T651" s="2"/>
      <c r="U651" s="2"/>
      <c r="V651" s="2"/>
      <c r="W651" s="2"/>
      <c r="X651" s="2"/>
      <c r="Y651" s="2"/>
    </row>
    <row r="652">
      <c r="A652" s="30">
        <f>IFERROR(__xludf.DUMMYFUNCTION("""COMPUTED_VALUE"""),649.0)</f>
        <v>649</v>
      </c>
      <c r="B652" s="39">
        <f>IFERROR(__xludf.DUMMYFUNCTION("""COMPUTED_VALUE"""),46002.0)</f>
        <v>46002</v>
      </c>
      <c r="C652" s="30">
        <f>IFERROR(__xludf.DUMMYFUNCTION("""COMPUTED_VALUE"""),3.0)</f>
        <v>3</v>
      </c>
      <c r="D652" s="30" t="str">
        <f>IFERROR(__xludf.DUMMYFUNCTION("""COMPUTED_VALUE"""),"CT CŨ")</f>
        <v>CT CŨ</v>
      </c>
      <c r="E652" s="30"/>
      <c r="F652" s="2"/>
      <c r="G652" s="2" t="str">
        <f>IFERROR(__xludf.DUMMYFUNCTION("""COMPUTED_VALUE"""),"HH4217")</f>
        <v>HH4217</v>
      </c>
      <c r="H652" s="2" t="str">
        <f>IFERROR(__xludf.DUMMYFUNCTION("""COMPUTED_VALUE"""),"GC - V - 4217 - HƯƠNG NÔNG - HN Stop (Gel nâu đen) - 1L - 20")</f>
        <v>GC - V - 4217 - HƯƠNG NÔNG - HN Stop (Gel nâu đen) - 1L - 20</v>
      </c>
      <c r="I652" s="2" t="str">
        <f>IFERROR(__xludf.DUMMYFUNCTION("""COMPUTED_VALUE"""),"#N/A")</f>
        <v>#N/A</v>
      </c>
      <c r="J652" s="2" t="str">
        <f>IFERROR(__xludf.DUMMYFUNCTION("""COMPUTED_VALUE"""),"Chặn đọt V3 06CD0007")</f>
        <v>Chặn đọt V3 06CD0007</v>
      </c>
      <c r="K652" s="2"/>
      <c r="L652" s="2" t="str">
        <f>IFERROR(__xludf.DUMMYFUNCTION("""COMPUTED_VALUE"""),"CHẶN ĐỌT DÒNG V3")</f>
        <v>CHẶN ĐỌT DÒNG V3</v>
      </c>
      <c r="M652" s="2" t="str">
        <f>IFERROR(__xludf.DUMMYFUNCTION("""COMPUTED_VALUE"""),"KODO STOP
SIÊU CHẶN ĐỌT
STOP 25
UNI STOP
UNI STOP 25")</f>
        <v>KODO STOP
SIÊU CHẶN ĐỌT
STOP 25
UNI STOP
UNI STOP 25</v>
      </c>
      <c r="N652" s="2" t="str">
        <f>IFERROR(__xludf.DUMMYFUNCTION("""COMPUTED_VALUE"""),"06CD0007V2")</f>
        <v>06CD0007V2</v>
      </c>
      <c r="O652" s="2" t="str">
        <f>IFERROR(__xludf.DUMMYFUNCTION("""COMPUTED_VALUE"""),"Phân bón Vi lượng Quantity New")</f>
        <v>Phân bón Vi lượng Quantity New</v>
      </c>
      <c r="P652" s="2" t="str">
        <f>IFERROR(__xludf.DUMMYFUNCTION("""COMPUTED_VALUE"""),"#N/A")</f>
        <v>#N/A</v>
      </c>
      <c r="Q652" s="30" t="str">
        <f>IFERROR(__xludf.DUMMYFUNCTION("""COMPUTED_VALUE"""),"KHÔNG KHỚP")</f>
        <v>KHÔNG KHỚP</v>
      </c>
      <c r="R652" s="2"/>
      <c r="S652" s="2"/>
      <c r="T652" s="2"/>
      <c r="U652" s="2"/>
      <c r="V652" s="2"/>
      <c r="W652" s="2"/>
      <c r="X652" s="2"/>
      <c r="Y652" s="2"/>
    </row>
    <row r="653">
      <c r="A653" s="30">
        <f>IFERROR(__xludf.DUMMYFUNCTION("""COMPUTED_VALUE"""),650.0)</f>
        <v>650</v>
      </c>
      <c r="B653" s="39">
        <f>IFERROR(__xludf.DUMMYFUNCTION("""COMPUTED_VALUE"""),46101.0)</f>
        <v>46101</v>
      </c>
      <c r="C653" s="30">
        <f>IFERROR(__xludf.DUMMYFUNCTION("""COMPUTED_VALUE"""),8.0)</f>
        <v>8</v>
      </c>
      <c r="D653" s="30" t="str">
        <f>IFERROR(__xludf.DUMMYFUNCTION("""COMPUTED_VALUE"""),"CT XỬ LÝ LỖI")</f>
        <v>CT XỬ LÝ LỖI</v>
      </c>
      <c r="E653" s="30"/>
      <c r="F653" s="2"/>
      <c r="G653" s="2" t="str">
        <f>IFERROR(__xludf.DUMMYFUNCTION("""COMPUTED_VALUE"""),"HH4058")</f>
        <v>HH4058</v>
      </c>
      <c r="H653" s="2" t="str">
        <f>IFERROR(__xludf.DUMMYFUNCTION("""COMPUTED_VALUE"""),"GC - IX - 4058 - N2SBIO -  SIÊU BO SỮA (Dạng SC - Trắng sữa) - 250ml - 40")</f>
        <v>GC - IX - 4058 - N2SBIO -  SIÊU BO SỮA (Dạng SC - Trắng sữa) - 250ml - 40</v>
      </c>
      <c r="I653" s="2" t="str">
        <f>IFERROR(__xludf.DUMMYFUNCTION("""COMPUTED_VALUE"""),"#N/A")</f>
        <v>#N/A</v>
      </c>
      <c r="J653" s="2" t="str">
        <f>IFERROR(__xludf.DUMMYFUNCTION("""COMPUTED_VALUE"""),"N01190825")</f>
        <v>N01190825</v>
      </c>
      <c r="K653" s="2"/>
      <c r="L653" s="2" t="str">
        <f>IFERROR(__xludf.DUMMYFUNCTION("""COMPUTED_VALUE"""),"XỬ LÝ BTP LỖI")</f>
        <v>XỬ LÝ BTP LỖI</v>
      </c>
      <c r="M653" s="2" t="str">
        <f>IFERROR(__xludf.DUMMYFUNCTION("""COMPUTED_VALUE"""),"N2 SIÊU BO SỮA")</f>
        <v>N2 SIÊU BO SỮA</v>
      </c>
      <c r="N653" s="2" t="str">
        <f>IFERROR(__xludf.DUMMYFUNCTION("""COMPUTED_VALUE"""),"10CR0027V3-810126/1290126-1")</f>
        <v>10CR0027V3-810126/1290126-1</v>
      </c>
      <c r="O653" s="2" t="str">
        <f>IFERROR(__xludf.DUMMYFUNCTION("""COMPUTED_VALUE"""),"Phân bón lá Vi lượng NBC-BO.15")</f>
        <v>Phân bón lá Vi lượng NBC-BO.15</v>
      </c>
      <c r="P653" s="2" t="str">
        <f>IFERROR(__xludf.DUMMYFUNCTION("""COMPUTED_VALUE"""),"#N/A")</f>
        <v>#N/A</v>
      </c>
      <c r="Q653" s="30" t="str">
        <f>IFERROR(__xludf.DUMMYFUNCTION("""COMPUTED_VALUE"""),"KHỚP")</f>
        <v>KHỚP</v>
      </c>
      <c r="R653" s="2"/>
      <c r="S653" s="2"/>
      <c r="T653" s="2"/>
      <c r="U653" s="2"/>
      <c r="V653" s="2"/>
      <c r="W653" s="2"/>
      <c r="X653" s="2"/>
      <c r="Y653" s="2"/>
    </row>
    <row r="654">
      <c r="A654" s="30">
        <f>IFERROR(__xludf.DUMMYFUNCTION("""COMPUTED_VALUE"""),651.0)</f>
        <v>651</v>
      </c>
      <c r="B654" s="39">
        <f>IFERROR(__xludf.DUMMYFUNCTION("""COMPUTED_VALUE"""),45917.0)</f>
        <v>45917</v>
      </c>
      <c r="C654" s="30">
        <f>IFERROR(__xludf.DUMMYFUNCTION("""COMPUTED_VALUE"""),2.0)</f>
        <v>2</v>
      </c>
      <c r="D654" s="30" t="str">
        <f>IFERROR(__xludf.DUMMYFUNCTION("""COMPUTED_VALUE"""),"CT CŨ")</f>
        <v>CT CŨ</v>
      </c>
      <c r="E654" s="30"/>
      <c r="F654" s="2"/>
      <c r="G654" s="2" t="str">
        <f>IFERROR(__xludf.DUMMYFUNCTION("""COMPUTED_VALUE"""),"HH4451")</f>
        <v>HH4451</v>
      </c>
      <c r="H654" s="2" t="str">
        <f>IFERROR(__xludf.DUMMYFUNCTION("""COMPUTED_VALUE"""),"GC - V - 4451 - CSSX An Khang (A.Dinh) - T-AK 02 (Gel nâu đen) - 500ml - 40")</f>
        <v>GC - V - 4451 - CSSX An Khang (A.Dinh) - T-AK 02 (Gel nâu đen) - 500ml - 40</v>
      </c>
      <c r="I654" s="2" t="str">
        <f>IFERROR(__xludf.DUMMYFUNCTION("""COMPUTED_VALUE"""),"#N/A")</f>
        <v>#N/A</v>
      </c>
      <c r="J654" s="2" t="str">
        <f>IFERROR(__xludf.DUMMYFUNCTION("""COMPUTED_VALUE"""),"Cùng ruột 
HH2550")</f>
        <v>Cùng ruột 
HH2550</v>
      </c>
      <c r="K654" s="2"/>
      <c r="L654" s="2" t="str">
        <f>IFERROR(__xludf.DUMMYFUNCTION("""COMPUTED_VALUE"""),"A04060724")</f>
        <v>A04060724</v>
      </c>
      <c r="M654" s="2" t="str">
        <f>IFERROR(__xludf.DUMMYFUNCTION("""COMPUTED_VALUE"""),"T-AK 02
HP 06")</f>
        <v>T-AK 02
HP 06</v>
      </c>
      <c r="N654" s="2" t="str">
        <f>IFERROR(__xludf.DUMMYFUNCTION("""COMPUTED_VALUE"""),"09KH0010")</f>
        <v>09KH0010</v>
      </c>
      <c r="O654" s="2" t="str">
        <f>IFERROR(__xludf.DUMMYFUNCTION("""COMPUTED_VALUE"""),"Phân bón Vi lượng Run Fast")</f>
        <v>Phân bón Vi lượng Run Fast</v>
      </c>
      <c r="P654" s="2" t="str">
        <f>IFERROR(__xludf.DUMMYFUNCTION("""COMPUTED_VALUE"""),"#N/A")</f>
        <v>#N/A</v>
      </c>
      <c r="Q654" s="30" t="str">
        <f>IFERROR(__xludf.DUMMYFUNCTION("""COMPUTED_VALUE"""),"KHÔNG KHỚP")</f>
        <v>KHÔNG KHỚP</v>
      </c>
      <c r="R654" s="2"/>
      <c r="S654" s="2"/>
      <c r="T654" s="2"/>
      <c r="U654" s="2"/>
      <c r="V654" s="2"/>
      <c r="W654" s="2"/>
      <c r="X654" s="2"/>
      <c r="Y654" s="2"/>
    </row>
    <row r="655">
      <c r="A655" s="30">
        <f>IFERROR(__xludf.DUMMYFUNCTION("""COMPUTED_VALUE"""),652.0)</f>
        <v>652</v>
      </c>
      <c r="B655" s="39">
        <f>IFERROR(__xludf.DUMMYFUNCTION("""COMPUTED_VALUE"""),46002.0)</f>
        <v>46002</v>
      </c>
      <c r="C655" s="30">
        <f>IFERROR(__xludf.DUMMYFUNCTION("""COMPUTED_VALUE"""),2.0)</f>
        <v>2</v>
      </c>
      <c r="D655" s="30" t="str">
        <f>IFERROR(__xludf.DUMMYFUNCTION("""COMPUTED_VALUE"""),"CT CŨ")</f>
        <v>CT CŨ</v>
      </c>
      <c r="E655" s="30"/>
      <c r="F655" s="2"/>
      <c r="G655" s="2" t="str">
        <f>IFERROR(__xludf.DUMMYFUNCTION("""COMPUTED_VALUE"""),"HH4221")</f>
        <v>HH4221</v>
      </c>
      <c r="H655" s="2" t="str">
        <f>IFERROR(__xludf.DUMMYFUNCTION("""COMPUTED_VALUE"""),"GC - V - 4221 - CTY DONA VINA - STOP ONE (Nước nâu đen) - 1L - 20")</f>
        <v>GC - V - 4221 - CTY DONA VINA - STOP ONE (Nước nâu đen) - 1L - 20</v>
      </c>
      <c r="I655" s="2" t="str">
        <f>IFERROR(__xludf.DUMMYFUNCTION("""COMPUTED_VALUE"""),"#N/A")</f>
        <v>#N/A</v>
      </c>
      <c r="J655" s="2" t="str">
        <f>IFERROR(__xludf.DUMMYFUNCTION("""COMPUTED_VALUE"""),"dòng V2 cùng ruột 3996")</f>
        <v>dòng V2 cùng ruột 3996</v>
      </c>
      <c r="K655" s="2"/>
      <c r="L655" s="2" t="str">
        <f>IFERROR(__xludf.DUMMYFUNCTION("""COMPUTED_VALUE"""),"CHẶN ĐỌT DÒNG V2")</f>
        <v>CHẶN ĐỌT DÒNG V2</v>
      </c>
      <c r="M655" s="2" t="str">
        <f>IFERROR(__xludf.DUMMYFUNCTION("""COMPUTED_VALUE"""),"STOP UP
MT STOP
AGRI STOP
STOP ĐỌT
SIÊU CHẶN ĐỌT
MASTER STOP
UNI STOP ONE
BAMBOO DOUBLE STOP")</f>
        <v>STOP UP
MT STOP
AGRI STOP
STOP ĐỌT
SIÊU CHẶN ĐỌT
MASTER STOP
UNI STOP ONE
BAMBOO DOUBLE STOP</v>
      </c>
      <c r="N655" s="2" t="str">
        <f>IFERROR(__xludf.DUMMYFUNCTION("""COMPUTED_VALUE"""),"06CD0009V3")</f>
        <v>06CD0009V3</v>
      </c>
      <c r="O655" s="2" t="str">
        <f>IFERROR(__xludf.DUMMYFUNCTION("""COMPUTED_VALUE"""),"Phân bón Vi lượng Quantity New")</f>
        <v>Phân bón Vi lượng Quantity New</v>
      </c>
      <c r="P655" s="2" t="str">
        <f>IFERROR(__xludf.DUMMYFUNCTION("""COMPUTED_VALUE"""),"#N/A")</f>
        <v>#N/A</v>
      </c>
      <c r="Q655" s="30" t="str">
        <f>IFERROR(__xludf.DUMMYFUNCTION("""COMPUTED_VALUE"""),"KHÔNG KHỚP")</f>
        <v>KHÔNG KHỚP</v>
      </c>
      <c r="R655" s="2"/>
      <c r="S655" s="2"/>
      <c r="T655" s="2"/>
      <c r="U655" s="2"/>
      <c r="V655" s="2"/>
      <c r="W655" s="2"/>
      <c r="X655" s="2"/>
      <c r="Y655" s="2"/>
    </row>
    <row r="656">
      <c r="A656" s="30">
        <f>IFERROR(__xludf.DUMMYFUNCTION("""COMPUTED_VALUE"""),653.0)</f>
        <v>653</v>
      </c>
      <c r="B656" s="39">
        <f>IFERROR(__xludf.DUMMYFUNCTION("""COMPUTED_VALUE"""),46002.0)</f>
        <v>46002</v>
      </c>
      <c r="C656" s="30">
        <f>IFERROR(__xludf.DUMMYFUNCTION("""COMPUTED_VALUE"""),4.0)</f>
        <v>4</v>
      </c>
      <c r="D656" s="30" t="str">
        <f>IFERROR(__xludf.DUMMYFUNCTION("""COMPUTED_VALUE"""),"CT CŨ")</f>
        <v>CT CŨ</v>
      </c>
      <c r="E656" s="30"/>
      <c r="F656" s="2"/>
      <c r="G656" s="2" t="str">
        <f>IFERROR(__xludf.DUMMYFUNCTION("""COMPUTED_VALUE"""),"HH4380")</f>
        <v>HH4380</v>
      </c>
      <c r="H656" s="2" t="str">
        <f>IFERROR(__xludf.DUMMYFUNCTION("""COMPUTED_VALUE"""),"GC - IV - 4380 - Cty Thành Công Agri - MASTER STOP (nước nâu đen V2) - 1L - 20")</f>
        <v>GC - IV - 4380 - Cty Thành Công Agri - MASTER STOP (nước nâu đen V2) - 1L - 20</v>
      </c>
      <c r="I656" s="39" t="str">
        <f>IFERROR(__xludf.DUMMYFUNCTION("""COMPUTED_VALUE"""),"Vi lượng Quantity New")</f>
        <v>Vi lượng Quantity New</v>
      </c>
      <c r="J656" s="2" t="str">
        <f>IFERROR(__xludf.DUMMYFUNCTION("""COMPUTED_VALUE"""),"CHẶN ĐỌT 
DÒNG V2")</f>
        <v>CHẶN ĐỌT 
DÒNG V2</v>
      </c>
      <c r="K656" s="2"/>
      <c r="L656" s="2" t="str">
        <f>IFERROR(__xludf.DUMMYFUNCTION("""COMPUTED_VALUE"""),"CHẶN ĐỌT DÒNG V2")</f>
        <v>CHẶN ĐỌT DÒNG V2</v>
      </c>
      <c r="M656" s="2" t="str">
        <f>IFERROR(__xludf.DUMMYFUNCTION("""COMPUTED_VALUE"""),"STOP UP
MT STOP
AGRI STOP
STOP ĐỌT
SIÊU CHẶN ĐỌT
MASTER STOP
UNI STOP ONE
BAMBOO DOUBLE STOP")</f>
        <v>STOP UP
MT STOP
AGRI STOP
STOP ĐỌT
SIÊU CHẶN ĐỌT
MASTER STOP
UNI STOP ONE
BAMBOO DOUBLE STOP</v>
      </c>
      <c r="N656" s="2" t="str">
        <f>IFERROR(__xludf.DUMMYFUNCTION("""COMPUTED_VALUE"""),"06CD0009V3")</f>
        <v>06CD0009V3</v>
      </c>
      <c r="O656" s="2" t="str">
        <f>IFERROR(__xludf.DUMMYFUNCTION("""COMPUTED_VALUE"""),"Phân bón Vi lượng Quantity New")</f>
        <v>Phân bón Vi lượng Quantity New</v>
      </c>
      <c r="P656" s="2" t="str">
        <f>IFERROR(__xludf.DUMMYFUNCTION("""COMPUTED_VALUE"""),"Phân bón Vi lượng Quantity New")</f>
        <v>Phân bón Vi lượng Quantity New</v>
      </c>
      <c r="Q656" s="30" t="str">
        <f>IFERROR(__xludf.DUMMYFUNCTION("""COMPUTED_VALUE"""),"KHỚP")</f>
        <v>KHỚP</v>
      </c>
      <c r="R656" s="2"/>
      <c r="S656" s="2"/>
      <c r="T656" s="2"/>
      <c r="U656" s="2"/>
      <c r="V656" s="2"/>
      <c r="W656" s="2"/>
      <c r="X656" s="2"/>
      <c r="Y656" s="2"/>
    </row>
    <row r="657">
      <c r="A657" s="30">
        <f>IFERROR(__xludf.DUMMYFUNCTION("""COMPUTED_VALUE"""),654.0)</f>
        <v>654</v>
      </c>
      <c r="B657" s="39">
        <f>IFERROR(__xludf.DUMMYFUNCTION("""COMPUTED_VALUE"""),45917.0)</f>
        <v>45917</v>
      </c>
      <c r="C657" s="30">
        <f>IFERROR(__xludf.DUMMYFUNCTION("""COMPUTED_VALUE"""),1.0)</f>
        <v>1</v>
      </c>
      <c r="D657" s="30" t="str">
        <f>IFERROR(__xludf.DUMMYFUNCTION("""COMPUTED_VALUE"""),"CT CŨ")</f>
        <v>CT CŨ</v>
      </c>
      <c r="E657" s="30"/>
      <c r="F657" s="2"/>
      <c r="G657" s="2" t="str">
        <f>IFERROR(__xludf.DUMMYFUNCTION("""COMPUTED_VALUE"""),"HH4712")</f>
        <v>HH4712</v>
      </c>
      <c r="H657" s="2" t="str">
        <f>IFERROR(__xludf.DUMMYFUNCTION("""COMPUTED_VALUE"""),"GC - V - 4712 - NHP GROUP - CALIMIX (Nước nâu đen) - 500ml - 40")</f>
        <v>GC - V - 4712 - NHP GROUP - CALIMIX (Nước nâu đen) - 500ml - 40</v>
      </c>
      <c r="I657" s="39" t="str">
        <f>IFERROR(__xludf.DUMMYFUNCTION("""COMPUTED_VALUE"""),"Hữu cơ SH Agro Organic Fertilizer 20")</f>
        <v>Hữu cơ SH Agro Organic Fertilizer 20</v>
      </c>
      <c r="J657" s="2" t="str">
        <f>IFERROR(__xludf.DUMMYFUNCTION("""COMPUTED_VALUE"""),"A05050325")</f>
        <v>A05050325</v>
      </c>
      <c r="K657" s="2"/>
      <c r="L657" s="2" t="str">
        <f>IFERROR(__xludf.DUMMYFUNCTION("""COMPUTED_VALUE"""),"A05050325")</f>
        <v>A05050325</v>
      </c>
      <c r="M657" s="2" t="str">
        <f>IFERROR(__xludf.DUMMYFUNCTION("""COMPUTED_VALUE"""),"CALIMIX")</f>
        <v>CALIMIX</v>
      </c>
      <c r="N657" s="2" t="str">
        <f>IFERROR(__xludf.DUMMYFUNCTION("""COMPUTED_VALUE"""),"08TM0019")</f>
        <v>08TM0019</v>
      </c>
      <c r="O657" s="2" t="str">
        <f>IFERROR(__xludf.DUMMYFUNCTION("""COMPUTED_VALUE"""),"Phân bón Hữu cơ SH Agro Organic Fertilizer 20")</f>
        <v>Phân bón Hữu cơ SH Agro Organic Fertilizer 20</v>
      </c>
      <c r="P657" s="2" t="str">
        <f>IFERROR(__xludf.DUMMYFUNCTION("""COMPUTED_VALUE"""),"Phân bón Hữu cơ SH Agro Organic Fertilizer 20")</f>
        <v>Phân bón Hữu cơ SH Agro Organic Fertilizer 20</v>
      </c>
      <c r="Q657" s="30" t="str">
        <f>IFERROR(__xludf.DUMMYFUNCTION("""COMPUTED_VALUE"""),"KHỚP")</f>
        <v>KHỚP</v>
      </c>
      <c r="R657" s="2"/>
      <c r="S657" s="2"/>
      <c r="T657" s="2"/>
      <c r="U657" s="2"/>
      <c r="V657" s="2"/>
      <c r="W657" s="2"/>
      <c r="X657" s="2"/>
      <c r="Y657" s="2"/>
    </row>
    <row r="658">
      <c r="A658" s="30">
        <f>IFERROR(__xludf.DUMMYFUNCTION("""COMPUTED_VALUE"""),655.0)</f>
        <v>655</v>
      </c>
      <c r="B658" s="39">
        <f>IFERROR(__xludf.DUMMYFUNCTION("""COMPUTED_VALUE"""),45940.0)</f>
        <v>45940</v>
      </c>
      <c r="C658" s="30">
        <f>IFERROR(__xludf.DUMMYFUNCTION("""COMPUTED_VALUE"""),3.0)</f>
        <v>3</v>
      </c>
      <c r="D658" s="30" t="str">
        <f>IFERROR(__xludf.DUMMYFUNCTION("""COMPUTED_VALUE"""),"CT CŨ")</f>
        <v>CT CŨ</v>
      </c>
      <c r="E658" s="30"/>
      <c r="F658" s="2"/>
      <c r="G658" s="2" t="str">
        <f>IFERROR(__xludf.DUMMYFUNCTION("""COMPUTED_VALUE"""),"HH3967")</f>
        <v>HH3967</v>
      </c>
      <c r="H658" s="2" t="str">
        <f>IFERROR(__xludf.DUMMYFUNCTION("""COMPUTED_VALUE"""),"BAMBOO - VI - 3967 - BAMBOO 10.10.20 TE (Nước xanh lơ) - 500ml - 40")</f>
        <v>BAMBOO - VI - 3967 - BAMBOO 10.10.20 TE (Nước xanh lơ) - 500ml - 40</v>
      </c>
      <c r="I658" s="2" t="str">
        <f>IFERROR(__xludf.DUMMYFUNCTION("""COMPUTED_VALUE"""),"#N/A")</f>
        <v>#N/A</v>
      </c>
      <c r="J658" s="2" t="str">
        <f>IFERROR(__xludf.DUMMYFUNCTION("""COMPUTED_VALUE"""),"Đóng theo đơn gần nhất")</f>
        <v>Đóng theo đơn gần nhất</v>
      </c>
      <c r="K658" s="2"/>
      <c r="L658" s="2" t="str">
        <f>IFERROR(__xludf.DUMMYFUNCTION("""COMPUTED_VALUE"""),"BB28040725")</f>
        <v>BB28040725</v>
      </c>
      <c r="M658" s="2" t="str">
        <f>IFERROR(__xludf.DUMMYFUNCTION("""COMPUTED_VALUE"""),"BAMBOO 10.10.20 TE")</f>
        <v>BAMBOO 10.10.20 TE</v>
      </c>
      <c r="N658" s="2" t="str">
        <f>IFERROR(__xludf.DUMMYFUNCTION("""COMPUTED_VALUE"""),"04VG0038V1")</f>
        <v>04VG0038V1</v>
      </c>
      <c r="O658" s="2" t="str">
        <f>IFERROR(__xludf.DUMMYFUNCTION("""COMPUTED_VALUE"""),"Phân bón hỗn hợp NPK GNC 102")</f>
        <v>Phân bón hỗn hợp NPK GNC 102</v>
      </c>
      <c r="P658" s="2" t="str">
        <f>IFERROR(__xludf.DUMMYFUNCTION("""COMPUTED_VALUE"""),"#N/A")</f>
        <v>#N/A</v>
      </c>
      <c r="Q658" s="30" t="str">
        <f>IFERROR(__xludf.DUMMYFUNCTION("""COMPUTED_VALUE"""),"KHÔNG KHỚP")</f>
        <v>KHÔNG KHỚP</v>
      </c>
      <c r="R658" s="2"/>
      <c r="S658" s="2"/>
      <c r="T658" s="2"/>
      <c r="U658" s="2"/>
      <c r="V658" s="2"/>
      <c r="W658" s="2"/>
      <c r="X658" s="2"/>
      <c r="Y658" s="2"/>
    </row>
    <row r="659">
      <c r="A659" s="30">
        <f>IFERROR(__xludf.DUMMYFUNCTION("""COMPUTED_VALUE"""),656.0)</f>
        <v>656</v>
      </c>
      <c r="B659" s="39">
        <f>IFERROR(__xludf.DUMMYFUNCTION("""COMPUTED_VALUE"""),45959.0)</f>
        <v>45959</v>
      </c>
      <c r="C659" s="30">
        <f>IFERROR(__xludf.DUMMYFUNCTION("""COMPUTED_VALUE"""),7.0)</f>
        <v>7</v>
      </c>
      <c r="D659" s="30" t="str">
        <f>IFERROR(__xludf.DUMMYFUNCTION("""COMPUTED_VALUE"""),"CT CŨ")</f>
        <v>CT CŨ</v>
      </c>
      <c r="E659" s="30"/>
      <c r="F659" s="2"/>
      <c r="G659" s="2" t="str">
        <f>IFERROR(__xludf.DUMMYFUNCTION("""COMPUTED_VALUE"""),"HH4187")</f>
        <v>HH4187</v>
      </c>
      <c r="H659" s="2" t="str">
        <f>IFERROR(__xludf.DUMMYFUNCTION("""COMPUTED_VALUE"""),"GC - IX - 4187 - N2SBIO - N2 ULTRA LOCK (Dạng SC - Trắng sữa) - 500ml - 40")</f>
        <v>GC - IX - 4187 - N2SBIO - N2 ULTRA LOCK (Dạng SC - Trắng sữa) - 500ml - 40</v>
      </c>
      <c r="I659" s="39" t="str">
        <f>IFERROR(__xludf.DUMMYFUNCTION("""COMPUTED_VALUE"""),"Lá PK-Trung Lượng NBC-Photphonate")</f>
        <v>Lá PK-Trung Lượng NBC-Photphonate</v>
      </c>
      <c r="J659" s="2" t="str">
        <f>IFERROR(__xludf.DUMMYFUNCTION("""COMPUTED_VALUE"""),"N04290725")</f>
        <v>N04290725</v>
      </c>
      <c r="K659" s="2"/>
      <c r="L659" s="2" t="str">
        <f>IFERROR(__xludf.DUMMYFUNCTION("""COMPUTED_VALUE"""),"N04290725")</f>
        <v>N04290725</v>
      </c>
      <c r="M659" s="2" t="str">
        <f>IFERROR(__xludf.DUMMYFUNCTION("""COMPUTED_VALUE"""),"N2 ULTRA LOCK")</f>
        <v>N2 ULTRA LOCK</v>
      </c>
      <c r="N659" s="2" t="str">
        <f>IFERROR(__xludf.DUMMYFUNCTION("""COMPUTED_VALUE"""),"06CD0016V1")</f>
        <v>06CD0016V1</v>
      </c>
      <c r="O659" s="2" t="str">
        <f>IFERROR(__xludf.DUMMYFUNCTION("""COMPUTED_VALUE"""),"Phân bón lá PK-Trung lượng NBC-PHOTPHONATE")</f>
        <v>Phân bón lá PK-Trung lượng NBC-PHOTPHONATE</v>
      </c>
      <c r="P659" s="2" t="str">
        <f>IFERROR(__xludf.DUMMYFUNCTION("""COMPUTED_VALUE"""),"Phân bón Lá PK-Trung Lượng NBC-Photphonate")</f>
        <v>Phân bón Lá PK-Trung Lượng NBC-Photphonate</v>
      </c>
      <c r="Q659" s="30" t="str">
        <f>IFERROR(__xludf.DUMMYFUNCTION("""COMPUTED_VALUE"""),"KHỚP")</f>
        <v>KHỚP</v>
      </c>
      <c r="R659" s="2"/>
      <c r="S659" s="2"/>
      <c r="T659" s="2"/>
      <c r="U659" s="2"/>
      <c r="V659" s="2"/>
      <c r="W659" s="2"/>
      <c r="X659" s="2"/>
      <c r="Y659" s="2"/>
    </row>
    <row r="660">
      <c r="A660" s="30">
        <f>IFERROR(__xludf.DUMMYFUNCTION("""COMPUTED_VALUE"""),657.0)</f>
        <v>657</v>
      </c>
      <c r="B660" s="39">
        <f>IFERROR(__xludf.DUMMYFUNCTION("""COMPUTED_VALUE"""),46043.0)</f>
        <v>46043</v>
      </c>
      <c r="C660" s="30">
        <f>IFERROR(__xludf.DUMMYFUNCTION("""COMPUTED_VALUE"""),5.0)</f>
        <v>5</v>
      </c>
      <c r="D660" s="30" t="str">
        <f>IFERROR(__xludf.DUMMYFUNCTION("""COMPUTED_VALUE"""),"CT CŨ")</f>
        <v>CT CŨ</v>
      </c>
      <c r="E660" s="30"/>
      <c r="F660" s="2"/>
      <c r="G660" s="2" t="str">
        <f>IFERROR(__xludf.DUMMYFUNCTION("""COMPUTED_VALUE"""),"HH4067")</f>
        <v>HH4067</v>
      </c>
      <c r="H660" s="2" t="str">
        <f>IFERROR(__xludf.DUMMYFUNCTION("""COMPUTED_VALUE"""),"GC - IX - 4067 - N2SBIO - N2 ANTI STRESS (Gel nâu đen) - 500ml - 40")</f>
        <v>GC - IX - 4067 - N2SBIO - N2 ANTI STRESS (Gel nâu đen) - 500ml - 40</v>
      </c>
      <c r="I660" s="39" t="str">
        <f>IFERROR(__xludf.DUMMYFUNCTION("""COMPUTED_VALUE"""),"Lá Vô Cơ Nhiều Thành Phần NBC-ALCROP")</f>
        <v>Lá Vô Cơ Nhiều Thành Phần NBC-ALCROP</v>
      </c>
      <c r="J660" s="2" t="str">
        <f>IFERROR(__xludf.DUMMYFUNCTION("""COMPUTED_VALUE"""),"N03220825")</f>
        <v>N03220825</v>
      </c>
      <c r="K660" s="2"/>
      <c r="L660" s="2" t="str">
        <f>IFERROR(__xludf.DUMMYFUNCTION("""COMPUTED_VALUE"""),"N03220825")</f>
        <v>N03220825</v>
      </c>
      <c r="M660" s="2" t="str">
        <f>IFERROR(__xludf.DUMMYFUNCTION("""COMPUTED_VALUE"""),"N2 ANTI STRESS")</f>
        <v>N2 ANTI STRESS</v>
      </c>
      <c r="N660" s="2" t="str">
        <f>IFERROR(__xludf.DUMMYFUNCTION("""COMPUTED_VALUE"""),"23GS0012V1")</f>
        <v>23GS0012V1</v>
      </c>
      <c r="O660" s="2" t="str">
        <f>IFERROR(__xludf.DUMMYFUNCTION("""COMPUTED_VALUE"""),"Phân bón lá NBC-Alcrop")</f>
        <v>Phân bón lá NBC-Alcrop</v>
      </c>
      <c r="P660" s="2" t="str">
        <f>IFERROR(__xludf.DUMMYFUNCTION("""COMPUTED_VALUE"""),"Phân bón Lá Vô Cơ Nhiều Thành Phần NBC-ALCROP")</f>
        <v>Phân bón Lá Vô Cơ Nhiều Thành Phần NBC-ALCROP</v>
      </c>
      <c r="Q660" s="30" t="str">
        <f>IFERROR(__xludf.DUMMYFUNCTION("""COMPUTED_VALUE"""),"KHỚP")</f>
        <v>KHỚP</v>
      </c>
      <c r="R660" s="2"/>
      <c r="S660" s="2"/>
      <c r="T660" s="2"/>
      <c r="U660" s="2"/>
      <c r="V660" s="2"/>
      <c r="W660" s="2"/>
      <c r="X660" s="2"/>
      <c r="Y660" s="2"/>
    </row>
    <row r="661">
      <c r="A661" s="30">
        <f>IFERROR(__xludf.DUMMYFUNCTION("""COMPUTED_VALUE"""),658.0)</f>
        <v>658</v>
      </c>
      <c r="B661" s="39">
        <f>IFERROR(__xludf.DUMMYFUNCTION("""COMPUTED_VALUE"""),46000.0)</f>
        <v>46000</v>
      </c>
      <c r="C661" s="30">
        <f>IFERROR(__xludf.DUMMYFUNCTION("""COMPUTED_VALUE"""),1.0)</f>
        <v>1</v>
      </c>
      <c r="D661" s="30" t="str">
        <f>IFERROR(__xludf.DUMMYFUNCTION("""COMPUTED_VALUE"""),"CT CŨ")</f>
        <v>CT CŨ</v>
      </c>
      <c r="E661" s="30"/>
      <c r="F661" s="2"/>
      <c r="G661" s="2" t="str">
        <f>IFERROR(__xludf.DUMMYFUNCTION("""COMPUTED_VALUE"""),"HH4722")</f>
        <v>HH4722</v>
      </c>
      <c r="H661" s="2" t="str">
        <f>IFERROR(__xludf.DUMMYFUNCTION("""COMPUTED_VALUE"""),"GC - IX - 4722 - N2SBIO - N2 PHYTO PLUS (Nước nâu đen) - 500ml - 40")</f>
        <v>GC - IX - 4722 - N2SBIO - N2 PHYTO PLUS (Nước nâu đen) - 500ml - 40</v>
      </c>
      <c r="I661" s="2" t="str">
        <f>IFERROR(__xludf.DUMMYFUNCTION("""COMPUTED_VALUE"""),"#N/A")</f>
        <v>#N/A</v>
      </c>
      <c r="J661" s="2" t="str">
        <f>IFERROR(__xludf.DUMMYFUNCTION("""COMPUTED_VALUE"""),"N05181224")</f>
        <v>N05181224</v>
      </c>
      <c r="K661" s="2"/>
      <c r="L661" s="2" t="str">
        <f>IFERROR(__xludf.DUMMYFUNCTION("""COMPUTED_VALUE"""),"N05181224
X06121224")</f>
        <v>N05181224
X06121224</v>
      </c>
      <c r="M661" s="2" t="str">
        <f>IFERROR(__xludf.DUMMYFUNCTION("""COMPUTED_VALUE"""),"N2 PHYTO PLUS
DR.AB MAGSI")</f>
        <v>N2 PHYTO PLUS
DR.AB MAGSI</v>
      </c>
      <c r="N661" s="2" t="str">
        <f>IFERROR(__xludf.DUMMYFUNCTION("""COMPUTED_VALUE"""),"02CC0009V3")</f>
        <v>02CC0009V3</v>
      </c>
      <c r="O661" s="2" t="str">
        <f>IFERROR(__xludf.DUMMYFUNCTION("""COMPUTED_VALUE"""),"Phân bón Hữu cơ SH Agro Organic Fertilizer 20")</f>
        <v>Phân bón Hữu cơ SH Agro Organic Fertilizer 20</v>
      </c>
      <c r="P661" s="2" t="str">
        <f>IFERROR(__xludf.DUMMYFUNCTION("""COMPUTED_VALUE"""),"#N/A")</f>
        <v>#N/A</v>
      </c>
      <c r="Q661" s="30" t="str">
        <f>IFERROR(__xludf.DUMMYFUNCTION("""COMPUTED_VALUE"""),"KHÔNG KHỚP")</f>
        <v>KHÔNG KHỚP</v>
      </c>
      <c r="R661" s="2"/>
      <c r="S661" s="2"/>
      <c r="T661" s="2"/>
      <c r="U661" s="2"/>
      <c r="V661" s="2"/>
      <c r="W661" s="2"/>
      <c r="X661" s="2"/>
      <c r="Y661" s="2"/>
    </row>
    <row r="662">
      <c r="A662" s="30">
        <f>IFERROR(__xludf.DUMMYFUNCTION("""COMPUTED_VALUE"""),659.0)</f>
        <v>659</v>
      </c>
      <c r="B662" s="39">
        <f>IFERROR(__xludf.DUMMYFUNCTION("""COMPUTED_VALUE"""),46060.0)</f>
        <v>46060</v>
      </c>
      <c r="C662" s="30">
        <f>IFERROR(__xludf.DUMMYFUNCTION("""COMPUTED_VALUE"""),1.0)</f>
        <v>1</v>
      </c>
      <c r="D662" s="30" t="str">
        <f>IFERROR(__xludf.DUMMYFUNCTION("""COMPUTED_VALUE"""),"CT MỚI")</f>
        <v>CT MỚI</v>
      </c>
      <c r="E662" s="30"/>
      <c r="F662" s="2"/>
      <c r="G662" s="2" t="str">
        <f>IFERROR(__xludf.DUMMYFUNCTION("""COMPUTED_VALUE"""),"HH4784")</f>
        <v>HH4784</v>
      </c>
      <c r="H662" s="2" t="str">
        <f>IFERROR(__xludf.DUMMYFUNCTION("""COMPUTED_VALUE"""),"GC - V - 4784 - NHP GROUP - MAGIE KẼM (Dạng SC Xanh lá) - 500ml - 40")</f>
        <v>GC - V - 4784 - NHP GROUP - MAGIE KẼM (Dạng SC Xanh lá) - 500ml - 40</v>
      </c>
      <c r="I662" s="39" t="str">
        <f>IFERROR(__xludf.DUMMYFUNCTION("""COMPUTED_VALUE"""),"vi lượng Phú Sĩ FJ-09 Kẽm Mg")</f>
        <v>vi lượng Phú Sĩ FJ-09 Kẽm Mg</v>
      </c>
      <c r="J662" s="2" t="str">
        <f>IFERROR(__xludf.DUMMYFUNCTION("""COMPUTED_VALUE"""),"A05200825-01")</f>
        <v>A05200825-01</v>
      </c>
      <c r="K662" s="2"/>
      <c r="L662" s="2" t="str">
        <f>IFERROR(__xludf.DUMMYFUNCTION("""COMPUTED_VALUE"""),"A05200825-01")</f>
        <v>A05200825-01</v>
      </c>
      <c r="M662" s="2" t="str">
        <f>IFERROR(__xludf.DUMMYFUNCTION("""COMPUTED_VALUE"""),"AMINO MAGIE - KẼM CAO CẤP 02 (CẢI TIẾN)")</f>
        <v>AMINO MAGIE - KẼM CAO CẤP 02 (CẢI TIẾN)</v>
      </c>
      <c r="N662" s="2" t="str">
        <f>IFERROR(__xludf.DUMMYFUNCTION("""COMPUTED_VALUE"""),"23GS0022")</f>
        <v>23GS0022</v>
      </c>
      <c r="O662" s="2" t="str">
        <f>IFERROR(__xludf.DUMMYFUNCTION("""COMPUTED_VALUE"""),"Phân bón vi lượng Phú Sĩ FJ-09 Kẽm Mg")</f>
        <v>Phân bón vi lượng Phú Sĩ FJ-09 Kẽm Mg</v>
      </c>
      <c r="P662" s="2" t="str">
        <f>IFERROR(__xludf.DUMMYFUNCTION("""COMPUTED_VALUE"""),"Phân bón vi lượng Phú Sĩ FJ-09 Kẽm Mg")</f>
        <v>Phân bón vi lượng Phú Sĩ FJ-09 Kẽm Mg</v>
      </c>
      <c r="Q662" s="30" t="str">
        <f>IFERROR(__xludf.DUMMYFUNCTION("""COMPUTED_VALUE"""),"KHỚP")</f>
        <v>KHỚP</v>
      </c>
      <c r="R662" s="2"/>
      <c r="S662" s="2"/>
      <c r="T662" s="2"/>
      <c r="U662" s="2"/>
      <c r="V662" s="2"/>
      <c r="W662" s="2"/>
      <c r="X662" s="2"/>
      <c r="Y662" s="2"/>
    </row>
    <row r="663">
      <c r="A663" s="30">
        <f>IFERROR(__xludf.DUMMYFUNCTION("""COMPUTED_VALUE"""),660.0)</f>
        <v>660</v>
      </c>
      <c r="B663" s="39">
        <f>IFERROR(__xludf.DUMMYFUNCTION("""COMPUTED_VALUE"""),45896.0)</f>
        <v>45896</v>
      </c>
      <c r="C663" s="30">
        <f>IFERROR(__xludf.DUMMYFUNCTION("""COMPUTED_VALUE"""),4.0)</f>
        <v>4</v>
      </c>
      <c r="D663" s="30" t="str">
        <f>IFERROR(__xludf.DUMMYFUNCTION("""COMPUTED_VALUE"""),"CT CŨ")</f>
        <v>CT CŨ</v>
      </c>
      <c r="E663" s="30"/>
      <c r="F663" s="2"/>
      <c r="G663" s="2" t="str">
        <f>IFERROR(__xludf.DUMMYFUNCTION("""COMPUTED_VALUE"""),"HH4172")</f>
        <v>HH4172</v>
      </c>
      <c r="H663" s="2" t="str">
        <f>IFERROR(__xludf.DUMMYFUNCTION("""COMPUTED_VALUE"""),"GC - V - 4172 - CTY DONA VINA - CANXIBO ĐỒNG KẼM (Nước trắng sữa) - 500ml - 40")</f>
        <v>GC - V - 4172 - CTY DONA VINA - CANXIBO ĐỒNG KẼM (Nước trắng sữa) - 500ml - 40</v>
      </c>
      <c r="I663" s="2" t="str">
        <f>IFERROR(__xludf.DUMMYFUNCTION("""COMPUTED_VALUE"""),"#N/A")</f>
        <v>#N/A</v>
      </c>
      <c r="J663" s="2" t="str">
        <f>IFERROR(__xludf.DUMMYFUNCTION("""COMPUTED_VALUE"""),"Cùng ruột HH3883")</f>
        <v>Cùng ruột HH3883</v>
      </c>
      <c r="K663" s="2"/>
      <c r="L663" s="2" t="str">
        <f>IFERROR(__xludf.DUMMYFUNCTION("""COMPUTED_VALUE"""),"A02160725")</f>
        <v>A02160725</v>
      </c>
      <c r="M663" s="2" t="str">
        <f>IFERROR(__xludf.DUMMYFUNCTION("""COMPUTED_VALUE"""),"AGAMA-CANXI BO
(KIM NGỌC)")</f>
        <v>AGAMA-CANXI BO
(KIM NGỌC)</v>
      </c>
      <c r="N663" s="2" t="str">
        <f>IFERROR(__xludf.DUMMYFUNCTION("""COMPUTED_VALUE"""),"10CR0021")</f>
        <v>10CR0021</v>
      </c>
      <c r="O663" s="2" t="str">
        <f>IFERROR(__xludf.DUMMYFUNCTION("""COMPUTED_VALUE"""),"Phân bón Vi lượng AGAMA-CANXI BO")</f>
        <v>Phân bón Vi lượng AGAMA-CANXI BO</v>
      </c>
      <c r="P663" s="2" t="str">
        <f>IFERROR(__xludf.DUMMYFUNCTION("""COMPUTED_VALUE"""),"#N/A")</f>
        <v>#N/A</v>
      </c>
      <c r="Q663" s="30" t="str">
        <f>IFERROR(__xludf.DUMMYFUNCTION("""COMPUTED_VALUE"""),"KHÔNG KHỚP")</f>
        <v>KHÔNG KHỚP</v>
      </c>
      <c r="R663" s="2"/>
      <c r="S663" s="2"/>
      <c r="T663" s="2"/>
      <c r="U663" s="2"/>
      <c r="V663" s="2"/>
      <c r="W663" s="2"/>
      <c r="X663" s="2"/>
      <c r="Y663" s="2"/>
    </row>
    <row r="664">
      <c r="A664" s="30">
        <f>IFERROR(__xludf.DUMMYFUNCTION("""COMPUTED_VALUE"""),661.0)</f>
        <v>661</v>
      </c>
      <c r="B664" s="39">
        <f>IFERROR(__xludf.DUMMYFUNCTION("""COMPUTED_VALUE"""),46007.0)</f>
        <v>46007</v>
      </c>
      <c r="C664" s="30">
        <f>IFERROR(__xludf.DUMMYFUNCTION("""COMPUTED_VALUE"""),5.0)</f>
        <v>5</v>
      </c>
      <c r="D664" s="30" t="str">
        <f>IFERROR(__xludf.DUMMYFUNCTION("""COMPUTED_VALUE"""),"CT CŨ")</f>
        <v>CT CŨ</v>
      </c>
      <c r="E664" s="30"/>
      <c r="F664" s="2"/>
      <c r="G664" s="2" t="str">
        <f>IFERROR(__xludf.DUMMYFUNCTION("""COMPUTED_VALUE"""),"HH4653")</f>
        <v>HH4653</v>
      </c>
      <c r="H664" s="2" t="str">
        <f>IFERROR(__xludf.DUMMYFUNCTION("""COMPUTED_VALUE"""),"GC - V - 4653 - CTY THIÊN DI - KÍCH RỄ MAI VÀNG (Nước nâu đen) - 100ml - 100")</f>
        <v>GC - V - 4653 - CTY THIÊN DI - KÍCH RỄ MAI VÀNG (Nước nâu đen) - 100ml - 100</v>
      </c>
      <c r="I664" s="2" t="str">
        <f>IFERROR(__xludf.DUMMYFUNCTION("""COMPUTED_VALUE"""),"#N/A")</f>
        <v>#N/A</v>
      </c>
      <c r="J664" s="2" t="str">
        <f>IFERROR(__xludf.DUMMYFUNCTION("""COMPUTED_VALUE"""),"Cùng ruột 3673
A06050325")</f>
        <v>Cùng ruột 3673
A06050325</v>
      </c>
      <c r="K664" s="2"/>
      <c r="L664" s="2" t="str">
        <f>IFERROR(__xludf.DUMMYFUNCTION("""COMPUTED_VALUE"""),"A06050325")</f>
        <v>A06050325</v>
      </c>
      <c r="M664" s="2" t="str">
        <f>IFERROR(__xludf.DUMMYFUNCTION("""COMPUTED_VALUE"""),"KÍCH RỄ MAI VÀNG")</f>
        <v>KÍCH RỄ MAI VÀNG</v>
      </c>
      <c r="N664" s="2" t="str">
        <f>IFERROR(__xludf.DUMMYFUNCTION("""COMPUTED_VALUE"""),"01RR0046V1")</f>
        <v>01RR0046V1</v>
      </c>
      <c r="O664" s="2" t="str">
        <f>IFERROR(__xludf.DUMMYFUNCTION("""COMPUTED_VALUE"""),"Phân bón Hữu cơ SH Agro Organic Fertilizer 20")</f>
        <v>Phân bón Hữu cơ SH Agro Organic Fertilizer 20</v>
      </c>
      <c r="P664" s="2" t="str">
        <f>IFERROR(__xludf.DUMMYFUNCTION("""COMPUTED_VALUE"""),"#N/A")</f>
        <v>#N/A</v>
      </c>
      <c r="Q664" s="30" t="str">
        <f>IFERROR(__xludf.DUMMYFUNCTION("""COMPUTED_VALUE"""),"KHÔNG KHỚP")</f>
        <v>KHÔNG KHỚP</v>
      </c>
      <c r="R664" s="2"/>
      <c r="S664" s="2"/>
      <c r="T664" s="2"/>
      <c r="U664" s="2"/>
      <c r="V664" s="2"/>
      <c r="W664" s="2"/>
      <c r="X664" s="2"/>
      <c r="Y664" s="2"/>
    </row>
    <row r="665">
      <c r="A665" s="30">
        <f>IFERROR(__xludf.DUMMYFUNCTION("""COMPUTED_VALUE"""),662.0)</f>
        <v>662</v>
      </c>
      <c r="B665" s="39">
        <f>IFERROR(__xludf.DUMMYFUNCTION("""COMPUTED_VALUE"""),45892.0)</f>
        <v>45892</v>
      </c>
      <c r="C665" s="30">
        <f>IFERROR(__xludf.DUMMYFUNCTION("""COMPUTED_VALUE"""),3.0)</f>
        <v>3</v>
      </c>
      <c r="D665" s="30" t="str">
        <f>IFERROR(__xludf.DUMMYFUNCTION("""COMPUTED_VALUE"""),"CT CŨ")</f>
        <v>CT CŨ</v>
      </c>
      <c r="E665" s="30"/>
      <c r="F665" s="2"/>
      <c r="G665" s="2" t="str">
        <f>IFERROR(__xludf.DUMMYFUNCTION("""COMPUTED_VALUE"""),"HH4654")</f>
        <v>HH4654</v>
      </c>
      <c r="H665" s="2" t="str">
        <f>IFERROR(__xludf.DUMMYFUNCTION("""COMPUTED_VALUE"""),"GC - V - 4654 - CTY THIÊN DI - THIDI GREEN (Nước trắng sữa) - 500ml - 40")</f>
        <v>GC - V - 4654 - CTY THIÊN DI - THIDI GREEN (Nước trắng sữa) - 500ml - 40</v>
      </c>
      <c r="I665" s="2" t="str">
        <f>IFERROR(__xludf.DUMMYFUNCTION("""COMPUTED_VALUE"""),"#N/A")</f>
        <v>#N/A</v>
      </c>
      <c r="J665" s="2" t="str">
        <f>IFERROR(__xludf.DUMMYFUNCTION("""COMPUTED_VALUE"""),"cùng ruột HH3007")</f>
        <v>cùng ruột HH3007</v>
      </c>
      <c r="K665" s="2"/>
      <c r="L665" s="2" t="str">
        <f>IFERROR(__xludf.DUMMYFUNCTION("""COMPUTED_VALUE"""),"A02211024")</f>
        <v>A02211024</v>
      </c>
      <c r="M665" s="2" t="str">
        <f>IFERROR(__xludf.DUMMYFUNCTION("""COMPUTED_VALUE"""),"ULTRAKEO ZN+")</f>
        <v>ULTRAKEO ZN+</v>
      </c>
      <c r="N665" s="2" t="str">
        <f>IFERROR(__xludf.DUMMYFUNCTION("""COMPUTED_VALUE"""),"13XL0010")</f>
        <v>13XL0010</v>
      </c>
      <c r="O665" s="2" t="str">
        <f>IFERROR(__xludf.DUMMYFUNCTION("""COMPUTED_VALUE"""),"Phân bón Vi lượng MICKEY")</f>
        <v>Phân bón Vi lượng MICKEY</v>
      </c>
      <c r="P665" s="2" t="str">
        <f>IFERROR(__xludf.DUMMYFUNCTION("""COMPUTED_VALUE"""),"#N/A")</f>
        <v>#N/A</v>
      </c>
      <c r="Q665" s="30" t="str">
        <f>IFERROR(__xludf.DUMMYFUNCTION("""COMPUTED_VALUE"""),"KHÔNG KHỚP")</f>
        <v>KHÔNG KHỚP</v>
      </c>
      <c r="R665" s="2"/>
      <c r="S665" s="2"/>
      <c r="T665" s="2"/>
      <c r="U665" s="2"/>
      <c r="V665" s="2"/>
      <c r="W665" s="2"/>
      <c r="X665" s="2"/>
      <c r="Y665" s="2"/>
    </row>
    <row r="666">
      <c r="A666" s="30">
        <f>IFERROR(__xludf.DUMMYFUNCTION("""COMPUTED_VALUE"""),663.0)</f>
        <v>663</v>
      </c>
      <c r="B666" s="39">
        <f>IFERROR(__xludf.DUMMYFUNCTION("""COMPUTED_VALUE"""),45937.0)</f>
        <v>45937</v>
      </c>
      <c r="C666" s="30">
        <f>IFERROR(__xludf.DUMMYFUNCTION("""COMPUTED_VALUE"""),3.0)</f>
        <v>3</v>
      </c>
      <c r="D666" s="30" t="str">
        <f>IFERROR(__xludf.DUMMYFUNCTION("""COMPUTED_VALUE"""),"CT CŨ")</f>
        <v>CT CŨ</v>
      </c>
      <c r="E666" s="30"/>
      <c r="F666" s="2"/>
      <c r="G666" s="2" t="str">
        <f>IFERROR(__xludf.DUMMYFUNCTION("""COMPUTED_VALUE"""),"HH4179")</f>
        <v>HH4179</v>
      </c>
      <c r="H666" s="2" t="str">
        <f>IFERROR(__xludf.DUMMYFUNCTION("""COMPUTED_VALUE"""),"GC - V - 4179 - CTY THIÊN DI - DƯỠNG CHẤT CHUYÊN DÙNG CHO SẦU RIÊNG (Nước tím đỏ) - 500ml - 40")</f>
        <v>GC - V - 4179 - CTY THIÊN DI - DƯỠNG CHẤT CHUYÊN DÙNG CHO SẦU RIÊNG (Nước tím đỏ) - 500ml - 40</v>
      </c>
      <c r="I666" s="2" t="str">
        <f>IFERROR(__xludf.DUMMYFUNCTION("""COMPUTED_VALUE"""),"#N/A")</f>
        <v>#N/A</v>
      </c>
      <c r="J666" s="2" t="str">
        <f>IFERROR(__xludf.DUMMYFUNCTION("""COMPUTED_VALUE"""),"Cùng ruột HH3160")</f>
        <v>Cùng ruột HH3160</v>
      </c>
      <c r="K666" s="2"/>
      <c r="L666" s="2" t="str">
        <f>IFERROR(__xludf.DUMMYFUNCTION("""COMPUTED_VALUE"""),"A01090425")</f>
        <v>A01090425</v>
      </c>
      <c r="M666" s="2" t="str">
        <f>IFERROR(__xludf.DUMMYFUNCTION("""COMPUTED_VALUE"""),"DƯỠNG CHẤT VÔ CƠ CHUYÊN SẦU RIÊNG")</f>
        <v>DƯỠNG CHẤT VÔ CƠ CHUYÊN SẦU RIÊNG</v>
      </c>
      <c r="N666" s="2" t="str">
        <f>IFERROR(__xludf.DUMMYFUNCTION("""COMPUTED_VALUE"""),"19DD0018V1")</f>
        <v>19DD0018V1</v>
      </c>
      <c r="O666" s="2" t="str">
        <f>IFERROR(__xludf.DUMMYFUNCTION("""COMPUTED_VALUE"""),"Phân bón Hỗn hợp NP AGAMA-AP")</f>
        <v>Phân bón Hỗn hợp NP AGAMA-AP</v>
      </c>
      <c r="P666" s="2" t="str">
        <f>IFERROR(__xludf.DUMMYFUNCTION("""COMPUTED_VALUE"""),"#N/A")</f>
        <v>#N/A</v>
      </c>
      <c r="Q666" s="30" t="str">
        <f>IFERROR(__xludf.DUMMYFUNCTION("""COMPUTED_VALUE"""),"KHÔNG KHỚP")</f>
        <v>KHÔNG KHỚP</v>
      </c>
      <c r="R666" s="2"/>
      <c r="S666" s="2"/>
      <c r="T666" s="2"/>
      <c r="U666" s="2"/>
      <c r="V666" s="2"/>
      <c r="W666" s="2"/>
      <c r="X666" s="2"/>
      <c r="Y666" s="2"/>
    </row>
    <row r="667">
      <c r="A667" s="30">
        <f>IFERROR(__xludf.DUMMYFUNCTION("""COMPUTED_VALUE"""),664.0)</f>
        <v>664</v>
      </c>
      <c r="B667" s="39">
        <f>IFERROR(__xludf.DUMMYFUNCTION("""COMPUTED_VALUE"""),45896.0)</f>
        <v>45896</v>
      </c>
      <c r="C667" s="30">
        <f>IFERROR(__xludf.DUMMYFUNCTION("""COMPUTED_VALUE"""),4.0)</f>
        <v>4</v>
      </c>
      <c r="D667" s="30" t="str">
        <f>IFERROR(__xludf.DUMMYFUNCTION("""COMPUTED_VALUE"""),"CT CŨ")</f>
        <v>CT CŨ</v>
      </c>
      <c r="E667" s="30"/>
      <c r="F667" s="2"/>
      <c r="G667" s="2" t="str">
        <f>IFERROR(__xludf.DUMMYFUNCTION("""COMPUTED_VALUE"""),"HH4602")</f>
        <v>HH4602</v>
      </c>
      <c r="H667" s="2" t="str">
        <f>IFERROR(__xludf.DUMMYFUNCTION("""COMPUTED_VALUE"""),"GC - V - 4602 - CTY THIÊN DI - THIDI CANXIBO (Nước trắng sữa) - 500ml - 40")</f>
        <v>GC - V - 4602 - CTY THIÊN DI - THIDI CANXIBO (Nước trắng sữa) - 500ml - 40</v>
      </c>
      <c r="I667" s="2" t="str">
        <f>IFERROR(__xludf.DUMMYFUNCTION("""COMPUTED_VALUE"""),"#N/A")</f>
        <v>#N/A</v>
      </c>
      <c r="J667" s="2" t="str">
        <f>IFERROR(__xludf.DUMMYFUNCTION("""COMPUTED_VALUE"""),"A02160725")</f>
        <v>A02160725</v>
      </c>
      <c r="K667" s="2"/>
      <c r="L667" s="2" t="str">
        <f>IFERROR(__xludf.DUMMYFUNCTION("""COMPUTED_VALUE"""),"A02160725")</f>
        <v>A02160725</v>
      </c>
      <c r="M667" s="2" t="str">
        <f>IFERROR(__xludf.DUMMYFUNCTION("""COMPUTED_VALUE"""),"AGAMA-CANXI BO
(KIM NGỌC)")</f>
        <v>AGAMA-CANXI BO
(KIM NGỌC)</v>
      </c>
      <c r="N667" s="2" t="str">
        <f>IFERROR(__xludf.DUMMYFUNCTION("""COMPUTED_VALUE"""),"10CR0021")</f>
        <v>10CR0021</v>
      </c>
      <c r="O667" s="2" t="str">
        <f>IFERROR(__xludf.DUMMYFUNCTION("""COMPUTED_VALUE"""),"Phân bón Vi lượng AGAMA-CANXI BO")</f>
        <v>Phân bón Vi lượng AGAMA-CANXI BO</v>
      </c>
      <c r="P667" s="2" t="str">
        <f>IFERROR(__xludf.DUMMYFUNCTION("""COMPUTED_VALUE"""),"#N/A")</f>
        <v>#N/A</v>
      </c>
      <c r="Q667" s="30" t="str">
        <f>IFERROR(__xludf.DUMMYFUNCTION("""COMPUTED_VALUE"""),"KHÔNG KHỚP")</f>
        <v>KHÔNG KHỚP</v>
      </c>
      <c r="R667" s="2"/>
      <c r="S667" s="2"/>
      <c r="T667" s="2"/>
      <c r="U667" s="2"/>
      <c r="V667" s="2"/>
      <c r="W667" s="2"/>
      <c r="X667" s="2"/>
      <c r="Y667" s="2"/>
    </row>
    <row r="668">
      <c r="A668" s="30">
        <f>IFERROR(__xludf.DUMMYFUNCTION("""COMPUTED_VALUE"""),665.0)</f>
        <v>665</v>
      </c>
      <c r="B668" s="39">
        <f>IFERROR(__xludf.DUMMYFUNCTION("""COMPUTED_VALUE"""),46097.0)</f>
        <v>46097</v>
      </c>
      <c r="C668" s="30">
        <f>IFERROR(__xludf.DUMMYFUNCTION("""COMPUTED_VALUE"""),1.0)</f>
        <v>1</v>
      </c>
      <c r="D668" s="30" t="str">
        <f>IFERROR(__xludf.DUMMYFUNCTION("""COMPUTED_VALUE"""),"CT CŨ")</f>
        <v>CT CŨ</v>
      </c>
      <c r="E668" s="30"/>
      <c r="F668" s="2"/>
      <c r="G668" s="2" t="str">
        <f>IFERROR(__xludf.DUMMYFUNCTION("""COMPUTED_VALUE"""),"HH4699")</f>
        <v>HH4699</v>
      </c>
      <c r="H668" s="2" t="str">
        <f>IFERROR(__xludf.DUMMYFUNCTION("""COMPUTED_VALUE"""),"GC - V - 4699 - CTY GNH - BOCA (Gel đỏ cam) - 500ml - 40")</f>
        <v>GC - V - 4699 - CTY GNH - BOCA (Gel đỏ cam) - 500ml - 40</v>
      </c>
      <c r="I668" s="2" t="str">
        <f>IFERROR(__xludf.DUMMYFUNCTION("""COMPUTED_VALUE"""),"#N/A")</f>
        <v>#N/A</v>
      </c>
      <c r="J668" s="2" t="str">
        <f>IFERROR(__xludf.DUMMYFUNCTION("""COMPUTED_VALUE"""),"Cùng ruột 3412")</f>
        <v>Cùng ruột 3412</v>
      </c>
      <c r="K668" s="2"/>
      <c r="L668" s="2" t="str">
        <f>IFERROR(__xludf.DUMMYFUNCTION("""COMPUTED_VALUE"""),"A05270225")</f>
        <v>A05270225</v>
      </c>
      <c r="M668" s="2" t="str">
        <f>IFERROR(__xludf.DUMMYFUNCTION("""COMPUTED_VALUE"""),"BOCA ")</f>
        <v>BOCA </v>
      </c>
      <c r="N668" s="2" t="str">
        <f>IFERROR(__xludf.DUMMYFUNCTION("""COMPUTED_VALUE"""),"10CR0009V2")</f>
        <v>10CR0009V2</v>
      </c>
      <c r="O668" s="2" t="str">
        <f>IFERROR(__xludf.DUMMYFUNCTION("""COMPUTED_VALUE"""),"Phân bón Vi lượng Run Fast")</f>
        <v>Phân bón Vi lượng Run Fast</v>
      </c>
      <c r="P668" s="2" t="str">
        <f>IFERROR(__xludf.DUMMYFUNCTION("""COMPUTED_VALUE"""),"#N/A")</f>
        <v>#N/A</v>
      </c>
      <c r="Q668" s="30" t="str">
        <f>IFERROR(__xludf.DUMMYFUNCTION("""COMPUTED_VALUE"""),"KHÔNG KHỚP")</f>
        <v>KHÔNG KHỚP</v>
      </c>
      <c r="R668" s="2"/>
      <c r="S668" s="2"/>
      <c r="T668" s="2"/>
      <c r="U668" s="2"/>
      <c r="V668" s="2"/>
      <c r="W668" s="2"/>
      <c r="X668" s="2"/>
      <c r="Y668" s="2"/>
    </row>
    <row r="669">
      <c r="A669" s="30">
        <f>IFERROR(__xludf.DUMMYFUNCTION("""COMPUTED_VALUE"""),666.0)</f>
        <v>666</v>
      </c>
      <c r="B669" s="39">
        <f>IFERROR(__xludf.DUMMYFUNCTION("""COMPUTED_VALUE"""),46001.0)</f>
        <v>46001</v>
      </c>
      <c r="C669" s="30">
        <f>IFERROR(__xludf.DUMMYFUNCTION("""COMPUTED_VALUE"""),8.0)</f>
        <v>8</v>
      </c>
      <c r="D669" s="30" t="str">
        <f>IFERROR(__xludf.DUMMYFUNCTION("""COMPUTED_VALUE"""),"CT CŨ")</f>
        <v>CT CŨ</v>
      </c>
      <c r="E669" s="30"/>
      <c r="F669" s="2"/>
      <c r="G669" s="2" t="str">
        <f>IFERROR(__xludf.DUMMYFUNCTION("""COMPUTED_VALUE"""),"HH4262")</f>
        <v>HH4262</v>
      </c>
      <c r="H669" s="2" t="str">
        <f>IFERROR(__xludf.DUMMYFUNCTION("""COMPUTED_VALUE"""),"GC - V - 4262 - CTY HƯƠNG NÔNG - BIO HỮU CƠ (Nước nâu đen) - 10L - 1")</f>
        <v>GC - V - 4262 - CTY HƯƠNG NÔNG - BIO HỮU CƠ (Nước nâu đen) - 10L - 1</v>
      </c>
      <c r="I669" s="39" t="str">
        <f>IFERROR(__xludf.DUMMYFUNCTION("""COMPUTED_VALUE"""),"Hữu cơ Organic BM Gold  FW")</f>
        <v>Hữu cơ Organic BM Gold  FW</v>
      </c>
      <c r="J669" s="2" t="str">
        <f>IFERROR(__xludf.DUMMYFUNCTION("""COMPUTED_VALUE"""),"Cùng ruột 
HH3948")</f>
        <v>Cùng ruột 
HH3948</v>
      </c>
      <c r="K669" s="2"/>
      <c r="L669" s="2" t="str">
        <f>IFERROR(__xludf.DUMMYFUNCTION("""COMPUTED_VALUE"""),"A02281124
I01240326")</f>
        <v>A02281124
I01240326</v>
      </c>
      <c r="M669" s="2" t="str">
        <f>IFERROR(__xludf.DUMMYFUNCTION("""COMPUTED_VALUE"""),"BIO HỮU CƠ")</f>
        <v>BIO HỮU CƠ</v>
      </c>
      <c r="N669" s="2" t="str">
        <f>IFERROR(__xludf.DUMMYFUNCTION("""COMPUTED_VALUE"""),"11TT0010V1")</f>
        <v>11TT0010V1</v>
      </c>
      <c r="O669" s="2" t="str">
        <f>IFERROR(__xludf.DUMMYFUNCTION("""COMPUTED_VALUE"""),"Phân bón Hữu cơ ORGANIC BM GOLD FW")</f>
        <v>Phân bón Hữu cơ ORGANIC BM GOLD FW</v>
      </c>
      <c r="P669" s="2" t="str">
        <f>IFERROR(__xludf.DUMMYFUNCTION("""COMPUTED_VALUE"""),"Phân bón Hữu cơ Organic BM Gold  FW")</f>
        <v>Phân bón Hữu cơ Organic BM Gold  FW</v>
      </c>
      <c r="Q669" s="30" t="str">
        <f>IFERROR(__xludf.DUMMYFUNCTION("""COMPUTED_VALUE"""),"KHỚP")</f>
        <v>KHỚP</v>
      </c>
      <c r="R669" s="2"/>
      <c r="S669" s="2"/>
      <c r="T669" s="2"/>
      <c r="U669" s="2"/>
      <c r="V669" s="2"/>
      <c r="W669" s="2"/>
      <c r="X669" s="2"/>
      <c r="Y669" s="2"/>
    </row>
    <row r="670">
      <c r="A670" s="30">
        <f>IFERROR(__xludf.DUMMYFUNCTION("""COMPUTED_VALUE"""),667.0)</f>
        <v>667</v>
      </c>
      <c r="B670" s="39">
        <f>IFERROR(__xludf.DUMMYFUNCTION("""COMPUTED_VALUE"""),45905.0)</f>
        <v>45905</v>
      </c>
      <c r="C670" s="30">
        <f>IFERROR(__xludf.DUMMYFUNCTION("""COMPUTED_VALUE"""),11.0)</f>
        <v>11</v>
      </c>
      <c r="D670" s="30" t="str">
        <f>IFERROR(__xludf.DUMMYFUNCTION("""COMPUTED_VALUE"""),"CT CŨ")</f>
        <v>CT CŨ</v>
      </c>
      <c r="E670" s="30"/>
      <c r="F670" s="2"/>
      <c r="G670" s="2" t="str">
        <f>IFERROR(__xludf.DUMMYFUNCTION("""COMPUTED_VALUE"""),"HH4183")</f>
        <v>HH4183</v>
      </c>
      <c r="H670" s="2" t="str">
        <f>IFERROR(__xludf.DUMMYFUNCTION("""COMPUTED_VALUE"""),"GC - V - 4183 - Cty Hương Nông - HN-pH++ (Nước nâu đen) - 5L - 4")</f>
        <v>GC - V - 4183 - Cty Hương Nông - HN-pH++ (Nước nâu đen) - 5L - 4</v>
      </c>
      <c r="I670" s="2" t="str">
        <f>IFERROR(__xludf.DUMMYFUNCTION("""COMPUTED_VALUE"""),"#N/A")</f>
        <v>#N/A</v>
      </c>
      <c r="J670" s="2" t="str">
        <f>IFERROR(__xludf.DUMMYFUNCTION("""COMPUTED_VALUE"""),"Cùng ruột 
HH3960")</f>
        <v>Cùng ruột 
HH3960</v>
      </c>
      <c r="K670" s="2"/>
      <c r="L670" s="2"/>
      <c r="M670" s="2" t="str">
        <f>IFERROR(__xludf.DUMMYFUNCTION("""COMPUTED_VALUE"""),"HN-pH++")</f>
        <v>HN-pH++</v>
      </c>
      <c r="N670" s="2" t="str">
        <f>IFERROR(__xludf.DUMMYFUNCTION("""COMPUTED_VALUE"""),"01RR0014V4")</f>
        <v>01RR0014V4</v>
      </c>
      <c r="O670" s="2" t="str">
        <f>IFERROR(__xludf.DUMMYFUNCTION("""COMPUTED_VALUE"""),"Phân bón Hữu cơ SH Agro Organic Fertilizer 20")</f>
        <v>Phân bón Hữu cơ SH Agro Organic Fertilizer 20</v>
      </c>
      <c r="P670" s="2" t="str">
        <f>IFERROR(__xludf.DUMMYFUNCTION("""COMPUTED_VALUE"""),"#N/A")</f>
        <v>#N/A</v>
      </c>
      <c r="Q670" s="30" t="str">
        <f>IFERROR(__xludf.DUMMYFUNCTION("""COMPUTED_VALUE"""),"KHÔNG KHỚP")</f>
        <v>KHÔNG KHỚP</v>
      </c>
      <c r="R670" s="2"/>
      <c r="S670" s="2"/>
      <c r="T670" s="2"/>
      <c r="U670" s="2"/>
      <c r="V670" s="2"/>
      <c r="W670" s="2"/>
      <c r="X670" s="2"/>
      <c r="Y670" s="2"/>
    </row>
    <row r="671">
      <c r="A671" s="30">
        <f>IFERROR(__xludf.DUMMYFUNCTION("""COMPUTED_VALUE"""),668.0)</f>
        <v>668</v>
      </c>
      <c r="B671" s="39">
        <f>IFERROR(__xludf.DUMMYFUNCTION("""COMPUTED_VALUE"""),46024.0)</f>
        <v>46024</v>
      </c>
      <c r="C671" s="30">
        <f>IFERROR(__xludf.DUMMYFUNCTION("""COMPUTED_VALUE"""),4.0)</f>
        <v>4</v>
      </c>
      <c r="D671" s="30" t="str">
        <f>IFERROR(__xludf.DUMMYFUNCTION("""COMPUTED_VALUE"""),"CT CŨ")</f>
        <v>CT CŨ</v>
      </c>
      <c r="E671" s="30"/>
      <c r="F671" s="2"/>
      <c r="G671" s="2" t="str">
        <f>IFERROR(__xludf.DUMMYFUNCTION("""COMPUTED_VALUE"""),"HH4194")</f>
        <v>HH4194</v>
      </c>
      <c r="H671" s="2" t="str">
        <f>IFERROR(__xludf.DUMMYFUNCTION("""COMPUTED_VALUE"""),"GC - V - 4194 - HƯƠNG NÔNG - Tạo Mầm (Nước nâu đen) - 1L - 20")</f>
        <v>GC - V - 4194 - HƯƠNG NÔNG - Tạo Mầm (Nước nâu đen) - 1L - 20</v>
      </c>
      <c r="I671" s="2" t="str">
        <f>IFERROR(__xludf.DUMMYFUNCTION("""COMPUTED_VALUE"""),"#N/A")</f>
        <v>#N/A</v>
      </c>
      <c r="J671" s="2" t="str">
        <f>IFERROR(__xludf.DUMMYFUNCTION("""COMPUTED_VALUE"""),"Tạo mầm cùng ruột HH3606 Siêu tạo mầm")</f>
        <v>Tạo mầm cùng ruột HH3606 Siêu tạo mầm</v>
      </c>
      <c r="K671" s="2"/>
      <c r="L671" s="2"/>
      <c r="M671" s="2" t="str">
        <f>IFERROR(__xludf.DUMMYFUNCTION("""COMPUTED_VALUE"""),"SIÊU TẠO MẦM
TẠO MẦM")</f>
        <v>SIÊU TẠO MẦM
TẠO MẦM</v>
      </c>
      <c r="N671" s="2" t="str">
        <f>IFERROR(__xludf.DUMMYFUNCTION("""COMPUTED_VALUE"""),"08TM0007V2")</f>
        <v>08TM0007V2</v>
      </c>
      <c r="O671" s="2" t="str">
        <f>IFERROR(__xludf.DUMMYFUNCTION("""COMPUTED_VALUE"""),"Phân bón Vi lượng Quantity New")</f>
        <v>Phân bón Vi lượng Quantity New</v>
      </c>
      <c r="P671" s="2" t="str">
        <f>IFERROR(__xludf.DUMMYFUNCTION("""COMPUTED_VALUE"""),"#N/A")</f>
        <v>#N/A</v>
      </c>
      <c r="Q671" s="30" t="str">
        <f>IFERROR(__xludf.DUMMYFUNCTION("""COMPUTED_VALUE"""),"KHÔNG KHỚP")</f>
        <v>KHÔNG KHỚP</v>
      </c>
      <c r="R671" s="2"/>
      <c r="S671" s="2"/>
      <c r="T671" s="2"/>
      <c r="U671" s="2"/>
      <c r="V671" s="2"/>
      <c r="W671" s="2"/>
      <c r="X671" s="2"/>
      <c r="Y671" s="2"/>
    </row>
    <row r="672">
      <c r="A672" s="30">
        <f>IFERROR(__xludf.DUMMYFUNCTION("""COMPUTED_VALUE"""),669.0)</f>
        <v>669</v>
      </c>
      <c r="B672" s="39">
        <f>IFERROR(__xludf.DUMMYFUNCTION("""COMPUTED_VALUE"""),46055.0)</f>
        <v>46055</v>
      </c>
      <c r="C672" s="30">
        <f>IFERROR(__xludf.DUMMYFUNCTION("""COMPUTED_VALUE"""),3.0)</f>
        <v>3</v>
      </c>
      <c r="D672" s="30" t="str">
        <f>IFERROR(__xludf.DUMMYFUNCTION("""COMPUTED_VALUE"""),"CT CŨ")</f>
        <v>CT CŨ</v>
      </c>
      <c r="E672" s="30"/>
      <c r="F672" s="2"/>
      <c r="G672" s="2" t="str">
        <f>IFERROR(__xludf.DUMMYFUNCTION("""COMPUTED_VALUE"""),"HH4726")</f>
        <v>HH4726</v>
      </c>
      <c r="H672" s="2" t="str">
        <f>IFERROR(__xludf.DUMMYFUNCTION("""COMPUTED_VALUE"""),"LOT IDA Global - I - 4726 - An Phát Nông - CALCIBOR (Nước vàng) - 500ml - 40")</f>
        <v>LOT IDA Global - I - 4726 - An Phát Nông - CALCIBOR (Nước vàng) - 500ml - 40</v>
      </c>
      <c r="I672" s="2" t="str">
        <f>IFERROR(__xludf.DUMMYFUNCTION("""COMPUTED_VALUE"""),"#N/A")</f>
        <v>#N/A</v>
      </c>
      <c r="J672" s="2" t="str">
        <f>IFERROR(__xludf.DUMMYFUNCTION("""COMPUTED_VALUE"""),"Đóng theo đơn gần nhất")</f>
        <v>Đóng theo đơn gần nhất</v>
      </c>
      <c r="K672" s="2"/>
      <c r="L672" s="2"/>
      <c r="M672" s="2" t="str">
        <f>IFERROR(__xludf.DUMMYFUNCTION("""COMPUTED_VALUE"""),"CALCIBOR - AN PHÁT NÔNG")</f>
        <v>CALCIBOR - AN PHÁT NÔNG</v>
      </c>
      <c r="N672" s="2" t="str">
        <f>IFERROR(__xludf.DUMMYFUNCTION("""COMPUTED_VALUE"""),"10CR0011V1")</f>
        <v>10CR0011V1</v>
      </c>
      <c r="O672" s="2" t="str">
        <f>IFERROR(__xludf.DUMMYFUNCTION("""COMPUTED_VALUE"""),"Phân bón Vi lượng Run Fast")</f>
        <v>Phân bón Vi lượng Run Fast</v>
      </c>
      <c r="P672" s="2" t="str">
        <f>IFERROR(__xludf.DUMMYFUNCTION("""COMPUTED_VALUE"""),"#N/A")</f>
        <v>#N/A</v>
      </c>
      <c r="Q672" s="30" t="str">
        <f>IFERROR(__xludf.DUMMYFUNCTION("""COMPUTED_VALUE"""),"KHÔNG KHỚP")</f>
        <v>KHÔNG KHỚP</v>
      </c>
      <c r="R672" s="2"/>
      <c r="S672" s="2"/>
      <c r="T672" s="2"/>
      <c r="U672" s="2"/>
      <c r="V672" s="2"/>
      <c r="W672" s="2"/>
      <c r="X672" s="2"/>
      <c r="Y672" s="2"/>
    </row>
    <row r="673">
      <c r="A673" s="30">
        <f>IFERROR(__xludf.DUMMYFUNCTION("""COMPUTED_VALUE"""),670.0)</f>
        <v>670</v>
      </c>
      <c r="B673" s="39">
        <f>IFERROR(__xludf.DUMMYFUNCTION("""COMPUTED_VALUE"""),46060.0)</f>
        <v>46060</v>
      </c>
      <c r="C673" s="30">
        <f>IFERROR(__xludf.DUMMYFUNCTION("""COMPUTED_VALUE"""),1.0)</f>
        <v>1</v>
      </c>
      <c r="D673" s="30" t="str">
        <f>IFERROR(__xludf.DUMMYFUNCTION("""COMPUTED_VALUE"""),"CT MỚI")</f>
        <v>CT MỚI</v>
      </c>
      <c r="E673" s="30"/>
      <c r="F673" s="2"/>
      <c r="G673" s="2" t="str">
        <f>IFERROR(__xludf.DUMMYFUNCTION("""COMPUTED_VALUE"""),"HH4817")</f>
        <v>HH4817</v>
      </c>
      <c r="H673" s="2" t="str">
        <f>IFERROR(__xludf.DUMMYFUNCTION("""COMPUTED_VALUE"""),"GC - V - 4817 - Cty Hóa Nông Shino - COMBI SHINO PLUS (Nước xanh lá) - 300ml - 40")</f>
        <v>GC - V - 4817 - Cty Hóa Nông Shino - COMBI SHINO PLUS (Nước xanh lá) - 300ml - 40</v>
      </c>
      <c r="I673" s="2" t="str">
        <f>IFERROR(__xludf.DUMMYFUNCTION("""COMPUTED_VALUE"""),"#N/A")</f>
        <v>#N/A</v>
      </c>
      <c r="J673" s="2" t="str">
        <f>IFERROR(__xludf.DUMMYFUNCTION("""COMPUTED_VALUE"""),"A05200825-01")</f>
        <v>A05200825-01</v>
      </c>
      <c r="K673" s="2"/>
      <c r="L673" s="2" t="str">
        <f>IFERROR(__xludf.DUMMYFUNCTION("""COMPUTED_VALUE"""),"A05200825-01")</f>
        <v>A05200825-01</v>
      </c>
      <c r="M673" s="2" t="str">
        <f>IFERROR(__xludf.DUMMYFUNCTION("""COMPUTED_VALUE"""),"AMINO MAGIE - KẼM CAO CẤP 02 (CẢI TIẾN)")</f>
        <v>AMINO MAGIE - KẼM CAO CẤP 02 (CẢI TIẾN)</v>
      </c>
      <c r="N673" s="2" t="str">
        <f>IFERROR(__xludf.DUMMYFUNCTION("""COMPUTED_VALUE"""),"23GS0022")</f>
        <v>23GS0022</v>
      </c>
      <c r="O673" s="2" t="str">
        <f>IFERROR(__xludf.DUMMYFUNCTION("""COMPUTED_VALUE"""),"Phân bón vi lượng Phú Sĩ FJ-09 Kẽm Mg")</f>
        <v>Phân bón vi lượng Phú Sĩ FJ-09 Kẽm Mg</v>
      </c>
      <c r="P673" s="2" t="str">
        <f>IFERROR(__xludf.DUMMYFUNCTION("""COMPUTED_VALUE"""),"#N/A")</f>
        <v>#N/A</v>
      </c>
      <c r="Q673" s="30" t="str">
        <f>IFERROR(__xludf.DUMMYFUNCTION("""COMPUTED_VALUE"""),"KHÔNG KHỚP")</f>
        <v>KHÔNG KHỚP</v>
      </c>
      <c r="R673" s="2"/>
      <c r="S673" s="2"/>
      <c r="T673" s="2"/>
      <c r="U673" s="2"/>
      <c r="V673" s="2"/>
      <c r="W673" s="2"/>
      <c r="X673" s="2"/>
      <c r="Y673" s="2"/>
    </row>
    <row r="674">
      <c r="A674" s="30">
        <f>IFERROR(__xludf.DUMMYFUNCTION("""COMPUTED_VALUE"""),671.0)</f>
        <v>671</v>
      </c>
      <c r="B674" s="39">
        <f>IFERROR(__xludf.DUMMYFUNCTION("""COMPUTED_VALUE"""),45896.0)</f>
        <v>45896</v>
      </c>
      <c r="C674" s="30">
        <f>IFERROR(__xludf.DUMMYFUNCTION("""COMPUTED_VALUE"""),1.0)</f>
        <v>1</v>
      </c>
      <c r="D674" s="30" t="str">
        <f>IFERROR(__xludf.DUMMYFUNCTION("""COMPUTED_VALUE"""),"CT CŨ")</f>
        <v>CT CŨ</v>
      </c>
      <c r="E674" s="30"/>
      <c r="F674" s="2"/>
      <c r="G674" s="2" t="str">
        <f>IFERROR(__xludf.DUMMYFUNCTION("""COMPUTED_VALUE"""),"HH4725")</f>
        <v>HH4725</v>
      </c>
      <c r="H674" s="2" t="str">
        <f>IFERROR(__xludf.DUMMYFUNCTION("""COMPUTED_VALUE"""),"GC - V - 4725 - KIM NGỌC - AGAMA-CANXI BO (Nước trắng sữa) - 500ml - 40")</f>
        <v>GC - V - 4725 - KIM NGỌC - AGAMA-CANXI BO (Nước trắng sữa) - 500ml - 40</v>
      </c>
      <c r="I674" s="39" t="str">
        <f>IFERROR(__xludf.DUMMYFUNCTION("""COMPUTED_VALUE"""),"Vi lượng AGAMA-CANXI BO")</f>
        <v>Vi lượng AGAMA-CANXI BO</v>
      </c>
      <c r="J674" s="2" t="str">
        <f>IFERROR(__xludf.DUMMYFUNCTION("""COMPUTED_VALUE"""),"A02160725")</f>
        <v>A02160725</v>
      </c>
      <c r="K674" s="2"/>
      <c r="L674" s="2" t="str">
        <f>IFERROR(__xludf.DUMMYFUNCTION("""COMPUTED_VALUE"""),"A02160725")</f>
        <v>A02160725</v>
      </c>
      <c r="M674" s="2" t="str">
        <f>IFERROR(__xludf.DUMMYFUNCTION("""COMPUTED_VALUE"""),"AGAMA-CANXI BO
(KIM NGỌC)")</f>
        <v>AGAMA-CANXI BO
(KIM NGỌC)</v>
      </c>
      <c r="N674" s="2" t="str">
        <f>IFERROR(__xludf.DUMMYFUNCTION("""COMPUTED_VALUE"""),"10CR0021")</f>
        <v>10CR0021</v>
      </c>
      <c r="O674" s="2" t="str">
        <f>IFERROR(__xludf.DUMMYFUNCTION("""COMPUTED_VALUE"""),"Phân bón Vi lượng AGAMA-CANXI BO")</f>
        <v>Phân bón Vi lượng AGAMA-CANXI BO</v>
      </c>
      <c r="P674" s="2" t="str">
        <f>IFERROR(__xludf.DUMMYFUNCTION("""COMPUTED_VALUE"""),"Phân bón Vi lượng AGAMA-CANXI BO")</f>
        <v>Phân bón Vi lượng AGAMA-CANXI BO</v>
      </c>
      <c r="Q674" s="30" t="str">
        <f>IFERROR(__xludf.DUMMYFUNCTION("""COMPUTED_VALUE"""),"KHỚP")</f>
        <v>KHỚP</v>
      </c>
      <c r="R674" s="2"/>
      <c r="S674" s="2"/>
      <c r="T674" s="2"/>
      <c r="U674" s="2"/>
      <c r="V674" s="2"/>
      <c r="W674" s="2"/>
      <c r="X674" s="2"/>
      <c r="Y674" s="2"/>
    </row>
    <row r="675">
      <c r="A675" s="30">
        <f>IFERROR(__xludf.DUMMYFUNCTION("""COMPUTED_VALUE"""),672.0)</f>
        <v>672</v>
      </c>
      <c r="B675" s="39">
        <f>IFERROR(__xludf.DUMMYFUNCTION("""COMPUTED_VALUE"""),45905.0)</f>
        <v>45905</v>
      </c>
      <c r="C675" s="30">
        <f>IFERROR(__xludf.DUMMYFUNCTION("""COMPUTED_VALUE"""),2.0)</f>
        <v>2</v>
      </c>
      <c r="D675" s="30" t="str">
        <f>IFERROR(__xludf.DUMMYFUNCTION("""COMPUTED_VALUE"""),"CT CŨ")</f>
        <v>CT CŨ</v>
      </c>
      <c r="E675" s="30"/>
      <c r="F675" s="2"/>
      <c r="G675" s="2" t="str">
        <f>IFERROR(__xludf.DUMMYFUNCTION("""COMPUTED_VALUE"""),"HH4327")</f>
        <v>HH4327</v>
      </c>
      <c r="H675" s="2" t="str">
        <f>IFERROR(__xludf.DUMMYFUNCTION("""COMPUTED_VALUE"""),"GC - IV - 4327 - Cty Hóa Nông Shino - SHINO ĐỒNG (Nước xanh dương) - 250ml - 40")</f>
        <v>GC - IV - 4327 - Cty Hóa Nông Shino - SHINO ĐỒNG (Nước xanh dương) - 250ml - 40</v>
      </c>
      <c r="I675" s="2" t="str">
        <f>IFERROR(__xludf.DUMMYFUNCTION("""COMPUTED_VALUE"""),"#N/A")</f>
        <v>#N/A</v>
      </c>
      <c r="J675" s="2" t="str">
        <f>IFERROR(__xludf.DUMMYFUNCTION("""COMPUTED_VALUE"""),"A02300524")</f>
        <v>A02300524</v>
      </c>
      <c r="K675" s="2"/>
      <c r="L675" s="2" t="str">
        <f>IFERROR(__xludf.DUMMYFUNCTION("""COMPUTED_VALUE"""),"A02300524")</f>
        <v>A02300524</v>
      </c>
      <c r="M675" s="2" t="str">
        <f>IFERROR(__xludf.DUMMYFUNCTION("""COMPUTED_VALUE"""),"NANO CU ")</f>
        <v>NANO CU </v>
      </c>
      <c r="N675" s="2" t="str">
        <f>IFERROR(__xludf.DUMMYFUNCTION("""COMPUTED_VALUE"""),"17KN0007")</f>
        <v>17KN0007</v>
      </c>
      <c r="O675" s="2" t="str">
        <f>IFERROR(__xludf.DUMMYFUNCTION("""COMPUTED_VALUE"""),"Phân bón Vi lượng Agama-CU")</f>
        <v>Phân bón Vi lượng Agama-CU</v>
      </c>
      <c r="P675" s="2" t="str">
        <f>IFERROR(__xludf.DUMMYFUNCTION("""COMPUTED_VALUE"""),"#N/A")</f>
        <v>#N/A</v>
      </c>
      <c r="Q675" s="30" t="str">
        <f>IFERROR(__xludf.DUMMYFUNCTION("""COMPUTED_VALUE"""),"KHỚP")</f>
        <v>KHỚP</v>
      </c>
      <c r="R675" s="2"/>
      <c r="S675" s="2"/>
      <c r="T675" s="2"/>
      <c r="U675" s="2"/>
      <c r="V675" s="2"/>
      <c r="W675" s="2"/>
      <c r="X675" s="2"/>
      <c r="Y675" s="2"/>
    </row>
    <row r="676">
      <c r="A676" s="30">
        <f>IFERROR(__xludf.DUMMYFUNCTION("""COMPUTED_VALUE"""),673.0)</f>
        <v>673</v>
      </c>
      <c r="B676" s="39">
        <f>IFERROR(__xludf.DUMMYFUNCTION("""COMPUTED_VALUE"""),45896.0)</f>
        <v>45896</v>
      </c>
      <c r="C676" s="30">
        <f>IFERROR(__xludf.DUMMYFUNCTION("""COMPUTED_VALUE"""),2.0)</f>
        <v>2</v>
      </c>
      <c r="D676" s="30" t="str">
        <f>IFERROR(__xludf.DUMMYFUNCTION("""COMPUTED_VALUE"""),"CT CŨ")</f>
        <v>CT CŨ</v>
      </c>
      <c r="E676" s="30"/>
      <c r="F676" s="2"/>
      <c r="G676" s="2" t="str">
        <f>IFERROR(__xludf.DUMMYFUNCTION("""COMPUTED_VALUE"""),"HH4013")</f>
        <v>HH4013</v>
      </c>
      <c r="H676" s="2" t="str">
        <f>IFERROR(__xludf.DUMMYFUNCTION("""COMPUTED_VALUE"""),"GC - IV - 4013 - BIO FARMS - BIO CANXI BO (Nước trắng sữa) - 250ml - 40")</f>
        <v>GC - IV - 4013 - BIO FARMS - BIO CANXI BO (Nước trắng sữa) - 250ml - 40</v>
      </c>
      <c r="I676" s="2" t="str">
        <f>IFERROR(__xludf.DUMMYFUNCTION("""COMPUTED_VALUE"""),"#N/A")</f>
        <v>#N/A</v>
      </c>
      <c r="J676" s="2" t="str">
        <f>IFERROR(__xludf.DUMMYFUNCTION("""COMPUTED_VALUE"""),"A02160725")</f>
        <v>A02160725</v>
      </c>
      <c r="K676" s="2"/>
      <c r="L676" s="2" t="str">
        <f>IFERROR(__xludf.DUMMYFUNCTION("""COMPUTED_VALUE"""),"A02160725")</f>
        <v>A02160725</v>
      </c>
      <c r="M676" s="2" t="str">
        <f>IFERROR(__xludf.DUMMYFUNCTION("""COMPUTED_VALUE"""),"AGAMA-CANXI BO
(KIM NGỌC)")</f>
        <v>AGAMA-CANXI BO
(KIM NGỌC)</v>
      </c>
      <c r="N676" s="2" t="str">
        <f>IFERROR(__xludf.DUMMYFUNCTION("""COMPUTED_VALUE"""),"10CR0021")</f>
        <v>10CR0021</v>
      </c>
      <c r="O676" s="2" t="str">
        <f>IFERROR(__xludf.DUMMYFUNCTION("""COMPUTED_VALUE"""),"Phân bón Vi lượng AGAMA-CANXI BO")</f>
        <v>Phân bón Vi lượng AGAMA-CANXI BO</v>
      </c>
      <c r="P676" s="2" t="str">
        <f>IFERROR(__xludf.DUMMYFUNCTION("""COMPUTED_VALUE"""),"#N/A")</f>
        <v>#N/A</v>
      </c>
      <c r="Q676" s="30" t="str">
        <f>IFERROR(__xludf.DUMMYFUNCTION("""COMPUTED_VALUE"""),"KHÔNG KHỚP")</f>
        <v>KHÔNG KHỚP</v>
      </c>
      <c r="R676" s="2"/>
      <c r="S676" s="2"/>
      <c r="T676" s="2"/>
      <c r="U676" s="2"/>
      <c r="V676" s="2"/>
      <c r="W676" s="2"/>
      <c r="X676" s="2"/>
      <c r="Y676" s="2"/>
    </row>
    <row r="677">
      <c r="A677" s="30">
        <f>IFERROR(__xludf.DUMMYFUNCTION("""COMPUTED_VALUE"""),674.0)</f>
        <v>674</v>
      </c>
      <c r="B677" s="39">
        <f>IFERROR(__xludf.DUMMYFUNCTION("""COMPUTED_VALUE"""),46036.0)</f>
        <v>46036</v>
      </c>
      <c r="C677" s="30">
        <f>IFERROR(__xludf.DUMMYFUNCTION("""COMPUTED_VALUE"""),4.0)</f>
        <v>4</v>
      </c>
      <c r="D677" s="30" t="str">
        <f>IFERROR(__xludf.DUMMYFUNCTION("""COMPUTED_VALUE"""),"CT CŨ")</f>
        <v>CT CŨ</v>
      </c>
      <c r="E677" s="30"/>
      <c r="F677" s="2"/>
      <c r="G677" s="2" t="str">
        <f>IFERROR(__xludf.DUMMYFUNCTION("""COMPUTED_VALUE"""),"HH4642")</f>
        <v>HH4642</v>
      </c>
      <c r="H677" s="2" t="str">
        <f>IFERROR(__xludf.DUMMYFUNCTION("""COMPUTED_VALUE"""),"GC - V - 4642 - CTY HÓA NÔNG ĐẤT VIỆT - ĐẤT VIỆT BIOGREEN (Nước nâu đen) - 20 lít - 1")</f>
        <v>GC - V - 4642 - CTY HÓA NÔNG ĐẤT VIỆT - ĐẤT VIỆT BIOGREEN (Nước nâu đen) - 20 lít - 1</v>
      </c>
      <c r="I677" s="39" t="str">
        <f>IFERROR(__xludf.DUMMYFUNCTION("""COMPUTED_VALUE"""),"Hữu Cơ Organic ĐGP 01")</f>
        <v>Hữu Cơ Organic ĐGP 01</v>
      </c>
      <c r="J677" s="2" t="str">
        <f>IFERROR(__xludf.DUMMYFUNCTION("""COMPUTED_VALUE"""),"A05181225- 01")</f>
        <v>A05181225- 01</v>
      </c>
      <c r="K677" s="2"/>
      <c r="L677" s="2" t="str">
        <f>IFERROR(__xludf.DUMMYFUNCTION("""COMPUTED_VALUE"""),"A05181225-01
I03240326")</f>
        <v>A05181225-01
I03240326</v>
      </c>
      <c r="M677" s="2" t="str">
        <f>IFERROR(__xludf.DUMMYFUNCTION("""COMPUTED_VALUE"""),"HỮU CƠ 20%")</f>
        <v>HỮU CƠ 20%</v>
      </c>
      <c r="N677" s="2" t="str">
        <f>IFERROR(__xludf.DUMMYFUNCTION("""COMPUTED_VALUE"""),"01RR0079V1")</f>
        <v>01RR0079V1</v>
      </c>
      <c r="O677" s="2" t="str">
        <f>IFERROR(__xludf.DUMMYFUNCTION("""COMPUTED_VALUE"""),"Phân bón Hữu cơ ORGANIC ĐGP 01 ")</f>
        <v>Phân bón Hữu cơ ORGANIC ĐGP 01 </v>
      </c>
      <c r="P677" s="2" t="str">
        <f>IFERROR(__xludf.DUMMYFUNCTION("""COMPUTED_VALUE"""),"Phân bón Hữu Cơ Organic ĐGP 01")</f>
        <v>Phân bón Hữu Cơ Organic ĐGP 01</v>
      </c>
      <c r="Q677" s="30" t="str">
        <f>IFERROR(__xludf.DUMMYFUNCTION("""COMPUTED_VALUE"""),"KHỚP")</f>
        <v>KHỚP</v>
      </c>
      <c r="R677" s="2"/>
      <c r="S677" s="2"/>
      <c r="T677" s="2"/>
      <c r="U677" s="2"/>
      <c r="V677" s="2"/>
      <c r="W677" s="2"/>
      <c r="X677" s="2"/>
      <c r="Y677" s="2"/>
    </row>
    <row r="678">
      <c r="A678" s="30">
        <f>IFERROR(__xludf.DUMMYFUNCTION("""COMPUTED_VALUE"""),675.0)</f>
        <v>675</v>
      </c>
      <c r="B678" s="39">
        <f>IFERROR(__xludf.DUMMYFUNCTION("""COMPUTED_VALUE"""),45909.0)</f>
        <v>45909</v>
      </c>
      <c r="C678" s="30">
        <f>IFERROR(__xludf.DUMMYFUNCTION("""COMPUTED_VALUE"""),2.0)</f>
        <v>2</v>
      </c>
      <c r="D678" s="30" t="str">
        <f>IFERROR(__xludf.DUMMYFUNCTION("""COMPUTED_VALUE"""),"CT CŨ")</f>
        <v>CT CŨ</v>
      </c>
      <c r="E678" s="30"/>
      <c r="F678" s="2"/>
      <c r="G678" s="2" t="str">
        <f>IFERROR(__xludf.DUMMYFUNCTION("""COMPUTED_VALUE"""),"HH4730")</f>
        <v>HH4730</v>
      </c>
      <c r="H678" s="2" t="str">
        <f>IFERROR(__xludf.DUMMYFUNCTION("""COMPUTED_VALUE"""),"GC - V - 4730 - WINDY ALS - ZINC-MAGIE (Dạng SC - Xanh lá) - 450ml - 40")</f>
        <v>GC - V - 4730 - WINDY ALS - ZINC-MAGIE (Dạng SC - Xanh lá) - 450ml - 40</v>
      </c>
      <c r="I678" s="2" t="str">
        <f>IFERROR(__xludf.DUMMYFUNCTION("""COMPUTED_VALUE"""),"#N/A")</f>
        <v>#N/A</v>
      </c>
      <c r="J678" s="2" t="str">
        <f>IFERROR(__xludf.DUMMYFUNCTION("""COMPUTED_VALUE"""),"A05200825")</f>
        <v>A05200825</v>
      </c>
      <c r="K678" s="2"/>
      <c r="L678" s="2" t="str">
        <f>IFERROR(__xludf.DUMMYFUNCTION("""COMPUTED_VALUE"""),"A05200825")</f>
        <v>A05200825</v>
      </c>
      <c r="M678" s="2" t="str">
        <f>IFERROR(__xludf.DUMMYFUNCTION("""COMPUTED_VALUE"""),"AMINO MAGIE - KẼM CAO CẤP 02")</f>
        <v>AMINO MAGIE - KẼM CAO CẤP 02</v>
      </c>
      <c r="N678" s="2" t="str">
        <f>IFERROR(__xludf.DUMMYFUNCTION("""COMPUTED_VALUE"""),"23GS0011")</f>
        <v>23GS0011</v>
      </c>
      <c r="O678" s="2" t="str">
        <f>IFERROR(__xludf.DUMMYFUNCTION("""COMPUTED_VALUE"""),"Phân bón vi lượng Phú Sĩ FJ-09 Kẽm Mg")</f>
        <v>Phân bón vi lượng Phú Sĩ FJ-09 Kẽm Mg</v>
      </c>
      <c r="P678" s="2" t="str">
        <f>IFERROR(__xludf.DUMMYFUNCTION("""COMPUTED_VALUE"""),"#N/A")</f>
        <v>#N/A</v>
      </c>
      <c r="Q678" s="30" t="str">
        <f>IFERROR(__xludf.DUMMYFUNCTION("""COMPUTED_VALUE"""),"KHÔNG KHỚP")</f>
        <v>KHÔNG KHỚP</v>
      </c>
      <c r="R678" s="2"/>
      <c r="S678" s="2"/>
      <c r="T678" s="2"/>
      <c r="U678" s="2"/>
      <c r="V678" s="2"/>
      <c r="W678" s="2"/>
      <c r="X678" s="2"/>
      <c r="Y678" s="2"/>
    </row>
    <row r="679">
      <c r="A679" s="30">
        <f>IFERROR(__xludf.DUMMYFUNCTION("""COMPUTED_VALUE"""),676.0)</f>
        <v>676</v>
      </c>
      <c r="B679" s="39">
        <f>IFERROR(__xludf.DUMMYFUNCTION("""COMPUTED_VALUE"""),45993.0)</f>
        <v>45993</v>
      </c>
      <c r="C679" s="30">
        <f>IFERROR(__xludf.DUMMYFUNCTION("""COMPUTED_VALUE"""),2.0)</f>
        <v>2</v>
      </c>
      <c r="D679" s="30" t="str">
        <f>IFERROR(__xludf.DUMMYFUNCTION("""COMPUTED_VALUE"""),"CT CŨ")</f>
        <v>CT CŨ</v>
      </c>
      <c r="E679" s="30"/>
      <c r="F679" s="2"/>
      <c r="G679" s="2" t="str">
        <f>IFERROR(__xludf.DUMMYFUNCTION("""COMPUTED_VALUE"""),"HH4731")</f>
        <v>HH4731</v>
      </c>
      <c r="H679" s="2" t="str">
        <f>IFERROR(__xludf.DUMMYFUNCTION("""COMPUTED_VALUE"""),"GC - V - 4731 - WINDY ALS - BOOM GOLD (Nước nâu đen) - 250ml - 40")</f>
        <v>GC - V - 4731 - WINDY ALS - BOOM GOLD (Nước nâu đen) - 250ml - 40</v>
      </c>
      <c r="I679" s="2" t="str">
        <f>IFERROR(__xludf.DUMMYFUNCTION("""COMPUTED_VALUE"""),"#N/A")</f>
        <v>#N/A</v>
      </c>
      <c r="J679" s="2" t="str">
        <f>IFERROR(__xludf.DUMMYFUNCTION("""COMPUTED_VALUE"""),"A01200225-02")</f>
        <v>A01200225-02</v>
      </c>
      <c r="K679" s="2"/>
      <c r="L679" s="2" t="str">
        <f>IFERROR(__xludf.DUMMYFUNCTION("""COMPUTED_VALUE"""),"A01200225-02")</f>
        <v>A01200225-02</v>
      </c>
      <c r="M679" s="2" t="str">
        <f>IFERROR(__xludf.DUMMYFUNCTION("""COMPUTED_VALUE"""),"BOOMGOLD
AGRI BOOST")</f>
        <v>BOOMGOLD
AGRI BOOST</v>
      </c>
      <c r="N679" s="2" t="str">
        <f>IFERROR(__xludf.DUMMYFUNCTION("""COMPUTED_VALUE"""),"10CR0019V1")</f>
        <v>10CR0019V1</v>
      </c>
      <c r="O679" s="2" t="str">
        <f>IFERROR(__xludf.DUMMYFUNCTION("""COMPUTED_VALUE"""),"Phân bón Hữu cơ SH Agro Organic Fertilizer 20")</f>
        <v>Phân bón Hữu cơ SH Agro Organic Fertilizer 20</v>
      </c>
      <c r="P679" s="2" t="str">
        <f>IFERROR(__xludf.DUMMYFUNCTION("""COMPUTED_VALUE"""),"#N/A")</f>
        <v>#N/A</v>
      </c>
      <c r="Q679" s="30" t="str">
        <f>IFERROR(__xludf.DUMMYFUNCTION("""COMPUTED_VALUE"""),"KHÔNG KHỚP")</f>
        <v>KHÔNG KHỚP</v>
      </c>
      <c r="R679" s="2"/>
      <c r="S679" s="2"/>
      <c r="T679" s="2"/>
      <c r="U679" s="2"/>
      <c r="V679" s="2"/>
      <c r="W679" s="2"/>
      <c r="X679" s="2"/>
      <c r="Y679" s="2"/>
    </row>
    <row r="680">
      <c r="A680" s="30">
        <f>IFERROR(__xludf.DUMMYFUNCTION("""COMPUTED_VALUE"""),677.0)</f>
        <v>677</v>
      </c>
      <c r="B680" s="39">
        <f>IFERROR(__xludf.DUMMYFUNCTION("""COMPUTED_VALUE"""),45896.0)</f>
        <v>45896</v>
      </c>
      <c r="C680" s="30">
        <f>IFERROR(__xludf.DUMMYFUNCTION("""COMPUTED_VALUE"""),2.0)</f>
        <v>2</v>
      </c>
      <c r="D680" s="30" t="str">
        <f>IFERROR(__xludf.DUMMYFUNCTION("""COMPUTED_VALUE"""),"CT CŨ")</f>
        <v>CT CŨ</v>
      </c>
      <c r="E680" s="30"/>
      <c r="F680" s="2"/>
      <c r="G680" s="2" t="str">
        <f>IFERROR(__xludf.DUMMYFUNCTION("""COMPUTED_VALUE"""),"HH4729")</f>
        <v>HH4729</v>
      </c>
      <c r="H680" s="2" t="str">
        <f>IFERROR(__xludf.DUMMYFUNCTION("""COMPUTED_VALUE"""),"GC - V - 4729 - WINDY ALS - CALCIBOZIN (Dạng SC - Trắng sữa) - 500ml - 40")</f>
        <v>GC - V - 4729 - WINDY ALS - CALCIBOZIN (Dạng SC - Trắng sữa) - 500ml - 40</v>
      </c>
      <c r="I680" s="2" t="str">
        <f>IFERROR(__xludf.DUMMYFUNCTION("""COMPUTED_VALUE"""),"#N/A")</f>
        <v>#N/A</v>
      </c>
      <c r="J680" s="2" t="str">
        <f>IFERROR(__xludf.DUMMYFUNCTION("""COMPUTED_VALUE"""),"A02160725")</f>
        <v>A02160725</v>
      </c>
      <c r="K680" s="2"/>
      <c r="L680" s="2" t="str">
        <f>IFERROR(__xludf.DUMMYFUNCTION("""COMPUTED_VALUE"""),"A02160725")</f>
        <v>A02160725</v>
      </c>
      <c r="M680" s="2" t="str">
        <f>IFERROR(__xludf.DUMMYFUNCTION("""COMPUTED_VALUE"""),"AGAMA-CANXI BO
(KIM NGỌC)")</f>
        <v>AGAMA-CANXI BO
(KIM NGỌC)</v>
      </c>
      <c r="N680" s="2" t="str">
        <f>IFERROR(__xludf.DUMMYFUNCTION("""COMPUTED_VALUE"""),"10CR0021")</f>
        <v>10CR0021</v>
      </c>
      <c r="O680" s="2" t="str">
        <f>IFERROR(__xludf.DUMMYFUNCTION("""COMPUTED_VALUE"""),"Phân bón Vi lượng AGAMA-CANXI BO")</f>
        <v>Phân bón Vi lượng AGAMA-CANXI BO</v>
      </c>
      <c r="P680" s="2" t="str">
        <f>IFERROR(__xludf.DUMMYFUNCTION("""COMPUTED_VALUE"""),"#N/A")</f>
        <v>#N/A</v>
      </c>
      <c r="Q680" s="30" t="str">
        <f>IFERROR(__xludf.DUMMYFUNCTION("""COMPUTED_VALUE"""),"KHÔNG KHỚP")</f>
        <v>KHÔNG KHỚP</v>
      </c>
      <c r="R680" s="2"/>
      <c r="S680" s="2"/>
      <c r="T680" s="2"/>
      <c r="U680" s="2"/>
      <c r="V680" s="2"/>
      <c r="W680" s="2"/>
      <c r="X680" s="2"/>
      <c r="Y680" s="2"/>
    </row>
    <row r="681">
      <c r="A681" s="30">
        <f>IFERROR(__xludf.DUMMYFUNCTION("""COMPUTED_VALUE"""),678.0)</f>
        <v>678</v>
      </c>
      <c r="B681" s="39">
        <f>IFERROR(__xludf.DUMMYFUNCTION("""COMPUTED_VALUE"""),46036.0)</f>
        <v>46036</v>
      </c>
      <c r="C681" s="30">
        <f>IFERROR(__xludf.DUMMYFUNCTION("""COMPUTED_VALUE"""),5.0)</f>
        <v>5</v>
      </c>
      <c r="D681" s="30" t="str">
        <f>IFERROR(__xludf.DUMMYFUNCTION("""COMPUTED_VALUE"""),"CT CŨ")</f>
        <v>CT CŨ</v>
      </c>
      <c r="E681" s="30"/>
      <c r="F681" s="2"/>
      <c r="G681" s="2" t="str">
        <f>IFERROR(__xludf.DUMMYFUNCTION("""COMPUTED_VALUE"""),"HH4642")</f>
        <v>HH4642</v>
      </c>
      <c r="H681" s="2" t="str">
        <f>IFERROR(__xludf.DUMMYFUNCTION("""COMPUTED_VALUE"""),"GC - V - 4642 - CTY HÓA NÔNG ĐẤT VIỆT - ĐẤT VIỆT BIOGREEN (Nước nâu đen) - 20 lít - 1")</f>
        <v>GC - V - 4642 - CTY HÓA NÔNG ĐẤT VIỆT - ĐẤT VIỆT BIOGREEN (Nước nâu đen) - 20 lít - 1</v>
      </c>
      <c r="I681" s="39" t="str">
        <f>IFERROR(__xludf.DUMMYFUNCTION("""COMPUTED_VALUE"""),"Hữu Cơ Organic ĐGP 01")</f>
        <v>Hữu Cơ Organic ĐGP 01</v>
      </c>
      <c r="J681" s="2" t="str">
        <f>IFERROR(__xludf.DUMMYFUNCTION("""COMPUTED_VALUE"""),"A05181225- 01")</f>
        <v>A05181225- 01</v>
      </c>
      <c r="K681" s="2"/>
      <c r="L681" s="2" t="str">
        <f>IFERROR(__xludf.DUMMYFUNCTION("""COMPUTED_VALUE"""),"A05181225-01
I03240326")</f>
        <v>A05181225-01
I03240326</v>
      </c>
      <c r="M681" s="2" t="str">
        <f>IFERROR(__xludf.DUMMYFUNCTION("""COMPUTED_VALUE"""),"HỮU CƠ 20%")</f>
        <v>HỮU CƠ 20%</v>
      </c>
      <c r="N681" s="2" t="str">
        <f>IFERROR(__xludf.DUMMYFUNCTION("""COMPUTED_VALUE"""),"01RR0079V1")</f>
        <v>01RR0079V1</v>
      </c>
      <c r="O681" s="2" t="str">
        <f>IFERROR(__xludf.DUMMYFUNCTION("""COMPUTED_VALUE"""),"Phân bón Hữu cơ ORGANIC ĐGP 01 ")</f>
        <v>Phân bón Hữu cơ ORGANIC ĐGP 01 </v>
      </c>
      <c r="P681" s="2" t="str">
        <f>IFERROR(__xludf.DUMMYFUNCTION("""COMPUTED_VALUE"""),"Phân bón Hữu Cơ Organic ĐGP 01")</f>
        <v>Phân bón Hữu Cơ Organic ĐGP 01</v>
      </c>
      <c r="Q681" s="30" t="str">
        <f>IFERROR(__xludf.DUMMYFUNCTION("""COMPUTED_VALUE"""),"KHỚP")</f>
        <v>KHỚP</v>
      </c>
      <c r="R681" s="2"/>
      <c r="S681" s="2"/>
      <c r="T681" s="2"/>
      <c r="U681" s="2"/>
      <c r="V681" s="2"/>
      <c r="W681" s="2"/>
      <c r="X681" s="2"/>
      <c r="Y681" s="2"/>
    </row>
    <row r="682">
      <c r="A682" s="30">
        <f>IFERROR(__xludf.DUMMYFUNCTION("""COMPUTED_VALUE"""),679.0)</f>
        <v>679</v>
      </c>
      <c r="B682" s="39">
        <f>IFERROR(__xludf.DUMMYFUNCTION("""COMPUTED_VALUE"""),46093.0)</f>
        <v>46093</v>
      </c>
      <c r="C682" s="30">
        <f>IFERROR(__xludf.DUMMYFUNCTION("""COMPUTED_VALUE"""),1.0)</f>
        <v>1</v>
      </c>
      <c r="D682" s="30" t="str">
        <f>IFERROR(__xludf.DUMMYFUNCTION("""COMPUTED_VALUE"""),"CT MỚI")</f>
        <v>CT MỚI</v>
      </c>
      <c r="E682" s="30"/>
      <c r="F682" s="2"/>
      <c r="G682" s="2" t="str">
        <f>IFERROR(__xludf.DUMMYFUNCTION("""COMPUTED_VALUE"""),"HH4812")</f>
        <v>HH4812</v>
      </c>
      <c r="H682" s="2" t="str">
        <f>IFERROR(__xludf.DUMMYFUNCTION("""COMPUTED_VALUE"""),"GC - X - 4812 - GC ABA (A. QUYẾT) - NUÔI TRÁI LỚN TRÁI (nước nâu đen) - 10L - 1")</f>
        <v>GC - X - 4812 - GC ABA (A. QUYẾT) - NUÔI TRÁI LỚN TRÁI (nước nâu đen) - 10L - 1</v>
      </c>
      <c r="I682" s="2" t="str">
        <f>IFERROR(__xludf.DUMMYFUNCTION("""COMPUTED_VALUE"""),"#N/A")</f>
        <v>#N/A</v>
      </c>
      <c r="J682" s="2" t="str">
        <f>IFERROR(__xludf.DUMMYFUNCTION("""COMPUTED_VALUE"""),"A02280226")</f>
        <v>A02280226</v>
      </c>
      <c r="K682" s="2"/>
      <c r="L682" s="2" t="str">
        <f>IFERROR(__xludf.DUMMYFUNCTION("""COMPUTED_VALUE"""),"A02280226")</f>
        <v>A02280226</v>
      </c>
      <c r="M682" s="2" t="str">
        <f>IFERROR(__xludf.DUMMYFUNCTION("""COMPUTED_VALUE"""),"NUÔI TRÁI - LỚN TRÁI SẦU RIÊNG")</f>
        <v>NUÔI TRÁI - LỚN TRÁI SẦU RIÊNG</v>
      </c>
      <c r="N682" s="2" t="str">
        <f>IFERROR(__xludf.DUMMYFUNCTION("""COMPUTED_VALUE"""),"11TT0021")</f>
        <v>11TT0021</v>
      </c>
      <c r="O682" s="2" t="str">
        <f>IFERROR(__xludf.DUMMYFUNCTION("""COMPUTED_VALUE"""),"Phân bón hỗn hợp NPK GNC 102")</f>
        <v>Phân bón hỗn hợp NPK GNC 102</v>
      </c>
      <c r="P682" s="2" t="str">
        <f>IFERROR(__xludf.DUMMYFUNCTION("""COMPUTED_VALUE"""),"#N/A")</f>
        <v>#N/A</v>
      </c>
      <c r="Q682" s="30" t="str">
        <f>IFERROR(__xludf.DUMMYFUNCTION("""COMPUTED_VALUE"""),"KHÔNG KHỚP")</f>
        <v>KHÔNG KHỚP</v>
      </c>
      <c r="R682" s="2"/>
      <c r="S682" s="2"/>
      <c r="T682" s="2"/>
      <c r="U682" s="2"/>
      <c r="V682" s="2"/>
      <c r="W682" s="2"/>
      <c r="X682" s="2"/>
      <c r="Y682" s="2"/>
    </row>
    <row r="683">
      <c r="A683" s="30">
        <f>IFERROR(__xludf.DUMMYFUNCTION("""COMPUTED_VALUE"""),680.0)</f>
        <v>680</v>
      </c>
      <c r="B683" s="39">
        <f>IFERROR(__xludf.DUMMYFUNCTION("""COMPUTED_VALUE"""),46020.0)</f>
        <v>46020</v>
      </c>
      <c r="C683" s="30">
        <f>IFERROR(__xludf.DUMMYFUNCTION("""COMPUTED_VALUE"""),1.0)</f>
        <v>1</v>
      </c>
      <c r="D683" s="30" t="str">
        <f>IFERROR(__xludf.DUMMYFUNCTION("""COMPUTED_VALUE"""),"CT CŨ")</f>
        <v>CT CŨ</v>
      </c>
      <c r="E683" s="30"/>
      <c r="F683" s="2"/>
      <c r="G683" s="2" t="str">
        <f>IFERROR(__xludf.DUMMYFUNCTION("""COMPUTED_VALUE"""),"HH4811")</f>
        <v>HH4811</v>
      </c>
      <c r="H683" s="2" t="str">
        <f>IFERROR(__xludf.DUMMYFUNCTION("""COMPUTED_VALUE"""),"GC - V - 4811 - CTY HƯƠNG NÔNG - MAGIE KẼM (Nước trắng sữa) - 300ml - 40")</f>
        <v>GC - V - 4811 - CTY HƯƠNG NÔNG - MAGIE KẼM (Nước trắng sữa) - 300ml - 40</v>
      </c>
      <c r="I683" s="39" t="str">
        <f>IFERROR(__xludf.DUMMYFUNCTION("""COMPUTED_VALUE"""),"vi lượng Phú Sĩ FJ-09 Kẽm Mg")</f>
        <v>vi lượng Phú Sĩ FJ-09 Kẽm Mg</v>
      </c>
      <c r="J683" s="2" t="str">
        <f>IFERROR(__xludf.DUMMYFUNCTION("""COMPUTED_VALUE"""),"A02181225")</f>
        <v>A02181225</v>
      </c>
      <c r="K683" s="2"/>
      <c r="L683" s="2" t="str">
        <f>IFERROR(__xludf.DUMMYFUNCTION("""COMPUTED_VALUE"""),"A02181225")</f>
        <v>A02181225</v>
      </c>
      <c r="M683" s="2" t="str">
        <f>IFERROR(__xludf.DUMMYFUNCTION("""COMPUTED_VALUE"""),"MG ZN THÀNH CÔNG")</f>
        <v>MG ZN THÀNH CÔNG</v>
      </c>
      <c r="N683" s="2" t="str">
        <f>IFERROR(__xludf.DUMMYFUNCTION("""COMPUTED_VALUE"""),"23GS0018")</f>
        <v>23GS0018</v>
      </c>
      <c r="O683" s="2" t="str">
        <f>IFERROR(__xludf.DUMMYFUNCTION("""COMPUTED_VALUE"""),"Phân bón vi lượng Phú Sĩ FJ-09 Kẽm Mg")</f>
        <v>Phân bón vi lượng Phú Sĩ FJ-09 Kẽm Mg</v>
      </c>
      <c r="P683" s="2" t="str">
        <f>IFERROR(__xludf.DUMMYFUNCTION("""COMPUTED_VALUE"""),"Phân bón vi lượng Phú Sĩ FJ-09 Kẽm Mg")</f>
        <v>Phân bón vi lượng Phú Sĩ FJ-09 Kẽm Mg</v>
      </c>
      <c r="Q683" s="30" t="str">
        <f>IFERROR(__xludf.DUMMYFUNCTION("""COMPUTED_VALUE"""),"KHỚP")</f>
        <v>KHỚP</v>
      </c>
      <c r="R683" s="2"/>
      <c r="S683" s="2"/>
      <c r="T683" s="2"/>
      <c r="U683" s="2"/>
      <c r="V683" s="2"/>
      <c r="W683" s="2"/>
      <c r="X683" s="2"/>
      <c r="Y683" s="2"/>
    </row>
    <row r="684">
      <c r="A684" s="30">
        <f>IFERROR(__xludf.DUMMYFUNCTION("""COMPUTED_VALUE"""),681.0)</f>
        <v>681</v>
      </c>
      <c r="B684" s="39">
        <f>IFERROR(__xludf.DUMMYFUNCTION("""COMPUTED_VALUE"""),46002.0)</f>
        <v>46002</v>
      </c>
      <c r="C684" s="30">
        <f>IFERROR(__xludf.DUMMYFUNCTION("""COMPUTED_VALUE"""),3.0)</f>
        <v>3</v>
      </c>
      <c r="D684" s="30" t="str">
        <f>IFERROR(__xludf.DUMMYFUNCTION("""COMPUTED_VALUE"""),"CT CŨ")</f>
        <v>CT CŨ</v>
      </c>
      <c r="E684" s="30"/>
      <c r="F684" s="2"/>
      <c r="G684" s="2" t="str">
        <f>IFERROR(__xludf.DUMMYFUNCTION("""COMPUTED_VALUE"""),"HH4221")</f>
        <v>HH4221</v>
      </c>
      <c r="H684" s="2" t="str">
        <f>IFERROR(__xludf.DUMMYFUNCTION("""COMPUTED_VALUE"""),"GC - IV - 4221 - CTY DONA VINA - STOP ONE (Nước nâu đen) - 1L - 20")</f>
        <v>GC - IV - 4221 - CTY DONA VINA - STOP ONE (Nước nâu đen) - 1L - 20</v>
      </c>
      <c r="I684" s="2" t="str">
        <f>IFERROR(__xludf.DUMMYFUNCTION("""COMPUTED_VALUE"""),"#N/A")</f>
        <v>#N/A</v>
      </c>
      <c r="J684" s="2" t="str">
        <f>IFERROR(__xludf.DUMMYFUNCTION("""COMPUTED_VALUE"""),"Dòng V2")</f>
        <v>Dòng V2</v>
      </c>
      <c r="K684" s="2"/>
      <c r="L684" s="2" t="str">
        <f>IFERROR(__xludf.DUMMYFUNCTION("""COMPUTED_VALUE"""),"CHẶN ĐỌT DÒNG V2")</f>
        <v>CHẶN ĐỌT DÒNG V2</v>
      </c>
      <c r="M684" s="2" t="str">
        <f>IFERROR(__xludf.DUMMYFUNCTION("""COMPUTED_VALUE"""),"STOP UP
MT STOP
AGRI STOP
STOP ĐỌT
SIÊU CHẶN ĐỌT
MASTER STOP
UNI STOP ONE
BAMBOO DOUBLE STOP")</f>
        <v>STOP UP
MT STOP
AGRI STOP
STOP ĐỌT
SIÊU CHẶN ĐỌT
MASTER STOP
UNI STOP ONE
BAMBOO DOUBLE STOP</v>
      </c>
      <c r="N684" s="2" t="str">
        <f>IFERROR(__xludf.DUMMYFUNCTION("""COMPUTED_VALUE"""),"06CD0009V3")</f>
        <v>06CD0009V3</v>
      </c>
      <c r="O684" s="2" t="str">
        <f>IFERROR(__xludf.DUMMYFUNCTION("""COMPUTED_VALUE"""),"Phân bón Vi lượng Quantity New")</f>
        <v>Phân bón Vi lượng Quantity New</v>
      </c>
      <c r="P684" s="2" t="str">
        <f>IFERROR(__xludf.DUMMYFUNCTION("""COMPUTED_VALUE"""),"#N/A")</f>
        <v>#N/A</v>
      </c>
      <c r="Q684" s="30" t="str">
        <f>IFERROR(__xludf.DUMMYFUNCTION("""COMPUTED_VALUE"""),"KHÔNG KHỚP")</f>
        <v>KHÔNG KHỚP</v>
      </c>
      <c r="R684" s="2"/>
      <c r="S684" s="2"/>
      <c r="T684" s="2"/>
      <c r="U684" s="2"/>
      <c r="V684" s="2"/>
      <c r="W684" s="2"/>
      <c r="X684" s="2"/>
      <c r="Y684" s="2"/>
    </row>
    <row r="685">
      <c r="A685" s="30">
        <f>IFERROR(__xludf.DUMMYFUNCTION("""COMPUTED_VALUE"""),682.0)</f>
        <v>682</v>
      </c>
      <c r="B685" s="39">
        <f>IFERROR(__xludf.DUMMYFUNCTION("""COMPUTED_VALUE"""),46097.0)</f>
        <v>46097</v>
      </c>
      <c r="C685" s="30">
        <f>IFERROR(__xludf.DUMMYFUNCTION("""COMPUTED_VALUE"""),2.0)</f>
        <v>2</v>
      </c>
      <c r="D685" s="30" t="str">
        <f>IFERROR(__xludf.DUMMYFUNCTION("""COMPUTED_VALUE"""),"CT CŨ")</f>
        <v>CT CŨ</v>
      </c>
      <c r="E685" s="30"/>
      <c r="F685" s="2"/>
      <c r="G685" s="2" t="str">
        <f>IFERROR(__xludf.DUMMYFUNCTION("""COMPUTED_VALUE"""),"HH4208")</f>
        <v>HH4208</v>
      </c>
      <c r="H685" s="2" t="str">
        <f>IFERROR(__xludf.DUMMYFUNCTION("""COMPUTED_VALUE"""),"GC - IV - 4208 - Cty Quang Đăng Agriculture - SUPER VÔ GẠO + (Nước vàng cam) - 1L - 20")</f>
        <v>GC - IV - 4208 - Cty Quang Đăng Agriculture - SUPER VÔ GẠO + (Nước vàng cam) - 1L - 20</v>
      </c>
      <c r="I685" s="2" t="str">
        <f>IFERROR(__xludf.DUMMYFUNCTION("""COMPUTED_VALUE"""),"#N/A")</f>
        <v>#N/A</v>
      </c>
      <c r="J685" s="2" t="str">
        <f>IFERROR(__xludf.DUMMYFUNCTION("""COMPUTED_VALUE"""),"Cùng ruột HH2882")</f>
        <v>Cùng ruột HH2882</v>
      </c>
      <c r="K685" s="2"/>
      <c r="L685" s="2" t="str">
        <f>IFERROR(__xludf.DUMMYFUNCTION("""COMPUTED_VALUE"""),"A06060924")</f>
        <v>A06060924</v>
      </c>
      <c r="M685" s="2" t="str">
        <f>IFERROR(__xludf.DUMMYFUNCTION("""COMPUTED_VALUE"""),"SUPER VÔ GẠO+")</f>
        <v>SUPER VÔ GẠO+</v>
      </c>
      <c r="N685" s="2" t="str">
        <f>IFERROR(__xludf.DUMMYFUNCTION("""COMPUTED_VALUE"""),"04VG0019")</f>
        <v>04VG0019</v>
      </c>
      <c r="O685" s="2" t="str">
        <f>IFERROR(__xludf.DUMMYFUNCTION("""COMPUTED_VALUE"""),"Phân bón NPK-Vi lượng MASSIVE-BLUE")</f>
        <v>Phân bón NPK-Vi lượng MASSIVE-BLUE</v>
      </c>
      <c r="P685" s="2" t="str">
        <f>IFERROR(__xludf.DUMMYFUNCTION("""COMPUTED_VALUE"""),"#N/A")</f>
        <v>#N/A</v>
      </c>
      <c r="Q685" s="30" t="str">
        <f>IFERROR(__xludf.DUMMYFUNCTION("""COMPUTED_VALUE"""),"KHÔNG KHỚP")</f>
        <v>KHÔNG KHỚP</v>
      </c>
      <c r="R685" s="2"/>
      <c r="S685" s="2"/>
      <c r="T685" s="2"/>
      <c r="U685" s="2"/>
      <c r="V685" s="2"/>
      <c r="W685" s="2"/>
      <c r="X685" s="2"/>
      <c r="Y685" s="2"/>
    </row>
    <row r="686">
      <c r="A686" s="30">
        <f>IFERROR(__xludf.DUMMYFUNCTION("""COMPUTED_VALUE"""),683.0)</f>
        <v>683</v>
      </c>
      <c r="B686" s="39">
        <f>IFERROR(__xludf.DUMMYFUNCTION("""COMPUTED_VALUE"""),45896.0)</f>
        <v>45896</v>
      </c>
      <c r="C686" s="30">
        <f>IFERROR(__xludf.DUMMYFUNCTION("""COMPUTED_VALUE"""),2.0)</f>
        <v>2</v>
      </c>
      <c r="D686" s="30" t="str">
        <f>IFERROR(__xludf.DUMMYFUNCTION("""COMPUTED_VALUE"""),"CT CŨ")</f>
        <v>CT CŨ</v>
      </c>
      <c r="E686" s="30"/>
      <c r="F686" s="2"/>
      <c r="G686" s="2" t="str">
        <f>IFERROR(__xludf.DUMMYFUNCTION("""COMPUTED_VALUE"""),"HH4683")</f>
        <v>HH4683</v>
      </c>
      <c r="H686" s="2" t="str">
        <f>IFERROR(__xludf.DUMMYFUNCTION("""COMPUTED_VALUE"""),"GC - V - 4683 - CTY QUANG ĐĂNG AGRICULTURE - CANXIBO QĐ.MICRO (Nước trắng sữa) - 500ml - 40")</f>
        <v>GC - V - 4683 - CTY QUANG ĐĂNG AGRICULTURE - CANXIBO QĐ.MICRO (Nước trắng sữa) - 500ml - 40</v>
      </c>
      <c r="I686" s="2" t="str">
        <f>IFERROR(__xludf.DUMMYFUNCTION("""COMPUTED_VALUE"""),"#N/A")</f>
        <v>#N/A</v>
      </c>
      <c r="J686" s="2" t="str">
        <f>IFERROR(__xludf.DUMMYFUNCTION("""COMPUTED_VALUE"""),"A02160725")</f>
        <v>A02160725</v>
      </c>
      <c r="K686" s="2"/>
      <c r="L686" s="2" t="str">
        <f>IFERROR(__xludf.DUMMYFUNCTION("""COMPUTED_VALUE"""),"A02160725")</f>
        <v>A02160725</v>
      </c>
      <c r="M686" s="2" t="str">
        <f>IFERROR(__xludf.DUMMYFUNCTION("""COMPUTED_VALUE"""),"AGAMA-CANXI BO
(KIM NGỌC)")</f>
        <v>AGAMA-CANXI BO
(KIM NGỌC)</v>
      </c>
      <c r="N686" s="2" t="str">
        <f>IFERROR(__xludf.DUMMYFUNCTION("""COMPUTED_VALUE"""),"10CR0021")</f>
        <v>10CR0021</v>
      </c>
      <c r="O686" s="2" t="str">
        <f>IFERROR(__xludf.DUMMYFUNCTION("""COMPUTED_VALUE"""),"Phân bón Vi lượng AGAMA-CANXI BO")</f>
        <v>Phân bón Vi lượng AGAMA-CANXI BO</v>
      </c>
      <c r="P686" s="2" t="str">
        <f>IFERROR(__xludf.DUMMYFUNCTION("""COMPUTED_VALUE"""),"#N/A")</f>
        <v>#N/A</v>
      </c>
      <c r="Q686" s="30" t="str">
        <f>IFERROR(__xludf.DUMMYFUNCTION("""COMPUTED_VALUE"""),"KHÔNG KHỚP")</f>
        <v>KHÔNG KHỚP</v>
      </c>
      <c r="R686" s="2"/>
      <c r="S686" s="2"/>
      <c r="T686" s="2"/>
      <c r="U686" s="2"/>
      <c r="V686" s="2"/>
      <c r="W686" s="2"/>
      <c r="X686" s="2"/>
      <c r="Y686" s="2"/>
    </row>
    <row r="687">
      <c r="A687" s="30">
        <f>IFERROR(__xludf.DUMMYFUNCTION("""COMPUTED_VALUE"""),684.0)</f>
        <v>684</v>
      </c>
      <c r="B687" s="39">
        <f>IFERROR(__xludf.DUMMYFUNCTION("""COMPUTED_VALUE"""),46036.0)</f>
        <v>46036</v>
      </c>
      <c r="C687" s="30">
        <f>IFERROR(__xludf.DUMMYFUNCTION("""COMPUTED_VALUE"""),2.0)</f>
        <v>2</v>
      </c>
      <c r="D687" s="30" t="str">
        <f>IFERROR(__xludf.DUMMYFUNCTION("""COMPUTED_VALUE"""),"CT CŨ")</f>
        <v>CT CŨ</v>
      </c>
      <c r="E687" s="30"/>
      <c r="F687" s="2"/>
      <c r="G687" s="2" t="str">
        <f>IFERROR(__xludf.DUMMYFUNCTION("""COMPUTED_VALUE"""),"HH3008")</f>
        <v>HH3008</v>
      </c>
      <c r="H687" s="2" t="str">
        <f>IFERROR(__xludf.DUMMYFUNCTION("""COMPUTED_VALUE"""),"GC - IV - 3008 - Cty Quang Đăng Agriculture - ORGA STRONG QĐ.TOTAL (Gel nâu đen) - 10L - 2")</f>
        <v>GC - IV - 3008 - Cty Quang Đăng Agriculture - ORGA STRONG QĐ.TOTAL (Gel nâu đen) - 10L - 2</v>
      </c>
      <c r="I687" s="2" t="str">
        <f>IFERROR(__xludf.DUMMYFUNCTION("""COMPUTED_VALUE"""),"#N/A")</f>
        <v>#N/A</v>
      </c>
      <c r="J687" s="2" t="str">
        <f>IFERROR(__xludf.DUMMYFUNCTION("""COMPUTED_VALUE"""),"cùng ruột HH2311")</f>
        <v>cùng ruột HH2311</v>
      </c>
      <c r="K687" s="2"/>
      <c r="L687" s="2" t="str">
        <f>IFERROR(__xludf.DUMMYFUNCTION("""COMPUTED_VALUE"""),"A01161024")</f>
        <v>A01161024</v>
      </c>
      <c r="M687" s="2" t="str">
        <f>IFERROR(__xludf.DUMMYFUNCTION("""COMPUTED_VALUE"""),"ORGA STRONG
AGRI BIO FISH
AGRI NOVA")</f>
        <v>ORGA STRONG
AGRI BIO FISH
AGRI NOVA</v>
      </c>
      <c r="N687" s="2" t="str">
        <f>IFERROR(__xludf.DUMMYFUNCTION("""COMPUTED_VALUE"""),"19DD0010V3")</f>
        <v>19DD0010V3</v>
      </c>
      <c r="O687" s="2" t="str">
        <f>IFERROR(__xludf.DUMMYFUNCTION("""COMPUTED_VALUE"""),"Phân bón Hữu cơ SH Agro Organic Fertilizer 20")</f>
        <v>Phân bón Hữu cơ SH Agro Organic Fertilizer 20</v>
      </c>
      <c r="P687" s="2" t="str">
        <f>IFERROR(__xludf.DUMMYFUNCTION("""COMPUTED_VALUE"""),"#N/A")</f>
        <v>#N/A</v>
      </c>
      <c r="Q687" s="30" t="str">
        <f>IFERROR(__xludf.DUMMYFUNCTION("""COMPUTED_VALUE"""),"KHÔNG KHỚP")</f>
        <v>KHÔNG KHỚP</v>
      </c>
      <c r="R687" s="2"/>
      <c r="S687" s="2"/>
      <c r="T687" s="2"/>
      <c r="U687" s="2"/>
      <c r="V687" s="2"/>
      <c r="W687" s="2"/>
      <c r="X687" s="2"/>
      <c r="Y687" s="2"/>
    </row>
    <row r="688">
      <c r="A688" s="30">
        <f>IFERROR(__xludf.DUMMYFUNCTION("""COMPUTED_VALUE"""),685.0)</f>
        <v>685</v>
      </c>
      <c r="B688" s="39">
        <f>IFERROR(__xludf.DUMMYFUNCTION("""COMPUTED_VALUE"""),46036.0)</f>
        <v>46036</v>
      </c>
      <c r="C688" s="30">
        <f>IFERROR(__xludf.DUMMYFUNCTION("""COMPUTED_VALUE"""),1.0)</f>
        <v>1</v>
      </c>
      <c r="D688" s="30" t="str">
        <f>IFERROR(__xludf.DUMMYFUNCTION("""COMPUTED_VALUE"""),"CT CŨ")</f>
        <v>CT CŨ</v>
      </c>
      <c r="E688" s="30"/>
      <c r="F688" s="2"/>
      <c r="G688" s="2" t="str">
        <f>IFERROR(__xludf.DUMMYFUNCTION("""COMPUTED_VALUE"""),"HH4818")</f>
        <v>HH4818</v>
      </c>
      <c r="H688" s="2" t="str">
        <f>IFERROR(__xludf.DUMMYFUNCTION("""COMPUTED_VALUE"""),"GC - V - 4818 - CTY ASAHI NHẬT BẢN - ULTRA BUD (Nước nâu đen) -")</f>
        <v>GC - V - 4818 - CTY ASAHI NHẬT BẢN - ULTRA BUD (Nước nâu đen) -</v>
      </c>
      <c r="I688" s="2" t="str">
        <f>IFERROR(__xludf.DUMMYFUNCTION("""COMPUTED_VALUE"""),"#N/A")</f>
        <v>#N/A</v>
      </c>
      <c r="J688" s="2" t="str">
        <f>IFERROR(__xludf.DUMMYFUNCTION("""COMPUTED_VALUE"""),"A06291024")</f>
        <v>A06291024</v>
      </c>
      <c r="K688" s="2"/>
      <c r="L688" s="2" t="str">
        <f>IFERROR(__xludf.DUMMYFUNCTION("""COMPUTED_VALUE"""),"A06291024")</f>
        <v>A06291024</v>
      </c>
      <c r="M688" s="2" t="str">
        <f>IFERROR(__xludf.DUMMYFUNCTION("""COMPUTED_VALUE"""),"ULTRA BUD")</f>
        <v>ULTRA BUD</v>
      </c>
      <c r="N688" s="2" t="str">
        <f>IFERROR(__xludf.DUMMYFUNCTION("""COMPUTED_VALUE"""),"01RR0036V2")</f>
        <v>01RR0036V2</v>
      </c>
      <c r="O688" s="2" t="str">
        <f>IFERROR(__xludf.DUMMYFUNCTION("""COMPUTED_VALUE"""),"Phân bón Hữu cơ SH Agro Organic Fertilizer 20")</f>
        <v>Phân bón Hữu cơ SH Agro Organic Fertilizer 20</v>
      </c>
      <c r="P688" s="2" t="str">
        <f>IFERROR(__xludf.DUMMYFUNCTION("""COMPUTED_VALUE"""),"#N/A")</f>
        <v>#N/A</v>
      </c>
      <c r="Q688" s="30" t="str">
        <f>IFERROR(__xludf.DUMMYFUNCTION("""COMPUTED_VALUE"""),"KHÔNG KHỚP")</f>
        <v>KHÔNG KHỚP</v>
      </c>
      <c r="R688" s="2"/>
      <c r="S688" s="2"/>
      <c r="T688" s="2"/>
      <c r="U688" s="2"/>
      <c r="V688" s="2"/>
      <c r="W688" s="2"/>
      <c r="X688" s="2"/>
      <c r="Y688" s="2"/>
    </row>
    <row r="689">
      <c r="A689" s="30">
        <f>IFERROR(__xludf.DUMMYFUNCTION("""COMPUTED_VALUE"""),686.0)</f>
        <v>686</v>
      </c>
      <c r="B689" s="39">
        <f>IFERROR(__xludf.DUMMYFUNCTION("""COMPUTED_VALUE"""),46036.0)</f>
        <v>46036</v>
      </c>
      <c r="C689" s="30">
        <f>IFERROR(__xludf.DUMMYFUNCTION("""COMPUTED_VALUE"""),1.0)</f>
        <v>1</v>
      </c>
      <c r="D689" s="30" t="str">
        <f>IFERROR(__xludf.DUMMYFUNCTION("""COMPUTED_VALUE"""),"CT CŨ")</f>
        <v>CT CŨ</v>
      </c>
      <c r="E689" s="30"/>
      <c r="F689" s="2"/>
      <c r="G689" s="2" t="str">
        <f>IFERROR(__xludf.DUMMYFUNCTION("""COMPUTED_VALUE"""),"HH4819")</f>
        <v>HH4819</v>
      </c>
      <c r="H689" s="2" t="str">
        <f>IFERROR(__xludf.DUMMYFUNCTION("""COMPUTED_VALUE"""),"GC - V - 4819 - CTY ASAHI NHẬT BẢN - KINONE KÍCH RỄ (Nước nâu đen) - 18.5L -1")</f>
        <v>GC - V - 4819 - CTY ASAHI NHẬT BẢN - KINONE KÍCH RỄ (Nước nâu đen) - 18.5L -1</v>
      </c>
      <c r="I689" s="2" t="str">
        <f>IFERROR(__xludf.DUMMYFUNCTION("""COMPUTED_VALUE"""),"#N/A")</f>
        <v>#N/A</v>
      </c>
      <c r="J689" s="2" t="str">
        <f>IFERROR(__xludf.DUMMYFUNCTION("""COMPUTED_VALUE"""),"A05291024")</f>
        <v>A05291024</v>
      </c>
      <c r="K689" s="2"/>
      <c r="L689" s="2" t="str">
        <f>IFERROR(__xludf.DUMMYFUNCTION("""COMPUTED_VALUE"""),"A06291024")</f>
        <v>A06291024</v>
      </c>
      <c r="M689" s="2" t="str">
        <f>IFERROR(__xludf.DUMMYFUNCTION("""COMPUTED_VALUE"""),"ULTRA BUD")</f>
        <v>ULTRA BUD</v>
      </c>
      <c r="N689" s="2" t="str">
        <f>IFERROR(__xludf.DUMMYFUNCTION("""COMPUTED_VALUE"""),"01RR0036V2")</f>
        <v>01RR0036V2</v>
      </c>
      <c r="O689" s="2" t="str">
        <f>IFERROR(__xludf.DUMMYFUNCTION("""COMPUTED_VALUE"""),"Phân bón Hữu cơ SH Agro Organic Fertilizer 20")</f>
        <v>Phân bón Hữu cơ SH Agro Organic Fertilizer 20</v>
      </c>
      <c r="P689" s="2" t="str">
        <f>IFERROR(__xludf.DUMMYFUNCTION("""COMPUTED_VALUE"""),"#N/A")</f>
        <v>#N/A</v>
      </c>
      <c r="Q689" s="30" t="str">
        <f>IFERROR(__xludf.DUMMYFUNCTION("""COMPUTED_VALUE"""),"KHÔNG KHỚP")</f>
        <v>KHÔNG KHỚP</v>
      </c>
      <c r="R689" s="2"/>
      <c r="S689" s="2"/>
      <c r="T689" s="2"/>
      <c r="U689" s="2"/>
      <c r="V689" s="2"/>
      <c r="W689" s="2"/>
      <c r="X689" s="2"/>
      <c r="Y689" s="2"/>
    </row>
    <row r="690">
      <c r="A690" s="30">
        <f>IFERROR(__xludf.DUMMYFUNCTION("""COMPUTED_VALUE"""),687.0)</f>
        <v>687</v>
      </c>
      <c r="B690" s="39">
        <f>IFERROR(__xludf.DUMMYFUNCTION("""COMPUTED_VALUE"""),46024.0)</f>
        <v>46024</v>
      </c>
      <c r="C690" s="30">
        <f>IFERROR(__xludf.DUMMYFUNCTION("""COMPUTED_VALUE"""),5.0)</f>
        <v>5</v>
      </c>
      <c r="D690" s="30" t="str">
        <f>IFERROR(__xludf.DUMMYFUNCTION("""COMPUTED_VALUE"""),"CT CŨ")</f>
        <v>CT CŨ</v>
      </c>
      <c r="E690" s="30"/>
      <c r="F690" s="2"/>
      <c r="G690" s="2" t="str">
        <f>IFERROR(__xludf.DUMMYFUNCTION("""COMPUTED_VALUE"""),"HH4194")</f>
        <v>HH4194</v>
      </c>
      <c r="H690" s="2" t="str">
        <f>IFERROR(__xludf.DUMMYFUNCTION("""COMPUTED_VALUE"""),"GC - IV - 4194 - HƯƠNG NÔNG - Tạo Mầm (Nước nâu đen) - 1L - 20")</f>
        <v>GC - IV - 4194 - HƯƠNG NÔNG - Tạo Mầm (Nước nâu đen) - 1L - 20</v>
      </c>
      <c r="I690" s="2" t="str">
        <f>IFERROR(__xludf.DUMMYFUNCTION("""COMPUTED_VALUE"""),"#N/A")</f>
        <v>#N/A</v>
      </c>
      <c r="J690" s="2" t="str">
        <f>IFERROR(__xludf.DUMMYFUNCTION("""COMPUTED_VALUE"""),"Tạo mầm cùng ruột HH3606 Siêu tạo mầm")</f>
        <v>Tạo mầm cùng ruột HH3606 Siêu tạo mầm</v>
      </c>
      <c r="K690" s="2"/>
      <c r="L690" s="2"/>
      <c r="M690" s="2" t="str">
        <f>IFERROR(__xludf.DUMMYFUNCTION("""COMPUTED_VALUE"""),"SIÊU TẠO MẦM
TẠO MẦM")</f>
        <v>SIÊU TẠO MẦM
TẠO MẦM</v>
      </c>
      <c r="N690" s="2" t="str">
        <f>IFERROR(__xludf.DUMMYFUNCTION("""COMPUTED_VALUE"""),"08TM0007V2")</f>
        <v>08TM0007V2</v>
      </c>
      <c r="O690" s="2" t="str">
        <f>IFERROR(__xludf.DUMMYFUNCTION("""COMPUTED_VALUE"""),"Phân bón Vi lượng Quantity New")</f>
        <v>Phân bón Vi lượng Quantity New</v>
      </c>
      <c r="P690" s="2" t="str">
        <f>IFERROR(__xludf.DUMMYFUNCTION("""COMPUTED_VALUE"""),"#N/A")</f>
        <v>#N/A</v>
      </c>
      <c r="Q690" s="30" t="str">
        <f>IFERROR(__xludf.DUMMYFUNCTION("""COMPUTED_VALUE"""),"KHÔNG KHỚP")</f>
        <v>KHÔNG KHỚP</v>
      </c>
      <c r="R690" s="2"/>
      <c r="S690" s="2"/>
      <c r="T690" s="2"/>
      <c r="U690" s="2"/>
      <c r="V690" s="2"/>
      <c r="W690" s="2"/>
      <c r="X690" s="2"/>
      <c r="Y690" s="2"/>
    </row>
    <row r="691">
      <c r="A691" s="30">
        <f>IFERROR(__xludf.DUMMYFUNCTION("""COMPUTED_VALUE"""),688.0)</f>
        <v>688</v>
      </c>
      <c r="B691" s="39">
        <f>IFERROR(__xludf.DUMMYFUNCTION("""COMPUTED_VALUE"""),45887.0)</f>
        <v>45887</v>
      </c>
      <c r="C691" s="30">
        <f>IFERROR(__xludf.DUMMYFUNCTION("""COMPUTED_VALUE"""),12.0)</f>
        <v>12</v>
      </c>
      <c r="D691" s="30" t="str">
        <f>IFERROR(__xludf.DUMMYFUNCTION("""COMPUTED_VALUE"""),"CT CŨ")</f>
        <v>CT CŨ</v>
      </c>
      <c r="E691" s="30"/>
      <c r="F691" s="2"/>
      <c r="G691" s="2" t="str">
        <f>IFERROR(__xludf.DUMMYFUNCTION("""COMPUTED_VALUE"""),"HH4375")</f>
        <v>HH4375</v>
      </c>
      <c r="H691" s="2" t="str">
        <f>IFERROR(__xludf.DUMMYFUNCTION("""COMPUTED_VALUE"""),"BAMBOO - VI - 4375 - BAMBOO CANXI BO MASTER (Nước trắng sữa) - 1L - 20")</f>
        <v>BAMBOO - VI - 4375 - BAMBOO CANXI BO MASTER (Nước trắng sữa) - 1L - 20</v>
      </c>
      <c r="I691" s="39" t="str">
        <f>IFERROR(__xludf.DUMMYFUNCTION("""COMPUTED_VALUE"""),"Vi lượng AGAMA-CANXI BO")</f>
        <v>Vi lượng AGAMA-CANXI BO</v>
      </c>
      <c r="J691" s="2" t="str">
        <f>IFERROR(__xludf.DUMMYFUNCTION("""COMPUTED_VALUE"""),"Đóng theo đơn gần nhất")</f>
        <v>Đóng theo đơn gần nhất</v>
      </c>
      <c r="K691" s="2"/>
      <c r="L691" s="2"/>
      <c r="M691" s="2" t="str">
        <f>IFERROR(__xludf.DUMMYFUNCTION("""COMPUTED_VALUE"""),"CANXI BO MASTER")</f>
        <v>CANXI BO MASTER</v>
      </c>
      <c r="N691" s="2" t="str">
        <f>IFERROR(__xludf.DUMMYFUNCTION("""COMPUTED_VALUE"""),"10CR0015")</f>
        <v>10CR0015</v>
      </c>
      <c r="O691" s="2" t="str">
        <f>IFERROR(__xludf.DUMMYFUNCTION("""COMPUTED_VALUE"""),"Phân bón Vi lượng AGAMA-CANXI BO")</f>
        <v>Phân bón Vi lượng AGAMA-CANXI BO</v>
      </c>
      <c r="P691" s="2" t="str">
        <f>IFERROR(__xludf.DUMMYFUNCTION("""COMPUTED_VALUE"""),"Phân bón Vi lượng AGAMA-CANXI BO")</f>
        <v>Phân bón Vi lượng AGAMA-CANXI BO</v>
      </c>
      <c r="Q691" s="30" t="str">
        <f>IFERROR(__xludf.DUMMYFUNCTION("""COMPUTED_VALUE"""),"KHỚP")</f>
        <v>KHỚP</v>
      </c>
      <c r="R691" s="2"/>
      <c r="S691" s="2"/>
      <c r="T691" s="2"/>
      <c r="U691" s="2"/>
      <c r="V691" s="2"/>
      <c r="W691" s="2"/>
      <c r="X691" s="2"/>
      <c r="Y691" s="2"/>
    </row>
    <row r="692">
      <c r="A692" s="30">
        <f>IFERROR(__xludf.DUMMYFUNCTION("""COMPUTED_VALUE"""),689.0)</f>
        <v>689</v>
      </c>
      <c r="B692" s="39">
        <f>IFERROR(__xludf.DUMMYFUNCTION("""COMPUTED_VALUE"""),45887.0)</f>
        <v>45887</v>
      </c>
      <c r="C692" s="30">
        <f>IFERROR(__xludf.DUMMYFUNCTION("""COMPUTED_VALUE"""),13.0)</f>
        <v>13</v>
      </c>
      <c r="D692" s="30" t="str">
        <f>IFERROR(__xludf.DUMMYFUNCTION("""COMPUTED_VALUE"""),"CT CŨ")</f>
        <v>CT CŨ</v>
      </c>
      <c r="E692" s="30"/>
      <c r="F692" s="2"/>
      <c r="G692" s="2" t="str">
        <f>IFERROR(__xludf.DUMMYFUNCTION("""COMPUTED_VALUE"""),"HH4375")</f>
        <v>HH4375</v>
      </c>
      <c r="H692" s="2" t="str">
        <f>IFERROR(__xludf.DUMMYFUNCTION("""COMPUTED_VALUE"""),"BAMBOO - VI - 4375 - BAMBOO CANXI BO MASTER (Nước trắng sữa) - 1L - 20")</f>
        <v>BAMBOO - VI - 4375 - BAMBOO CANXI BO MASTER (Nước trắng sữa) - 1L - 20</v>
      </c>
      <c r="I692" s="39" t="str">
        <f>IFERROR(__xludf.DUMMYFUNCTION("""COMPUTED_VALUE"""),"Vi lượng AGAMA-CANXI BO")</f>
        <v>Vi lượng AGAMA-CANXI BO</v>
      </c>
      <c r="J692" s="2" t="str">
        <f>IFERROR(__xludf.DUMMYFUNCTION("""COMPUTED_VALUE"""),"Đóng theo đơn gần nhất")</f>
        <v>Đóng theo đơn gần nhất</v>
      </c>
      <c r="K692" s="2"/>
      <c r="L692" s="2"/>
      <c r="M692" s="2" t="str">
        <f>IFERROR(__xludf.DUMMYFUNCTION("""COMPUTED_VALUE"""),"CANXI BO MASTER")</f>
        <v>CANXI BO MASTER</v>
      </c>
      <c r="N692" s="2" t="str">
        <f>IFERROR(__xludf.DUMMYFUNCTION("""COMPUTED_VALUE"""),"10CR0015")</f>
        <v>10CR0015</v>
      </c>
      <c r="O692" s="2" t="str">
        <f>IFERROR(__xludf.DUMMYFUNCTION("""COMPUTED_VALUE"""),"Phân bón Vi lượng AGAMA-CANXI BO")</f>
        <v>Phân bón Vi lượng AGAMA-CANXI BO</v>
      </c>
      <c r="P692" s="2" t="str">
        <f>IFERROR(__xludf.DUMMYFUNCTION("""COMPUTED_VALUE"""),"Phân bón Vi lượng AGAMA-CANXI BO")</f>
        <v>Phân bón Vi lượng AGAMA-CANXI BO</v>
      </c>
      <c r="Q692" s="30" t="str">
        <f>IFERROR(__xludf.DUMMYFUNCTION("""COMPUTED_VALUE"""),"KHỚP")</f>
        <v>KHỚP</v>
      </c>
      <c r="R692" s="2"/>
      <c r="S692" s="2"/>
      <c r="T692" s="2"/>
      <c r="U692" s="2"/>
      <c r="V692" s="2"/>
      <c r="W692" s="2"/>
      <c r="X692" s="2"/>
      <c r="Y692" s="2"/>
    </row>
    <row r="693">
      <c r="A693" s="30">
        <f>IFERROR(__xludf.DUMMYFUNCTION("""COMPUTED_VALUE"""),690.0)</f>
        <v>690</v>
      </c>
      <c r="B693" s="39">
        <f>IFERROR(__xludf.DUMMYFUNCTION("""COMPUTED_VALUE"""),45887.0)</f>
        <v>45887</v>
      </c>
      <c r="C693" s="30">
        <f>IFERROR(__xludf.DUMMYFUNCTION("""COMPUTED_VALUE"""),14.0)</f>
        <v>14</v>
      </c>
      <c r="D693" s="30" t="str">
        <f>IFERROR(__xludf.DUMMYFUNCTION("""COMPUTED_VALUE"""),"CT CŨ")</f>
        <v>CT CŨ</v>
      </c>
      <c r="E693" s="30"/>
      <c r="F693" s="2"/>
      <c r="G693" s="2" t="str">
        <f>IFERROR(__xludf.DUMMYFUNCTION("""COMPUTED_VALUE"""),"HH4375")</f>
        <v>HH4375</v>
      </c>
      <c r="H693" s="2" t="str">
        <f>IFERROR(__xludf.DUMMYFUNCTION("""COMPUTED_VALUE"""),"BAMBOO - VI - 4375 - BAMBOO CANXI BO MASTER (Nước trắng sữa) - 1L - 20")</f>
        <v>BAMBOO - VI - 4375 - BAMBOO CANXI BO MASTER (Nước trắng sữa) - 1L - 20</v>
      </c>
      <c r="I693" s="39" t="str">
        <f>IFERROR(__xludf.DUMMYFUNCTION("""COMPUTED_VALUE"""),"Vi lượng AGAMA-CANXI BO")</f>
        <v>Vi lượng AGAMA-CANXI BO</v>
      </c>
      <c r="J693" s="2" t="str">
        <f>IFERROR(__xludf.DUMMYFUNCTION("""COMPUTED_VALUE"""),"Đóng theo đơn gần nhất")</f>
        <v>Đóng theo đơn gần nhất</v>
      </c>
      <c r="K693" s="2"/>
      <c r="L693" s="2"/>
      <c r="M693" s="2" t="str">
        <f>IFERROR(__xludf.DUMMYFUNCTION("""COMPUTED_VALUE"""),"CANXI BO MASTER")</f>
        <v>CANXI BO MASTER</v>
      </c>
      <c r="N693" s="2" t="str">
        <f>IFERROR(__xludf.DUMMYFUNCTION("""COMPUTED_VALUE"""),"10CR0015")</f>
        <v>10CR0015</v>
      </c>
      <c r="O693" s="2" t="str">
        <f>IFERROR(__xludf.DUMMYFUNCTION("""COMPUTED_VALUE"""),"Phân bón Vi lượng AGAMA-CANXI BO")</f>
        <v>Phân bón Vi lượng AGAMA-CANXI BO</v>
      </c>
      <c r="P693" s="2" t="str">
        <f>IFERROR(__xludf.DUMMYFUNCTION("""COMPUTED_VALUE"""),"Phân bón Vi lượng AGAMA-CANXI BO")</f>
        <v>Phân bón Vi lượng AGAMA-CANXI BO</v>
      </c>
      <c r="Q693" s="30" t="str">
        <f>IFERROR(__xludf.DUMMYFUNCTION("""COMPUTED_VALUE"""),"KHỚP")</f>
        <v>KHỚP</v>
      </c>
      <c r="R693" s="2"/>
      <c r="S693" s="2"/>
      <c r="T693" s="2"/>
      <c r="U693" s="2"/>
      <c r="V693" s="2"/>
      <c r="W693" s="2"/>
      <c r="X693" s="2"/>
      <c r="Y693" s="2"/>
    </row>
    <row r="694">
      <c r="A694" s="30">
        <f>IFERROR(__xludf.DUMMYFUNCTION("""COMPUTED_VALUE"""),691.0)</f>
        <v>691</v>
      </c>
      <c r="B694" s="39">
        <f>IFERROR(__xludf.DUMMYFUNCTION("""COMPUTED_VALUE"""),46001.0)</f>
        <v>46001</v>
      </c>
      <c r="C694" s="30">
        <f>IFERROR(__xludf.DUMMYFUNCTION("""COMPUTED_VALUE"""),1.0)</f>
        <v>1</v>
      </c>
      <c r="D694" s="30" t="str">
        <f>IFERROR(__xludf.DUMMYFUNCTION("""COMPUTED_VALUE"""),"CT CŨ")</f>
        <v>CT CŨ</v>
      </c>
      <c r="E694" s="30"/>
      <c r="F694" s="2"/>
      <c r="G694" s="2" t="str">
        <f>IFERROR(__xludf.DUMMYFUNCTION("""COMPUTED_VALUE"""),"HH4823")</f>
        <v>HH4823</v>
      </c>
      <c r="H694" s="2" t="str">
        <f>IFERROR(__xludf.DUMMYFUNCTION("""COMPUTED_VALUE"""),"IDA Global - I - 4823 - ĐL LÊ NGUYỄN - CỨNG CÂY 304 (Nước nâu đen) - 500ml - 40")</f>
        <v>IDA Global - I - 4823 - ĐL LÊ NGUYỄN - CỨNG CÂY 304 (Nước nâu đen) - 500ml - 40</v>
      </c>
      <c r="I694" s="2" t="str">
        <f>IFERROR(__xludf.DUMMYFUNCTION("""COMPUTED_VALUE"""),"#N/A")</f>
        <v>#N/A</v>
      </c>
      <c r="J694" s="2" t="str">
        <f>IFERROR(__xludf.DUMMYFUNCTION("""COMPUTED_VALUE"""),"Chung ruột HH4455")</f>
        <v>Chung ruột HH4455</v>
      </c>
      <c r="K694" s="2"/>
      <c r="L694" s="2" t="str">
        <f>IFERROR(__xludf.DUMMYFUNCTION("""COMPUTED_VALUE"""),"L01261124")</f>
        <v>L01261124</v>
      </c>
      <c r="M694" s="2" t="str">
        <f>IFERROR(__xludf.DUMMYFUNCTION("""COMPUTED_VALUE"""),"CỨNG CÂY 304")</f>
        <v>CỨNG CÂY 304</v>
      </c>
      <c r="N694" s="2" t="str">
        <f>IFERROR(__xludf.DUMMYFUNCTION("""COMPUTED_VALUE"""),"02CC0002V3")</f>
        <v>02CC0002V3</v>
      </c>
      <c r="O694" s="2" t="str">
        <f>IFERROR(__xludf.DUMMYFUNCTION("""COMPUTED_VALUE"""),"Phân bón Hữu cơ SH Agro Organic Fertilizer 20")</f>
        <v>Phân bón Hữu cơ SH Agro Organic Fertilizer 20</v>
      </c>
      <c r="P694" s="2" t="str">
        <f>IFERROR(__xludf.DUMMYFUNCTION("""COMPUTED_VALUE"""),"#N/A")</f>
        <v>#N/A</v>
      </c>
      <c r="Q694" s="30" t="str">
        <f>IFERROR(__xludf.DUMMYFUNCTION("""COMPUTED_VALUE"""),"KHÔNG KHỚP")</f>
        <v>KHÔNG KHỚP</v>
      </c>
      <c r="R694" s="2"/>
      <c r="S694" s="2"/>
      <c r="T694" s="2"/>
      <c r="U694" s="2"/>
      <c r="V694" s="2"/>
      <c r="W694" s="2"/>
      <c r="X694" s="2"/>
      <c r="Y694" s="2"/>
    </row>
    <row r="695">
      <c r="A695" s="30">
        <f>IFERROR(__xludf.DUMMYFUNCTION("""COMPUTED_VALUE"""),692.0)</f>
        <v>692</v>
      </c>
      <c r="B695" s="39">
        <f>IFERROR(__xludf.DUMMYFUNCTION("""COMPUTED_VALUE"""),45940.0)</f>
        <v>45940</v>
      </c>
      <c r="C695" s="30">
        <f>IFERROR(__xludf.DUMMYFUNCTION("""COMPUTED_VALUE"""),6.0)</f>
        <v>6</v>
      </c>
      <c r="D695" s="30" t="str">
        <f>IFERROR(__xludf.DUMMYFUNCTION("""COMPUTED_VALUE"""),"CT CŨ")</f>
        <v>CT CŨ</v>
      </c>
      <c r="E695" s="30"/>
      <c r="F695" s="2"/>
      <c r="G695" s="2" t="str">
        <f>IFERROR(__xludf.DUMMYFUNCTION("""COMPUTED_VALUE"""),"HH4311")</f>
        <v>HH4311</v>
      </c>
      <c r="H695" s="2" t="str">
        <f>IFERROR(__xludf.DUMMYFUNCTION("""COMPUTED_VALUE"""),"BAMBOO - VI - 4311 - BAMBOO 777 TE (chưa xác định) - 1L - 20")</f>
        <v>BAMBOO - VI - 4311 - BAMBOO 777 TE (chưa xác định) - 1L - 20</v>
      </c>
      <c r="I695" s="39" t="str">
        <f>IFERROR(__xludf.DUMMYFUNCTION("""COMPUTED_VALUE"""),"lá NPK-vi lượng GNC19")</f>
        <v>lá NPK-vi lượng GNC19</v>
      </c>
      <c r="J695" s="2" t="str">
        <f>IFERROR(__xludf.DUMMYFUNCTION("""COMPUTED_VALUE"""),"Đóng theo đơn gần nhất")</f>
        <v>Đóng theo đơn gần nhất</v>
      </c>
      <c r="K695" s="2"/>
      <c r="L695" s="2" t="str">
        <f>IFERROR(__xludf.DUMMYFUNCTION("""COMPUTED_VALUE"""),"BB25040725")</f>
        <v>BB25040725</v>
      </c>
      <c r="M695" s="2" t="str">
        <f>IFERROR(__xludf.DUMMYFUNCTION("""COMPUTED_VALUE"""),"BAMBOO 777 TE")</f>
        <v>BAMBOO 777 TE</v>
      </c>
      <c r="N695" s="2" t="str">
        <f>IFERROR(__xludf.DUMMYFUNCTION("""COMPUTED_VALUE"""),"03DD0015V1")</f>
        <v>03DD0015V1</v>
      </c>
      <c r="O695" s="2" t="str">
        <f>IFERROR(__xludf.DUMMYFUNCTION("""COMPUTED_VALUE"""),"Phân bón lá NPK-Vi lượng GNC 19")</f>
        <v>Phân bón lá NPK-Vi lượng GNC 19</v>
      </c>
      <c r="P695" s="2" t="str">
        <f>IFERROR(__xludf.DUMMYFUNCTION("""COMPUTED_VALUE"""),"Phân bón lá NPK-vi lượng GNC19")</f>
        <v>Phân bón lá NPK-vi lượng GNC19</v>
      </c>
      <c r="Q695" s="30" t="str">
        <f>IFERROR(__xludf.DUMMYFUNCTION("""COMPUTED_VALUE"""),"KHỚP")</f>
        <v>KHỚP</v>
      </c>
      <c r="R695" s="2"/>
      <c r="S695" s="2"/>
      <c r="T695" s="2"/>
      <c r="U695" s="2"/>
      <c r="V695" s="2"/>
      <c r="W695" s="2"/>
      <c r="X695" s="2"/>
      <c r="Y695" s="2"/>
    </row>
    <row r="696">
      <c r="A696" s="30">
        <f>IFERROR(__xludf.DUMMYFUNCTION("""COMPUTED_VALUE"""),693.0)</f>
        <v>693</v>
      </c>
      <c r="B696" s="39">
        <f>IFERROR(__xludf.DUMMYFUNCTION("""COMPUTED_VALUE"""),46002.0)</f>
        <v>46002</v>
      </c>
      <c r="C696" s="30">
        <f>IFERROR(__xludf.DUMMYFUNCTION("""COMPUTED_VALUE"""),7.0)</f>
        <v>7</v>
      </c>
      <c r="D696" s="30" t="str">
        <f>IFERROR(__xludf.DUMMYFUNCTION("""COMPUTED_VALUE"""),"CT CŨ")</f>
        <v>CT CŨ</v>
      </c>
      <c r="E696" s="30"/>
      <c r="F696" s="2"/>
      <c r="G696" s="2" t="str">
        <f>IFERROR(__xludf.DUMMYFUNCTION("""COMPUTED_VALUE"""),"HH4235")</f>
        <v>HH4235</v>
      </c>
      <c r="H696" s="2" t="str">
        <f>IFERROR(__xludf.DUMMYFUNCTION("""COMPUTED_VALUE"""),"GC - II - 4235 - LOT AGC (CAPY GLOBAL) - DR.STOP (Nước nâu đen) - 1L - 20")</f>
        <v>GC - II - 4235 - LOT AGC (CAPY GLOBAL) - DR.STOP (Nước nâu đen) - 1L - 20</v>
      </c>
      <c r="I696" s="39" t="str">
        <f>IFERROR(__xludf.DUMMYFUNCTION("""COMPUTED_VALUE"""),"Vi lượng Quantity New")</f>
        <v>Vi lượng Quantity New</v>
      </c>
      <c r="J696" s="2" t="str">
        <f>IFERROR(__xludf.DUMMYFUNCTION("""COMPUTED_VALUE"""),"Cùng ruột HH4155")</f>
        <v>Cùng ruột HH4155</v>
      </c>
      <c r="K696" s="2"/>
      <c r="L696" s="2" t="str">
        <f>IFERROR(__xludf.DUMMYFUNCTION("""COMPUTED_VALUE"""),"CHẶN ĐỌT DÒNG V1")</f>
        <v>CHẶN ĐỌT DÒNG V1</v>
      </c>
      <c r="M696" s="2" t="str">
        <f>IFERROR(__xludf.DUMMYFUNCTION("""COMPUTED_VALUE"""),"KODO STOP
DR.STOP
DR.H2")</f>
        <v>KODO STOP
DR.STOP
DR.H2</v>
      </c>
      <c r="N696" s="2" t="str">
        <f>IFERROR(__xludf.DUMMYFUNCTION("""COMPUTED_VALUE"""),"06CD0006V2")</f>
        <v>06CD0006V2</v>
      </c>
      <c r="O696" s="2" t="str">
        <f>IFERROR(__xludf.DUMMYFUNCTION("""COMPUTED_VALUE"""),"Phân bón Vi lượng Quantity New")</f>
        <v>Phân bón Vi lượng Quantity New</v>
      </c>
      <c r="P696" s="2" t="str">
        <f>IFERROR(__xludf.DUMMYFUNCTION("""COMPUTED_VALUE"""),"Phân bón Vi lượng Quantity New")</f>
        <v>Phân bón Vi lượng Quantity New</v>
      </c>
      <c r="Q696" s="30" t="str">
        <f>IFERROR(__xludf.DUMMYFUNCTION("""COMPUTED_VALUE"""),"KHỚP")</f>
        <v>KHỚP</v>
      </c>
      <c r="R696" s="2"/>
      <c r="S696" s="2"/>
      <c r="T696" s="2"/>
      <c r="U696" s="2"/>
      <c r="V696" s="2"/>
      <c r="W696" s="2"/>
      <c r="X696" s="2"/>
      <c r="Y696" s="2"/>
    </row>
    <row r="697">
      <c r="A697" s="30">
        <f>IFERROR(__xludf.DUMMYFUNCTION("""COMPUTED_VALUE"""),694.0)</f>
        <v>694</v>
      </c>
      <c r="B697" s="39">
        <f>IFERROR(__xludf.DUMMYFUNCTION("""COMPUTED_VALUE"""),46002.0)</f>
        <v>46002</v>
      </c>
      <c r="C697" s="30">
        <f>IFERROR(__xludf.DUMMYFUNCTION("""COMPUTED_VALUE"""),4.0)</f>
        <v>4</v>
      </c>
      <c r="D697" s="30" t="str">
        <f>IFERROR(__xludf.DUMMYFUNCTION("""COMPUTED_VALUE"""),"CT CŨ")</f>
        <v>CT CŨ</v>
      </c>
      <c r="E697" s="30"/>
      <c r="F697" s="2"/>
      <c r="G697" s="2" t="str">
        <f>IFERROR(__xludf.DUMMYFUNCTION("""COMPUTED_VALUE"""),"HH4278")</f>
        <v>HH4278</v>
      </c>
      <c r="H697" s="2" t="str">
        <f>IFERROR(__xludf.DUMMYFUNCTION("""COMPUTED_VALUE"""),"GC - IV - 4278 - CTY CAPY GLOBAL - DR.H2 (Nước nâu đen) - 1L - 20")</f>
        <v>GC - IV - 4278 - CTY CAPY GLOBAL - DR.H2 (Nước nâu đen) - 1L - 20</v>
      </c>
      <c r="I697" s="2" t="str">
        <f>IFERROR(__xludf.DUMMYFUNCTION("""COMPUTED_VALUE"""),"#N/A")</f>
        <v>#N/A</v>
      </c>
      <c r="J697" s="2" t="str">
        <f>IFERROR(__xludf.DUMMYFUNCTION("""COMPUTED_VALUE"""),"cùng ruột 4017, chặn đọt dòng V1")</f>
        <v>cùng ruột 4017, chặn đọt dòng V1</v>
      </c>
      <c r="K697" s="2"/>
      <c r="L697" s="2" t="str">
        <f>IFERROR(__xludf.DUMMYFUNCTION("""COMPUTED_VALUE"""),"CHẶN ĐỌT DÒNG V1")</f>
        <v>CHẶN ĐỌT DÒNG V1</v>
      </c>
      <c r="M697" s="2" t="str">
        <f>IFERROR(__xludf.DUMMYFUNCTION("""COMPUTED_VALUE"""),"KODO STOP
DR.STOP
DR.H2")</f>
        <v>KODO STOP
DR.STOP
DR.H2</v>
      </c>
      <c r="N697" s="2" t="str">
        <f>IFERROR(__xludf.DUMMYFUNCTION("""COMPUTED_VALUE"""),"06CD0006V2")</f>
        <v>06CD0006V2</v>
      </c>
      <c r="O697" s="2" t="str">
        <f>IFERROR(__xludf.DUMMYFUNCTION("""COMPUTED_VALUE"""),"Phân bón Vi lượng Quantity New")</f>
        <v>Phân bón Vi lượng Quantity New</v>
      </c>
      <c r="P697" s="2" t="str">
        <f>IFERROR(__xludf.DUMMYFUNCTION("""COMPUTED_VALUE"""),"#N/A")</f>
        <v>#N/A</v>
      </c>
      <c r="Q697" s="30" t="str">
        <f>IFERROR(__xludf.DUMMYFUNCTION("""COMPUTED_VALUE"""),"KHÔNG KHỚP")</f>
        <v>KHÔNG KHỚP</v>
      </c>
      <c r="R697" s="2"/>
      <c r="S697" s="2"/>
      <c r="T697" s="2"/>
      <c r="U697" s="2"/>
      <c r="V697" s="2"/>
      <c r="W697" s="2"/>
      <c r="X697" s="2"/>
      <c r="Y697" s="2"/>
    </row>
    <row r="698">
      <c r="A698" s="30">
        <f>IFERROR(__xludf.DUMMYFUNCTION("""COMPUTED_VALUE"""),695.0)</f>
        <v>695</v>
      </c>
      <c r="B698" s="39">
        <f>IFERROR(__xludf.DUMMYFUNCTION("""COMPUTED_VALUE"""),45953.0)</f>
        <v>45953</v>
      </c>
      <c r="C698" s="30">
        <f>IFERROR(__xludf.DUMMYFUNCTION("""COMPUTED_VALUE"""),6.0)</f>
        <v>6</v>
      </c>
      <c r="D698" s="30" t="str">
        <f>IFERROR(__xludf.DUMMYFUNCTION("""COMPUTED_VALUE"""),"CT CŨ")</f>
        <v>CT CŨ</v>
      </c>
      <c r="E698" s="30"/>
      <c r="F698" s="2"/>
      <c r="G698" s="2" t="str">
        <f>IFERROR(__xludf.DUMMYFUNCTION("""COMPUTED_VALUE"""),"HH4212")</f>
        <v>HH4212</v>
      </c>
      <c r="H698" s="2" t="str">
        <f>IFERROR(__xludf.DUMMYFUNCTION("""COMPUTED_VALUE"""),"GC - V - 4212 - Cty CAPY GLOBAL - NUTRI BIO KING (Gel nâu đen) - 5L - 4")</f>
        <v>GC - V - 4212 - Cty CAPY GLOBAL - NUTRI BIO KING (Gel nâu đen) - 5L - 4</v>
      </c>
      <c r="I698" s="2" t="str">
        <f>IFERROR(__xludf.DUMMYFUNCTION("""COMPUTED_VALUE"""),"#N/A")</f>
        <v>#N/A</v>
      </c>
      <c r="J698" s="2" t="str">
        <f>IFERROR(__xludf.DUMMYFUNCTION("""COMPUTED_VALUE"""),"A02131025")</f>
        <v>A02131025</v>
      </c>
      <c r="K698" s="2"/>
      <c r="L698" s="2" t="str">
        <f>IFERROR(__xludf.DUMMYFUNCTION("""COMPUTED_VALUE"""),"A02131025")</f>
        <v>A02131025</v>
      </c>
      <c r="M698" s="2" t="str">
        <f>IFERROR(__xludf.DUMMYFUNCTION("""COMPUTED_VALUE"""),"NUTRI BIOKING - CROP CARE")</f>
        <v>NUTRI BIOKING - CROP CARE</v>
      </c>
      <c r="N698" s="2" t="str">
        <f>IFERROR(__xludf.DUMMYFUNCTION("""COMPUTED_VALUE"""),"01RR0076")</f>
        <v>01RR0076</v>
      </c>
      <c r="O698" s="2" t="str">
        <f>IFERROR(__xludf.DUMMYFUNCTION("""COMPUTED_VALUE"""),"Phân bón Hữu cơ CROPS CARE")</f>
        <v>Phân bón Hữu cơ CROPS CARE</v>
      </c>
      <c r="P698" s="2" t="str">
        <f>IFERROR(__xludf.DUMMYFUNCTION("""COMPUTED_VALUE"""),"#N/A")</f>
        <v>#N/A</v>
      </c>
      <c r="Q698" s="30" t="str">
        <f>IFERROR(__xludf.DUMMYFUNCTION("""COMPUTED_VALUE"""),"KHÔNG KHỚP")</f>
        <v>KHÔNG KHỚP</v>
      </c>
      <c r="R698" s="2"/>
      <c r="S698" s="2"/>
      <c r="T698" s="2"/>
      <c r="U698" s="2"/>
      <c r="V698" s="2"/>
      <c r="W698" s="2"/>
      <c r="X698" s="2"/>
      <c r="Y698" s="2"/>
    </row>
    <row r="699">
      <c r="A699" s="30">
        <f>IFERROR(__xludf.DUMMYFUNCTION("""COMPUTED_VALUE"""),696.0)</f>
        <v>696</v>
      </c>
      <c r="B699" s="39">
        <f>IFERROR(__xludf.DUMMYFUNCTION("""COMPUTED_VALUE"""),46002.0)</f>
        <v>46002</v>
      </c>
      <c r="C699" s="30">
        <f>IFERROR(__xludf.DUMMYFUNCTION("""COMPUTED_VALUE"""),1.0)</f>
        <v>1</v>
      </c>
      <c r="D699" s="30" t="str">
        <f>IFERROR(__xludf.DUMMYFUNCTION("""COMPUTED_VALUE"""),"CT CŨ")</f>
        <v>CT CŨ</v>
      </c>
      <c r="E699" s="30"/>
      <c r="F699" s="2"/>
      <c r="G699" s="2" t="str">
        <f>IFERROR(__xludf.DUMMYFUNCTION("""COMPUTED_VALUE"""),"HH4769")</f>
        <v>HH4769</v>
      </c>
      <c r="H699" s="2" t="str">
        <f>IFERROR(__xludf.DUMMYFUNCTION("""COMPUTED_VALUE"""),"BAMBOO (ĐL CHÍN THÔNG) - VI - 4769 - BAMBOO DOUBLE STOP MỚI (Nước nâu đen) - 1L - 20")</f>
        <v>BAMBOO (ĐL CHÍN THÔNG) - VI - 4769 - BAMBOO DOUBLE STOP MỚI (Nước nâu đen) - 1L - 20</v>
      </c>
      <c r="I699" s="2" t="str">
        <f>IFERROR(__xludf.DUMMYFUNCTION("""COMPUTED_VALUE"""),"#N/A")</f>
        <v>#N/A</v>
      </c>
      <c r="J699" s="2" t="str">
        <f>IFERROR(__xludf.DUMMYFUNCTION("""COMPUTED_VALUE"""),"Chung ruột HH3845; 1521")</f>
        <v>Chung ruột HH3845; 1521</v>
      </c>
      <c r="K699" s="2"/>
      <c r="L699" s="2" t="str">
        <f>IFERROR(__xludf.DUMMYFUNCTION("""COMPUTED_VALUE"""),"CHẶN ĐỌT DÒNG V2")</f>
        <v>CHẶN ĐỌT DÒNG V2</v>
      </c>
      <c r="M699" s="2" t="str">
        <f>IFERROR(__xludf.DUMMYFUNCTION("""COMPUTED_VALUE"""),"STOP UP
MT STOP
AGRI STOP
STOP ĐỌT
SIÊU CHẶN ĐỌT
MASTER STOP
UNI STOP ONE
BAMBOO DOUBLE STOP")</f>
        <v>STOP UP
MT STOP
AGRI STOP
STOP ĐỌT
SIÊU CHẶN ĐỌT
MASTER STOP
UNI STOP ONE
BAMBOO DOUBLE STOP</v>
      </c>
      <c r="N699" s="2" t="str">
        <f>IFERROR(__xludf.DUMMYFUNCTION("""COMPUTED_VALUE"""),"06CD0009V3")</f>
        <v>06CD0009V3</v>
      </c>
      <c r="O699" s="2" t="str">
        <f>IFERROR(__xludf.DUMMYFUNCTION("""COMPUTED_VALUE"""),"Phân bón Vi lượng Quantity New")</f>
        <v>Phân bón Vi lượng Quantity New</v>
      </c>
      <c r="P699" s="2" t="str">
        <f>IFERROR(__xludf.DUMMYFUNCTION("""COMPUTED_VALUE"""),"#N/A")</f>
        <v>#N/A</v>
      </c>
      <c r="Q699" s="30" t="str">
        <f>IFERROR(__xludf.DUMMYFUNCTION("""COMPUTED_VALUE"""),"KHÔNG KHỚP")</f>
        <v>KHÔNG KHỚP</v>
      </c>
      <c r="R699" s="2"/>
      <c r="S699" s="2"/>
      <c r="T699" s="2"/>
      <c r="U699" s="2"/>
      <c r="V699" s="2"/>
      <c r="W699" s="2"/>
      <c r="X699" s="2"/>
      <c r="Y699" s="2"/>
    </row>
    <row r="700">
      <c r="A700" s="30">
        <f>IFERROR(__xludf.DUMMYFUNCTION("""COMPUTED_VALUE"""),697.0)</f>
        <v>697</v>
      </c>
      <c r="B700" s="39">
        <f>IFERROR(__xludf.DUMMYFUNCTION("""COMPUTED_VALUE"""),46060.0)</f>
        <v>46060</v>
      </c>
      <c r="C700" s="30">
        <f>IFERROR(__xludf.DUMMYFUNCTION("""COMPUTED_VALUE"""),9.0)</f>
        <v>9</v>
      </c>
      <c r="D700" s="30" t="str">
        <f>IFERROR(__xludf.DUMMYFUNCTION("""COMPUTED_VALUE"""),"CT CŨ")</f>
        <v>CT CŨ</v>
      </c>
      <c r="E700" s="30"/>
      <c r="F700" s="2"/>
      <c r="G700" s="2" t="str">
        <f>IFERROR(__xludf.DUMMYFUNCTION("""COMPUTED_VALUE"""),"HH4058")</f>
        <v>HH4058</v>
      </c>
      <c r="H700" s="2" t="str">
        <f>IFERROR(__xludf.DUMMYFUNCTION("""COMPUTED_VALUE"""),"GC - IX - 4058 - N2SBIO -  SIÊU BO SỮA (Dạng SC - Trắng sữa) - 250ml - 40")</f>
        <v>GC - IX - 4058 - N2SBIO -  SIÊU BO SỮA (Dạng SC - Trắng sữa) - 250ml - 40</v>
      </c>
      <c r="I700" s="2" t="str">
        <f>IFERROR(__xludf.DUMMYFUNCTION("""COMPUTED_VALUE"""),"#N/A")</f>
        <v>#N/A</v>
      </c>
      <c r="J700" s="2" t="str">
        <f>IFERROR(__xludf.DUMMYFUNCTION("""COMPUTED_VALUE"""),"N01190825")</f>
        <v>N01190825</v>
      </c>
      <c r="K700" s="2"/>
      <c r="L700" s="2" t="str">
        <f>IFERROR(__xludf.DUMMYFUNCTION("""COMPUTED_VALUE"""),"N01190825")</f>
        <v>N01190825</v>
      </c>
      <c r="M700" s="2" t="str">
        <f>IFERROR(__xludf.DUMMYFUNCTION("""COMPUTED_VALUE"""),"N2 SIÊU BO SỮA ")</f>
        <v>N2 SIÊU BO SỮA </v>
      </c>
      <c r="N700" s="2" t="str">
        <f>IFERROR(__xludf.DUMMYFUNCTION("""COMPUTED_VALUE"""),"10CR0027V5")</f>
        <v>10CR0027V5</v>
      </c>
      <c r="O700" s="2" t="str">
        <f>IFERROR(__xludf.DUMMYFUNCTION("""COMPUTED_VALUE"""),"Phân bón lá Vi lượng NBC-BO.15")</f>
        <v>Phân bón lá Vi lượng NBC-BO.15</v>
      </c>
      <c r="P700" s="2" t="str">
        <f>IFERROR(__xludf.DUMMYFUNCTION("""COMPUTED_VALUE"""),"#N/A")</f>
        <v>#N/A</v>
      </c>
      <c r="Q700" s="30" t="str">
        <f>IFERROR(__xludf.DUMMYFUNCTION("""COMPUTED_VALUE"""),"KHỚP")</f>
        <v>KHỚP</v>
      </c>
      <c r="R700" s="2"/>
      <c r="S700" s="2"/>
      <c r="T700" s="2"/>
      <c r="U700" s="2"/>
      <c r="V700" s="2"/>
      <c r="W700" s="2"/>
      <c r="X700" s="2"/>
      <c r="Y700" s="2"/>
    </row>
    <row r="701">
      <c r="A701" s="30">
        <f>IFERROR(__xludf.DUMMYFUNCTION("""COMPUTED_VALUE"""),698.0)</f>
        <v>698</v>
      </c>
      <c r="B701" s="39">
        <f>IFERROR(__xludf.DUMMYFUNCTION("""COMPUTED_VALUE"""),46099.0)</f>
        <v>46099</v>
      </c>
      <c r="C701" s="30">
        <f>IFERROR(__xludf.DUMMYFUNCTION("""COMPUTED_VALUE"""),1.0)</f>
        <v>1</v>
      </c>
      <c r="D701" s="30" t="str">
        <f>IFERROR(__xludf.DUMMYFUNCTION("""COMPUTED_VALUE"""),"CT MỚI")</f>
        <v>CT MỚI</v>
      </c>
      <c r="E701" s="30"/>
      <c r="F701" s="2"/>
      <c r="G701" s="2" t="str">
        <f>IFERROR(__xludf.DUMMYFUNCTION("""COMPUTED_VALUE"""),"HH4815")</f>
        <v>HH4815</v>
      </c>
      <c r="H701" s="2" t="str">
        <f>IFERROR(__xludf.DUMMYFUNCTION("""COMPUTED_VALUE"""),"GC - V - 4815 - Cty Agrochem Korea - BA SIÊU (Gel đỏ cam) - 500ml - 40")</f>
        <v>GC - V - 4815 - Cty Agrochem Korea - BA SIÊU (Gel đỏ cam) - 500ml - 40</v>
      </c>
      <c r="I701" s="2" t="str">
        <f>IFERROR(__xludf.DUMMYFUNCTION("""COMPUTED_VALUE"""),"#N/A")</f>
        <v>#N/A</v>
      </c>
      <c r="J701" s="2" t="str">
        <f>IFERROR(__xludf.DUMMYFUNCTION("""COMPUTED_VALUE"""),"A05130326")</f>
        <v>A05130326</v>
      </c>
      <c r="K701" s="2"/>
      <c r="L701" s="2" t="str">
        <f>IFERROR(__xludf.DUMMYFUNCTION("""COMPUTED_VALUE"""),"A05130326")</f>
        <v>A05130326</v>
      </c>
      <c r="M701" s="2" t="str">
        <f>IFERROR(__xludf.DUMMYFUNCTION("""COMPUTED_VALUE"""),"BA SIÊU VÔ GẠO")</f>
        <v>BA SIÊU VÔ GẠO</v>
      </c>
      <c r="N701" s="2" t="str">
        <f>IFERROR(__xludf.DUMMYFUNCTION("""COMPUTED_VALUE"""),"04VG0054")</f>
        <v>04VG0054</v>
      </c>
      <c r="O701" s="2" t="str">
        <f>IFERROR(__xludf.DUMMYFUNCTION("""COMPUTED_VALUE"""),"Phân bón Vi lượng Quantity New")</f>
        <v>Phân bón Vi lượng Quantity New</v>
      </c>
      <c r="P701" s="2" t="str">
        <f>IFERROR(__xludf.DUMMYFUNCTION("""COMPUTED_VALUE"""),"#N/A")</f>
        <v>#N/A</v>
      </c>
      <c r="Q701" s="30" t="str">
        <f>IFERROR(__xludf.DUMMYFUNCTION("""COMPUTED_VALUE"""),"KHÔNG KHỚP")</f>
        <v>KHÔNG KHỚP</v>
      </c>
      <c r="R701" s="2"/>
      <c r="S701" s="2"/>
      <c r="T701" s="2"/>
      <c r="U701" s="2"/>
      <c r="V701" s="2"/>
      <c r="W701" s="2"/>
      <c r="X701" s="2"/>
      <c r="Y701" s="2"/>
    </row>
    <row r="702">
      <c r="A702" s="30">
        <f>IFERROR(__xludf.DUMMYFUNCTION("""COMPUTED_VALUE"""),699.0)</f>
        <v>699</v>
      </c>
      <c r="B702" s="39">
        <f>IFERROR(__xludf.DUMMYFUNCTION("""COMPUTED_VALUE"""),46036.0)</f>
        <v>46036</v>
      </c>
      <c r="C702" s="30">
        <f>IFERROR(__xludf.DUMMYFUNCTION("""COMPUTED_VALUE"""),1.0)</f>
        <v>1</v>
      </c>
      <c r="D702" s="30" t="str">
        <f>IFERROR(__xludf.DUMMYFUNCTION("""COMPUTED_VALUE"""),"CT CŨ")</f>
        <v>CT CŨ</v>
      </c>
      <c r="E702" s="30"/>
      <c r="F702" s="2"/>
      <c r="G702" s="2" t="str">
        <f>IFERROR(__xludf.DUMMYFUNCTION("""COMPUTED_VALUE"""),"HH4793")</f>
        <v>HH4793</v>
      </c>
      <c r="H702" s="2" t="str">
        <f>IFERROR(__xludf.DUMMYFUNCTION("""COMPUTED_VALUE"""),"GC - V - 4793 - CTY GNH - SIÊU LỚN TRÁI (Nước nâu đen) - 20 lít - 1")</f>
        <v>GC - V - 4793 - CTY GNH - SIÊU LỚN TRÁI (Nước nâu đen) - 20 lít - 1</v>
      </c>
      <c r="I702" s="2" t="str">
        <f>IFERROR(__xludf.DUMMYFUNCTION("""COMPUTED_VALUE"""),"#N/A")</f>
        <v>#N/A</v>
      </c>
      <c r="J702" s="2" t="str">
        <f>IFERROR(__xludf.DUMMYFUNCTION("""COMPUTED_VALUE"""),"A05181225- 01")</f>
        <v>A05181225- 01</v>
      </c>
      <c r="K702" s="2"/>
      <c r="L702" s="2" t="str">
        <f>IFERROR(__xludf.DUMMYFUNCTION("""COMPUTED_VALUE"""),"A05181225-01
I03240326")</f>
        <v>A05181225-01
I03240326</v>
      </c>
      <c r="M702" s="2" t="str">
        <f>IFERROR(__xludf.DUMMYFUNCTION("""COMPUTED_VALUE"""),"HỮU CƠ 20%")</f>
        <v>HỮU CƠ 20%</v>
      </c>
      <c r="N702" s="2" t="str">
        <f>IFERROR(__xludf.DUMMYFUNCTION("""COMPUTED_VALUE"""),"01RR0079V1")</f>
        <v>01RR0079V1</v>
      </c>
      <c r="O702" s="2" t="str">
        <f>IFERROR(__xludf.DUMMYFUNCTION("""COMPUTED_VALUE"""),"Phân bón Hữu cơ ORGANIC ĐGP 01 ")</f>
        <v>Phân bón Hữu cơ ORGANIC ĐGP 01 </v>
      </c>
      <c r="P702" s="2" t="str">
        <f>IFERROR(__xludf.DUMMYFUNCTION("""COMPUTED_VALUE"""),"#N/A")</f>
        <v>#N/A</v>
      </c>
      <c r="Q702" s="30" t="str">
        <f>IFERROR(__xludf.DUMMYFUNCTION("""COMPUTED_VALUE"""),"KHỚP")</f>
        <v>KHỚP</v>
      </c>
      <c r="R702" s="2"/>
      <c r="S702" s="2"/>
      <c r="T702" s="2"/>
      <c r="U702" s="2"/>
      <c r="V702" s="2"/>
      <c r="W702" s="2"/>
      <c r="X702" s="2"/>
      <c r="Y702" s="2"/>
    </row>
    <row r="703">
      <c r="A703" s="30">
        <f>IFERROR(__xludf.DUMMYFUNCTION("""COMPUTED_VALUE"""),700.0)</f>
        <v>700</v>
      </c>
      <c r="B703" s="39">
        <f>IFERROR(__xludf.DUMMYFUNCTION("""COMPUTED_VALUE"""),46056.0)</f>
        <v>46056</v>
      </c>
      <c r="C703" s="30">
        <f>IFERROR(__xludf.DUMMYFUNCTION("""COMPUTED_VALUE"""),7.0)</f>
        <v>7</v>
      </c>
      <c r="D703" s="30" t="str">
        <f>IFERROR(__xludf.DUMMYFUNCTION("""COMPUTED_VALUE"""),"CT CŨ")</f>
        <v>CT CŨ</v>
      </c>
      <c r="E703" s="30"/>
      <c r="F703" s="2"/>
      <c r="G703" s="2" t="str">
        <f>IFERROR(__xludf.DUMMYFUNCTION("""COMPUTED_VALUE"""),"HH4748")</f>
        <v>HH4748</v>
      </c>
      <c r="H703" s="2" t="str">
        <f>IFERROR(__xludf.DUMMYFUNCTION("""COMPUTED_VALUE"""),"GC - V - 4748 - DEGO - RUN FAST (Nước đen) - 18L - 1")</f>
        <v>GC - V - 4748 - DEGO - RUN FAST (Nước đen) - 18L - 1</v>
      </c>
      <c r="I703" s="39" t="str">
        <f>IFERROR(__xludf.DUMMYFUNCTION("""COMPUTED_VALUE"""),"Vi lượng Run Fast")</f>
        <v>Vi lượng Run Fast</v>
      </c>
      <c r="J703" s="2" t="str">
        <f>IFERROR(__xludf.DUMMYFUNCTION("""COMPUTED_VALUE"""),"30NT0001")</f>
        <v>30NT0001</v>
      </c>
      <c r="K703" s="2"/>
      <c r="L703" s="2"/>
      <c r="M703" s="2" t="str">
        <f>IFERROR(__xludf.DUMMYFUNCTION("""COMPUTED_VALUE"""),"BO HAI NGÀN")</f>
        <v>BO HAI NGÀN</v>
      </c>
      <c r="N703" s="2" t="str">
        <f>IFERROR(__xludf.DUMMYFUNCTION("""COMPUTED_VALUE"""),"30NT0001")</f>
        <v>30NT0001</v>
      </c>
      <c r="O703" s="2" t="str">
        <f>IFERROR(__xludf.DUMMYFUNCTION("""COMPUTED_VALUE"""),"Phân bón Vi lượng Run Fast")</f>
        <v>Phân bón Vi lượng Run Fast</v>
      </c>
      <c r="P703" s="2" t="str">
        <f>IFERROR(__xludf.DUMMYFUNCTION("""COMPUTED_VALUE"""),"Phân bón Vi lượng Run Fast")</f>
        <v>Phân bón Vi lượng Run Fast</v>
      </c>
      <c r="Q703" s="30" t="str">
        <f>IFERROR(__xludf.DUMMYFUNCTION("""COMPUTED_VALUE"""),"KHỚP")</f>
        <v>KHỚP</v>
      </c>
      <c r="R703" s="2"/>
      <c r="S703" s="2"/>
      <c r="T703" s="2"/>
      <c r="U703" s="2"/>
      <c r="V703" s="2"/>
      <c r="W703" s="2"/>
      <c r="X703" s="2"/>
      <c r="Y703" s="2"/>
    </row>
    <row r="704">
      <c r="A704" s="30">
        <f>IFERROR(__xludf.DUMMYFUNCTION("""COMPUTED_VALUE"""),701.0)</f>
        <v>701</v>
      </c>
      <c r="B704" s="39">
        <f>IFERROR(__xludf.DUMMYFUNCTION("""COMPUTED_VALUE"""),45911.0)</f>
        <v>45911</v>
      </c>
      <c r="C704" s="30">
        <f>IFERROR(__xludf.DUMMYFUNCTION("""COMPUTED_VALUE"""),1.0)</f>
        <v>1</v>
      </c>
      <c r="D704" s="30" t="str">
        <f>IFERROR(__xludf.DUMMYFUNCTION("""COMPUTED_VALUE"""),"CT CŨ")</f>
        <v>CT CŨ</v>
      </c>
      <c r="E704" s="30"/>
      <c r="F704" s="2"/>
      <c r="G704" s="2" t="str">
        <f>IFERROR(__xludf.DUMMYFUNCTION("""COMPUTED_VALUE"""),"HH4307")</f>
        <v>HH4307</v>
      </c>
      <c r="H704" s="2" t="str">
        <f>IFERROR(__xludf.DUMMYFUNCTION("""COMPUTED_VALUE"""),"GC - V - 4307 - CTY HIỆP PHÁT ABC - HP 01 (nước nâu đen) - 500ml - 40")</f>
        <v>GC - V - 4307 - CTY HIỆP PHÁT ABC - HP 01 (nước nâu đen) - 500ml - 40</v>
      </c>
      <c r="I704" s="2" t="str">
        <f>IFERROR(__xludf.DUMMYFUNCTION("""COMPUTED_VALUE"""),"#N/A")</f>
        <v>#N/A</v>
      </c>
      <c r="J704" s="2" t="str">
        <f>IFERROR(__xludf.DUMMYFUNCTION("""COMPUTED_VALUE"""),"A01090625")</f>
        <v>A01090625</v>
      </c>
      <c r="K704" s="2"/>
      <c r="L704" s="2" t="str">
        <f>IFERROR(__xludf.DUMMYFUNCTION("""COMPUTED_VALUE"""),"A01090625")</f>
        <v>A01090625</v>
      </c>
      <c r="M704" s="2" t="str">
        <f>IFERROR(__xludf.DUMMYFUNCTION("""COMPUTED_VALUE"""),"TAK09")</f>
        <v>TAK09</v>
      </c>
      <c r="N704" s="2" t="str">
        <f>IFERROR(__xludf.DUMMYFUNCTION("""COMPUTED_VALUE"""),"01RR0055")</f>
        <v>01RR0055</v>
      </c>
      <c r="O704" s="2" t="str">
        <f>IFERROR(__xludf.DUMMYFUNCTION("""COMPUTED_VALUE"""),"Phân bón Hữu cơ SH Agro Organic Fertilizer 20")</f>
        <v>Phân bón Hữu cơ SH Agro Organic Fertilizer 20</v>
      </c>
      <c r="P704" s="2" t="str">
        <f>IFERROR(__xludf.DUMMYFUNCTION("""COMPUTED_VALUE"""),"#N/A")</f>
        <v>#N/A</v>
      </c>
      <c r="Q704" s="30" t="str">
        <f>IFERROR(__xludf.DUMMYFUNCTION("""COMPUTED_VALUE"""),"KHÔNG KHỚP")</f>
        <v>KHÔNG KHỚP</v>
      </c>
      <c r="R704" s="2"/>
      <c r="S704" s="2"/>
      <c r="T704" s="2"/>
      <c r="U704" s="2"/>
      <c r="V704" s="2"/>
      <c r="W704" s="2"/>
      <c r="X704" s="2"/>
      <c r="Y704" s="2"/>
    </row>
    <row r="705">
      <c r="A705" s="30">
        <f>IFERROR(__xludf.DUMMYFUNCTION("""COMPUTED_VALUE"""),702.0)</f>
        <v>702</v>
      </c>
      <c r="B705" s="39">
        <f>IFERROR(__xludf.DUMMYFUNCTION("""COMPUTED_VALUE"""),45929.0)</f>
        <v>45929</v>
      </c>
      <c r="C705" s="30">
        <f>IFERROR(__xludf.DUMMYFUNCTION("""COMPUTED_VALUE"""),5.0)</f>
        <v>5</v>
      </c>
      <c r="D705" s="30" t="str">
        <f>IFERROR(__xludf.DUMMYFUNCTION("""COMPUTED_VALUE"""),"CT CŨ")</f>
        <v>CT CŨ</v>
      </c>
      <c r="E705" s="30"/>
      <c r="F705" s="2"/>
      <c r="G705" s="2" t="str">
        <f>IFERROR(__xludf.DUMMYFUNCTION("""COMPUTED_VALUE"""),"HH3794")</f>
        <v>HH3794</v>
      </c>
      <c r="H705" s="2" t="str">
        <f>IFERROR(__xludf.DUMMYFUNCTION("""COMPUTED_VALUE"""),"GC - V - 3794 - Cty Sen Hồng (A.Diễn) - VÔ GẠO TE+ (Gel đỏ cam) - 500ml - 40")</f>
        <v>GC - V - 3794 - Cty Sen Hồng (A.Diễn) - VÔ GẠO TE+ (Gel đỏ cam) - 500ml - 40</v>
      </c>
      <c r="I705" s="2" t="str">
        <f>IFERROR(__xludf.DUMMYFUNCTION("""COMPUTED_VALUE"""),"#N/A")</f>
        <v>#N/A</v>
      </c>
      <c r="J705" s="2" t="str">
        <f>IFERROR(__xludf.DUMMYFUNCTION("""COMPUTED_VALUE"""),"Cùng ruột HH3525")</f>
        <v>Cùng ruột HH3525</v>
      </c>
      <c r="K705" s="2"/>
      <c r="L705" s="2"/>
      <c r="M705" s="2" t="str">
        <f>IFERROR(__xludf.DUMMYFUNCTION("""COMPUTED_VALUE"""),"SIÊU VÔ GẠO TE+
1 TẤN 4
SHINO 1 TẤN 4
SHINO RICE")</f>
        <v>SIÊU VÔ GẠO TE+
1 TẤN 4
SHINO 1 TẤN 4
SHINO RICE</v>
      </c>
      <c r="N705" s="2" t="str">
        <f>IFERROR(__xludf.DUMMYFUNCTION("""COMPUTED_VALUE"""),"04VG0014V1")</f>
        <v>04VG0014V1</v>
      </c>
      <c r="O705" s="2" t="str">
        <f>IFERROR(__xludf.DUMMYFUNCTION("""COMPUTED_VALUE"""),"Phân bón NPK-Vi lượng MASSIVE-BLUE")</f>
        <v>Phân bón NPK-Vi lượng MASSIVE-BLUE</v>
      </c>
      <c r="P705" s="2" t="str">
        <f>IFERROR(__xludf.DUMMYFUNCTION("""COMPUTED_VALUE"""),"#N/A")</f>
        <v>#N/A</v>
      </c>
      <c r="Q705" s="30" t="str">
        <f>IFERROR(__xludf.DUMMYFUNCTION("""COMPUTED_VALUE"""),"KHÔNG KHỚP")</f>
        <v>KHÔNG KHỚP</v>
      </c>
      <c r="R705" s="2"/>
      <c r="S705" s="2"/>
      <c r="T705" s="2"/>
      <c r="U705" s="2"/>
      <c r="V705" s="2"/>
      <c r="W705" s="2"/>
      <c r="X705" s="2"/>
      <c r="Y705" s="2"/>
    </row>
    <row r="706">
      <c r="A706" s="30">
        <f>IFERROR(__xludf.DUMMYFUNCTION("""COMPUTED_VALUE"""),703.0)</f>
        <v>703</v>
      </c>
      <c r="B706" s="39">
        <f>IFERROR(__xludf.DUMMYFUNCTION("""COMPUTED_VALUE"""),46000.0)</f>
        <v>46000</v>
      </c>
      <c r="C706" s="30">
        <f>IFERROR(__xludf.DUMMYFUNCTION("""COMPUTED_VALUE"""),2.0)</f>
        <v>2</v>
      </c>
      <c r="D706" s="30" t="str">
        <f>IFERROR(__xludf.DUMMYFUNCTION("""COMPUTED_VALUE"""),"CT CŨ")</f>
        <v>CT CŨ</v>
      </c>
      <c r="E706" s="30"/>
      <c r="F706" s="2"/>
      <c r="G706" s="2" t="str">
        <f>IFERROR(__xludf.DUMMYFUNCTION("""COMPUTED_VALUE"""),"HH4694")</f>
        <v>HH4694</v>
      </c>
      <c r="H706" s="2" t="str">
        <f>IFERROR(__xludf.DUMMYFUNCTION("""COMPUTED_VALUE"""),"GC - V - 4694 - Cty Newtex - VÔ GẠO T9 (Dạng SC - Xanh lá) - 500ml - 40")</f>
        <v>GC - V - 4694 - Cty Newtex - VÔ GẠO T9 (Dạng SC - Xanh lá) - 500ml - 40</v>
      </c>
      <c r="I706" s="39" t="str">
        <f>IFERROR(__xludf.DUMMYFUNCTION("""COMPUTED_VALUE"""),"Hỗn hợp NPK GNC 101")</f>
        <v>Hỗn hợp NPK GNC 101</v>
      </c>
      <c r="J706" s="2" t="str">
        <f>IFERROR(__xludf.DUMMYFUNCTION("""COMPUTED_VALUE"""),"A01301025
cùng ruột 4448")</f>
        <v>A01301025
cùng ruột 4448</v>
      </c>
      <c r="K706" s="2"/>
      <c r="L706" s="2" t="str">
        <f>IFERROR(__xludf.DUMMYFUNCTION("""COMPUTED_VALUE"""),"A01301025")</f>
        <v>A01301025</v>
      </c>
      <c r="M706" s="2" t="str">
        <f>IFERROR(__xludf.DUMMYFUNCTION("""COMPUTED_VALUE"""),"VÔ GẠO T9")</f>
        <v>VÔ GẠO T9</v>
      </c>
      <c r="N706" s="2" t="str">
        <f>IFERROR(__xludf.DUMMYFUNCTION("""COMPUTED_VALUE"""),"04VG0040V2")</f>
        <v>04VG0040V2</v>
      </c>
      <c r="O706" s="2" t="str">
        <f>IFERROR(__xludf.DUMMYFUNCTION("""COMPUTED_VALUE"""),"Phân bón hỗn hợp NPK GNC 101")</f>
        <v>Phân bón hỗn hợp NPK GNC 101</v>
      </c>
      <c r="P706" s="2" t="str">
        <f>IFERROR(__xludf.DUMMYFUNCTION("""COMPUTED_VALUE"""),"Phân bón Hỗn hợp NPK GNC 101")</f>
        <v>Phân bón Hỗn hợp NPK GNC 101</v>
      </c>
      <c r="Q706" s="30" t="str">
        <f>IFERROR(__xludf.DUMMYFUNCTION("""COMPUTED_VALUE"""),"KHỚP")</f>
        <v>KHỚP</v>
      </c>
      <c r="R706" s="2"/>
      <c r="S706" s="2"/>
      <c r="T706" s="2"/>
      <c r="U706" s="2"/>
      <c r="V706" s="2"/>
      <c r="W706" s="2"/>
      <c r="X706" s="2"/>
      <c r="Y706" s="2"/>
    </row>
    <row r="707">
      <c r="A707" s="30">
        <f>IFERROR(__xludf.DUMMYFUNCTION("""COMPUTED_VALUE"""),704.0)</f>
        <v>704</v>
      </c>
      <c r="B707" s="39">
        <f>IFERROR(__xludf.DUMMYFUNCTION("""COMPUTED_VALUE"""),45940.0)</f>
        <v>45940</v>
      </c>
      <c r="C707" s="30">
        <f>IFERROR(__xludf.DUMMYFUNCTION("""COMPUTED_VALUE"""),2.0)</f>
        <v>2</v>
      </c>
      <c r="D707" s="30" t="str">
        <f>IFERROR(__xludf.DUMMYFUNCTION("""COMPUTED_VALUE"""),"CT CŨ")</f>
        <v>CT CŨ</v>
      </c>
      <c r="E707" s="30"/>
      <c r="F707" s="2"/>
      <c r="G707" s="2" t="str">
        <f>IFERROR(__xludf.DUMMYFUNCTION("""COMPUTED_VALUE"""),"HH4623")</f>
        <v>HH4623</v>
      </c>
      <c r="H707" s="2" t="str">
        <f>IFERROR(__xludf.DUMMYFUNCTION("""COMPUTED_VALUE"""),"GC - V - 4623 - Cty Newtex - KẼM XANH T5 (Dạng SC Xanh dương) - 500ml - 40")</f>
        <v>GC - V - 4623 - Cty Newtex - KẼM XANH T5 (Dạng SC Xanh dương) - 500ml - 40</v>
      </c>
      <c r="I707" s="2" t="str">
        <f>IFERROR(__xludf.DUMMYFUNCTION("""COMPUTED_VALUE"""),"#N/A")</f>
        <v>#N/A</v>
      </c>
      <c r="J707" s="2" t="str">
        <f>IFERROR(__xludf.DUMMYFUNCTION("""COMPUTED_VALUE"""),"A06200825")</f>
        <v>A06200825</v>
      </c>
      <c r="K707" s="2"/>
      <c r="L707" s="2" t="str">
        <f>IFERROR(__xludf.DUMMYFUNCTION("""COMPUTED_VALUE"""),"A06200825")</f>
        <v>A06200825</v>
      </c>
      <c r="M707" s="2" t="str">
        <f>IFERROR(__xludf.DUMMYFUNCTION("""COMPUTED_VALUE"""),"AMINO MAGIE KẼM CAO CẤP 01")</f>
        <v>AMINO MAGIE KẼM CAO CẤP 01</v>
      </c>
      <c r="N707" s="2" t="str">
        <f>IFERROR(__xludf.DUMMYFUNCTION("""COMPUTED_VALUE"""),"23GS0010V1")</f>
        <v>23GS0010V1</v>
      </c>
      <c r="O707" s="2" t="str">
        <f>IFERROR(__xludf.DUMMYFUNCTION("""COMPUTED_VALUE"""),"Phân bón vi lượng Phú Sĩ FJ-09 Kẽm Mg")</f>
        <v>Phân bón vi lượng Phú Sĩ FJ-09 Kẽm Mg</v>
      </c>
      <c r="P707" s="2" t="str">
        <f>IFERROR(__xludf.DUMMYFUNCTION("""COMPUTED_VALUE"""),"#N/A")</f>
        <v>#N/A</v>
      </c>
      <c r="Q707" s="30" t="str">
        <f>IFERROR(__xludf.DUMMYFUNCTION("""COMPUTED_VALUE"""),"KHÔNG KHỚP")</f>
        <v>KHÔNG KHỚP</v>
      </c>
      <c r="R707" s="2"/>
      <c r="S707" s="2"/>
      <c r="T707" s="2"/>
      <c r="U707" s="2"/>
      <c r="V707" s="2"/>
      <c r="W707" s="2"/>
      <c r="X707" s="2"/>
      <c r="Y707" s="2"/>
    </row>
    <row r="708">
      <c r="A708" s="30">
        <f>IFERROR(__xludf.DUMMYFUNCTION("""COMPUTED_VALUE"""),705.0)</f>
        <v>705</v>
      </c>
      <c r="B708" s="39">
        <f>IFERROR(__xludf.DUMMYFUNCTION("""COMPUTED_VALUE"""),45896.0)</f>
        <v>45896</v>
      </c>
      <c r="C708" s="30">
        <f>IFERROR(__xludf.DUMMYFUNCTION("""COMPUTED_VALUE"""),3.0)</f>
        <v>3</v>
      </c>
      <c r="D708" s="30" t="str">
        <f>IFERROR(__xludf.DUMMYFUNCTION("""COMPUTED_VALUE"""),"CT CŨ")</f>
        <v>CT CŨ</v>
      </c>
      <c r="E708" s="30"/>
      <c r="F708" s="2"/>
      <c r="G708" s="2" t="str">
        <f>IFERROR(__xludf.DUMMYFUNCTION("""COMPUTED_VALUE"""),"HH4564")</f>
        <v>HH4564</v>
      </c>
      <c r="H708" s="2" t="str">
        <f>IFERROR(__xludf.DUMMYFUNCTION("""COMPUTED_VALUE"""),"GC - V - 4564 - CTY NEWTEX - CANXI BO KẼM T8 (Nước trắng sữa) - 1L - 20")</f>
        <v>GC - V - 4564 - CTY NEWTEX - CANXI BO KẼM T8 (Nước trắng sữa) - 1L - 20</v>
      </c>
      <c r="I708" s="2" t="str">
        <f>IFERROR(__xludf.DUMMYFUNCTION("""COMPUTED_VALUE"""),"#N/A")</f>
        <v>#N/A</v>
      </c>
      <c r="J708" s="2" t="str">
        <f>IFERROR(__xludf.DUMMYFUNCTION("""COMPUTED_VALUE"""),"A02160725")</f>
        <v>A02160725</v>
      </c>
      <c r="K708" s="2"/>
      <c r="L708" s="2" t="str">
        <f>IFERROR(__xludf.DUMMYFUNCTION("""COMPUTED_VALUE"""),"A02160725")</f>
        <v>A02160725</v>
      </c>
      <c r="M708" s="2" t="str">
        <f>IFERROR(__xludf.DUMMYFUNCTION("""COMPUTED_VALUE"""),"AGAMA-CANXI BO
(KIM NGỌC)")</f>
        <v>AGAMA-CANXI BO
(KIM NGỌC)</v>
      </c>
      <c r="N708" s="2" t="str">
        <f>IFERROR(__xludf.DUMMYFUNCTION("""COMPUTED_VALUE"""),"10CR0021")</f>
        <v>10CR0021</v>
      </c>
      <c r="O708" s="2" t="str">
        <f>IFERROR(__xludf.DUMMYFUNCTION("""COMPUTED_VALUE"""),"Phân bón Vi lượng AGAMA-CANXI BO")</f>
        <v>Phân bón Vi lượng AGAMA-CANXI BO</v>
      </c>
      <c r="P708" s="2" t="str">
        <f>IFERROR(__xludf.DUMMYFUNCTION("""COMPUTED_VALUE"""),"#N/A")</f>
        <v>#N/A</v>
      </c>
      <c r="Q708" s="30" t="str">
        <f>IFERROR(__xludf.DUMMYFUNCTION("""COMPUTED_VALUE"""),"KHÔNG KHỚP")</f>
        <v>KHÔNG KHỚP</v>
      </c>
      <c r="R708" s="2"/>
      <c r="S708" s="2"/>
      <c r="T708" s="2"/>
      <c r="U708" s="2"/>
      <c r="V708" s="2"/>
      <c r="W708" s="2"/>
      <c r="X708" s="2"/>
      <c r="Y708" s="2"/>
    </row>
    <row r="709">
      <c r="A709" s="30">
        <f>IFERROR(__xludf.DUMMYFUNCTION("""COMPUTED_VALUE"""),706.0)</f>
        <v>706</v>
      </c>
      <c r="B709" s="39">
        <f>IFERROR(__xludf.DUMMYFUNCTION("""COMPUTED_VALUE"""),45959.0)</f>
        <v>45959</v>
      </c>
      <c r="C709" s="30">
        <f>IFERROR(__xludf.DUMMYFUNCTION("""COMPUTED_VALUE"""),8.0)</f>
        <v>8</v>
      </c>
      <c r="D709" s="30" t="str">
        <f>IFERROR(__xludf.DUMMYFUNCTION("""COMPUTED_VALUE"""),"CT CŨ")</f>
        <v>CT CŨ</v>
      </c>
      <c r="E709" s="30"/>
      <c r="F709" s="2"/>
      <c r="G709" s="2" t="str">
        <f>IFERROR(__xludf.DUMMYFUNCTION("""COMPUTED_VALUE"""),"HH4187")</f>
        <v>HH4187</v>
      </c>
      <c r="H709" s="2" t="str">
        <f>IFERROR(__xludf.DUMMYFUNCTION("""COMPUTED_VALUE"""),"GC - IX - 4187 - N2SBIO - N2 ULTRA LOCK (Dạng SC - Trắng sữa) - 500ml - 40")</f>
        <v>GC - IX - 4187 - N2SBIO - N2 ULTRA LOCK (Dạng SC - Trắng sữa) - 500ml - 40</v>
      </c>
      <c r="I709" s="39" t="str">
        <f>IFERROR(__xludf.DUMMYFUNCTION("""COMPUTED_VALUE"""),"Lá PK-Trung Lượng NBC-Photphonate")</f>
        <v>Lá PK-Trung Lượng NBC-Photphonate</v>
      </c>
      <c r="J709" s="2" t="str">
        <f>IFERROR(__xludf.DUMMYFUNCTION("""COMPUTED_VALUE"""),"N04290725")</f>
        <v>N04290725</v>
      </c>
      <c r="K709" s="2"/>
      <c r="L709" s="2" t="str">
        <f>IFERROR(__xludf.DUMMYFUNCTION("""COMPUTED_VALUE"""),"N04290725")</f>
        <v>N04290725</v>
      </c>
      <c r="M709" s="2" t="str">
        <f>IFERROR(__xludf.DUMMYFUNCTION("""COMPUTED_VALUE"""),"N2 ULTRA LOCK")</f>
        <v>N2 ULTRA LOCK</v>
      </c>
      <c r="N709" s="2" t="str">
        <f>IFERROR(__xludf.DUMMYFUNCTION("""COMPUTED_VALUE"""),"06CD0016V1")</f>
        <v>06CD0016V1</v>
      </c>
      <c r="O709" s="2" t="str">
        <f>IFERROR(__xludf.DUMMYFUNCTION("""COMPUTED_VALUE"""),"Phân bón lá PK-Trung lượng NBC-PHOTPHONATE")</f>
        <v>Phân bón lá PK-Trung lượng NBC-PHOTPHONATE</v>
      </c>
      <c r="P709" s="2" t="str">
        <f>IFERROR(__xludf.DUMMYFUNCTION("""COMPUTED_VALUE"""),"Phân bón Lá PK-Trung Lượng NBC-Photphonate")</f>
        <v>Phân bón Lá PK-Trung Lượng NBC-Photphonate</v>
      </c>
      <c r="Q709" s="30" t="str">
        <f>IFERROR(__xludf.DUMMYFUNCTION("""COMPUTED_VALUE"""),"KHỚP")</f>
        <v>KHỚP</v>
      </c>
      <c r="R709" s="2"/>
      <c r="S709" s="2"/>
      <c r="T709" s="2"/>
      <c r="U709" s="2"/>
      <c r="V709" s="2"/>
      <c r="W709" s="2"/>
      <c r="X709" s="2"/>
      <c r="Y709" s="2"/>
    </row>
    <row r="710">
      <c r="A710" s="30">
        <f>IFERROR(__xludf.DUMMYFUNCTION("""COMPUTED_VALUE"""),707.0)</f>
        <v>707</v>
      </c>
      <c r="B710" s="39">
        <f>IFERROR(__xludf.DUMMYFUNCTION("""COMPUTED_VALUE"""),46044.0)</f>
        <v>46044</v>
      </c>
      <c r="C710" s="30">
        <f>IFERROR(__xludf.DUMMYFUNCTION("""COMPUTED_VALUE"""),1.0)</f>
        <v>1</v>
      </c>
      <c r="D710" s="30" t="str">
        <f>IFERROR(__xludf.DUMMYFUNCTION("""COMPUTED_VALUE"""),"CT CŨ")</f>
        <v>CT CŨ</v>
      </c>
      <c r="E710" s="30"/>
      <c r="F710" s="2"/>
      <c r="G710" s="2" t="str">
        <f>IFERROR(__xludf.DUMMYFUNCTION("""COMPUTED_VALUE"""),"HH4624")</f>
        <v>HH4624</v>
      </c>
      <c r="H710" s="2" t="str">
        <f>IFERROR(__xludf.DUMMYFUNCTION("""COMPUTED_VALUE"""),"GC - V - 4624 - Cty Newtex - ĐÒNG TO BÔNG KẸO T7 (Dạng SC màu vàng nhạt) - 500ml - 40")</f>
        <v>GC - V - 4624 - Cty Newtex - ĐÒNG TO BÔNG KẸO T7 (Dạng SC màu vàng nhạt) - 500ml - 40</v>
      </c>
      <c r="I710" s="2" t="str">
        <f>IFERROR(__xludf.DUMMYFUNCTION("""COMPUTED_VALUE"""),"#N/A")</f>
        <v>#N/A</v>
      </c>
      <c r="J710" s="2" t="str">
        <f>IFERROR(__xludf.DUMMYFUNCTION("""COMPUTED_VALUE"""),"A03260525")</f>
        <v>A03260525</v>
      </c>
      <c r="K710" s="2"/>
      <c r="L710" s="2" t="str">
        <f>IFERROR(__xludf.DUMMYFUNCTION("""COMPUTED_VALUE"""),"A03260525")</f>
        <v>A03260525</v>
      </c>
      <c r="M710" s="2" t="str">
        <f>IFERROR(__xludf.DUMMYFUNCTION("""COMPUTED_VALUE"""),"ĐÒNG TO BÔNG KẸO (CẢI TIẾN)")</f>
        <v>ĐÒNG TO BÔNG KẸO (CẢI TIẾN)</v>
      </c>
      <c r="N710" s="2" t="str">
        <f>IFERROR(__xludf.DUMMYFUNCTION("""COMPUTED_VALUE"""),"03DD0017V3")</f>
        <v>03DD0017V3</v>
      </c>
      <c r="O710" s="2" t="str">
        <f>IFERROR(__xludf.DUMMYFUNCTION("""COMPUTED_VALUE"""),"Phân bón lá NPK-Vi lượng GNC 19")</f>
        <v>Phân bón lá NPK-Vi lượng GNC 19</v>
      </c>
      <c r="P710" s="2" t="str">
        <f>IFERROR(__xludf.DUMMYFUNCTION("""COMPUTED_VALUE"""),"#N/A")</f>
        <v>#N/A</v>
      </c>
      <c r="Q710" s="30" t="str">
        <f>IFERROR(__xludf.DUMMYFUNCTION("""COMPUTED_VALUE"""),"KHÔNG KHỚP")</f>
        <v>KHÔNG KHỚP</v>
      </c>
      <c r="R710" s="2"/>
      <c r="S710" s="2"/>
      <c r="T710" s="2"/>
      <c r="U710" s="2"/>
      <c r="V710" s="2"/>
      <c r="W710" s="2"/>
      <c r="X710" s="2"/>
      <c r="Y710" s="2"/>
    </row>
    <row r="711">
      <c r="A711" s="30">
        <f>IFERROR(__xludf.DUMMYFUNCTION("""COMPUTED_VALUE"""),708.0)</f>
        <v>708</v>
      </c>
      <c r="B711" s="39">
        <f>IFERROR(__xludf.DUMMYFUNCTION("""COMPUTED_VALUE"""),45940.0)</f>
        <v>45940</v>
      </c>
      <c r="C711" s="30">
        <f>IFERROR(__xludf.DUMMYFUNCTION("""COMPUTED_VALUE"""),4.0)</f>
        <v>4</v>
      </c>
      <c r="D711" s="30" t="str">
        <f>IFERROR(__xludf.DUMMYFUNCTION("""COMPUTED_VALUE"""),"CT CŨ")</f>
        <v>CT CŨ</v>
      </c>
      <c r="E711" s="30"/>
      <c r="F711" s="2"/>
      <c r="G711" s="2" t="str">
        <f>IFERROR(__xludf.DUMMYFUNCTION("""COMPUTED_VALUE"""),"HH4328")</f>
        <v>HH4328</v>
      </c>
      <c r="H711" s="2" t="str">
        <f>IFERROR(__xludf.DUMMYFUNCTION("""COMPUTED_VALUE"""),"GC - V - 4328 - Hóa Nông Shino - KALI SỮA (Nước hồng sữa) - 500ml - 30")</f>
        <v>GC - V - 4328 - Hóa Nông Shino - KALI SỮA (Nước hồng sữa) - 500ml - 30</v>
      </c>
      <c r="I711" s="2" t="str">
        <f>IFERROR(__xludf.DUMMYFUNCTION("""COMPUTED_VALUE"""),"#N/A")</f>
        <v>#N/A</v>
      </c>
      <c r="J711" s="2" t="str">
        <f>IFERROR(__xludf.DUMMYFUNCTION("""COMPUTED_VALUE"""),"A02020525")</f>
        <v>A02020525</v>
      </c>
      <c r="K711" s="2"/>
      <c r="L711" s="2" t="str">
        <f>IFERROR(__xludf.DUMMYFUNCTION("""COMPUTED_VALUE"""),"A02020525")</f>
        <v>A02020525</v>
      </c>
      <c r="M711" s="2" t="str">
        <f>IFERROR(__xludf.DUMMYFUNCTION("""COMPUTED_VALUE"""),"KALI SỮA")</f>
        <v>KALI SỮA</v>
      </c>
      <c r="N711" s="2" t="str">
        <f>IFERROR(__xludf.DUMMYFUNCTION("""COMPUTED_VALUE"""),"04VG0026V2")</f>
        <v>04VG0026V2</v>
      </c>
      <c r="O711" s="2" t="str">
        <f>IFERROR(__xludf.DUMMYFUNCTION("""COMPUTED_VALUE"""),"Phân bón Hỗn hợp NPK AGAMA-SRH")</f>
        <v>Phân bón Hỗn hợp NPK AGAMA-SRH</v>
      </c>
      <c r="P711" s="2" t="str">
        <f>IFERROR(__xludf.DUMMYFUNCTION("""COMPUTED_VALUE"""),"#N/A")</f>
        <v>#N/A</v>
      </c>
      <c r="Q711" s="30" t="str">
        <f>IFERROR(__xludf.DUMMYFUNCTION("""COMPUTED_VALUE"""),"KHÔNG KHỚP")</f>
        <v>KHÔNG KHỚP</v>
      </c>
      <c r="R711" s="2"/>
      <c r="S711" s="2"/>
      <c r="T711" s="2"/>
      <c r="U711" s="2"/>
      <c r="V711" s="2"/>
      <c r="W711" s="2"/>
      <c r="X711" s="2"/>
      <c r="Y711" s="2"/>
    </row>
    <row r="712">
      <c r="A712" s="30">
        <f>IFERROR(__xludf.DUMMYFUNCTION("""COMPUTED_VALUE"""),709.0)</f>
        <v>709</v>
      </c>
      <c r="B712" s="39">
        <f>IFERROR(__xludf.DUMMYFUNCTION("""COMPUTED_VALUE"""),45983.0)</f>
        <v>45983</v>
      </c>
      <c r="C712" s="30">
        <f>IFERROR(__xludf.DUMMYFUNCTION("""COMPUTED_VALUE"""),3.0)</f>
        <v>3</v>
      </c>
      <c r="D712" s="30" t="str">
        <f>IFERROR(__xludf.DUMMYFUNCTION("""COMPUTED_VALUE"""),"CT CŨ")</f>
        <v>CT CŨ</v>
      </c>
      <c r="E712" s="30"/>
      <c r="F712" s="2"/>
      <c r="G712" s="2" t="str">
        <f>IFERROR(__xludf.DUMMYFUNCTION("""COMPUTED_VALUE"""),"HH4702")</f>
        <v>HH4702</v>
      </c>
      <c r="H712" s="2" t="str">
        <f>IFERROR(__xludf.DUMMYFUNCTION("""COMPUTED_VALUE"""),"GC - V - 4702 - CTY HÓA NÔNG CON ONG VÀNG - VÔ GẠO ONG CHÚA (Nước đỏ cam) - 500ml - 40")</f>
        <v>GC - V - 4702 - CTY HÓA NÔNG CON ONG VÀNG - VÔ GẠO ONG CHÚA (Nước đỏ cam) - 500ml - 40</v>
      </c>
      <c r="I712" s="2" t="str">
        <f>IFERROR(__xludf.DUMMYFUNCTION("""COMPUTED_VALUE"""),"#N/A")</f>
        <v>#N/A</v>
      </c>
      <c r="J712" s="2" t="str">
        <f>IFERROR(__xludf.DUMMYFUNCTION("""COMPUTED_VALUE"""),"A03091025")</f>
        <v>A03091025</v>
      </c>
      <c r="K712" s="2"/>
      <c r="L712" s="2" t="str">
        <f>IFERROR(__xludf.DUMMYFUNCTION("""COMPUTED_VALUE"""),"A03091025")</f>
        <v>A03091025</v>
      </c>
      <c r="M712" s="2" t="str">
        <f>IFERROR(__xludf.DUMMYFUNCTION("""COMPUTED_VALUE"""),"VÔ GẠO 0 - 5 -18 (02)")</f>
        <v>VÔ GẠO 0 - 5 -18 (02)</v>
      </c>
      <c r="N712" s="2" t="str">
        <f>IFERROR(__xludf.DUMMYFUNCTION("""COMPUTED_VALUE"""),"04VG0044")</f>
        <v>04VG0044</v>
      </c>
      <c r="O712" s="2" t="str">
        <f>IFERROR(__xludf.DUMMYFUNCTION("""COMPUTED_VALUE"""),"Phân bón lá PK-Vi lượng SV 5-18")</f>
        <v>Phân bón lá PK-Vi lượng SV 5-18</v>
      </c>
      <c r="P712" s="2" t="str">
        <f>IFERROR(__xludf.DUMMYFUNCTION("""COMPUTED_VALUE"""),"#N/A")</f>
        <v>#N/A</v>
      </c>
      <c r="Q712" s="30" t="str">
        <f>IFERROR(__xludf.DUMMYFUNCTION("""COMPUTED_VALUE"""),"KHÔNG KHỚP")</f>
        <v>KHÔNG KHỚP</v>
      </c>
      <c r="R712" s="2"/>
      <c r="S712" s="2"/>
      <c r="T712" s="2"/>
      <c r="U712" s="2"/>
      <c r="V712" s="2"/>
      <c r="W712" s="2"/>
      <c r="X712" s="2"/>
      <c r="Y712" s="2"/>
    </row>
    <row r="713">
      <c r="A713" s="30">
        <f>IFERROR(__xludf.DUMMYFUNCTION("""COMPUTED_VALUE"""),710.0)</f>
        <v>710</v>
      </c>
      <c r="B713" s="39">
        <f>IFERROR(__xludf.DUMMYFUNCTION("""COMPUTED_VALUE"""),46060.0)</f>
        <v>46060</v>
      </c>
      <c r="C713" s="30">
        <f>IFERROR(__xludf.DUMMYFUNCTION("""COMPUTED_VALUE"""),1.0)</f>
        <v>1</v>
      </c>
      <c r="D713" s="30" t="str">
        <f>IFERROR(__xludf.DUMMYFUNCTION("""COMPUTED_VALUE"""),"CT CŨ")</f>
        <v>CT CŨ</v>
      </c>
      <c r="E713" s="30"/>
      <c r="F713" s="2"/>
      <c r="G713" s="2" t="str">
        <f>IFERROR(__xludf.DUMMYFUNCTION("""COMPUTED_VALUE"""),"HH4806")</f>
        <v>HH4806</v>
      </c>
      <c r="H713" s="2" t="str">
        <f>IFERROR(__xludf.DUMMYFUNCTION("""COMPUTED_VALUE"""),"GC - V - 4806 - CTY HÓA NÔNG CON ONG VÀNG - MAGIE KẼM PLUS (Dạng SC - Xanh lá) - 400ml - 40")</f>
        <v>GC - V - 4806 - CTY HÓA NÔNG CON ONG VÀNG - MAGIE KẼM PLUS (Dạng SC - Xanh lá) - 400ml - 40</v>
      </c>
      <c r="I713" s="39" t="str">
        <f>IFERROR(__xludf.DUMMYFUNCTION("""COMPUTED_VALUE"""),"vi lượng Phú Sĩ FJ-09 Kẽm Mg")</f>
        <v>vi lượng Phú Sĩ FJ-09 Kẽm Mg</v>
      </c>
      <c r="J713" s="2" t="str">
        <f>IFERROR(__xludf.DUMMYFUNCTION("""COMPUTED_VALUE"""),"A05200825-01")</f>
        <v>A05200825-01</v>
      </c>
      <c r="K713" s="2"/>
      <c r="L713" s="2" t="str">
        <f>IFERROR(__xludf.DUMMYFUNCTION("""COMPUTED_VALUE"""),"A05200825-01")</f>
        <v>A05200825-01</v>
      </c>
      <c r="M713" s="2" t="str">
        <f>IFERROR(__xludf.DUMMYFUNCTION("""COMPUTED_VALUE"""),"AMINO MAGIE - KẼM CAO CẤP 02 (CẢI TIẾN)")</f>
        <v>AMINO MAGIE - KẼM CAO CẤP 02 (CẢI TIẾN)</v>
      </c>
      <c r="N713" s="2" t="str">
        <f>IFERROR(__xludf.DUMMYFUNCTION("""COMPUTED_VALUE"""),"23GS0022")</f>
        <v>23GS0022</v>
      </c>
      <c r="O713" s="2" t="str">
        <f>IFERROR(__xludf.DUMMYFUNCTION("""COMPUTED_VALUE"""),"Phân bón vi lượng Phú Sĩ FJ-09 Kẽm Mg")</f>
        <v>Phân bón vi lượng Phú Sĩ FJ-09 Kẽm Mg</v>
      </c>
      <c r="P713" s="2" t="str">
        <f>IFERROR(__xludf.DUMMYFUNCTION("""COMPUTED_VALUE"""),"Phân bón vi lượng Phú Sĩ FJ-09 Kẽm Mg")</f>
        <v>Phân bón vi lượng Phú Sĩ FJ-09 Kẽm Mg</v>
      </c>
      <c r="Q713" s="30" t="str">
        <f>IFERROR(__xludf.DUMMYFUNCTION("""COMPUTED_VALUE"""),"KHỚP")</f>
        <v>KHỚP</v>
      </c>
      <c r="R713" s="2"/>
      <c r="S713" s="2"/>
      <c r="T713" s="2"/>
      <c r="U713" s="2"/>
      <c r="V713" s="2"/>
      <c r="W713" s="2"/>
      <c r="X713" s="2"/>
      <c r="Y713" s="2"/>
    </row>
    <row r="714">
      <c r="A714" s="30">
        <f>IFERROR(__xludf.DUMMYFUNCTION("""COMPUTED_VALUE"""),711.0)</f>
        <v>711</v>
      </c>
      <c r="B714" s="39">
        <f>IFERROR(__xludf.DUMMYFUNCTION("""COMPUTED_VALUE"""),45896.0)</f>
        <v>45896</v>
      </c>
      <c r="C714" s="30">
        <f>IFERROR(__xludf.DUMMYFUNCTION("""COMPUTED_VALUE"""),1.0)</f>
        <v>1</v>
      </c>
      <c r="D714" s="30" t="str">
        <f>IFERROR(__xludf.DUMMYFUNCTION("""COMPUTED_VALUE"""),"CT CŨ")</f>
        <v>CT CŨ</v>
      </c>
      <c r="E714" s="30"/>
      <c r="F714" s="2"/>
      <c r="G714" s="2" t="str">
        <f>IFERROR(__xludf.DUMMYFUNCTION("""COMPUTED_VALUE"""),"HH4807")</f>
        <v>HH4807</v>
      </c>
      <c r="H714" s="2" t="str">
        <f>IFERROR(__xludf.DUMMYFUNCTION("""COMPUTED_VALUE"""),"GC - V - 4807 - CTY HÓA NÔNG CON ONG VÀNG - ĐÒNG TO BÔNG BỰ (Dạng SC - Trắng sữa) - 400ml - 40")</f>
        <v>GC - V - 4807 - CTY HÓA NÔNG CON ONG VÀNG - ĐÒNG TO BÔNG BỰ (Dạng SC - Trắng sữa) - 400ml - 40</v>
      </c>
      <c r="I714" s="2" t="str">
        <f>IFERROR(__xludf.DUMMYFUNCTION("""COMPUTED_VALUE"""),"#N/A")</f>
        <v>#N/A</v>
      </c>
      <c r="J714" s="2" t="str">
        <f>IFERROR(__xludf.DUMMYFUNCTION("""COMPUTED_VALUE"""),"A02160725")</f>
        <v>A02160725</v>
      </c>
      <c r="K714" s="2"/>
      <c r="L714" s="2" t="str">
        <f>IFERROR(__xludf.DUMMYFUNCTION("""COMPUTED_VALUE"""),"A02160725")</f>
        <v>A02160725</v>
      </c>
      <c r="M714" s="2" t="str">
        <f>IFERROR(__xludf.DUMMYFUNCTION("""COMPUTED_VALUE"""),"AGAMA-CANXI BO
(KIM NGỌC)")</f>
        <v>AGAMA-CANXI BO
(KIM NGỌC)</v>
      </c>
      <c r="N714" s="2" t="str">
        <f>IFERROR(__xludf.DUMMYFUNCTION("""COMPUTED_VALUE"""),"10CR0021")</f>
        <v>10CR0021</v>
      </c>
      <c r="O714" s="2" t="str">
        <f>IFERROR(__xludf.DUMMYFUNCTION("""COMPUTED_VALUE"""),"Phân bón Vi lượng AGAMA-CANXI BO")</f>
        <v>Phân bón Vi lượng AGAMA-CANXI BO</v>
      </c>
      <c r="P714" s="2" t="str">
        <f>IFERROR(__xludf.DUMMYFUNCTION("""COMPUTED_VALUE"""),"#N/A")</f>
        <v>#N/A</v>
      </c>
      <c r="Q714" s="30" t="str">
        <f>IFERROR(__xludf.DUMMYFUNCTION("""COMPUTED_VALUE"""),"KHÔNG KHỚP")</f>
        <v>KHÔNG KHỚP</v>
      </c>
      <c r="R714" s="2"/>
      <c r="S714" s="2"/>
      <c r="T714" s="2"/>
      <c r="U714" s="2"/>
      <c r="V714" s="2"/>
      <c r="W714" s="2"/>
      <c r="X714" s="2"/>
      <c r="Y714" s="2"/>
    </row>
    <row r="715">
      <c r="A715" s="30">
        <f>IFERROR(__xludf.DUMMYFUNCTION("""COMPUTED_VALUE"""),712.0)</f>
        <v>712</v>
      </c>
      <c r="B715" s="39">
        <f>IFERROR(__xludf.DUMMYFUNCTION("""COMPUTED_VALUE"""),46032.0)</f>
        <v>46032</v>
      </c>
      <c r="C715" s="30">
        <f>IFERROR(__xludf.DUMMYFUNCTION("""COMPUTED_VALUE"""),2.0)</f>
        <v>2</v>
      </c>
      <c r="D715" s="30" t="str">
        <f>IFERROR(__xludf.DUMMYFUNCTION("""COMPUTED_VALUE"""),"CT CŨ")</f>
        <v>CT CŨ</v>
      </c>
      <c r="E715" s="30"/>
      <c r="F715" s="2"/>
      <c r="G715" s="2" t="str">
        <f>IFERROR(__xludf.DUMMYFUNCTION("""COMPUTED_VALUE"""),"HH4537")</f>
        <v>HH4537</v>
      </c>
      <c r="H715" s="2" t="str">
        <f>IFERROR(__xludf.DUMMYFUNCTION("""COMPUTED_VALUE"""),"GC - V - 4537 - TAGO - ĐÒNG TO VÔ GẠO (Gel màu tím) - 300ml - 40")</f>
        <v>GC - V - 4537 - TAGO - ĐÒNG TO VÔ GẠO (Gel màu tím) - 300ml - 40</v>
      </c>
      <c r="I715" s="2" t="str">
        <f>IFERROR(__xludf.DUMMYFUNCTION("""COMPUTED_VALUE"""),"#N/A")</f>
        <v>#N/A</v>
      </c>
      <c r="J715" s="2" t="str">
        <f>IFERROR(__xludf.DUMMYFUNCTION("""COMPUTED_VALUE"""),"A01181025")</f>
        <v>A01181025</v>
      </c>
      <c r="K715" s="2"/>
      <c r="L715" s="2" t="str">
        <f>IFERROR(__xludf.DUMMYFUNCTION("""COMPUTED_VALUE"""),"A01181025")</f>
        <v>A01181025</v>
      </c>
      <c r="M715" s="2" t="str">
        <f>IFERROR(__xludf.DUMMYFUNCTION("""COMPUTED_VALUE"""),"VÔ GẠO 5 - 18 (3)")</f>
        <v>VÔ GẠO 5 - 18 (3)</v>
      </c>
      <c r="N715" s="2" t="str">
        <f>IFERROR(__xludf.DUMMYFUNCTION("""COMPUTED_VALUE"""),"04VG0047V1")</f>
        <v>04VG0047V1</v>
      </c>
      <c r="O715" s="2" t="str">
        <f>IFERROR(__xludf.DUMMYFUNCTION("""COMPUTED_VALUE"""),"Phân bón lá PK-Vi lượng SV 5-18")</f>
        <v>Phân bón lá PK-Vi lượng SV 5-18</v>
      </c>
      <c r="P715" s="2" t="str">
        <f>IFERROR(__xludf.DUMMYFUNCTION("""COMPUTED_VALUE"""),"#N/A")</f>
        <v>#N/A</v>
      </c>
      <c r="Q715" s="30" t="str">
        <f>IFERROR(__xludf.DUMMYFUNCTION("""COMPUTED_VALUE"""),"KHỚP")</f>
        <v>KHỚP</v>
      </c>
      <c r="R715" s="2"/>
      <c r="S715" s="2"/>
      <c r="T715" s="2"/>
      <c r="U715" s="2"/>
      <c r="V715" s="2"/>
      <c r="W715" s="2"/>
      <c r="X715" s="2"/>
      <c r="Y715" s="2"/>
    </row>
    <row r="716">
      <c r="A716" s="30">
        <f>IFERROR(__xludf.DUMMYFUNCTION("""COMPUTED_VALUE"""),713.0)</f>
        <v>713</v>
      </c>
      <c r="B716" s="39">
        <f>IFERROR(__xludf.DUMMYFUNCTION("""COMPUTED_VALUE"""),46002.0)</f>
        <v>46002</v>
      </c>
      <c r="C716" s="30">
        <f>IFERROR(__xludf.DUMMYFUNCTION("""COMPUTED_VALUE"""),2.0)</f>
        <v>2</v>
      </c>
      <c r="D716" s="30" t="str">
        <f>IFERROR(__xludf.DUMMYFUNCTION("""COMPUTED_VALUE"""),"CT CŨ")</f>
        <v>CT CŨ</v>
      </c>
      <c r="E716" s="30"/>
      <c r="F716" s="2"/>
      <c r="G716" s="2" t="str">
        <f>IFERROR(__xludf.DUMMYFUNCTION("""COMPUTED_VALUE"""),"HH4337")</f>
        <v>HH4337</v>
      </c>
      <c r="H716" s="2" t="str">
        <f>IFERROR(__xludf.DUMMYFUNCTION("""COMPUTED_VALUE"""),"GC - V - 4337 - THÀNH CÔNG AGRI - STOP ĐỌT (Nước nâu đen V2) - 1L - 20")</f>
        <v>GC - V - 4337 - THÀNH CÔNG AGRI - STOP ĐỌT (Nước nâu đen V2) - 1L - 20</v>
      </c>
      <c r="I716" s="2" t="str">
        <f>IFERROR(__xludf.DUMMYFUNCTION("""COMPUTED_VALUE"""),"#N/A")</f>
        <v>#N/A</v>
      </c>
      <c r="J716" s="2" t="str">
        <f>IFERROR(__xludf.DUMMYFUNCTION("""COMPUTED_VALUE"""),"CHẶN ĐỌT DÒNG V2")</f>
        <v>CHẶN ĐỌT DÒNG V2</v>
      </c>
      <c r="K716" s="2"/>
      <c r="L716" s="2" t="str">
        <f>IFERROR(__xludf.DUMMYFUNCTION("""COMPUTED_VALUE"""),"CHẶN ĐỌT DÒNG V2")</f>
        <v>CHẶN ĐỌT DÒNG V2</v>
      </c>
      <c r="M716" s="2" t="str">
        <f>IFERROR(__xludf.DUMMYFUNCTION("""COMPUTED_VALUE"""),"STOP UP
MT STOP
AGRI STOP
STOP ĐỌT
SIÊU CHẶN ĐỌT
MASTER STOP
UNI STOP ONE
BAMBOO DOUBLE STOP")</f>
        <v>STOP UP
MT STOP
AGRI STOP
STOP ĐỌT
SIÊU CHẶN ĐỌT
MASTER STOP
UNI STOP ONE
BAMBOO DOUBLE STOP</v>
      </c>
      <c r="N716" s="2" t="str">
        <f>IFERROR(__xludf.DUMMYFUNCTION("""COMPUTED_VALUE"""),"06CD0009V3")</f>
        <v>06CD0009V3</v>
      </c>
      <c r="O716" s="2" t="str">
        <f>IFERROR(__xludf.DUMMYFUNCTION("""COMPUTED_VALUE"""),"Phân bón Vi lượng Quantity New")</f>
        <v>Phân bón Vi lượng Quantity New</v>
      </c>
      <c r="P716" s="2" t="str">
        <f>IFERROR(__xludf.DUMMYFUNCTION("""COMPUTED_VALUE"""),"#N/A")</f>
        <v>#N/A</v>
      </c>
      <c r="Q716" s="30" t="str">
        <f>IFERROR(__xludf.DUMMYFUNCTION("""COMPUTED_VALUE"""),"KHÔNG KHỚP")</f>
        <v>KHÔNG KHỚP</v>
      </c>
      <c r="R716" s="2"/>
      <c r="S716" s="2"/>
      <c r="T716" s="2"/>
      <c r="U716" s="2"/>
      <c r="V716" s="2"/>
      <c r="W716" s="2"/>
      <c r="X716" s="2"/>
      <c r="Y716" s="2"/>
    </row>
    <row r="717">
      <c r="A717" s="30">
        <f>IFERROR(__xludf.DUMMYFUNCTION("""COMPUTED_VALUE"""),714.0)</f>
        <v>714</v>
      </c>
      <c r="B717" s="39">
        <f>IFERROR(__xludf.DUMMYFUNCTION("""COMPUTED_VALUE"""),45908.0)</f>
        <v>45908</v>
      </c>
      <c r="C717" s="30">
        <f>IFERROR(__xludf.DUMMYFUNCTION("""COMPUTED_VALUE"""),1.0)</f>
        <v>1</v>
      </c>
      <c r="D717" s="30" t="str">
        <f>IFERROR(__xludf.DUMMYFUNCTION("""COMPUTED_VALUE"""),"CT CŨ")</f>
        <v>CT CŨ</v>
      </c>
      <c r="E717" s="30"/>
      <c r="F717" s="2"/>
      <c r="G717" s="2" t="str">
        <f>IFERROR(__xludf.DUMMYFUNCTION("""COMPUTED_VALUE"""),"HH4883")</f>
        <v>HH4883</v>
      </c>
      <c r="H717" s="2" t="str">
        <f>IFERROR(__xludf.DUMMYFUNCTION("""COMPUTED_VALUE"""),"HH4883 GC - V - 4883 - CTY NAUY - GALAXY (Nước nâu đen) - 500ml - 40")</f>
        <v>HH4883 GC - V - 4883 - CTY NAUY - GALAXY (Nước nâu đen) - 500ml - 40</v>
      </c>
      <c r="I717" s="39" t="str">
        <f>IFERROR(__xludf.DUMMYFUNCTION("""COMPUTED_VALUE"""),"Hỗn Hợp NP AGAMA-AP")</f>
        <v>Hỗn Hợp NP AGAMA-AP</v>
      </c>
      <c r="J717" s="2" t="str">
        <f>IFERROR(__xludf.DUMMYFUNCTION("""COMPUTED_VALUE"""),"A20280225 cùng ruột 4052")</f>
        <v>A20280225 cùng ruột 4052</v>
      </c>
      <c r="K717" s="2"/>
      <c r="L717" s="2" t="str">
        <f>IFERROR(__xludf.DUMMYFUNCTION("""COMPUTED_VALUE"""),"A20280225")</f>
        <v>A20280225</v>
      </c>
      <c r="M717" s="2" t="str">
        <f>IFERROR(__xludf.DUMMYFUNCTION("""COMPUTED_VALUE"""),"BETA VUA RỄ")</f>
        <v>BETA VUA RỄ</v>
      </c>
      <c r="N717" s="2" t="str">
        <f>IFERROR(__xludf.DUMMYFUNCTION("""COMPUTED_VALUE"""),"01RR0050")</f>
        <v>01RR0050</v>
      </c>
      <c r="O717" s="2" t="str">
        <f>IFERROR(__xludf.DUMMYFUNCTION("""COMPUTED_VALUE"""),"Phân bón Hỗn hợp NP AGAMA-AP")</f>
        <v>Phân bón Hỗn hợp NP AGAMA-AP</v>
      </c>
      <c r="P717" s="2" t="str">
        <f>IFERROR(__xludf.DUMMYFUNCTION("""COMPUTED_VALUE"""),"Phân bón Hỗn Hợp NP AGAMA-AP")</f>
        <v>Phân bón Hỗn Hợp NP AGAMA-AP</v>
      </c>
      <c r="Q717" s="30" t="str">
        <f>IFERROR(__xludf.DUMMYFUNCTION("""COMPUTED_VALUE"""),"KHỚP")</f>
        <v>KHỚP</v>
      </c>
      <c r="R717" s="2"/>
      <c r="S717" s="2"/>
      <c r="T717" s="2"/>
      <c r="U717" s="2"/>
      <c r="V717" s="2"/>
      <c r="W717" s="2"/>
      <c r="X717" s="2"/>
      <c r="Y717" s="2"/>
    </row>
    <row r="718">
      <c r="A718" s="30">
        <f>IFERROR(__xludf.DUMMYFUNCTION("""COMPUTED_VALUE"""),715.0)</f>
        <v>715</v>
      </c>
      <c r="B718" s="39">
        <f>IFERROR(__xludf.DUMMYFUNCTION("""COMPUTED_VALUE"""),45915.0)</f>
        <v>45915</v>
      </c>
      <c r="C718" s="30">
        <f>IFERROR(__xludf.DUMMYFUNCTION("""COMPUTED_VALUE"""),1.0)</f>
        <v>1</v>
      </c>
      <c r="D718" s="30" t="str">
        <f>IFERROR(__xludf.DUMMYFUNCTION("""COMPUTED_VALUE"""),"CT CŨ")</f>
        <v>CT CŨ</v>
      </c>
      <c r="E718" s="30"/>
      <c r="F718" s="2"/>
      <c r="G718" s="2" t="str">
        <f>IFERROR(__xludf.DUMMYFUNCTION("""COMPUTED_VALUE"""),"HH4874")</f>
        <v>HH4874</v>
      </c>
      <c r="H718" s="2" t="str">
        <f>IFERROR(__xludf.DUMMYFUNCTION("""COMPUTED_VALUE"""),"GC - V - 4874 - AGRICARE HIGHLAND - OPEN XTRA 44L (Nước vàng) - 120ml - 50")</f>
        <v>GC - V - 4874 - AGRICARE HIGHLAND - OPEN XTRA 44L (Nước vàng) - 120ml - 50</v>
      </c>
      <c r="I718" s="2" t="str">
        <f>IFERROR(__xludf.DUMMYFUNCTION("""COMPUTED_VALUE"""),"#N/A")</f>
        <v>#N/A</v>
      </c>
      <c r="J718" s="2" t="str">
        <f>IFERROR(__xludf.DUMMYFUNCTION("""COMPUTED_VALUE"""),"Cùng ruột 2204")</f>
        <v>Cùng ruột 2204</v>
      </c>
      <c r="K718" s="2"/>
      <c r="L718" s="2"/>
      <c r="M718" s="2" t="str">
        <f>IFERROR(__xludf.DUMMYFUNCTION("""COMPUTED_VALUE"""),"TRỢ LỰC D1")</f>
        <v>TRỢ LỰC D1</v>
      </c>
      <c r="N718" s="2" t="str">
        <f>IFERROR(__xludf.DUMMYFUNCTION("""COMPUTED_VALUE"""),"18TL0004V1")</f>
        <v>18TL0004V1</v>
      </c>
      <c r="O718" s="2" t="str">
        <f>IFERROR(__xludf.DUMMYFUNCTION("""COMPUTED_VALUE"""),"Phân bón Vi lượng Quantity New")</f>
        <v>Phân bón Vi lượng Quantity New</v>
      </c>
      <c r="P718" s="2" t="str">
        <f>IFERROR(__xludf.DUMMYFUNCTION("""COMPUTED_VALUE"""),"#N/A")</f>
        <v>#N/A</v>
      </c>
      <c r="Q718" s="30" t="str">
        <f>IFERROR(__xludf.DUMMYFUNCTION("""COMPUTED_VALUE"""),"KHÔNG KHỚP")</f>
        <v>KHÔNG KHỚP</v>
      </c>
      <c r="R718" s="2"/>
      <c r="S718" s="2"/>
      <c r="T718" s="2"/>
      <c r="U718" s="2"/>
      <c r="V718" s="2"/>
      <c r="W718" s="2"/>
      <c r="X718" s="2"/>
      <c r="Y718" s="2"/>
    </row>
    <row r="719">
      <c r="A719" s="30">
        <f>IFERROR(__xludf.DUMMYFUNCTION("""COMPUTED_VALUE"""),716.0)</f>
        <v>716</v>
      </c>
      <c r="B719" s="39">
        <f>IFERROR(__xludf.DUMMYFUNCTION("""COMPUTED_VALUE"""),45936.0)</f>
        <v>45936</v>
      </c>
      <c r="C719" s="30">
        <f>IFERROR(__xludf.DUMMYFUNCTION("""COMPUTED_VALUE"""),3.0)</f>
        <v>3</v>
      </c>
      <c r="D719" s="30" t="str">
        <f>IFERROR(__xludf.DUMMYFUNCTION("""COMPUTED_VALUE"""),"CT CŨ")</f>
        <v>CT CŨ</v>
      </c>
      <c r="E719" s="30"/>
      <c r="F719" s="2"/>
      <c r="G719" s="2" t="str">
        <f>IFERROR(__xludf.DUMMYFUNCTION("""COMPUTED_VALUE"""),"HH4191")</f>
        <v>HH4191</v>
      </c>
      <c r="H719" s="2" t="str">
        <f>IFERROR(__xludf.DUMMYFUNCTION("""COMPUTED_VALUE"""),"GC - IV - 4191 - Cty Sen Hồng - ROOT+ (Gel xanh dương) - 500ml - 40")</f>
        <v>GC - IV - 4191 - Cty Sen Hồng - ROOT+ (Gel xanh dương) - 500ml - 40</v>
      </c>
      <c r="I719" s="2" t="str">
        <f>IFERROR(__xludf.DUMMYFUNCTION("""COMPUTED_VALUE"""),"#N/A")</f>
        <v>#N/A</v>
      </c>
      <c r="J719" s="2" t="str">
        <f>IFERROR(__xludf.DUMMYFUNCTION("""COMPUTED_VALUE"""),"Cùng ruột 4044")</f>
        <v>Cùng ruột 4044</v>
      </c>
      <c r="K719" s="2"/>
      <c r="L719" s="2" t="str">
        <f>IFERROR(__xludf.DUMMYFUNCTION("""COMPUTED_VALUE"""),"L03110724")</f>
        <v>L03110724</v>
      </c>
      <c r="M719" s="2" t="str">
        <f>IFERROR(__xludf.DUMMYFUNCTION("""COMPUTED_VALUE"""),"ROOT+")</f>
        <v>ROOT+</v>
      </c>
      <c r="N719" s="2" t="str">
        <f>IFERROR(__xludf.DUMMYFUNCTION("""COMPUTED_VALUE"""),"01RR0039")</f>
        <v>01RR0039</v>
      </c>
      <c r="O719" s="2" t="str">
        <f>IFERROR(__xludf.DUMMYFUNCTION("""COMPUTED_VALUE"""),"Phân bón Vi lượng AGAMA-SUPPORT")</f>
        <v>Phân bón Vi lượng AGAMA-SUPPORT</v>
      </c>
      <c r="P719" s="2" t="str">
        <f>IFERROR(__xludf.DUMMYFUNCTION("""COMPUTED_VALUE"""),"#N/A")</f>
        <v>#N/A</v>
      </c>
      <c r="Q719" s="30" t="str">
        <f>IFERROR(__xludf.DUMMYFUNCTION("""COMPUTED_VALUE"""),"KHÔNG KHỚP")</f>
        <v>KHÔNG KHỚP</v>
      </c>
      <c r="R719" s="2"/>
      <c r="S719" s="2"/>
      <c r="T719" s="2"/>
      <c r="U719" s="2"/>
      <c r="V719" s="2"/>
      <c r="W719" s="2"/>
      <c r="X719" s="2"/>
      <c r="Y719" s="2"/>
    </row>
    <row r="720">
      <c r="A720" s="30">
        <f>IFERROR(__xludf.DUMMYFUNCTION("""COMPUTED_VALUE"""),717.0)</f>
        <v>717</v>
      </c>
      <c r="B720" s="39">
        <f>IFERROR(__xludf.DUMMYFUNCTION("""COMPUTED_VALUE"""),46055.0)</f>
        <v>46055</v>
      </c>
      <c r="C720" s="30">
        <f>IFERROR(__xludf.DUMMYFUNCTION("""COMPUTED_VALUE"""),2.0)</f>
        <v>2</v>
      </c>
      <c r="D720" s="30" t="str">
        <f>IFERROR(__xludf.DUMMYFUNCTION("""COMPUTED_VALUE"""),"CT CŨ")</f>
        <v>CT CŨ</v>
      </c>
      <c r="E720" s="30"/>
      <c r="F720" s="2"/>
      <c r="G720" s="2" t="str">
        <f>IFERROR(__xludf.DUMMYFUNCTION("""COMPUTED_VALUE"""),"HH4738")</f>
        <v>HH4738</v>
      </c>
      <c r="H720" s="2" t="str">
        <f>IFERROR(__xludf.DUMMYFUNCTION("""COMPUTED_VALUE"""),"GC - V - 4738 - Cty Sen Hồng (A.Diễn) - VÔ GẠO SH.D87 (nước vàng sữa) - 500ml - 40")</f>
        <v>GC - V - 4738 - Cty Sen Hồng (A.Diễn) - VÔ GẠO SH.D87 (nước vàng sữa) - 500ml - 40</v>
      </c>
      <c r="I720" s="2" t="str">
        <f>IFERROR(__xludf.DUMMYFUNCTION("""COMPUTED_VALUE"""),"#N/A")</f>
        <v>#N/A</v>
      </c>
      <c r="J720" s="2" t="str">
        <f>IFERROR(__xludf.DUMMYFUNCTION("""COMPUTED_VALUE"""),"cùng ruột 1592")</f>
        <v>cùng ruột 1592</v>
      </c>
      <c r="K720" s="2"/>
      <c r="L720" s="2"/>
      <c r="M720" s="2" t="str">
        <f>IFERROR(__xludf.DUMMYFUNCTION("""COMPUTED_VALUE"""),"SIÊU VÔ GẠO - SEN HỒNG")</f>
        <v>SIÊU VÔ GẠO - SEN HỒNG</v>
      </c>
      <c r="N720" s="2" t="str">
        <f>IFERROR(__xludf.DUMMYFUNCTION("""COMPUTED_VALUE"""),"04VG0008V3")</f>
        <v>04VG0008V3</v>
      </c>
      <c r="O720" s="2" t="str">
        <f>IFERROR(__xludf.DUMMYFUNCTION("""COMPUTED_VALUE"""),"Phân bón Vi lượng Run Fast")</f>
        <v>Phân bón Vi lượng Run Fast</v>
      </c>
      <c r="P720" s="2" t="str">
        <f>IFERROR(__xludf.DUMMYFUNCTION("""COMPUTED_VALUE"""),"#N/A")</f>
        <v>#N/A</v>
      </c>
      <c r="Q720" s="30" t="str">
        <f>IFERROR(__xludf.DUMMYFUNCTION("""COMPUTED_VALUE"""),"KHÔNG KHỚP")</f>
        <v>KHÔNG KHỚP</v>
      </c>
      <c r="R720" s="2"/>
      <c r="S720" s="2"/>
      <c r="T720" s="2"/>
      <c r="U720" s="2"/>
      <c r="V720" s="2"/>
      <c r="W720" s="2"/>
      <c r="X720" s="2"/>
      <c r="Y720" s="2"/>
    </row>
    <row r="721">
      <c r="A721" s="30">
        <f>IFERROR(__xludf.DUMMYFUNCTION("""COMPUTED_VALUE"""),718.0)</f>
        <v>718</v>
      </c>
      <c r="B721" s="39">
        <f>IFERROR(__xludf.DUMMYFUNCTION("""COMPUTED_VALUE"""),46036.0)</f>
        <v>46036</v>
      </c>
      <c r="C721" s="30">
        <f>IFERROR(__xludf.DUMMYFUNCTION("""COMPUTED_VALUE"""),1.0)</f>
        <v>1</v>
      </c>
      <c r="D721" s="30" t="str">
        <f>IFERROR(__xludf.DUMMYFUNCTION("""COMPUTED_VALUE"""),"CT CŨ")</f>
        <v>CT CŨ</v>
      </c>
      <c r="E721" s="30"/>
      <c r="F721" s="2"/>
      <c r="G721" s="2" t="str">
        <f>IFERROR(__xludf.DUMMYFUNCTION("""COMPUTED_VALUE"""),"HH4876")</f>
        <v>HH4876</v>
      </c>
      <c r="H721" s="2" t="str">
        <f>IFERROR(__xludf.DUMMYFUNCTION("""COMPUTED_VALUE"""),"GC - V - 4876 - CTY AGRITECH - MEGA FRUIT (Nước nâu đen) - 20L - 1")</f>
        <v>GC - V - 4876 - CTY AGRITECH - MEGA FRUIT (Nước nâu đen) - 20L - 1</v>
      </c>
      <c r="I721" s="39" t="str">
        <f>IFERROR(__xludf.DUMMYFUNCTION("""COMPUTED_VALUE"""),"Hữu Cơ Organic ĐGP 01")</f>
        <v>Hữu Cơ Organic ĐGP 01</v>
      </c>
      <c r="J721" s="2" t="str">
        <f>IFERROR(__xludf.DUMMYFUNCTION("""COMPUTED_VALUE"""),"A05181225- 01")</f>
        <v>A05181225- 01</v>
      </c>
      <c r="K721" s="2"/>
      <c r="L721" s="2" t="str">
        <f>IFERROR(__xludf.DUMMYFUNCTION("""COMPUTED_VALUE"""),"A05181225-01
I03240326")</f>
        <v>A05181225-01
I03240326</v>
      </c>
      <c r="M721" s="2" t="str">
        <f>IFERROR(__xludf.DUMMYFUNCTION("""COMPUTED_VALUE"""),"HỮU CƠ 20%")</f>
        <v>HỮU CƠ 20%</v>
      </c>
      <c r="N721" s="2" t="str">
        <f>IFERROR(__xludf.DUMMYFUNCTION("""COMPUTED_VALUE"""),"01RR0079V1")</f>
        <v>01RR0079V1</v>
      </c>
      <c r="O721" s="2" t="str">
        <f>IFERROR(__xludf.DUMMYFUNCTION("""COMPUTED_VALUE"""),"Phân bón Hữu cơ ORGANIC ĐGP 01 ")</f>
        <v>Phân bón Hữu cơ ORGANIC ĐGP 01 </v>
      </c>
      <c r="P721" s="2" t="str">
        <f>IFERROR(__xludf.DUMMYFUNCTION("""COMPUTED_VALUE"""),"Phân bón Hữu Cơ Organic ĐGP 01")</f>
        <v>Phân bón Hữu Cơ Organic ĐGP 01</v>
      </c>
      <c r="Q721" s="30" t="str">
        <f>IFERROR(__xludf.DUMMYFUNCTION("""COMPUTED_VALUE"""),"KHÔNG KHỚP")</f>
        <v>KHÔNG KHỚP</v>
      </c>
      <c r="R721" s="2"/>
      <c r="S721" s="2"/>
      <c r="T721" s="2"/>
      <c r="U721" s="2"/>
      <c r="V721" s="2"/>
      <c r="W721" s="2"/>
      <c r="X721" s="2"/>
      <c r="Y721" s="2"/>
    </row>
    <row r="722">
      <c r="A722" s="30">
        <f>IFERROR(__xludf.DUMMYFUNCTION("""COMPUTED_VALUE"""),719.0)</f>
        <v>719</v>
      </c>
      <c r="B722" s="39">
        <f>IFERROR(__xludf.DUMMYFUNCTION("""COMPUTED_VALUE"""),45915.0)</f>
        <v>45915</v>
      </c>
      <c r="C722" s="30">
        <f>IFERROR(__xludf.DUMMYFUNCTION("""COMPUTED_VALUE"""),1.0)</f>
        <v>1</v>
      </c>
      <c r="D722" s="30" t="str">
        <f>IFERROR(__xludf.DUMMYFUNCTION("""COMPUTED_VALUE"""),"CT CŨ")</f>
        <v>CT CŨ</v>
      </c>
      <c r="E722" s="30"/>
      <c r="F722" s="2"/>
      <c r="G722" s="2" t="str">
        <f>IFERROR(__xludf.DUMMYFUNCTION("""COMPUTED_VALUE"""),"HH4875")</f>
        <v>HH4875</v>
      </c>
      <c r="H722" s="2" t="str">
        <f>IFERROR(__xludf.DUMMYFUNCTION("""COMPUTED_VALUE"""),"GC - V - 4875 - CTY AGRITECH - XUYÊN LÁ PRO (Nước vàng) - 60ml - 100")</f>
        <v>GC - V - 4875 - CTY AGRITECH - XUYÊN LÁ PRO (Nước vàng) - 60ml - 100</v>
      </c>
      <c r="I722" s="2" t="str">
        <f>IFERROR(__xludf.DUMMYFUNCTION("""COMPUTED_VALUE"""),"#N/A")</f>
        <v>#N/A</v>
      </c>
      <c r="J722" s="2" t="str">
        <f>IFERROR(__xludf.DUMMYFUNCTION("""COMPUTED_VALUE"""),"Cùng ruột 2204")</f>
        <v>Cùng ruột 2204</v>
      </c>
      <c r="K722" s="2"/>
      <c r="L722" s="2"/>
      <c r="M722" s="2" t="str">
        <f>IFERROR(__xludf.DUMMYFUNCTION("""COMPUTED_VALUE"""),"TRỢ LỰC D1")</f>
        <v>TRỢ LỰC D1</v>
      </c>
      <c r="N722" s="2" t="str">
        <f>IFERROR(__xludf.DUMMYFUNCTION("""COMPUTED_VALUE"""),"18TL0004V1")</f>
        <v>18TL0004V1</v>
      </c>
      <c r="O722" s="2" t="str">
        <f>IFERROR(__xludf.DUMMYFUNCTION("""COMPUTED_VALUE"""),"Phân bón Vi lượng Quantity New")</f>
        <v>Phân bón Vi lượng Quantity New</v>
      </c>
      <c r="P722" s="2" t="str">
        <f>IFERROR(__xludf.DUMMYFUNCTION("""COMPUTED_VALUE"""),"#N/A")</f>
        <v>#N/A</v>
      </c>
      <c r="Q722" s="30" t="str">
        <f>IFERROR(__xludf.DUMMYFUNCTION("""COMPUTED_VALUE"""),"KHÔNG KHỚP")</f>
        <v>KHÔNG KHỚP</v>
      </c>
      <c r="R722" s="2"/>
      <c r="S722" s="2"/>
      <c r="T722" s="2"/>
      <c r="U722" s="2"/>
      <c r="V722" s="2"/>
      <c r="W722" s="2"/>
      <c r="X722" s="2"/>
      <c r="Y722" s="2"/>
    </row>
    <row r="723">
      <c r="A723" s="30">
        <f>IFERROR(__xludf.DUMMYFUNCTION("""COMPUTED_VALUE"""),720.0)</f>
        <v>720</v>
      </c>
      <c r="B723" s="39">
        <f>IFERROR(__xludf.DUMMYFUNCTION("""COMPUTED_VALUE"""),45979.0)</f>
        <v>45979</v>
      </c>
      <c r="C723" s="30">
        <f>IFERROR(__xludf.DUMMYFUNCTION("""COMPUTED_VALUE"""),1.0)</f>
        <v>1</v>
      </c>
      <c r="D723" s="30" t="str">
        <f>IFERROR(__xludf.DUMMYFUNCTION("""COMPUTED_VALUE"""),"CT CŨ")</f>
        <v>CT CŨ</v>
      </c>
      <c r="E723" s="30"/>
      <c r="F723" s="2"/>
      <c r="G723" s="2" t="str">
        <f>IFERROR(__xludf.DUMMYFUNCTION("""COMPUTED_VALUE"""),"HH4898")</f>
        <v>HH4898</v>
      </c>
      <c r="H723" s="2" t="str">
        <f>IFERROR(__xludf.DUMMYFUNCTION("""COMPUTED_VALUE"""),"GC ABA - A. LUÂN LUTA - Hỗn hợp NPK SIAMB 16 - 30-10-10 - 1kg - 25")</f>
        <v>GC ABA - A. LUÂN LUTA - Hỗn hợp NPK SIAMB 16 - 30-10-10 - 1kg - 25</v>
      </c>
      <c r="I723" s="2" t="str">
        <f>IFERROR(__xludf.DUMMYFUNCTION("""COMPUTED_VALUE"""),"#N/A")</f>
        <v>#N/A</v>
      </c>
      <c r="J723" s="2" t="str">
        <f>IFERROR(__xludf.DUMMYFUNCTION("""COMPUTED_VALUE"""),"CP_30.10.10")</f>
        <v>CP_30.10.10</v>
      </c>
      <c r="K723" s="2"/>
      <c r="L723" s="2"/>
      <c r="M723" s="2" t="str">
        <f>IFERROR(__xludf.DUMMYFUNCTION("""COMPUTED_VALUE"""),"30-10-10")</f>
        <v>30-10-10</v>
      </c>
      <c r="N723" s="2" t="str">
        <f>IFERROR(__xludf.DUMMYFUNCTION("""COMPUTED_VALUE"""),"CP_30.10.10")</f>
        <v>CP_30.10.10</v>
      </c>
      <c r="O723" s="2" t="str">
        <f>IFERROR(__xludf.DUMMYFUNCTION("""COMPUTED_VALUE"""),"Phân bón hỗn hợp NPK SIAMB 16")</f>
        <v>Phân bón hỗn hợp NPK SIAMB 16</v>
      </c>
      <c r="P723" s="2" t="str">
        <f>IFERROR(__xludf.DUMMYFUNCTION("""COMPUTED_VALUE"""),"#N/A")</f>
        <v>#N/A</v>
      </c>
      <c r="Q723" s="30" t="str">
        <f>IFERROR(__xludf.DUMMYFUNCTION("""COMPUTED_VALUE"""),"KHÔNG KHỚP")</f>
        <v>KHÔNG KHỚP</v>
      </c>
      <c r="R723" s="2"/>
      <c r="S723" s="2"/>
      <c r="T723" s="2"/>
      <c r="U723" s="2"/>
      <c r="V723" s="2"/>
      <c r="W723" s="2"/>
      <c r="X723" s="2"/>
      <c r="Y723" s="2"/>
    </row>
    <row r="724">
      <c r="A724" s="30">
        <f>IFERROR(__xludf.DUMMYFUNCTION("""COMPUTED_VALUE"""),721.0)</f>
        <v>721</v>
      </c>
      <c r="B724" s="39">
        <f>IFERROR(__xludf.DUMMYFUNCTION("""COMPUTED_VALUE"""),46084.0)</f>
        <v>46084</v>
      </c>
      <c r="C724" s="30">
        <f>IFERROR(__xludf.DUMMYFUNCTION("""COMPUTED_VALUE"""),1.0)</f>
        <v>1</v>
      </c>
      <c r="D724" s="30" t="str">
        <f>IFERROR(__xludf.DUMMYFUNCTION("""COMPUTED_VALUE"""),"CT MỚI")</f>
        <v>CT MỚI</v>
      </c>
      <c r="E724" s="30"/>
      <c r="F724" s="2"/>
      <c r="G724" s="2" t="str">
        <f>IFERROR(__xludf.DUMMYFUNCTION("""COMPUTED_VALUE"""),"HH4871")</f>
        <v>HH4871</v>
      </c>
      <c r="H724" s="2" t="str">
        <f>IFERROR(__xludf.DUMMYFUNCTION("""COMPUTED_VALUE"""),"GC - V - 4871 - CTY LUTA - LT 01 (Nước nâu đen) - 50ml - 200")</f>
        <v>GC - V - 4871 - CTY LUTA - LT 01 (Nước nâu đen) - 50ml - 200</v>
      </c>
      <c r="I724" s="2" t="str">
        <f>IFERROR(__xludf.DUMMYFUNCTION("""COMPUTED_VALUE"""),"#N/A")</f>
        <v>#N/A</v>
      </c>
      <c r="J724" s="2" t="str">
        <f>IFERROR(__xludf.DUMMYFUNCTION("""COMPUTED_VALUE"""),"A03260226")</f>
        <v>A03260226</v>
      </c>
      <c r="K724" s="2"/>
      <c r="L724" s="2" t="str">
        <f>IFERROR(__xludf.DUMMYFUNCTION("""COMPUTED_VALUE"""),"A03260226")</f>
        <v>A03260226</v>
      </c>
      <c r="M724" s="2" t="str">
        <f>IFERROR(__xludf.DUMMYFUNCTION("""COMPUTED_VALUE"""),"DƯỠNG CHẤT HỮU CƠ")</f>
        <v>DƯỠNG CHẤT HỮU CƠ</v>
      </c>
      <c r="N724" s="2" t="str">
        <f>IFERROR(__xludf.DUMMYFUNCTION("""COMPUTED_VALUE"""),"01RR0077V1")</f>
        <v>01RR0077V1</v>
      </c>
      <c r="O724" s="2" t="str">
        <f>IFERROR(__xludf.DUMMYFUNCTION("""COMPUTED_VALUE"""),"Phân bón lá NPK-Vi lượng GNC 19")</f>
        <v>Phân bón lá NPK-Vi lượng GNC 19</v>
      </c>
      <c r="P724" s="2" t="str">
        <f>IFERROR(__xludf.DUMMYFUNCTION("""COMPUTED_VALUE"""),"#N/A")</f>
        <v>#N/A</v>
      </c>
      <c r="Q724" s="30" t="str">
        <f>IFERROR(__xludf.DUMMYFUNCTION("""COMPUTED_VALUE"""),"KHỚP")</f>
        <v>KHỚP</v>
      </c>
      <c r="R724" s="2"/>
      <c r="S724" s="2"/>
      <c r="T724" s="2"/>
      <c r="U724" s="2"/>
      <c r="V724" s="2"/>
      <c r="W724" s="2"/>
      <c r="X724" s="2"/>
      <c r="Y724" s="2"/>
    </row>
    <row r="725">
      <c r="A725" s="30">
        <f>IFERROR(__xludf.DUMMYFUNCTION("""COMPUTED_VALUE"""),722.0)</f>
        <v>722</v>
      </c>
      <c r="B725" s="39">
        <f>IFERROR(__xludf.DUMMYFUNCTION("""COMPUTED_VALUE"""),46036.0)</f>
        <v>46036</v>
      </c>
      <c r="C725" s="30">
        <f>IFERROR(__xludf.DUMMYFUNCTION("""COMPUTED_VALUE"""),1.0)</f>
        <v>1</v>
      </c>
      <c r="D725" s="30" t="str">
        <f>IFERROR(__xludf.DUMMYFUNCTION("""COMPUTED_VALUE"""),"CT CŨ")</f>
        <v>CT CŨ</v>
      </c>
      <c r="E725" s="30"/>
      <c r="F725" s="2"/>
      <c r="G725" s="2" t="str">
        <f>IFERROR(__xludf.DUMMYFUNCTION("""COMPUTED_VALUE"""),"HH4850")</f>
        <v>HH4850</v>
      </c>
      <c r="H725" s="2" t="str">
        <f>IFERROR(__xludf.DUMMYFUNCTION("""COMPUTED_VALUE"""),"GC - V - 4850 - CTY BIO GREEN SDB - BIO MAX GOLD (Nước nâu đen) - 20L - 1")</f>
        <v>GC - V - 4850 - CTY BIO GREEN SDB - BIO MAX GOLD (Nước nâu đen) - 20L - 1</v>
      </c>
      <c r="I725" s="2" t="str">
        <f>IFERROR(__xludf.DUMMYFUNCTION("""COMPUTED_VALUE"""),"#N/A")</f>
        <v>#N/A</v>
      </c>
      <c r="J725" s="2" t="str">
        <f>IFERROR(__xludf.DUMMYFUNCTION("""COMPUTED_VALUE"""),"A05181225- 01")</f>
        <v>A05181225- 01</v>
      </c>
      <c r="K725" s="2"/>
      <c r="L725" s="2" t="str">
        <f>IFERROR(__xludf.DUMMYFUNCTION("""COMPUTED_VALUE"""),"A05181225-01
I03240326")</f>
        <v>A05181225-01
I03240326</v>
      </c>
      <c r="M725" s="2" t="str">
        <f>IFERROR(__xludf.DUMMYFUNCTION("""COMPUTED_VALUE"""),"HỮU CƠ 20%")</f>
        <v>HỮU CƠ 20%</v>
      </c>
      <c r="N725" s="2" t="str">
        <f>IFERROR(__xludf.DUMMYFUNCTION("""COMPUTED_VALUE"""),"01RR0079V1")</f>
        <v>01RR0079V1</v>
      </c>
      <c r="O725" s="2" t="str">
        <f>IFERROR(__xludf.DUMMYFUNCTION("""COMPUTED_VALUE"""),"Phân bón Hữu cơ ORGANIC ĐGP 01 ")</f>
        <v>Phân bón Hữu cơ ORGANIC ĐGP 01 </v>
      </c>
      <c r="P725" s="2" t="str">
        <f>IFERROR(__xludf.DUMMYFUNCTION("""COMPUTED_VALUE"""),"#N/A")</f>
        <v>#N/A</v>
      </c>
      <c r="Q725" s="30" t="str">
        <f>IFERROR(__xludf.DUMMYFUNCTION("""COMPUTED_VALUE"""),"KHỚP")</f>
        <v>KHỚP</v>
      </c>
      <c r="R725" s="2"/>
      <c r="S725" s="2"/>
      <c r="T725" s="2"/>
      <c r="U725" s="2"/>
      <c r="V725" s="2"/>
      <c r="W725" s="2"/>
      <c r="X725" s="2"/>
      <c r="Y725" s="2"/>
    </row>
    <row r="726">
      <c r="A726" s="30">
        <f>IFERROR(__xludf.DUMMYFUNCTION("""COMPUTED_VALUE"""),723.0)</f>
        <v>723</v>
      </c>
      <c r="B726" s="39">
        <f>IFERROR(__xludf.DUMMYFUNCTION("""COMPUTED_VALUE"""),46008.0)</f>
        <v>46008</v>
      </c>
      <c r="C726" s="30">
        <f>IFERROR(__xludf.DUMMYFUNCTION("""COMPUTED_VALUE"""),2.0)</f>
        <v>2</v>
      </c>
      <c r="D726" s="30" t="str">
        <f>IFERROR(__xludf.DUMMYFUNCTION("""COMPUTED_VALUE"""),"CT CŨ")</f>
        <v>CT CŨ</v>
      </c>
      <c r="E726" s="30"/>
      <c r="F726" s="2"/>
      <c r="G726" s="2" t="str">
        <f>IFERROR(__xludf.DUMMYFUNCTION("""COMPUTED_VALUE"""),"HH4333")</f>
        <v>HH4333</v>
      </c>
      <c r="H726" s="2" t="str">
        <f>IFERROR(__xludf.DUMMYFUNCTION("""COMPUTED_VALUE"""),"IDA Global - I - 4333 - ĐL PHƯỚC THẠNH - WINNER X2 (Nước đỏ cam) - 500ml - 40")</f>
        <v>IDA Global - I - 4333 - ĐL PHƯỚC THẠNH - WINNER X2 (Nước đỏ cam) - 500ml - 40</v>
      </c>
      <c r="I726" s="2" t="str">
        <f>IFERROR(__xludf.DUMMYFUNCTION("""COMPUTED_VALUE"""),"#N/A")</f>
        <v>#N/A</v>
      </c>
      <c r="J726" s="2" t="str">
        <f>IFERROR(__xludf.DUMMYFUNCTION("""COMPUTED_VALUE"""),"Chung ruột HH3905")</f>
        <v>Chung ruột HH3905</v>
      </c>
      <c r="K726" s="2"/>
      <c r="L726" s="2"/>
      <c r="M726" s="2" t="str">
        <f>IFERROR(__xludf.DUMMYFUNCTION("""COMPUTED_VALUE"""),"WINNER X2
NEW RICE")</f>
        <v>WINNER X2
NEW RICE</v>
      </c>
      <c r="N726" s="2" t="str">
        <f>IFERROR(__xludf.DUMMYFUNCTION("""COMPUTED_VALUE"""),"04VG0015V1")</f>
        <v>04VG0015V1</v>
      </c>
      <c r="O726" s="2" t="str">
        <f>IFERROR(__xludf.DUMMYFUNCTION("""COMPUTED_VALUE"""),"Phân bón NPK-Vi lượng MASSIVE-BLUE")</f>
        <v>Phân bón NPK-Vi lượng MASSIVE-BLUE</v>
      </c>
      <c r="P726" s="2" t="str">
        <f>IFERROR(__xludf.DUMMYFUNCTION("""COMPUTED_VALUE"""),"#N/A")</f>
        <v>#N/A</v>
      </c>
      <c r="Q726" s="30" t="str">
        <f>IFERROR(__xludf.DUMMYFUNCTION("""COMPUTED_VALUE"""),"KHÔNG KHỚP")</f>
        <v>KHÔNG KHỚP</v>
      </c>
      <c r="R726" s="2"/>
      <c r="S726" s="2"/>
      <c r="T726" s="2"/>
      <c r="U726" s="2"/>
      <c r="V726" s="2"/>
      <c r="W726" s="2"/>
      <c r="X726" s="2"/>
      <c r="Y726" s="2"/>
    </row>
    <row r="727">
      <c r="A727" s="30">
        <f>IFERROR(__xludf.DUMMYFUNCTION("""COMPUTED_VALUE"""),724.0)</f>
        <v>724</v>
      </c>
      <c r="B727" s="39">
        <f>IFERROR(__xludf.DUMMYFUNCTION("""COMPUTED_VALUE"""),46101.0)</f>
        <v>46101</v>
      </c>
      <c r="C727" s="30">
        <f>IFERROR(__xludf.DUMMYFUNCTION("""COMPUTED_VALUE"""),1.0)</f>
        <v>1</v>
      </c>
      <c r="D727" s="30" t="str">
        <f>IFERROR(__xludf.DUMMYFUNCTION("""COMPUTED_VALUE"""),"CT CŨ")</f>
        <v>CT CŨ</v>
      </c>
      <c r="E727" s="30"/>
      <c r="F727" s="2"/>
      <c r="G727" s="2" t="str">
        <f>IFERROR(__xludf.DUMMYFUNCTION("""COMPUTED_VALUE"""),"HH4219")</f>
        <v>HH4219</v>
      </c>
      <c r="H727" s="2" t="str">
        <f>IFERROR(__xludf.DUMMYFUNCTION("""COMPUTED_VALUE"""),"GC - IV - 4219 - Cty Sen Hồng - ROOT+ (Gel xanh dương) - 500ml - 40")</f>
        <v>GC - IV - 4219 - Cty Sen Hồng - ROOT+ (Gel xanh dương) - 500ml - 40</v>
      </c>
      <c r="I727" s="39" t="str">
        <f>IFERROR(__xludf.DUMMYFUNCTION("""COMPUTED_VALUE"""),"Hỗn Hợp NP AGAMA-AP")</f>
        <v>Hỗn Hợp NP AGAMA-AP</v>
      </c>
      <c r="J727" s="2" t="str">
        <f>IFERROR(__xludf.DUMMYFUNCTION("""COMPUTED_VALUE"""),"A06091025")</f>
        <v>A06091025</v>
      </c>
      <c r="K727" s="2"/>
      <c r="L727" s="2" t="str">
        <f>IFERROR(__xludf.DUMMYFUNCTION("""COMPUTED_VALUE"""),"A06091025")</f>
        <v>A06091025</v>
      </c>
      <c r="M727" s="2" t="str">
        <f>IFERROR(__xludf.DUMMYFUNCTION("""COMPUTED_VALUE"""),"ROOT+")</f>
        <v>ROOT+</v>
      </c>
      <c r="N727" s="2" t="str">
        <f>IFERROR(__xludf.DUMMYFUNCTION("""COMPUTED_VALUE"""),"01RR0080")</f>
        <v>01RR0080</v>
      </c>
      <c r="O727" s="2" t="str">
        <f>IFERROR(__xludf.DUMMYFUNCTION("""COMPUTED_VALUE"""),"Phân bón Hỗn hợp NP AGAMA-AP")</f>
        <v>Phân bón Hỗn hợp NP AGAMA-AP</v>
      </c>
      <c r="P727" s="2" t="str">
        <f>IFERROR(__xludf.DUMMYFUNCTION("""COMPUTED_VALUE"""),"Phân bón Hỗn Hợp NP AGAMA-AP")</f>
        <v>Phân bón Hỗn Hợp NP AGAMA-AP</v>
      </c>
      <c r="Q727" s="30" t="str">
        <f>IFERROR(__xludf.DUMMYFUNCTION("""COMPUTED_VALUE"""),"KHỚP")</f>
        <v>KHỚP</v>
      </c>
      <c r="R727" s="2"/>
      <c r="S727" s="2"/>
      <c r="T727" s="2"/>
      <c r="U727" s="2"/>
      <c r="V727" s="2"/>
      <c r="W727" s="2"/>
      <c r="X727" s="2"/>
      <c r="Y727" s="2"/>
    </row>
    <row r="728">
      <c r="A728" s="30">
        <f>IFERROR(__xludf.DUMMYFUNCTION("""COMPUTED_VALUE"""),725.0)</f>
        <v>725</v>
      </c>
      <c r="B728" s="39">
        <f>IFERROR(__xludf.DUMMYFUNCTION("""COMPUTED_VALUE"""),45922.0)</f>
        <v>45922</v>
      </c>
      <c r="C728" s="30">
        <f>IFERROR(__xludf.DUMMYFUNCTION("""COMPUTED_VALUE"""),4.0)</f>
        <v>4</v>
      </c>
      <c r="D728" s="30" t="str">
        <f>IFERROR(__xludf.DUMMYFUNCTION("""COMPUTED_VALUE"""),"CT MỚI")</f>
        <v>CT MỚI</v>
      </c>
      <c r="E728" s="30"/>
      <c r="F728" s="2"/>
      <c r="G728" s="2" t="str">
        <f>IFERROR(__xludf.DUMMYFUNCTION("""COMPUTED_VALUE"""),"HH4068")</f>
        <v>HH4068</v>
      </c>
      <c r="H728" s="2" t="str">
        <f>IFERROR(__xludf.DUMMYFUNCTION("""COMPUTED_VALUE"""),"GC - IX - 4068 - N2SBIO - N2 HYPER CALBOR (Dạng SC - Vàng) - 500ml - 40")</f>
        <v>GC - IX - 4068 - N2SBIO - N2 HYPER CALBOR (Dạng SC - Vàng) - 500ml - 40</v>
      </c>
      <c r="I728" s="2" t="str">
        <f>IFERROR(__xludf.DUMMYFUNCTION("""COMPUTED_VALUE"""),"#N/A")</f>
        <v>#N/A</v>
      </c>
      <c r="J728" s="2" t="str">
        <f>IFERROR(__xludf.DUMMYFUNCTION("""COMPUTED_VALUE"""),"N01220825")</f>
        <v>N01220825</v>
      </c>
      <c r="K728" s="2"/>
      <c r="L728" s="2" t="str">
        <f>IFERROR(__xludf.DUMMYFUNCTION("""COMPUTED_VALUE"""),"N01220825")</f>
        <v>N01220825</v>
      </c>
      <c r="M728" s="2" t="str">
        <f>IFERROR(__xludf.DUMMYFUNCTION("""COMPUTED_VALUE"""),"N2 HYPER CALBOR")</f>
        <v>N2 HYPER CALBOR</v>
      </c>
      <c r="N728" s="2" t="str">
        <f>IFERROR(__xludf.DUMMYFUNCTION("""COMPUTED_VALUE"""),"10CR0026")</f>
        <v>10CR0026</v>
      </c>
      <c r="O728" s="2" t="str">
        <f>IFERROR(__xludf.DUMMYFUNCTION("""COMPUTED_VALUE"""),"Phân bón lá NK-Trung-Vi lượng có chất điều hoà sinh trưởng HALO 26")</f>
        <v>Phân bón lá NK-Trung-Vi lượng có chất điều hoà sinh trưởng HALO 26</v>
      </c>
      <c r="P728" s="2" t="str">
        <f>IFERROR(__xludf.DUMMYFUNCTION("""COMPUTED_VALUE"""),"#N/A")</f>
        <v>#N/A</v>
      </c>
      <c r="Q728" s="30" t="str">
        <f>IFERROR(__xludf.DUMMYFUNCTION("""COMPUTED_VALUE"""),"KHỚP")</f>
        <v>KHỚP</v>
      </c>
      <c r="R728" s="2"/>
      <c r="S728" s="2"/>
      <c r="T728" s="2"/>
      <c r="U728" s="2"/>
      <c r="V728" s="2"/>
      <c r="W728" s="2"/>
      <c r="X728" s="2"/>
      <c r="Y728" s="2"/>
    </row>
    <row r="729">
      <c r="A729" s="30">
        <f>IFERROR(__xludf.DUMMYFUNCTION("""COMPUTED_VALUE"""),726.0)</f>
        <v>726</v>
      </c>
      <c r="B729" s="39">
        <f>IFERROR(__xludf.DUMMYFUNCTION("""COMPUTED_VALUE"""),45994.0)</f>
        <v>45994</v>
      </c>
      <c r="C729" s="30">
        <f>IFERROR(__xludf.DUMMYFUNCTION("""COMPUTED_VALUE"""),2.0)</f>
        <v>2</v>
      </c>
      <c r="D729" s="30" t="str">
        <f>IFERROR(__xludf.DUMMYFUNCTION("""COMPUTED_VALUE"""),"CT CŨ")</f>
        <v>CT CŨ</v>
      </c>
      <c r="E729" s="30"/>
      <c r="F729" s="2"/>
      <c r="G729" s="2" t="str">
        <f>IFERROR(__xludf.DUMMYFUNCTION("""COMPUTED_VALUE"""),"HH4680")</f>
        <v>HH4680</v>
      </c>
      <c r="H729" s="2" t="str">
        <f>IFERROR(__xludf.DUMMYFUNCTION("""COMPUTED_VALUE"""),"LOTUS AGROCHEM - VI - 4680 - LOTUS KÍCH RỄ - BUNG CHỒI (Nước nâu đen) - 250ml - 40")</f>
        <v>LOTUS AGROCHEM - VI - 4680 - LOTUS KÍCH RỄ - BUNG CHỒI (Nước nâu đen) - 250ml - 40</v>
      </c>
      <c r="I729" s="39" t="str">
        <f>IFERROR(__xludf.DUMMYFUNCTION("""COMPUTED_VALUE"""),"Hữu cơ FUSEMIN COMBI+")</f>
        <v>Hữu cơ FUSEMIN COMBI+</v>
      </c>
      <c r="J729" s="2" t="str">
        <f>IFERROR(__xludf.DUMMYFUNCTION("""COMPUTED_VALUE"""),"Đóng theo đơn gần nhất")</f>
        <v>Đóng theo đơn gần nhất</v>
      </c>
      <c r="K729" s="2"/>
      <c r="L729" s="2" t="str">
        <f>IFERROR(__xludf.DUMMYFUNCTION("""COMPUTED_VALUE"""),"BB24040725")</f>
        <v>BB24040725</v>
      </c>
      <c r="M729" s="2" t="str">
        <f>IFERROR(__xludf.DUMMYFUNCTION("""COMPUTED_VALUE"""),"BAMBOO MAGIE FULVIC")</f>
        <v>BAMBOO MAGIE FULVIC</v>
      </c>
      <c r="N729" s="2" t="str">
        <f>IFERROR(__xludf.DUMMYFUNCTION("""COMPUTED_VALUE"""),"01RR0064V1")</f>
        <v>01RR0064V1</v>
      </c>
      <c r="O729" s="2" t="str">
        <f>IFERROR(__xludf.DUMMYFUNCTION("""COMPUTED_VALUE"""),"Phân bón hữu cơ FUSEMIN COMBI+")</f>
        <v>Phân bón hữu cơ FUSEMIN COMBI+</v>
      </c>
      <c r="P729" s="2" t="str">
        <f>IFERROR(__xludf.DUMMYFUNCTION("""COMPUTED_VALUE"""),"Phân bón Hữu cơ FUSEMIN COMBI+")</f>
        <v>Phân bón Hữu cơ FUSEMIN COMBI+</v>
      </c>
      <c r="Q729" s="30" t="str">
        <f>IFERROR(__xludf.DUMMYFUNCTION("""COMPUTED_VALUE"""),"KHỚP")</f>
        <v>KHỚP</v>
      </c>
      <c r="R729" s="2"/>
      <c r="S729" s="2"/>
      <c r="T729" s="2"/>
      <c r="U729" s="2"/>
      <c r="V729" s="2"/>
      <c r="W729" s="2"/>
      <c r="X729" s="2"/>
      <c r="Y729" s="2"/>
    </row>
    <row r="730">
      <c r="A730" s="30">
        <f>IFERROR(__xludf.DUMMYFUNCTION("""COMPUTED_VALUE"""),727.0)</f>
        <v>727</v>
      </c>
      <c r="B730" s="39">
        <f>IFERROR(__xludf.DUMMYFUNCTION("""COMPUTED_VALUE"""),46104.0)</f>
        <v>46104</v>
      </c>
      <c r="C730" s="30">
        <f>IFERROR(__xludf.DUMMYFUNCTION("""COMPUTED_VALUE"""),1.0)</f>
        <v>1</v>
      </c>
      <c r="D730" s="30" t="str">
        <f>IFERROR(__xludf.DUMMYFUNCTION("""COMPUTED_VALUE"""),"CT MỚI")</f>
        <v>CT MỚI</v>
      </c>
      <c r="E730" s="30"/>
      <c r="F730" s="2"/>
      <c r="G730" s="2" t="str">
        <f>IFERROR(__xludf.DUMMYFUNCTION("""COMPUTED_VALUE"""),"HH4843")</f>
        <v>HH4843</v>
      </c>
      <c r="H730" s="2" t="str">
        <f>IFERROR(__xludf.DUMMYFUNCTION("""COMPUTED_VALUE"""),"IDA Global - I - 4843 - ĐL LÊ NGUYỄN - VÔ GẠO 01 (Nước trắng sữa) - 500ml - 40")</f>
        <v>IDA Global - I - 4843 - ĐL LÊ NGUYỄN - VÔ GẠO 01 (Nước trắng sữa) - 500ml - 40</v>
      </c>
      <c r="I730" s="2" t="str">
        <f>IFERROR(__xludf.DUMMYFUNCTION("""COMPUTED_VALUE"""),"#N/A")</f>
        <v>#N/A</v>
      </c>
      <c r="J730" s="2" t="str">
        <f>IFERROR(__xludf.DUMMYFUNCTION("""COMPUTED_VALUE"""),"I04140326")</f>
        <v>I04140326</v>
      </c>
      <c r="K730" s="2"/>
      <c r="L730" s="2" t="str">
        <f>IFERROR(__xludf.DUMMYFUNCTION("""COMPUTED_VALUE"""),"I04140326")</f>
        <v>I04140326</v>
      </c>
      <c r="M730" s="2" t="str">
        <f>IFERROR(__xludf.DUMMYFUNCTION("""COMPUTED_VALUE"""),"VG RICE 01 - 01")</f>
        <v>VG RICE 01 - 01</v>
      </c>
      <c r="N730" s="2" t="str">
        <f>IFERROR(__xludf.DUMMYFUNCTION("""COMPUTED_VALUE"""),"04VG0055")</f>
        <v>04VG0055</v>
      </c>
      <c r="O730" s="2" t="str">
        <f>IFERROR(__xludf.DUMMYFUNCTION("""COMPUTED_VALUE"""),"Phân bón Vi lượng Quantity New")</f>
        <v>Phân bón Vi lượng Quantity New</v>
      </c>
      <c r="P730" s="2" t="str">
        <f>IFERROR(__xludf.DUMMYFUNCTION("""COMPUTED_VALUE"""),"#N/A")</f>
        <v>#N/A</v>
      </c>
      <c r="Q730" s="30" t="str">
        <f>IFERROR(__xludf.DUMMYFUNCTION("""COMPUTED_VALUE"""),"KHÔNG KHỚP")</f>
        <v>KHÔNG KHỚP</v>
      </c>
      <c r="R730" s="2"/>
      <c r="S730" s="2"/>
      <c r="T730" s="2"/>
      <c r="U730" s="2"/>
      <c r="V730" s="2"/>
      <c r="W730" s="2"/>
      <c r="X730" s="2"/>
      <c r="Y730" s="2"/>
    </row>
    <row r="731">
      <c r="A731" s="30">
        <f>IFERROR(__xludf.DUMMYFUNCTION("""COMPUTED_VALUE"""),728.0)</f>
        <v>728</v>
      </c>
      <c r="B731" s="39">
        <f>IFERROR(__xludf.DUMMYFUNCTION("""COMPUTED_VALUE"""),45885.0)</f>
        <v>45885</v>
      </c>
      <c r="C731" s="30">
        <f>IFERROR(__xludf.DUMMYFUNCTION("""COMPUTED_VALUE"""),1.0)</f>
        <v>1</v>
      </c>
      <c r="D731" s="30" t="str">
        <f>IFERROR(__xludf.DUMMYFUNCTION("""COMPUTED_VALUE"""),"CT CŨ")</f>
        <v>CT CŨ</v>
      </c>
      <c r="E731" s="30"/>
      <c r="F731" s="2"/>
      <c r="G731" s="2" t="str">
        <f>IFERROR(__xludf.DUMMYFUNCTION("""COMPUTED_VALUE"""),"HH4844")</f>
        <v>HH4844</v>
      </c>
      <c r="H731" s="2" t="str">
        <f>IFERROR(__xludf.DUMMYFUNCTION("""COMPUTED_VALUE"""),"IDA Global - I - 4844 - ĐL LÊ NGUYỄN - VÔ GẠO 02 (Nước đỏ cam) - 500ml - 40")</f>
        <v>IDA Global - I - 4844 - ĐL LÊ NGUYỄN - VÔ GẠO 02 (Nước đỏ cam) - 500ml - 40</v>
      </c>
      <c r="I731" s="2" t="str">
        <f>IFERROR(__xludf.DUMMYFUNCTION("""COMPUTED_VALUE"""),"#N/A")</f>
        <v>#N/A</v>
      </c>
      <c r="J731" s="2" t="str">
        <f>IFERROR(__xludf.DUMMYFUNCTION("""COMPUTED_VALUE"""),"Chung ruột HH4122")</f>
        <v>Chung ruột HH4122</v>
      </c>
      <c r="K731" s="2"/>
      <c r="L731" s="2" t="str">
        <f>IFERROR(__xludf.DUMMYFUNCTION("""COMPUTED_VALUE"""),"I02180225")</f>
        <v>I02180225</v>
      </c>
      <c r="M731" s="2" t="str">
        <f>IFERROR(__xludf.DUMMYFUNCTION("""COMPUTED_VALUE"""),"VG RICE 02")</f>
        <v>VG RICE 02</v>
      </c>
      <c r="N731" s="2" t="str">
        <f>IFERROR(__xludf.DUMMYFUNCTION("""COMPUTED_VALUE"""),"04VG0033")</f>
        <v>04VG0033</v>
      </c>
      <c r="O731" s="2" t="str">
        <f>IFERROR(__xludf.DUMMYFUNCTION("""COMPUTED_VALUE"""),"Phân bón NPK-Vi lượng HC CAN")</f>
        <v>Phân bón NPK-Vi lượng HC CAN</v>
      </c>
      <c r="P731" s="2" t="str">
        <f>IFERROR(__xludf.DUMMYFUNCTION("""COMPUTED_VALUE"""),"#N/A")</f>
        <v>#N/A</v>
      </c>
      <c r="Q731" s="30" t="str">
        <f>IFERROR(__xludf.DUMMYFUNCTION("""COMPUTED_VALUE"""),"KHÔNG KHỚP")</f>
        <v>KHÔNG KHỚP</v>
      </c>
      <c r="R731" s="2"/>
      <c r="S731" s="2"/>
      <c r="T731" s="2"/>
      <c r="U731" s="2"/>
      <c r="V731" s="2"/>
      <c r="W731" s="2"/>
      <c r="X731" s="2"/>
      <c r="Y731" s="2"/>
    </row>
    <row r="732">
      <c r="A732" s="30">
        <f>IFERROR(__xludf.DUMMYFUNCTION("""COMPUTED_VALUE"""),729.0)</f>
        <v>729</v>
      </c>
      <c r="B732" s="39">
        <f>IFERROR(__xludf.DUMMYFUNCTION("""COMPUTED_VALUE"""),46049.0)</f>
        <v>46049</v>
      </c>
      <c r="C732" s="30">
        <f>IFERROR(__xludf.DUMMYFUNCTION("""COMPUTED_VALUE"""),2.0)</f>
        <v>2</v>
      </c>
      <c r="D732" s="30" t="str">
        <f>IFERROR(__xludf.DUMMYFUNCTION("""COMPUTED_VALUE"""),"CT CŨ")</f>
        <v>CT CŨ</v>
      </c>
      <c r="E732" s="30"/>
      <c r="F732" s="2"/>
      <c r="G732" s="2" t="str">
        <f>IFERROR(__xludf.DUMMYFUNCTION("""COMPUTED_VALUE"""),"HH4705")</f>
        <v>HH4705</v>
      </c>
      <c r="H732" s="2" t="str">
        <f>IFERROR(__xludf.DUMMYFUNCTION("""COMPUTED_VALUE"""),"IDA Global - I - 4705 - WINNER X2 (Nước đỏ cam) - 500ml - 40")</f>
        <v>IDA Global - I - 4705 - WINNER X2 (Nước đỏ cam) - 500ml - 40</v>
      </c>
      <c r="I732" s="2" t="str">
        <f>IFERROR(__xludf.DUMMYFUNCTION("""COMPUTED_VALUE"""),"#N/A")</f>
        <v>#N/A</v>
      </c>
      <c r="J732" s="2" t="str">
        <f>IFERROR(__xludf.DUMMYFUNCTION("""COMPUTED_VALUE"""),"Đóng theo đơn gần nhất")</f>
        <v>Đóng theo đơn gần nhất</v>
      </c>
      <c r="K732" s="2"/>
      <c r="L732" s="2" t="str">
        <f>IFERROR(__xludf.DUMMYFUNCTION("""COMPUTED_VALUE"""),"I01151225")</f>
        <v>I01151225</v>
      </c>
      <c r="M732" s="2" t="str">
        <f>IFERROR(__xludf.DUMMYFUNCTION("""COMPUTED_VALUE"""),"WINNER X2")</f>
        <v>WINNER X2</v>
      </c>
      <c r="N732" s="2" t="str">
        <f>IFERROR(__xludf.DUMMYFUNCTION("""COMPUTED_VALUE"""),"04VG0051")</f>
        <v>04VG0051</v>
      </c>
      <c r="O732" s="2" t="str">
        <f>IFERROR(__xludf.DUMMYFUNCTION("""COMPUTED_VALUE"""),"Phân bón lá PK-Vi lượng SV 5-18")</f>
        <v>Phân bón lá PK-Vi lượng SV 5-18</v>
      </c>
      <c r="P732" s="2" t="str">
        <f>IFERROR(__xludf.DUMMYFUNCTION("""COMPUTED_VALUE"""),"#N/A")</f>
        <v>#N/A</v>
      </c>
      <c r="Q732" s="30" t="str">
        <f>IFERROR(__xludf.DUMMYFUNCTION("""COMPUTED_VALUE"""),"KHỚP")</f>
        <v>KHỚP</v>
      </c>
      <c r="R732" s="2"/>
      <c r="S732" s="2"/>
      <c r="T732" s="2"/>
      <c r="U732" s="2"/>
      <c r="V732" s="2"/>
      <c r="W732" s="2"/>
      <c r="X732" s="2"/>
      <c r="Y732" s="2"/>
    </row>
    <row r="733">
      <c r="A733" s="30">
        <f>IFERROR(__xludf.DUMMYFUNCTION("""COMPUTED_VALUE"""),730.0)</f>
        <v>730</v>
      </c>
      <c r="B733" s="39">
        <f>IFERROR(__xludf.DUMMYFUNCTION("""COMPUTED_VALUE"""),46002.0)</f>
        <v>46002</v>
      </c>
      <c r="C733" s="30">
        <f>IFERROR(__xludf.DUMMYFUNCTION("""COMPUTED_VALUE"""),1.0)</f>
        <v>1</v>
      </c>
      <c r="D733" s="30" t="str">
        <f>IFERROR(__xludf.DUMMYFUNCTION("""COMPUTED_VALUE"""),"CT CŨ")</f>
        <v>CT CŨ</v>
      </c>
      <c r="E733" s="30"/>
      <c r="F733" s="2"/>
      <c r="G733" s="2" t="str">
        <f>IFERROR(__xludf.DUMMYFUNCTION("""COMPUTED_VALUE"""),"HH4909")</f>
        <v>HH4909</v>
      </c>
      <c r="H733" s="2" t="str">
        <f>IFERROR(__xludf.DUMMYFUNCTION("""COMPUTED_VALUE"""),"GC - V - 4909 - THÀNH CÔNG AGRI - STOP ĐỌT (Nước nâu đen V2) - 1L - 20")</f>
        <v>GC - V - 4909 - THÀNH CÔNG AGRI - STOP ĐỌT (Nước nâu đen V2) - 1L - 20</v>
      </c>
      <c r="I733" s="2" t="str">
        <f>IFERROR(__xludf.DUMMYFUNCTION("""COMPUTED_VALUE"""),"#N/A")</f>
        <v>#N/A</v>
      </c>
      <c r="J733" s="2" t="str">
        <f>IFERROR(__xludf.DUMMYFUNCTION("""COMPUTED_VALUE"""),"CHẶN ĐỌT DÒNG V2")</f>
        <v>CHẶN ĐỌT DÒNG V2</v>
      </c>
      <c r="K733" s="2"/>
      <c r="L733" s="2" t="str">
        <f>IFERROR(__xludf.DUMMYFUNCTION("""COMPUTED_VALUE"""),"CHẶN ĐỌT DÒNG V2")</f>
        <v>CHẶN ĐỌT DÒNG V2</v>
      </c>
      <c r="M733" s="2" t="str">
        <f>IFERROR(__xludf.DUMMYFUNCTION("""COMPUTED_VALUE"""),"STOP UP
MT STOP
AGRI STOP
STOP ĐỌT
SIÊU CHẶN ĐỌT
MASTER STOP
UNI STOP ONE
BAMBOO DOUBLE STOP")</f>
        <v>STOP UP
MT STOP
AGRI STOP
STOP ĐỌT
SIÊU CHẶN ĐỌT
MASTER STOP
UNI STOP ONE
BAMBOO DOUBLE STOP</v>
      </c>
      <c r="N733" s="2" t="str">
        <f>IFERROR(__xludf.DUMMYFUNCTION("""COMPUTED_VALUE"""),"06CD0009V3")</f>
        <v>06CD0009V3</v>
      </c>
      <c r="O733" s="2" t="str">
        <f>IFERROR(__xludf.DUMMYFUNCTION("""COMPUTED_VALUE"""),"Phân bón Vi lượng Quantity New")</f>
        <v>Phân bón Vi lượng Quantity New</v>
      </c>
      <c r="P733" s="2" t="str">
        <f>IFERROR(__xludf.DUMMYFUNCTION("""COMPUTED_VALUE"""),"#N/A")</f>
        <v>#N/A</v>
      </c>
      <c r="Q733" s="30" t="str">
        <f>IFERROR(__xludf.DUMMYFUNCTION("""COMPUTED_VALUE"""),"KHÔNG KHỚP")</f>
        <v>KHÔNG KHỚP</v>
      </c>
      <c r="R733" s="2"/>
      <c r="S733" s="2"/>
      <c r="T733" s="2"/>
      <c r="U733" s="2"/>
      <c r="V733" s="2"/>
      <c r="W733" s="2"/>
      <c r="X733" s="2"/>
      <c r="Y733" s="2"/>
    </row>
    <row r="734">
      <c r="A734" s="30">
        <f>IFERROR(__xludf.DUMMYFUNCTION("""COMPUTED_VALUE"""),731.0)</f>
        <v>731</v>
      </c>
      <c r="B734" s="39" t="str">
        <f>IFERROR(__xludf.DUMMYFUNCTION("""COMPUTED_VALUE"""),"")</f>
        <v/>
      </c>
      <c r="C734" s="30">
        <f>IFERROR(__xludf.DUMMYFUNCTION("""COMPUTED_VALUE"""),2.0)</f>
        <v>2</v>
      </c>
      <c r="D734" s="30" t="str">
        <f>IFERROR(__xludf.DUMMYFUNCTION("""COMPUTED_VALUE"""),"CT XỬ LÝ LỖI")</f>
        <v>CT XỬ LÝ LỖI</v>
      </c>
      <c r="E734" s="46">
        <f>IFERROR(__xludf.DUMMYFUNCTION("""COMPUTED_VALUE"""),46112.0)</f>
        <v>46112</v>
      </c>
      <c r="F734" s="2" t="str">
        <f>IFERROR(__xludf.DUMMYFUNCTION("""COMPUTED_VALUE"""),"AYC31032601")</f>
        <v>AYC31032601</v>
      </c>
      <c r="G734" s="2" t="str">
        <f>IFERROR(__xludf.DUMMYFUNCTION("""COMPUTED_VALUE"""),"HH4883")</f>
        <v>HH4883</v>
      </c>
      <c r="H734" s="2" t="str">
        <f>IFERROR(__xludf.DUMMYFUNCTION("""COMPUTED_VALUE"""),"GC - V - 4883 - CTY NAUY - GALAXY (Nước nâu đen) - 500ml - 40")</f>
        <v>GC - V - 4883 - CTY NAUY - GALAXY (Nước nâu đen) - 500ml - 40</v>
      </c>
      <c r="I734" s="2" t="str">
        <f>IFERROR(__xludf.DUMMYFUNCTION("""COMPUTED_VALUE"""),"Hỗn Hợp NP AGAMA-AP")</f>
        <v>Hỗn Hợp NP AGAMA-AP</v>
      </c>
      <c r="J734" s="2" t="str">
        <f>IFERROR(__xludf.DUMMYFUNCTION("""COMPUTED_VALUE"""),"A20280225 cùng ruột 4052")</f>
        <v>A20280225 cùng ruột 4052</v>
      </c>
      <c r="K734" s="39">
        <f>IFERROR(__xludf.DUMMYFUNCTION("""COMPUTED_VALUE"""),46116.0)</f>
        <v>46116</v>
      </c>
      <c r="L734" s="2" t="str">
        <f>IFERROR(__xludf.DUMMYFUNCTION("""COMPUTED_VALUE"""),"")</f>
        <v/>
      </c>
      <c r="M734" s="2" t="str">
        <f>IFERROR(__xludf.DUMMYFUNCTION("""COMPUTED_VALUE"""),"")</f>
        <v/>
      </c>
      <c r="N734" s="2" t="str">
        <f>IFERROR(__xludf.DUMMYFUNCTION("""COMPUTED_VALUE"""),"Dán lại nhãn")</f>
        <v>Dán lại nhãn</v>
      </c>
      <c r="O734" s="2" t="str">
        <f>IFERROR(__xludf.DUMMYFUNCTION("""COMPUTED_VALUE"""),"")</f>
        <v/>
      </c>
      <c r="P734" s="2" t="str">
        <f>IFERROR(__xludf.DUMMYFUNCTION("""COMPUTED_VALUE"""),"Phân bón Hỗn Hợp NP AGAMA-AP")</f>
        <v>Phân bón Hỗn Hợp NP AGAMA-AP</v>
      </c>
      <c r="Q734" s="30"/>
      <c r="R734" s="2"/>
      <c r="S734" s="2"/>
      <c r="T734" s="2"/>
      <c r="U734" s="2"/>
      <c r="V734" s="2"/>
      <c r="W734" s="2"/>
      <c r="X734" s="2"/>
      <c r="Y734" s="2"/>
    </row>
    <row r="735">
      <c r="A735" s="30">
        <f>IFERROR(__xludf.DUMMYFUNCTION("""COMPUTED_VALUE"""),732.0)</f>
        <v>732</v>
      </c>
      <c r="B735" s="39">
        <f>IFERROR(__xludf.DUMMYFUNCTION("""COMPUTED_VALUE"""),46036.0)</f>
        <v>46036</v>
      </c>
      <c r="C735" s="30">
        <f>IFERROR(__xludf.DUMMYFUNCTION("""COMPUTED_VALUE"""),6.0)</f>
        <v>6</v>
      </c>
      <c r="D735" s="30" t="str">
        <f>IFERROR(__xludf.DUMMYFUNCTION("""COMPUTED_VALUE"""),"CT CŨ")</f>
        <v>CT CŨ</v>
      </c>
      <c r="E735" s="46">
        <f>IFERROR(__xludf.DUMMYFUNCTION("""COMPUTED_VALUE"""),46114.0)</f>
        <v>46114</v>
      </c>
      <c r="F735" s="2" t="str">
        <f>IFERROR(__xludf.DUMMYFUNCTION("""COMPUTED_VALUE"""),"ATP02042601")</f>
        <v>ATP02042601</v>
      </c>
      <c r="G735" s="2" t="str">
        <f>IFERROR(__xludf.DUMMYFUNCTION("""COMPUTED_VALUE"""),"HH4642")</f>
        <v>HH4642</v>
      </c>
      <c r="H735" s="2" t="str">
        <f>IFERROR(__xludf.DUMMYFUNCTION("""COMPUTED_VALUE"""),"GC - V - 4642 - CTY HÓA NÔNG ĐẤT VIỆT - ĐẤT VIỆT BIOGREEN (Nước nâu đen) - 20 lít - 1")</f>
        <v>GC - V - 4642 - CTY HÓA NÔNG ĐẤT VIỆT - ĐẤT VIỆT BIOGREEN (Nước nâu đen) - 20 lít - 1</v>
      </c>
      <c r="I735" s="2" t="str">
        <f>IFERROR(__xludf.DUMMYFUNCTION("""COMPUTED_VALUE"""),"Hữu Cơ Organic ĐGP 01")</f>
        <v>Hữu Cơ Organic ĐGP 01</v>
      </c>
      <c r="J735" s="2" t="str">
        <f>IFERROR(__xludf.DUMMYFUNCTION("""COMPUTED_VALUE"""),"A05181225- 01")</f>
        <v>A05181225- 01</v>
      </c>
      <c r="K735" s="39">
        <f>IFERROR(__xludf.DUMMYFUNCTION("""COMPUTED_VALUE"""),46125.0)</f>
        <v>46125</v>
      </c>
      <c r="L735" s="2" t="str">
        <f>IFERROR(__xludf.DUMMYFUNCTION("""COMPUTED_VALUE"""),"A05181225-01
I03240326")</f>
        <v>A05181225-01
I03240326</v>
      </c>
      <c r="M735" s="2" t="str">
        <f>IFERROR(__xludf.DUMMYFUNCTION("""COMPUTED_VALUE"""),"HỮU CƠ 20%")</f>
        <v>HỮU CƠ 20%</v>
      </c>
      <c r="N735" s="2" t="str">
        <f>IFERROR(__xludf.DUMMYFUNCTION("""COMPUTED_VALUE"""),"01RR0079V1")</f>
        <v>01RR0079V1</v>
      </c>
      <c r="O735" s="2" t="str">
        <f>IFERROR(__xludf.DUMMYFUNCTION("""COMPUTED_VALUE"""),"Phân bón Hữu cơ ORGANIC ĐGP 01 ")</f>
        <v>Phân bón Hữu cơ ORGANIC ĐGP 01 </v>
      </c>
      <c r="P735" s="2" t="str">
        <f>IFERROR(__xludf.DUMMYFUNCTION("""COMPUTED_VALUE"""),"Phân bón Hữu Cơ Organic ĐGP 01")</f>
        <v>Phân bón Hữu Cơ Organic ĐGP 01</v>
      </c>
      <c r="Q735" s="30" t="str">
        <f>IFERROR(__xludf.DUMMYFUNCTION("""COMPUTED_VALUE"""),"KHỚP")</f>
        <v>KHỚP</v>
      </c>
      <c r="R735" s="2"/>
      <c r="S735" s="2"/>
      <c r="T735" s="2"/>
      <c r="U735" s="2"/>
      <c r="V735" s="2"/>
      <c r="W735" s="2"/>
      <c r="X735" s="2"/>
      <c r="Y735" s="2"/>
    </row>
    <row r="736">
      <c r="A736" s="30">
        <f>IFERROR(__xludf.DUMMYFUNCTION("""COMPUTED_VALUE"""),733.0)</f>
        <v>733</v>
      </c>
      <c r="B736" s="39">
        <f>IFERROR(__xludf.DUMMYFUNCTION("""COMPUTED_VALUE"""),46036.0)</f>
        <v>46036</v>
      </c>
      <c r="C736" s="30">
        <f>IFERROR(__xludf.DUMMYFUNCTION("""COMPUTED_VALUE"""),1.0)</f>
        <v>1</v>
      </c>
      <c r="D736" s="30" t="str">
        <f>IFERROR(__xludf.DUMMYFUNCTION("""COMPUTED_VALUE"""),"CT CŨ")</f>
        <v>CT CŨ</v>
      </c>
      <c r="E736" s="46">
        <f>IFERROR(__xludf.DUMMYFUNCTION("""COMPUTED_VALUE"""),46114.0)</f>
        <v>46114</v>
      </c>
      <c r="F736" s="2" t="str">
        <f>IFERROR(__xludf.DUMMYFUNCTION("""COMPUTED_VALUE"""),"ATP02042602")</f>
        <v>ATP02042602</v>
      </c>
      <c r="G736" s="2" t="str">
        <f>IFERROR(__xludf.DUMMYFUNCTION("""COMPUTED_VALUE"""),"HH4907")</f>
        <v>HH4907</v>
      </c>
      <c r="H736" s="2" t="str">
        <f>IFERROR(__xludf.DUMMYFUNCTION("""COMPUTED_VALUE"""),"GC - V - 4907 - CTY AGRITECH - ROOT MAX BIO (Nước nâu đen) - 20L - 1")</f>
        <v>GC - V - 4907 - CTY AGRITECH - ROOT MAX BIO (Nước nâu đen) - 20L - 1</v>
      </c>
      <c r="I736" s="2" t="str">
        <f>IFERROR(__xludf.DUMMYFUNCTION("""COMPUTED_VALUE"""),"Hữu Cơ Organic ĐGP 01")</f>
        <v>Hữu Cơ Organic ĐGP 01</v>
      </c>
      <c r="J736" s="2" t="str">
        <f>IFERROR(__xludf.DUMMYFUNCTION("""COMPUTED_VALUE"""),"A05181225- 01")</f>
        <v>A05181225- 01</v>
      </c>
      <c r="K736" s="39">
        <f>IFERROR(__xludf.DUMMYFUNCTION("""COMPUTED_VALUE"""),46125.0)</f>
        <v>46125</v>
      </c>
      <c r="L736" s="2" t="str">
        <f>IFERROR(__xludf.DUMMYFUNCTION("""COMPUTED_VALUE"""),"A05181225-01
I03240326")</f>
        <v>A05181225-01
I03240326</v>
      </c>
      <c r="M736" s="2" t="str">
        <f>IFERROR(__xludf.DUMMYFUNCTION("""COMPUTED_VALUE"""),"HỮU CƠ 20%")</f>
        <v>HỮU CƠ 20%</v>
      </c>
      <c r="N736" s="2" t="str">
        <f>IFERROR(__xludf.DUMMYFUNCTION("""COMPUTED_VALUE"""),"01RR0079V1")</f>
        <v>01RR0079V1</v>
      </c>
      <c r="O736" s="2" t="str">
        <f>IFERROR(__xludf.DUMMYFUNCTION("""COMPUTED_VALUE"""),"Phân bón Hữu cơ ORGANIC ĐGP 01 ")</f>
        <v>Phân bón Hữu cơ ORGANIC ĐGP 01 </v>
      </c>
      <c r="P736" s="2" t="str">
        <f>IFERROR(__xludf.DUMMYFUNCTION("""COMPUTED_VALUE"""),"Phân bón Hữu Cơ Organic ĐGP 01")</f>
        <v>Phân bón Hữu Cơ Organic ĐGP 01</v>
      </c>
      <c r="Q736" s="30" t="str">
        <f>IFERROR(__xludf.DUMMYFUNCTION("""COMPUTED_VALUE"""),"KHỚP")</f>
        <v>KHỚP</v>
      </c>
      <c r="R736" s="2"/>
      <c r="S736" s="2"/>
      <c r="T736" s="2"/>
      <c r="U736" s="2"/>
      <c r="V736" s="2"/>
      <c r="W736" s="2"/>
      <c r="X736" s="2"/>
      <c r="Y736" s="2"/>
    </row>
    <row r="737">
      <c r="A737" s="30">
        <f>IFERROR(__xludf.DUMMYFUNCTION("""COMPUTED_VALUE"""),734.0)</f>
        <v>734</v>
      </c>
      <c r="B737" s="39">
        <f>IFERROR(__xludf.DUMMYFUNCTION("""COMPUTED_VALUE"""),46056.0)</f>
        <v>46056</v>
      </c>
      <c r="C737" s="30">
        <f>IFERROR(__xludf.DUMMYFUNCTION("""COMPUTED_VALUE"""),8.0)</f>
        <v>8</v>
      </c>
      <c r="D737" s="30" t="str">
        <f>IFERROR(__xludf.DUMMYFUNCTION("""COMPUTED_VALUE"""),"CT CŨ")</f>
        <v>CT CŨ</v>
      </c>
      <c r="E737" s="46">
        <f>IFERROR(__xludf.DUMMYFUNCTION("""COMPUTED_VALUE"""),46115.0)</f>
        <v>46115</v>
      </c>
      <c r="F737" s="2" t="str">
        <f>IFERROR(__xludf.DUMMYFUNCTION("""COMPUTED_VALUE"""),"DTP03042601")</f>
        <v>DTP03042601</v>
      </c>
      <c r="G737" s="2" t="str">
        <f>IFERROR(__xludf.DUMMYFUNCTION("""COMPUTED_VALUE"""),"HH4748")</f>
        <v>HH4748</v>
      </c>
      <c r="H737" s="2" t="str">
        <f>IFERROR(__xludf.DUMMYFUNCTION("""COMPUTED_VALUE"""),"GC - V - 4748 - DEGO - RUN FAST (Nước đen) - 18L - 1")</f>
        <v>GC - V - 4748 - DEGO - RUN FAST (Nước đen) - 18L - 1</v>
      </c>
      <c r="I737" s="2" t="str">
        <f>IFERROR(__xludf.DUMMYFUNCTION("""COMPUTED_VALUE"""),"Vi lượng Run Fast")</f>
        <v>Vi lượng Run Fast</v>
      </c>
      <c r="J737" s="2" t="str">
        <f>IFERROR(__xludf.DUMMYFUNCTION("""COMPUTED_VALUE"""),"30NT0001")</f>
        <v>30NT0001</v>
      </c>
      <c r="K737" s="39">
        <f>IFERROR(__xludf.DUMMYFUNCTION("""COMPUTED_VALUE"""),46116.0)</f>
        <v>46116</v>
      </c>
      <c r="L737" s="2"/>
      <c r="M737" s="2" t="str">
        <f>IFERROR(__xludf.DUMMYFUNCTION("""COMPUTED_VALUE"""),"BO HAI NGÀN")</f>
        <v>BO HAI NGÀN</v>
      </c>
      <c r="N737" s="2" t="str">
        <f>IFERROR(__xludf.DUMMYFUNCTION("""COMPUTED_VALUE"""),"30NT0001")</f>
        <v>30NT0001</v>
      </c>
      <c r="O737" s="2" t="str">
        <f>IFERROR(__xludf.DUMMYFUNCTION("""COMPUTED_VALUE"""),"Phân bón Vi lượng Run Fast")</f>
        <v>Phân bón Vi lượng Run Fast</v>
      </c>
      <c r="P737" s="2" t="str">
        <f>IFERROR(__xludf.DUMMYFUNCTION("""COMPUTED_VALUE"""),"Phân bón Vi lượng Run Fast")</f>
        <v>Phân bón Vi lượng Run Fast</v>
      </c>
      <c r="Q737" s="30" t="str">
        <f>IFERROR(__xludf.DUMMYFUNCTION("""COMPUTED_VALUE"""),"KHỚP")</f>
        <v>KHỚP</v>
      </c>
      <c r="R737" s="2"/>
      <c r="S737" s="2"/>
      <c r="T737" s="2"/>
      <c r="U737" s="2"/>
      <c r="V737" s="2"/>
      <c r="W737" s="2"/>
      <c r="X737" s="2"/>
      <c r="Y737" s="2"/>
    </row>
    <row r="738">
      <c r="A738" s="30">
        <f>IFERROR(__xludf.DUMMYFUNCTION("""COMPUTED_VALUE"""),735.0)</f>
        <v>735</v>
      </c>
      <c r="B738" s="39">
        <f>IFERROR(__xludf.DUMMYFUNCTION("""COMPUTED_VALUE"""),46109.0)</f>
        <v>46109</v>
      </c>
      <c r="C738" s="30">
        <f>IFERROR(__xludf.DUMMYFUNCTION("""COMPUTED_VALUE"""),1.0)</f>
        <v>1</v>
      </c>
      <c r="D738" s="30" t="str">
        <f>IFERROR(__xludf.DUMMYFUNCTION("""COMPUTED_VALUE"""),"CT MỚI")</f>
        <v>CT MỚI</v>
      </c>
      <c r="E738" s="46">
        <f>IFERROR(__xludf.DUMMYFUNCTION("""COMPUTED_VALUE"""),46115.0)</f>
        <v>46115</v>
      </c>
      <c r="F738" s="2" t="str">
        <f>IFERROR(__xludf.DUMMYFUNCTION("""COMPUTED_VALUE"""),"ATP03042601")</f>
        <v>ATP03042601</v>
      </c>
      <c r="G738" s="2" t="str">
        <f>IFERROR(__xludf.DUMMYFUNCTION("""COMPUTED_VALUE"""),"HH4915")</f>
        <v>HH4915</v>
      </c>
      <c r="H738" s="2" t="str">
        <f>IFERROR(__xludf.DUMMYFUNCTION("""COMPUTED_VALUE"""),"GC - V - 4915 - CTY NGỌC BẢO LONG AGRI - SIÊU RA RỄ (Nước nâu đen) - 500ml - 30")</f>
        <v>GC - V - 4915 - CTY NGỌC BẢO LONG AGRI - SIÊU RA RỄ (Nước nâu đen) - 500ml - 30</v>
      </c>
      <c r="I738" s="2" t="str">
        <f>IFERROR(__xludf.DUMMYFUNCTION("""COMPUTED_VALUE"""),"Hỗn Hợp NP AGAMA-AP")</f>
        <v>Hỗn Hợp NP AGAMA-AP</v>
      </c>
      <c r="J738" s="2" t="str">
        <f>IFERROR(__xludf.DUMMYFUNCTION("""COMPUTED_VALUE"""),"A16260326")</f>
        <v>A16260326</v>
      </c>
      <c r="K738" s="39">
        <f>IFERROR(__xludf.DUMMYFUNCTION("""COMPUTED_VALUE"""),46125.0)</f>
        <v>46125</v>
      </c>
      <c r="L738" s="2" t="str">
        <f>IFERROR(__xludf.DUMMYFUNCTION("""COMPUTED_VALUE"""),"A16260326 ")</f>
        <v>A16260326 </v>
      </c>
      <c r="M738" s="2" t="str">
        <f>IFERROR(__xludf.DUMMYFUNCTION("""COMPUTED_VALUE"""),"SIÊU RA RỄ - NGỌC BẢO LONG")</f>
        <v>SIÊU RA RỄ - NGỌC BẢO LONG</v>
      </c>
      <c r="N738" s="2" t="str">
        <f>IFERROR(__xludf.DUMMYFUNCTION("""COMPUTED_VALUE"""),"01RR0081")</f>
        <v>01RR0081</v>
      </c>
      <c r="O738" s="2" t="str">
        <f>IFERROR(__xludf.DUMMYFUNCTION("""COMPUTED_VALUE"""),"Phân bón Hỗn hợp NP AGAMA-AP")</f>
        <v>Phân bón Hỗn hợp NP AGAMA-AP</v>
      </c>
      <c r="P738" s="2" t="str">
        <f>IFERROR(__xludf.DUMMYFUNCTION("""COMPUTED_VALUE"""),"Phân bón Hỗn Hợp NP AGAMA-AP")</f>
        <v>Phân bón Hỗn Hợp NP AGAMA-AP</v>
      </c>
      <c r="Q738" s="30" t="str">
        <f>IFERROR(__xludf.DUMMYFUNCTION("""COMPUTED_VALUE"""),"KHỚP")</f>
        <v>KHỚP</v>
      </c>
      <c r="R738" s="2"/>
      <c r="S738" s="2"/>
      <c r="T738" s="2"/>
      <c r="U738" s="2"/>
      <c r="V738" s="2"/>
      <c r="W738" s="2"/>
      <c r="X738" s="2"/>
      <c r="Y738" s="2"/>
    </row>
    <row r="739">
      <c r="A739" s="30">
        <f>IFERROR(__xludf.DUMMYFUNCTION("""COMPUTED_VALUE"""),736.0)</f>
        <v>736</v>
      </c>
      <c r="B739" s="39">
        <f>IFERROR(__xludf.DUMMYFUNCTION("""COMPUTED_VALUE"""),45993.0)</f>
        <v>45993</v>
      </c>
      <c r="C739" s="30">
        <f>IFERROR(__xludf.DUMMYFUNCTION("""COMPUTED_VALUE"""),1.0)</f>
        <v>1</v>
      </c>
      <c r="D739" s="30" t="str">
        <f>IFERROR(__xludf.DUMMYFUNCTION("""COMPUTED_VALUE"""),"CT CŨ")</f>
        <v>CT CŨ</v>
      </c>
      <c r="E739" s="46">
        <f>IFERROR(__xludf.DUMMYFUNCTION("""COMPUTED_VALUE"""),46115.0)</f>
        <v>46115</v>
      </c>
      <c r="F739" s="2" t="str">
        <f>IFERROR(__xludf.DUMMYFUNCTION("""COMPUTED_VALUE"""),"ITP03042607")</f>
        <v>ITP03042607</v>
      </c>
      <c r="G739" s="2" t="str">
        <f>IFERROR(__xludf.DUMMYFUNCTION("""COMPUTED_VALUE"""),"HH4914")</f>
        <v>HH4914</v>
      </c>
      <c r="H739" s="2" t="str">
        <f>IFERROR(__xludf.DUMMYFUNCTION("""COMPUTED_VALUE"""),"IDA Global - I - 4914 - IDA ORGANIC FEED (Nước nâu đen) - 5L - 4")</f>
        <v>IDA Global - I - 4914 - IDA ORGANIC FEED (Nước nâu đen) - 5L - 4</v>
      </c>
      <c r="I739" s="2" t="str">
        <f>IFERROR(__xludf.DUMMYFUNCTION("""COMPUTED_VALUE"""),"Hữu cơ SH Agro Organic Fertilizer 20")</f>
        <v>Hữu cơ SH Agro Organic Fertilizer 20</v>
      </c>
      <c r="J739" s="2" t="str">
        <f>IFERROR(__xludf.DUMMYFUNCTION("""COMPUTED_VALUE"""),"Chung ruột HH2927")</f>
        <v>Chung ruột HH2927</v>
      </c>
      <c r="K739" s="39">
        <f>IFERROR(__xludf.DUMMYFUNCTION("""COMPUTED_VALUE"""),46130.0)</f>
        <v>46130</v>
      </c>
      <c r="L739" s="2"/>
      <c r="M739" s="2" t="str">
        <f>IFERROR(__xludf.DUMMYFUNCTION("""COMPUTED_VALUE"""),"BAMBOO ORGANIC
IDA ORGANIC FEED")</f>
        <v>BAMBOO ORGANIC
IDA ORGANIC FEED</v>
      </c>
      <c r="N739" s="2" t="str">
        <f>IFERROR(__xludf.DUMMYFUNCTION("""COMPUTED_VALUE"""),"01RR0025V4")</f>
        <v>01RR0025V4</v>
      </c>
      <c r="O739" s="2" t="str">
        <f>IFERROR(__xludf.DUMMYFUNCTION("""COMPUTED_VALUE"""),"Phân bón Hữu cơ SH Agro Organic Fertilizer 20")</f>
        <v>Phân bón Hữu cơ SH Agro Organic Fertilizer 20</v>
      </c>
      <c r="P739" s="2" t="str">
        <f>IFERROR(__xludf.DUMMYFUNCTION("""COMPUTED_VALUE"""),"Phân bón Hữu cơ SH Agro Organic Fertilizer 20")</f>
        <v>Phân bón Hữu cơ SH Agro Organic Fertilizer 20</v>
      </c>
      <c r="Q739" s="30" t="str">
        <f>IFERROR(__xludf.DUMMYFUNCTION("""COMPUTED_VALUE"""),"KHỚP")</f>
        <v>KHỚP</v>
      </c>
      <c r="R739" s="2"/>
      <c r="S739" s="2"/>
      <c r="T739" s="2"/>
      <c r="U739" s="2"/>
      <c r="V739" s="2"/>
      <c r="W739" s="2"/>
      <c r="X739" s="2"/>
      <c r="Y739" s="2"/>
    </row>
    <row r="740">
      <c r="A740" s="30">
        <f>IFERROR(__xludf.DUMMYFUNCTION("""COMPUTED_VALUE"""),737.0)</f>
        <v>737</v>
      </c>
      <c r="B740" s="39">
        <f>IFERROR(__xludf.DUMMYFUNCTION("""COMPUTED_VALUE"""),46002.0)</f>
        <v>46002</v>
      </c>
      <c r="C740" s="30">
        <f>IFERROR(__xludf.DUMMYFUNCTION("""COMPUTED_VALUE"""),3.0)</f>
        <v>3</v>
      </c>
      <c r="D740" s="30" t="str">
        <f>IFERROR(__xludf.DUMMYFUNCTION("""COMPUTED_VALUE"""),"CT CŨ")</f>
        <v>CT CŨ</v>
      </c>
      <c r="E740" s="46">
        <f>IFERROR(__xludf.DUMMYFUNCTION("""COMPUTED_VALUE"""),46116.0)</f>
        <v>46116</v>
      </c>
      <c r="F740" s="2" t="str">
        <f>IFERROR(__xludf.DUMMYFUNCTION("""COMPUTED_VALUE"""),"ATP04042602")</f>
        <v>ATP04042602</v>
      </c>
      <c r="G740" s="2" t="str">
        <f>IFERROR(__xludf.DUMMYFUNCTION("""COMPUTED_VALUE"""),"HH4321")</f>
        <v>HH4321</v>
      </c>
      <c r="H740" s="2" t="str">
        <f>IFERROR(__xludf.DUMMYFUNCTION("""COMPUTED_VALUE"""),"GC - IV - 4321 - NHP GROUP - KODO STOP (Nước nâu đen) - 1L - 20")</f>
        <v>GC - IV - 4321 - NHP GROUP - KODO STOP (Nước nâu đen) - 1L - 20</v>
      </c>
      <c r="I740" s="2" t="str">
        <f>IFERROR(__xludf.DUMMYFUNCTION("""COMPUTED_VALUE"""),"Vi lượng Quantity New")</f>
        <v>Vi lượng Quantity New</v>
      </c>
      <c r="J740" s="2" t="str">
        <f>IFERROR(__xludf.DUMMYFUNCTION("""COMPUTED_VALUE"""),"cùng ruột 4011
")</f>
        <v>cùng ruột 4011
</v>
      </c>
      <c r="K740" s="39">
        <f>IFERROR(__xludf.DUMMYFUNCTION("""COMPUTED_VALUE"""),46125.0)</f>
        <v>46125</v>
      </c>
      <c r="L740" s="2" t="str">
        <f>IFERROR(__xludf.DUMMYFUNCTION("""COMPUTED_VALUE"""),"CHẶN ĐỌT DÒNG V1")</f>
        <v>CHẶN ĐỌT DÒNG V1</v>
      </c>
      <c r="M740" s="2" t="str">
        <f>IFERROR(__xludf.DUMMYFUNCTION("""COMPUTED_VALUE"""),"KODO STOP
DR.STOP
DR.H2")</f>
        <v>KODO STOP
DR.STOP
DR.H2</v>
      </c>
      <c r="N740" s="2" t="str">
        <f>IFERROR(__xludf.DUMMYFUNCTION("""COMPUTED_VALUE"""),"06CD0006V2")</f>
        <v>06CD0006V2</v>
      </c>
      <c r="O740" s="2" t="str">
        <f>IFERROR(__xludf.DUMMYFUNCTION("""COMPUTED_VALUE"""),"Phân bón Vi lượng Quantity New")</f>
        <v>Phân bón Vi lượng Quantity New</v>
      </c>
      <c r="P740" s="2" t="str">
        <f>IFERROR(__xludf.DUMMYFUNCTION("""COMPUTED_VALUE"""),"Phân bón Vi lượng Quantity New")</f>
        <v>Phân bón Vi lượng Quantity New</v>
      </c>
      <c r="Q740" s="30" t="str">
        <f>IFERROR(__xludf.DUMMYFUNCTION("""COMPUTED_VALUE"""),"KHỚP")</f>
        <v>KHỚP</v>
      </c>
      <c r="R740" s="2"/>
      <c r="S740" s="2"/>
      <c r="T740" s="2"/>
      <c r="U740" s="2"/>
      <c r="V740" s="2"/>
      <c r="W740" s="2"/>
      <c r="X740" s="2"/>
      <c r="Y740" s="2"/>
    </row>
    <row r="741">
      <c r="A741" s="30">
        <f>IFERROR(__xludf.DUMMYFUNCTION("""COMPUTED_VALUE"""),738.0)</f>
        <v>738</v>
      </c>
      <c r="B741" s="39">
        <f>IFERROR(__xludf.DUMMYFUNCTION("""COMPUTED_VALUE"""),46104.0)</f>
        <v>46104</v>
      </c>
      <c r="C741" s="30">
        <f>IFERROR(__xludf.DUMMYFUNCTION("""COMPUTED_VALUE"""),1.0)</f>
        <v>1</v>
      </c>
      <c r="D741" s="30" t="str">
        <f>IFERROR(__xludf.DUMMYFUNCTION("""COMPUTED_VALUE"""),"CT MỚI")</f>
        <v>CT MỚI</v>
      </c>
      <c r="E741" s="46">
        <f>IFERROR(__xludf.DUMMYFUNCTION("""COMPUTED_VALUE"""),46116.0)</f>
        <v>46116</v>
      </c>
      <c r="F741" s="2" t="str">
        <f>IFERROR(__xludf.DUMMYFUNCTION("""COMPUTED_VALUE"""),"ATP04042606")</f>
        <v>ATP04042606</v>
      </c>
      <c r="G741" s="2" t="str">
        <f>IFERROR(__xludf.DUMMYFUNCTION("""COMPUTED_VALUE"""),"HH4911")</f>
        <v>HH4911</v>
      </c>
      <c r="H741" s="2" t="str">
        <f>IFERROR(__xludf.DUMMYFUNCTION("""COMPUTED_VALUE"""),"GC - V - 4911 - WINDY ALS - 10-60-10 (Bột màu trắng) - 500gr - 24")</f>
        <v>GC - V - 4911 - WINDY ALS - 10-60-10 (Bột màu trắng) - 500gr - 24</v>
      </c>
      <c r="I741" s="2" t="str">
        <f>IFERROR(__xludf.DUMMYFUNCTION("""COMPUTED_VALUE"""),"Hỗn Hợp NPK NPK 10-60-10 NNV")</f>
        <v>Hỗn Hợp NPK NPK 10-60-10 NNV</v>
      </c>
      <c r="J741" s="2" t="str">
        <f>IFERROR(__xludf.DUMMYFUNCTION("""COMPUTED_VALUE"""),"A01160326")</f>
        <v>A01160326</v>
      </c>
      <c r="K741" s="39">
        <f>IFERROR(__xludf.DUMMYFUNCTION("""COMPUTED_VALUE"""),46153.0)</f>
        <v>46153</v>
      </c>
      <c r="L741" s="2" t="str">
        <f>IFERROR(__xludf.DUMMYFUNCTION("""COMPUTED_VALUE"""),"A01160326")</f>
        <v>A01160326</v>
      </c>
      <c r="M741" s="2" t="str">
        <f>IFERROR(__xludf.DUMMYFUNCTION("""COMPUTED_VALUE"""),"10-60-10")</f>
        <v>10-60-10</v>
      </c>
      <c r="N741" s="2" t="str">
        <f>IFERROR(__xludf.DUMMYFUNCTION("""COMPUTED_VALUE"""),"09KH0015")</f>
        <v>09KH0015</v>
      </c>
      <c r="O741" s="2" t="str">
        <f>IFERROR(__xludf.DUMMYFUNCTION("""COMPUTED_VALUE"""),"PHÂN BÓN NPK 10-60-10 NNV")</f>
        <v>PHÂN BÓN NPK 10-60-10 NNV</v>
      </c>
      <c r="P741" s="2" t="str">
        <f>IFERROR(__xludf.DUMMYFUNCTION("""COMPUTED_VALUE"""),"Phân bón Hỗn Hợp NPK NPK 10-60-10 NNV")</f>
        <v>Phân bón Hỗn Hợp NPK NPK 10-60-10 NNV</v>
      </c>
      <c r="Q741" s="30" t="str">
        <f>IFERROR(__xludf.DUMMYFUNCTION("""COMPUTED_VALUE"""),"KHỚP")</f>
        <v>KHỚP</v>
      </c>
      <c r="R741" s="2"/>
      <c r="S741" s="2"/>
      <c r="T741" s="2"/>
      <c r="U741" s="2"/>
      <c r="V741" s="2"/>
      <c r="W741" s="2"/>
      <c r="X741" s="2"/>
      <c r="Y741" s="2"/>
    </row>
    <row r="742">
      <c r="A742" s="30">
        <f>IFERROR(__xludf.DUMMYFUNCTION("""COMPUTED_VALUE"""),739.0)</f>
        <v>739</v>
      </c>
      <c r="B742" s="39">
        <f>IFERROR(__xludf.DUMMYFUNCTION("""COMPUTED_VALUE"""),46036.0)</f>
        <v>46036</v>
      </c>
      <c r="C742" s="30">
        <f>IFERROR(__xludf.DUMMYFUNCTION("""COMPUTED_VALUE"""),1.0)</f>
        <v>1</v>
      </c>
      <c r="D742" s="30" t="str">
        <f>IFERROR(__xludf.DUMMYFUNCTION("""COMPUTED_VALUE"""),"CT CŨ")</f>
        <v>CT CŨ</v>
      </c>
      <c r="E742" s="46">
        <f>IFERROR(__xludf.DUMMYFUNCTION("""COMPUTED_VALUE"""),46116.0)</f>
        <v>46116</v>
      </c>
      <c r="F742" s="2" t="str">
        <f>IFERROR(__xludf.DUMMYFUNCTION("""COMPUTED_VALUE"""),"ATP04042608")</f>
        <v>ATP04042608</v>
      </c>
      <c r="G742" s="2" t="str">
        <f>IFERROR(__xludf.DUMMYFUNCTION("""COMPUTED_VALUE"""),"HH4906")</f>
        <v>HH4906</v>
      </c>
      <c r="H742" s="2" t="str">
        <f>IFERROR(__xludf.DUMMYFUNCTION("""COMPUTED_VALUE"""),"GC - V - 4906 - THÀNH CÔNG AGRI - KING ROOT (Gel nâu đen) - 20L - 1")</f>
        <v>GC - V - 4906 - THÀNH CÔNG AGRI - KING ROOT (Gel nâu đen) - 20L - 1</v>
      </c>
      <c r="I742" s="2" t="str">
        <f>IFERROR(__xludf.DUMMYFUNCTION("""COMPUTED_VALUE"""),"Hữu Cơ Organic ĐGP 01")</f>
        <v>Hữu Cơ Organic ĐGP 01</v>
      </c>
      <c r="J742" s="2" t="str">
        <f>IFERROR(__xludf.DUMMYFUNCTION("""COMPUTED_VALUE"""),"A05181225-01")</f>
        <v>A05181225-01</v>
      </c>
      <c r="K742" s="39">
        <f>IFERROR(__xludf.DUMMYFUNCTION("""COMPUTED_VALUE"""),46127.0)</f>
        <v>46127</v>
      </c>
      <c r="L742" s="2" t="str">
        <f>IFERROR(__xludf.DUMMYFUNCTION("""COMPUTED_VALUE"""),"A05181225-01
I03240326")</f>
        <v>A05181225-01
I03240326</v>
      </c>
      <c r="M742" s="2" t="str">
        <f>IFERROR(__xludf.DUMMYFUNCTION("""COMPUTED_VALUE"""),"HỮU CƠ 20%")</f>
        <v>HỮU CƠ 20%</v>
      </c>
      <c r="N742" s="2" t="str">
        <f>IFERROR(__xludf.DUMMYFUNCTION("""COMPUTED_VALUE"""),"01RR0079V1")</f>
        <v>01RR0079V1</v>
      </c>
      <c r="O742" s="2" t="str">
        <f>IFERROR(__xludf.DUMMYFUNCTION("""COMPUTED_VALUE"""),"Phân bón Hữu cơ ORGANIC ĐGP 01 ")</f>
        <v>Phân bón Hữu cơ ORGANIC ĐGP 01 </v>
      </c>
      <c r="P742" s="2" t="str">
        <f>IFERROR(__xludf.DUMMYFUNCTION("""COMPUTED_VALUE"""),"Phân bón Hữu Cơ Organic ĐGP 01")</f>
        <v>Phân bón Hữu Cơ Organic ĐGP 01</v>
      </c>
      <c r="Q742" s="30" t="str">
        <f>IFERROR(__xludf.DUMMYFUNCTION("""COMPUTED_VALUE"""),"KHỚP")</f>
        <v>KHỚP</v>
      </c>
      <c r="R742" s="2"/>
      <c r="S742" s="2"/>
      <c r="T742" s="2"/>
      <c r="U742" s="2"/>
      <c r="V742" s="2"/>
      <c r="W742" s="2"/>
      <c r="X742" s="2"/>
      <c r="Y742" s="2"/>
    </row>
    <row r="743">
      <c r="A743" s="30">
        <f>IFERROR(__xludf.DUMMYFUNCTION("""COMPUTED_VALUE"""),740.0)</f>
        <v>740</v>
      </c>
      <c r="B743" s="39">
        <f>IFERROR(__xludf.DUMMYFUNCTION("""COMPUTED_VALUE"""),46116.0)</f>
        <v>46116</v>
      </c>
      <c r="C743" s="30">
        <f>IFERROR(__xludf.DUMMYFUNCTION("""COMPUTED_VALUE"""),15.0)</f>
        <v>15</v>
      </c>
      <c r="D743" s="30" t="str">
        <f>IFERROR(__xludf.DUMMYFUNCTION("""COMPUTED_VALUE"""),"CT CŨ")</f>
        <v>CT CŨ</v>
      </c>
      <c r="E743" s="46">
        <f>IFERROR(__xludf.DUMMYFUNCTION("""COMPUTED_VALUE"""),46119.0)</f>
        <v>46119</v>
      </c>
      <c r="F743" s="2" t="str">
        <f>IFERROR(__xludf.DUMMYFUNCTION("""COMPUTED_VALUE"""),"ITP07042603")</f>
        <v>ITP07042603</v>
      </c>
      <c r="G743" s="2" t="str">
        <f>IFERROR(__xludf.DUMMYFUNCTION("""COMPUTED_VALUE"""),"HH4375")</f>
        <v>HH4375</v>
      </c>
      <c r="H743" s="2" t="str">
        <f>IFERROR(__xludf.DUMMYFUNCTION("""COMPUTED_VALUE"""),"BAMBOO - VI - 4375 - BAMBOO CANXI BO MASTER (Nước trắng sữa) - 1L - 20")</f>
        <v>BAMBOO - VI - 4375 - BAMBOO CANXI BO MASTER (Nước trắng sữa) - 1L - 20</v>
      </c>
      <c r="I743" s="2" t="str">
        <f>IFERROR(__xludf.DUMMYFUNCTION("""COMPUTED_VALUE"""),"Vi lượng AGAMA-CANXI BO")</f>
        <v>Vi lượng AGAMA-CANXI BO</v>
      </c>
      <c r="J743" s="2" t="str">
        <f>IFERROR(__xludf.DUMMYFUNCTION("""COMPUTED_VALUE"""),"Đóng theo đơn gần nhất")</f>
        <v>Đóng theo đơn gần nhất</v>
      </c>
      <c r="K743" s="39">
        <f>IFERROR(__xludf.DUMMYFUNCTION("""COMPUTED_VALUE"""),46127.0)</f>
        <v>46127</v>
      </c>
      <c r="L743" s="2"/>
      <c r="M743" s="2" t="str">
        <f>IFERROR(__xludf.DUMMYFUNCTION("""COMPUTED_VALUE"""),"CANXI BO MASTER")</f>
        <v>CANXI BO MASTER</v>
      </c>
      <c r="N743" s="2" t="str">
        <f>IFERROR(__xludf.DUMMYFUNCTION("""COMPUTED_VALUE"""),"10CR0015V2")</f>
        <v>10CR0015V2</v>
      </c>
      <c r="O743" s="2" t="str">
        <f>IFERROR(__xludf.DUMMYFUNCTION("""COMPUTED_VALUE"""),"Phân bón Vi lượng AGAMA-CANXI BO")</f>
        <v>Phân bón Vi lượng AGAMA-CANXI BO</v>
      </c>
      <c r="P743" s="2" t="str">
        <f>IFERROR(__xludf.DUMMYFUNCTION("""COMPUTED_VALUE"""),"Phân bón Vi lượng AGAMA-CANXI BO")</f>
        <v>Phân bón Vi lượng AGAMA-CANXI BO</v>
      </c>
      <c r="Q743" s="30" t="str">
        <f>IFERROR(__xludf.DUMMYFUNCTION("""COMPUTED_VALUE"""),"KHỚP")</f>
        <v>KHỚP</v>
      </c>
      <c r="R743" s="2"/>
      <c r="S743" s="2"/>
      <c r="T743" s="2"/>
      <c r="U743" s="2"/>
      <c r="V743" s="2"/>
      <c r="W743" s="2"/>
      <c r="X743" s="2"/>
      <c r="Y743" s="2"/>
    </row>
    <row r="744">
      <c r="A744" s="30">
        <f>IFERROR(__xludf.DUMMYFUNCTION("""COMPUTED_VALUE"""),741.0)</f>
        <v>741</v>
      </c>
      <c r="B744" s="39">
        <f>IFERROR(__xludf.DUMMYFUNCTION("""COMPUTED_VALUE"""),45986.0)</f>
        <v>45986</v>
      </c>
      <c r="C744" s="30">
        <f>IFERROR(__xludf.DUMMYFUNCTION("""COMPUTED_VALUE"""),1.0)</f>
        <v>1</v>
      </c>
      <c r="D744" s="30" t="str">
        <f>IFERROR(__xludf.DUMMYFUNCTION("""COMPUTED_VALUE"""),"CT CŨ")</f>
        <v>CT CŨ</v>
      </c>
      <c r="E744" s="46">
        <f>IFERROR(__xludf.DUMMYFUNCTION("""COMPUTED_VALUE"""),46120.0)</f>
        <v>46120</v>
      </c>
      <c r="F744" s="2" t="str">
        <f>IFERROR(__xludf.DUMMYFUNCTION("""COMPUTED_VALUE"""),"ATP08042601")</f>
        <v>ATP08042601</v>
      </c>
      <c r="G744" s="2" t="str">
        <f>IFERROR(__xludf.DUMMYFUNCTION("""COMPUTED_VALUE"""),"HH4910")</f>
        <v>HH4910</v>
      </c>
      <c r="H744" s="2" t="str">
        <f>IFERROR(__xludf.DUMMYFUNCTION("""COMPUTED_VALUE"""),"GC - V - 4910 - CTY AGRITECH - NUÔI TRÁI - LỚN TRÁI (Bột xanh lá) - 10kg - 1")</f>
        <v>GC - V - 4910 - CTY AGRITECH - NUÔI TRÁI - LỚN TRÁI (Bột xanh lá) - 10kg - 1</v>
      </c>
      <c r="I744" s="2" t="str">
        <f>IFERROR(__xludf.DUMMYFUNCTION("""COMPUTED_VALUE"""),"Hỗn hợp NPK GNC 102")</f>
        <v>Hỗn hợp NPK GNC 102</v>
      </c>
      <c r="J744" s="2" t="str">
        <f>IFERROR(__xludf.DUMMYFUNCTION("""COMPUTED_VALUE"""),"A02011125")</f>
        <v>A02011125</v>
      </c>
      <c r="K744" s="39">
        <f>IFERROR(__xludf.DUMMYFUNCTION("""COMPUTED_VALUE"""),46130.0)</f>
        <v>46130</v>
      </c>
      <c r="L744" s="2" t="str">
        <f>IFERROR(__xludf.DUMMYFUNCTION("""COMPUTED_VALUE"""),"A02011125")</f>
        <v>A02011125</v>
      </c>
      <c r="M744" s="2" t="str">
        <f>IFERROR(__xludf.DUMMYFUNCTION("""COMPUTED_VALUE"""),"NUÔI TRÁI SẦU RIÊNG ( LÊN CƠM )")</f>
        <v>NUÔI TRÁI SẦU RIÊNG ( LÊN CƠM )</v>
      </c>
      <c r="N744" s="2" t="str">
        <f>IFERROR(__xludf.DUMMYFUNCTION("""COMPUTED_VALUE"""),"11TT0019")</f>
        <v>11TT0019</v>
      </c>
      <c r="O744" s="2" t="str">
        <f>IFERROR(__xludf.DUMMYFUNCTION("""COMPUTED_VALUE"""),"Phân bón hỗn hợp NPK GNC 102")</f>
        <v>Phân bón hỗn hợp NPK GNC 102</v>
      </c>
      <c r="P744" s="2" t="str">
        <f>IFERROR(__xludf.DUMMYFUNCTION("""COMPUTED_VALUE"""),"Phân bón Hỗn hợp NPK GNC 102")</f>
        <v>Phân bón Hỗn hợp NPK GNC 102</v>
      </c>
      <c r="Q744" s="30" t="str">
        <f>IFERROR(__xludf.DUMMYFUNCTION("""COMPUTED_VALUE"""),"KHỚP")</f>
        <v>KHỚP</v>
      </c>
      <c r="R744" s="2"/>
      <c r="S744" s="2"/>
      <c r="T744" s="2"/>
      <c r="U744" s="2"/>
      <c r="V744" s="2"/>
      <c r="W744" s="2"/>
      <c r="X744" s="2"/>
      <c r="Y744" s="2"/>
    </row>
    <row r="745">
      <c r="A745" s="30">
        <f>IFERROR(__xludf.DUMMYFUNCTION("""COMPUTED_VALUE"""),742.0)</f>
        <v>742</v>
      </c>
      <c r="B745" s="39">
        <f>IFERROR(__xludf.DUMMYFUNCTION("""COMPUTED_VALUE"""),45896.0)</f>
        <v>45896</v>
      </c>
      <c r="C745" s="30">
        <f>IFERROR(__xludf.DUMMYFUNCTION("""COMPUTED_VALUE"""),2.0)</f>
        <v>2</v>
      </c>
      <c r="D745" s="30" t="str">
        <f>IFERROR(__xludf.DUMMYFUNCTION("""COMPUTED_VALUE"""),"CT CŨ")</f>
        <v>CT CŨ</v>
      </c>
      <c r="E745" s="46">
        <f>IFERROR(__xludf.DUMMYFUNCTION("""COMPUTED_VALUE"""),46120.0)</f>
        <v>46120</v>
      </c>
      <c r="F745" s="2" t="str">
        <f>IFERROR(__xludf.DUMMYFUNCTION("""COMPUTED_VALUE"""),"ATP08042602")</f>
        <v>ATP08042602</v>
      </c>
      <c r="G745" s="2" t="str">
        <f>IFERROR(__xludf.DUMMYFUNCTION("""COMPUTED_VALUE"""),"HH4800")</f>
        <v>HH4800</v>
      </c>
      <c r="H745" s="2" t="str">
        <f>IFERROR(__xludf.DUMMYFUNCTION("""COMPUTED_VALUE"""),"GC - V - 4800 - CTY DONA VINA - CANXIBO MAXI (Nước trắng sữa) - 500ml - 40")</f>
        <v>GC - V - 4800 - CTY DONA VINA - CANXIBO MAXI (Nước trắng sữa) - 500ml - 40</v>
      </c>
      <c r="I745" s="2" t="str">
        <f>IFERROR(__xludf.DUMMYFUNCTION("""COMPUTED_VALUE"""),"Vi lượng AGAMA-CANXI BO")</f>
        <v>Vi lượng AGAMA-CANXI BO</v>
      </c>
      <c r="J745" s="2" t="str">
        <f>IFERROR(__xludf.DUMMYFUNCTION("""COMPUTED_VALUE"""),"A02160725")</f>
        <v>A02160725</v>
      </c>
      <c r="K745" s="39">
        <f>IFERROR(__xludf.DUMMYFUNCTION("""COMPUTED_VALUE"""),46130.0)</f>
        <v>46130</v>
      </c>
      <c r="L745" s="2" t="str">
        <f>IFERROR(__xludf.DUMMYFUNCTION("""COMPUTED_VALUE"""),"A02160725")</f>
        <v>A02160725</v>
      </c>
      <c r="M745" s="2" t="str">
        <f>IFERROR(__xludf.DUMMYFUNCTION("""COMPUTED_VALUE"""),"AGAMA-CANXI BO
(KIM NGỌC)")</f>
        <v>AGAMA-CANXI BO
(KIM NGỌC)</v>
      </c>
      <c r="N745" s="2" t="str">
        <f>IFERROR(__xludf.DUMMYFUNCTION("""COMPUTED_VALUE"""),"10CR0021")</f>
        <v>10CR0021</v>
      </c>
      <c r="O745" s="2" t="str">
        <f>IFERROR(__xludf.DUMMYFUNCTION("""COMPUTED_VALUE"""),"Phân bón Vi lượng AGAMA-CANXI BO")</f>
        <v>Phân bón Vi lượng AGAMA-CANXI BO</v>
      </c>
      <c r="P745" s="2" t="str">
        <f>IFERROR(__xludf.DUMMYFUNCTION("""COMPUTED_VALUE"""),"Phân bón Vi lượng AGAMA-CANXI BO")</f>
        <v>Phân bón Vi lượng AGAMA-CANXI BO</v>
      </c>
      <c r="Q745" s="30" t="str">
        <f>IFERROR(__xludf.DUMMYFUNCTION("""COMPUTED_VALUE"""),"KHỚP")</f>
        <v>KHỚP</v>
      </c>
      <c r="R745" s="2"/>
      <c r="S745" s="2"/>
      <c r="T745" s="2"/>
      <c r="U745" s="2"/>
      <c r="V745" s="2"/>
      <c r="W745" s="2"/>
      <c r="X745" s="2"/>
      <c r="Y745" s="2"/>
    </row>
    <row r="746">
      <c r="A746" s="30">
        <f>IFERROR(__xludf.DUMMYFUNCTION("""COMPUTED_VALUE"""),743.0)</f>
        <v>743</v>
      </c>
      <c r="B746" s="39">
        <f>IFERROR(__xludf.DUMMYFUNCTION("""COMPUTED_VALUE"""),46049.0)</f>
        <v>46049</v>
      </c>
      <c r="C746" s="30">
        <f>IFERROR(__xludf.DUMMYFUNCTION("""COMPUTED_VALUE"""),4.0)</f>
        <v>4</v>
      </c>
      <c r="D746" s="30" t="str">
        <f>IFERROR(__xludf.DUMMYFUNCTION("""COMPUTED_VALUE"""),"CT CŨ")</f>
        <v>CT CŨ</v>
      </c>
      <c r="E746" s="46">
        <f>IFERROR(__xludf.DUMMYFUNCTION("""COMPUTED_VALUE"""),46121.0)</f>
        <v>46121</v>
      </c>
      <c r="F746" s="2" t="str">
        <f>IFERROR(__xludf.DUMMYFUNCTION("""COMPUTED_VALUE"""),"ATP09042601")</f>
        <v>ATP09042601</v>
      </c>
      <c r="G746" s="2" t="str">
        <f>IFERROR(__xludf.DUMMYFUNCTION("""COMPUTED_VALUE"""),"HH4470")</f>
        <v>HH4470</v>
      </c>
      <c r="H746" s="2" t="str">
        <f>IFERROR(__xludf.DUMMYFUNCTION("""COMPUTED_VALUE"""),"GC - IV - 4470 - CTY R3 - R3 TANK  (Nước nâu vàng) - 300ml - 40")</f>
        <v>GC - IV - 4470 - CTY R3 - R3 TANK  (Nước nâu vàng) - 300ml - 40</v>
      </c>
      <c r="I746" s="2" t="str">
        <f>IFERROR(__xludf.DUMMYFUNCTION("""COMPUTED_VALUE"""),"vi lượng G.A 05")</f>
        <v>vi lượng G.A 05</v>
      </c>
      <c r="J746" s="2" t="str">
        <f>IFERROR(__xludf.DUMMYFUNCTION("""COMPUTED_VALUE"""),"A02200825 - 01")</f>
        <v>A02200825 - 01</v>
      </c>
      <c r="K746" s="39">
        <f>IFERROR(__xludf.DUMMYFUNCTION("""COMPUTED_VALUE"""),46134.0)</f>
        <v>46134</v>
      </c>
      <c r="L746" s="2" t="str">
        <f>IFERROR(__xludf.DUMMYFUNCTION("""COMPUTED_VALUE"""),"A02200825 - 01")</f>
        <v>A02200825 - 01</v>
      </c>
      <c r="M746" s="2" t="str">
        <f>IFERROR(__xludf.DUMMYFUNCTION("""COMPUTED_VALUE"""),"CỨNG CÂY 02 
(NÂU VÀNG)")</f>
        <v>CỨNG CÂY 02 
(NÂU VÀNG)</v>
      </c>
      <c r="N746" s="2" t="str">
        <f>IFERROR(__xludf.DUMMYFUNCTION("""COMPUTED_VALUE"""),"02CC0019")</f>
        <v>02CC0019</v>
      </c>
      <c r="O746" s="2" t="str">
        <f>IFERROR(__xludf.DUMMYFUNCTION("""COMPUTED_VALUE"""),"Phân bón vi lượng G.A 05")</f>
        <v>Phân bón vi lượng G.A 05</v>
      </c>
      <c r="P746" s="2" t="str">
        <f>IFERROR(__xludf.DUMMYFUNCTION("""COMPUTED_VALUE"""),"Phân bón vi lượng G.A 05")</f>
        <v>Phân bón vi lượng G.A 05</v>
      </c>
      <c r="Q746" s="30" t="str">
        <f>IFERROR(__xludf.DUMMYFUNCTION("""COMPUTED_VALUE"""),"KHỚP")</f>
        <v>KHỚP</v>
      </c>
      <c r="R746" s="2"/>
      <c r="S746" s="2"/>
      <c r="T746" s="2"/>
      <c r="U746" s="2"/>
      <c r="V746" s="2"/>
      <c r="W746" s="2"/>
      <c r="X746" s="2"/>
      <c r="Y746" s="2"/>
    </row>
    <row r="747">
      <c r="A747" s="30">
        <f>IFERROR(__xludf.DUMMYFUNCTION("""COMPUTED_VALUE"""),744.0)</f>
        <v>744</v>
      </c>
      <c r="B747" s="39">
        <f>IFERROR(__xludf.DUMMYFUNCTION("""COMPUTED_VALUE"""),45938.0)</f>
        <v>45938</v>
      </c>
      <c r="C747" s="30">
        <f>IFERROR(__xludf.DUMMYFUNCTION("""COMPUTED_VALUE"""),2.0)</f>
        <v>2</v>
      </c>
      <c r="D747" s="30" t="str">
        <f>IFERROR(__xludf.DUMMYFUNCTION("""COMPUTED_VALUE"""),"CT CŨ")</f>
        <v>CT CŨ</v>
      </c>
      <c r="E747" s="46">
        <f>IFERROR(__xludf.DUMMYFUNCTION("""COMPUTED_VALUE"""),46121.0)</f>
        <v>46121</v>
      </c>
      <c r="F747" s="2" t="str">
        <f>IFERROR(__xludf.DUMMYFUNCTION("""COMPUTED_VALUE"""),"ATP09042602")</f>
        <v>ATP09042602</v>
      </c>
      <c r="G747" s="2" t="str">
        <f>IFERROR(__xludf.DUMMYFUNCTION("""COMPUTED_VALUE"""),"HH4473")</f>
        <v>HH4473</v>
      </c>
      <c r="H747" s="2" t="str">
        <f>IFERROR(__xludf.DUMMYFUNCTION("""COMPUTED_VALUE"""),"GC - IV - 4473 - CTY R3 - R3 ROOT+  (Nước nâu đen) - 300ml - 40")</f>
        <v>GC - IV - 4473 - CTY R3 - R3 ROOT+  (Nước nâu đen) - 300ml - 40</v>
      </c>
      <c r="I747" s="2" t="str">
        <f>IFERROR(__xludf.DUMMYFUNCTION("""COMPUTED_VALUE"""),"Hỗn Hợp NP AGAMA-AP")</f>
        <v>Hỗn Hợp NP AGAMA-AP</v>
      </c>
      <c r="J747" s="2" t="str">
        <f>IFERROR(__xludf.DUMMYFUNCTION("""COMPUTED_VALUE"""),"A04250724")</f>
        <v>A04250724</v>
      </c>
      <c r="K747" s="39">
        <f>IFERROR(__xludf.DUMMYFUNCTION("""COMPUTED_VALUE"""),46134.0)</f>
        <v>46134</v>
      </c>
      <c r="L747" s="2" t="str">
        <f>IFERROR(__xludf.DUMMYFUNCTION("""COMPUTED_VALUE"""),"A04250724")</f>
        <v>A04250724</v>
      </c>
      <c r="M747" s="2" t="str">
        <f>IFERROR(__xludf.DUMMYFUNCTION("""COMPUTED_VALUE"""),"NEW PLANT")</f>
        <v>NEW PLANT</v>
      </c>
      <c r="N747" s="2" t="str">
        <f>IFERROR(__xludf.DUMMYFUNCTION("""COMPUTED_VALUE"""),"01RR0030V1")</f>
        <v>01RR0030V1</v>
      </c>
      <c r="O747" s="2" t="str">
        <f>IFERROR(__xludf.DUMMYFUNCTION("""COMPUTED_VALUE"""),"Phân bón Hỗn hợp NP AGAMA-AP")</f>
        <v>Phân bón Hỗn hợp NP AGAMA-AP</v>
      </c>
      <c r="P747" s="2" t="str">
        <f>IFERROR(__xludf.DUMMYFUNCTION("""COMPUTED_VALUE"""),"Phân bón Hỗn Hợp NP AGAMA-AP")</f>
        <v>Phân bón Hỗn Hợp NP AGAMA-AP</v>
      </c>
      <c r="Q747" s="30" t="str">
        <f>IFERROR(__xludf.DUMMYFUNCTION("""COMPUTED_VALUE"""),"KHỚP")</f>
        <v>KHỚP</v>
      </c>
      <c r="R747" s="2"/>
      <c r="S747" s="2"/>
      <c r="T747" s="2"/>
      <c r="U747" s="2"/>
      <c r="V747" s="2"/>
      <c r="W747" s="2"/>
      <c r="X747" s="2"/>
      <c r="Y747" s="2"/>
    </row>
    <row r="748">
      <c r="A748" s="30">
        <f>IFERROR(__xludf.DUMMYFUNCTION("""COMPUTED_VALUE"""),745.0)</f>
        <v>745</v>
      </c>
      <c r="B748" s="39">
        <f>IFERROR(__xludf.DUMMYFUNCTION("""COMPUTED_VALUE"""),46044.0)</f>
        <v>46044</v>
      </c>
      <c r="C748" s="30">
        <f>IFERROR(__xludf.DUMMYFUNCTION("""COMPUTED_VALUE"""),3.0)</f>
        <v>3</v>
      </c>
      <c r="D748" s="30" t="str">
        <f>IFERROR(__xludf.DUMMYFUNCTION("""COMPUTED_VALUE"""),"CT CŨ")</f>
        <v>CT CŨ</v>
      </c>
      <c r="E748" s="46">
        <f>IFERROR(__xludf.DUMMYFUNCTION("""COMPUTED_VALUE"""),46121.0)</f>
        <v>46121</v>
      </c>
      <c r="F748" s="2" t="str">
        <f>IFERROR(__xludf.DUMMYFUNCTION("""COMPUTED_VALUE"""),"ATP09042603")</f>
        <v>ATP09042603</v>
      </c>
      <c r="G748" s="2" t="str">
        <f>IFERROR(__xludf.DUMMYFUNCTION("""COMPUTED_VALUE"""),"HH4471")</f>
        <v>HH4471</v>
      </c>
      <c r="H748" s="2" t="str">
        <f>IFERROR(__xludf.DUMMYFUNCTION("""COMPUTED_VALUE"""),"GC - V - 4471 - CTY R3 - R3 BLOOM  (Nước vàng nhạt) - 300ml - 40")</f>
        <v>GC - V - 4471 - CTY R3 - R3 BLOOM  (Nước vàng nhạt) - 300ml - 40</v>
      </c>
      <c r="I748" s="2" t="str">
        <f>IFERROR(__xludf.DUMMYFUNCTION("""COMPUTED_VALUE"""),"lá NPK-vi lượng GNC19")</f>
        <v>lá NPK-vi lượng GNC19</v>
      </c>
      <c r="J748" s="2" t="str">
        <f>IFERROR(__xludf.DUMMYFUNCTION("""COMPUTED_VALUE"""),"A03260525")</f>
        <v>A03260525</v>
      </c>
      <c r="K748" s="39">
        <f>IFERROR(__xludf.DUMMYFUNCTION("""COMPUTED_VALUE"""),46134.0)</f>
        <v>46134</v>
      </c>
      <c r="L748" s="2" t="str">
        <f>IFERROR(__xludf.DUMMYFUNCTION("""COMPUTED_VALUE"""),"A03260525")</f>
        <v>A03260525</v>
      </c>
      <c r="M748" s="2" t="str">
        <f>IFERROR(__xludf.DUMMYFUNCTION("""COMPUTED_VALUE"""),"ĐÒNG TO BÔNG KẸO (CẢI TIẾN)")</f>
        <v>ĐÒNG TO BÔNG KẸO (CẢI TIẾN)</v>
      </c>
      <c r="N748" s="2" t="str">
        <f>IFERROR(__xludf.DUMMYFUNCTION("""COMPUTED_VALUE"""),"03DD0017V3")</f>
        <v>03DD0017V3</v>
      </c>
      <c r="O748" s="2" t="str">
        <f>IFERROR(__xludf.DUMMYFUNCTION("""COMPUTED_VALUE"""),"Phân bón lá NPK-Vi lượng GNC 19")</f>
        <v>Phân bón lá NPK-Vi lượng GNC 19</v>
      </c>
      <c r="P748" s="2" t="str">
        <f>IFERROR(__xludf.DUMMYFUNCTION("""COMPUTED_VALUE"""),"Phân bón lá NPK-vi lượng GNC19")</f>
        <v>Phân bón lá NPK-vi lượng GNC19</v>
      </c>
      <c r="Q748" s="30" t="str">
        <f>IFERROR(__xludf.DUMMYFUNCTION("""COMPUTED_VALUE"""),"KHỚP")</f>
        <v>KHỚP</v>
      </c>
      <c r="R748" s="2"/>
      <c r="S748" s="2"/>
      <c r="T748" s="2"/>
      <c r="U748" s="2"/>
      <c r="V748" s="2"/>
      <c r="W748" s="2"/>
      <c r="X748" s="2"/>
      <c r="Y748" s="2"/>
    </row>
    <row r="749">
      <c r="A749" s="30">
        <f>IFERROR(__xludf.DUMMYFUNCTION("""COMPUTED_VALUE"""),746.0)</f>
        <v>746</v>
      </c>
      <c r="B749" s="39">
        <f>IFERROR(__xludf.DUMMYFUNCTION("""COMPUTED_VALUE"""),45983.0)</f>
        <v>45983</v>
      </c>
      <c r="C749" s="30">
        <f>IFERROR(__xludf.DUMMYFUNCTION("""COMPUTED_VALUE"""),6.0)</f>
        <v>6</v>
      </c>
      <c r="D749" s="30" t="str">
        <f>IFERROR(__xludf.DUMMYFUNCTION("""COMPUTED_VALUE"""),"CT CŨ")</f>
        <v>CT CŨ</v>
      </c>
      <c r="E749" s="46">
        <f>IFERROR(__xludf.DUMMYFUNCTION("""COMPUTED_VALUE"""),46121.0)</f>
        <v>46121</v>
      </c>
      <c r="F749" s="2" t="str">
        <f>IFERROR(__xludf.DUMMYFUNCTION("""COMPUTED_VALUE"""),"ATP09042604")</f>
        <v>ATP09042604</v>
      </c>
      <c r="G749" s="2" t="str">
        <f>IFERROR(__xludf.DUMMYFUNCTION("""COMPUTED_VALUE"""),"HH4472")</f>
        <v>HH4472</v>
      </c>
      <c r="H749" s="2" t="str">
        <f>IFERROR(__xludf.DUMMYFUNCTION("""COMPUTED_VALUE"""),"GC - IV - 4472 - CTY R3 - R3 VOGAO (Nước đỏ cam) - 300ml - 40")</f>
        <v>GC - IV - 4472 - CTY R3 - R3 VOGAO (Nước đỏ cam) - 300ml - 40</v>
      </c>
      <c r="I749" s="2" t="str">
        <f>IFERROR(__xludf.DUMMYFUNCTION("""COMPUTED_VALUE"""),"Lá PK Vi lượng SV 5-18")</f>
        <v>Lá PK Vi lượng SV 5-18</v>
      </c>
      <c r="J749" s="2" t="str">
        <f>IFERROR(__xludf.DUMMYFUNCTION("""COMPUTED_VALUE"""),"A03091025")</f>
        <v>A03091025</v>
      </c>
      <c r="K749" s="39">
        <f>IFERROR(__xludf.DUMMYFUNCTION("""COMPUTED_VALUE"""),46134.0)</f>
        <v>46134</v>
      </c>
      <c r="L749" s="2" t="str">
        <f>IFERROR(__xludf.DUMMYFUNCTION("""COMPUTED_VALUE"""),"A03091025")</f>
        <v>A03091025</v>
      </c>
      <c r="M749" s="2" t="str">
        <f>IFERROR(__xludf.DUMMYFUNCTION("""COMPUTED_VALUE"""),"VÔ GẠO 0 - 5 -18 (02)")</f>
        <v>VÔ GẠO 0 - 5 -18 (02)</v>
      </c>
      <c r="N749" s="2" t="str">
        <f>IFERROR(__xludf.DUMMYFUNCTION("""COMPUTED_VALUE"""),"04VG0044")</f>
        <v>04VG0044</v>
      </c>
      <c r="O749" s="2" t="str">
        <f>IFERROR(__xludf.DUMMYFUNCTION("""COMPUTED_VALUE"""),"Phân bón lá PK-Vi lượng SV 5-18")</f>
        <v>Phân bón lá PK-Vi lượng SV 5-18</v>
      </c>
      <c r="P749" s="2" t="str">
        <f>IFERROR(__xludf.DUMMYFUNCTION("""COMPUTED_VALUE"""),"Phân bón Lá PK Vi lượng SV 5-18")</f>
        <v>Phân bón Lá PK Vi lượng SV 5-18</v>
      </c>
      <c r="Q749" s="30" t="str">
        <f>IFERROR(__xludf.DUMMYFUNCTION("""COMPUTED_VALUE"""),"KHỚP")</f>
        <v>KHỚP</v>
      </c>
      <c r="R749" s="2"/>
      <c r="S749" s="2"/>
      <c r="T749" s="2"/>
      <c r="U749" s="2"/>
      <c r="V749" s="2"/>
      <c r="W749" s="2"/>
      <c r="X749" s="2"/>
      <c r="Y749" s="2"/>
    </row>
    <row r="750">
      <c r="A750" s="30">
        <f>IFERROR(__xludf.DUMMYFUNCTION("""COMPUTED_VALUE"""),747.0)</f>
        <v>747</v>
      </c>
      <c r="B750" s="39">
        <f>IFERROR(__xludf.DUMMYFUNCTION("""COMPUTED_VALUE"""),46001.0)</f>
        <v>46001</v>
      </c>
      <c r="C750" s="30">
        <f>IFERROR(__xludf.DUMMYFUNCTION("""COMPUTED_VALUE"""),8.0)</f>
        <v>8</v>
      </c>
      <c r="D750" s="30" t="str">
        <f>IFERROR(__xludf.DUMMYFUNCTION("""COMPUTED_VALUE"""),"CT CŨ")</f>
        <v>CT CŨ</v>
      </c>
      <c r="E750" s="46">
        <f>IFERROR(__xludf.DUMMYFUNCTION("""COMPUTED_VALUE"""),46121.0)</f>
        <v>46121</v>
      </c>
      <c r="F750" s="2" t="str">
        <f>IFERROR(__xludf.DUMMYFUNCTION("""COMPUTED_VALUE"""),"ITP09042604")</f>
        <v>ITP09042604</v>
      </c>
      <c r="G750" s="2" t="str">
        <f>IFERROR(__xludf.DUMMYFUNCTION("""COMPUTED_VALUE"""),"HH4455")</f>
        <v>HH4455</v>
      </c>
      <c r="H750" s="2" t="str">
        <f>IFERROR(__xludf.DUMMYFUNCTION("""COMPUTED_VALUE"""),"IDA Global - I - 4455 - CỨNG CÂY 304 (Nước nâu đen) - 500ml - 40")</f>
        <v>IDA Global - I - 4455 - CỨNG CÂY 304 (Nước nâu đen) - 500ml - 40</v>
      </c>
      <c r="I750" s="2" t="str">
        <f>IFERROR(__xludf.DUMMYFUNCTION("""COMPUTED_VALUE"""),"Hữu cơ SH Agro Organic Fertilizer 20")</f>
        <v>Hữu cơ SH Agro Organic Fertilizer 20</v>
      </c>
      <c r="J750" s="2" t="str">
        <f>IFERROR(__xludf.DUMMYFUNCTION("""COMPUTED_VALUE"""),"Đóng theo đơn gần nhất")</f>
        <v>Đóng theo đơn gần nhất</v>
      </c>
      <c r="K750" s="39">
        <f>IFERROR(__xludf.DUMMYFUNCTION("""COMPUTED_VALUE"""),46134.0)</f>
        <v>46134</v>
      </c>
      <c r="L750" s="2" t="str">
        <f>IFERROR(__xludf.DUMMYFUNCTION("""COMPUTED_VALUE"""),"L01261124")</f>
        <v>L01261124</v>
      </c>
      <c r="M750" s="2" t="str">
        <f>IFERROR(__xludf.DUMMYFUNCTION("""COMPUTED_VALUE"""),"CỨNG CÂY 304")</f>
        <v>CỨNG CÂY 304</v>
      </c>
      <c r="N750" s="2" t="str">
        <f>IFERROR(__xludf.DUMMYFUNCTION("""COMPUTED_VALUE"""),"02CC0002V3")</f>
        <v>02CC0002V3</v>
      </c>
      <c r="O750" s="2" t="str">
        <f>IFERROR(__xludf.DUMMYFUNCTION("""COMPUTED_VALUE"""),"Phân bón Hữu cơ SH Agro Organic Fertilizer 20")</f>
        <v>Phân bón Hữu cơ SH Agro Organic Fertilizer 20</v>
      </c>
      <c r="P750" s="2" t="str">
        <f>IFERROR(__xludf.DUMMYFUNCTION("""COMPUTED_VALUE"""),"Phân bón Hữu cơ SH Agro Organic Fertilizer 20")</f>
        <v>Phân bón Hữu cơ SH Agro Organic Fertilizer 20</v>
      </c>
      <c r="Q750" s="30" t="str">
        <f>IFERROR(__xludf.DUMMYFUNCTION("""COMPUTED_VALUE"""),"KHỚP")</f>
        <v>KHỚP</v>
      </c>
      <c r="R750" s="2"/>
      <c r="S750" s="2"/>
      <c r="T750" s="2"/>
      <c r="U750" s="2"/>
      <c r="V750" s="2"/>
      <c r="W750" s="2"/>
      <c r="X750" s="2"/>
      <c r="Y750" s="2"/>
    </row>
    <row r="751">
      <c r="A751" s="30">
        <f>IFERROR(__xludf.DUMMYFUNCTION("""COMPUTED_VALUE"""),748.0)</f>
        <v>748</v>
      </c>
      <c r="B751" s="39">
        <f>IFERROR(__xludf.DUMMYFUNCTION("""COMPUTED_VALUE"""),46043.0)</f>
        <v>46043</v>
      </c>
      <c r="C751" s="30">
        <f>IFERROR(__xludf.DUMMYFUNCTION("""COMPUTED_VALUE"""),6.0)</f>
        <v>6</v>
      </c>
      <c r="D751" s="30" t="str">
        <f>IFERROR(__xludf.DUMMYFUNCTION("""COMPUTED_VALUE"""),"CT CŨ")</f>
        <v>CT CŨ</v>
      </c>
      <c r="E751" s="46">
        <f>IFERROR(__xludf.DUMMYFUNCTION("""COMPUTED_VALUE"""),46121.0)</f>
        <v>46121</v>
      </c>
      <c r="F751" s="2" t="str">
        <f>IFERROR(__xludf.DUMMYFUNCTION("""COMPUTED_VALUE"""),"STP09042601")</f>
        <v>STP09042601</v>
      </c>
      <c r="G751" s="2" t="str">
        <f>IFERROR(__xludf.DUMMYFUNCTION("""COMPUTED_VALUE"""),"HH4067")</f>
        <v>HH4067</v>
      </c>
      <c r="H751" s="2" t="str">
        <f>IFERROR(__xludf.DUMMYFUNCTION("""COMPUTED_VALUE"""),"GC - IX - 4067 - N2SBIO - N2 ANTI STRESS (Gel nâu đen) - 500ml - 40")</f>
        <v>GC - IX - 4067 - N2SBIO - N2 ANTI STRESS (Gel nâu đen) - 500ml - 40</v>
      </c>
      <c r="I751" s="2" t="str">
        <f>IFERROR(__xludf.DUMMYFUNCTION("""COMPUTED_VALUE"""),"Lá Vô Cơ Nhiều Thành Phần NBC-ALCROP")</f>
        <v>Lá Vô Cơ Nhiều Thành Phần NBC-ALCROP</v>
      </c>
      <c r="J751" s="2" t="str">
        <f>IFERROR(__xludf.DUMMYFUNCTION("""COMPUTED_VALUE"""),"N03220825")</f>
        <v>N03220825</v>
      </c>
      <c r="K751" s="39">
        <f>IFERROR(__xludf.DUMMYFUNCTION("""COMPUTED_VALUE"""),46132.0)</f>
        <v>46132</v>
      </c>
      <c r="L751" s="2" t="str">
        <f>IFERROR(__xludf.DUMMYFUNCTION("""COMPUTED_VALUE"""),"N03220825")</f>
        <v>N03220825</v>
      </c>
      <c r="M751" s="2" t="str">
        <f>IFERROR(__xludf.DUMMYFUNCTION("""COMPUTED_VALUE"""),"N2 ANTI STRESS")</f>
        <v>N2 ANTI STRESS</v>
      </c>
      <c r="N751" s="2" t="str">
        <f>IFERROR(__xludf.DUMMYFUNCTION("""COMPUTED_VALUE"""),"23GS0012V1")</f>
        <v>23GS0012V1</v>
      </c>
      <c r="O751" s="2" t="str">
        <f>IFERROR(__xludf.DUMMYFUNCTION("""COMPUTED_VALUE"""),"Phân bón lá NBC-Alcrop")</f>
        <v>Phân bón lá NBC-Alcrop</v>
      </c>
      <c r="P751" s="2" t="str">
        <f>IFERROR(__xludf.DUMMYFUNCTION("""COMPUTED_VALUE"""),"Phân bón Lá Vô Cơ Nhiều Thành Phần NBC-ALCROP")</f>
        <v>Phân bón Lá Vô Cơ Nhiều Thành Phần NBC-ALCROP</v>
      </c>
      <c r="Q751" s="30" t="str">
        <f>IFERROR(__xludf.DUMMYFUNCTION("""COMPUTED_VALUE"""),"KHỚP")</f>
        <v>KHỚP</v>
      </c>
      <c r="R751" s="2"/>
      <c r="S751" s="2"/>
      <c r="T751" s="2"/>
      <c r="U751" s="2"/>
      <c r="V751" s="2"/>
      <c r="W751" s="2"/>
      <c r="X751" s="2"/>
      <c r="Y751" s="2"/>
    </row>
    <row r="752">
      <c r="A752" s="30">
        <f>IFERROR(__xludf.DUMMYFUNCTION("""COMPUTED_VALUE"""),749.0)</f>
        <v>749</v>
      </c>
      <c r="B752" s="39">
        <f>IFERROR(__xludf.DUMMYFUNCTION("""COMPUTED_VALUE"""),46001.0)</f>
        <v>46001</v>
      </c>
      <c r="C752" s="30">
        <f>IFERROR(__xludf.DUMMYFUNCTION("""COMPUTED_VALUE"""),2.0)</f>
        <v>2</v>
      </c>
      <c r="D752" s="30" t="str">
        <f>IFERROR(__xludf.DUMMYFUNCTION("""COMPUTED_VALUE"""),"CT CŨ")</f>
        <v>CT CŨ</v>
      </c>
      <c r="E752" s="46">
        <f>IFERROR(__xludf.DUMMYFUNCTION("""COMPUTED_VALUE"""),46121.0)</f>
        <v>46121</v>
      </c>
      <c r="F752" s="2" t="str">
        <f>IFERROR(__xludf.DUMMYFUNCTION("""COMPUTED_VALUE"""),"ITP09042606")</f>
        <v>ITP09042606</v>
      </c>
      <c r="G752" s="2" t="str">
        <f>IFERROR(__xludf.DUMMYFUNCTION("""COMPUTED_VALUE"""),"HH3301")</f>
        <v>HH3301</v>
      </c>
      <c r="H752" s="2" t="str">
        <f>IFERROR(__xludf.DUMMYFUNCTION("""COMPUTED_VALUE"""),"IDA Global - I - 3301 - ĐL HOÀNG HOA - CỨNG CÂY GOLD (Nước nâu đen) - 500ml - 40")</f>
        <v>IDA Global - I - 3301 - ĐL HOÀNG HOA - CỨNG CÂY GOLD (Nước nâu đen) - 500ml - 40</v>
      </c>
      <c r="I752" s="2" t="str">
        <f>IFERROR(__xludf.DUMMYFUNCTION("""COMPUTED_VALUE"""),"Hữu cơ SH Agro Organic Fertilizer 20")</f>
        <v>Hữu cơ SH Agro Organic Fertilizer 20</v>
      </c>
      <c r="J752" s="2" t="str">
        <f>IFERROR(__xludf.DUMMYFUNCTION("""COMPUTED_VALUE"""),"Đóng theo đơn gần nhất")</f>
        <v>Đóng theo đơn gần nhất</v>
      </c>
      <c r="K752" s="39">
        <f>IFERROR(__xludf.DUMMYFUNCTION("""COMPUTED_VALUE"""),46129.0)</f>
        <v>46129</v>
      </c>
      <c r="L752" s="2" t="str">
        <f>IFERROR(__xludf.DUMMYFUNCTION("""COMPUTED_VALUE"""),"L01261124")</f>
        <v>L01261124</v>
      </c>
      <c r="M752" s="2" t="str">
        <f>IFERROR(__xludf.DUMMYFUNCTION("""COMPUTED_VALUE"""),"CỨNG CÂY 304")</f>
        <v>CỨNG CÂY 304</v>
      </c>
      <c r="N752" s="2" t="str">
        <f>IFERROR(__xludf.DUMMYFUNCTION("""COMPUTED_VALUE"""),"02CC0002V3")</f>
        <v>02CC0002V3</v>
      </c>
      <c r="O752" s="2" t="str">
        <f>IFERROR(__xludf.DUMMYFUNCTION("""COMPUTED_VALUE"""),"Phân bón Hữu cơ SH Agro Organic Fertilizer 20")</f>
        <v>Phân bón Hữu cơ SH Agro Organic Fertilizer 20</v>
      </c>
      <c r="P752" s="2" t="str">
        <f>IFERROR(__xludf.DUMMYFUNCTION("""COMPUTED_VALUE"""),"Phân bón Hữu cơ SH Agro Organic Fertilizer 20")</f>
        <v>Phân bón Hữu cơ SH Agro Organic Fertilizer 20</v>
      </c>
      <c r="Q752" s="30" t="str">
        <f>IFERROR(__xludf.DUMMYFUNCTION("""COMPUTED_VALUE"""),"KHỚP")</f>
        <v>KHỚP</v>
      </c>
      <c r="R752" s="2"/>
      <c r="S752" s="2"/>
      <c r="T752" s="2"/>
      <c r="U752" s="2"/>
      <c r="V752" s="2"/>
      <c r="W752" s="2"/>
      <c r="X752" s="2"/>
      <c r="Y752" s="2"/>
    </row>
    <row r="753">
      <c r="A753" s="30">
        <f>IFERROR(__xludf.DUMMYFUNCTION("""COMPUTED_VALUE"""),750.0)</f>
        <v>750</v>
      </c>
      <c r="B753" s="39">
        <f>IFERROR(__xludf.DUMMYFUNCTION("""COMPUTED_VALUE"""),45905.0)</f>
        <v>45905</v>
      </c>
      <c r="C753" s="30">
        <f>IFERROR(__xludf.DUMMYFUNCTION("""COMPUTED_VALUE"""),2.0)</f>
        <v>2</v>
      </c>
      <c r="D753" s="30" t="str">
        <f>IFERROR(__xludf.DUMMYFUNCTION("""COMPUTED_VALUE"""),"CT CŨ")</f>
        <v>CT CŨ</v>
      </c>
      <c r="E753" s="46">
        <f>IFERROR(__xludf.DUMMYFUNCTION("""COMPUTED_VALUE"""),46121.0)</f>
        <v>46121</v>
      </c>
      <c r="F753" s="2" t="str">
        <f>IFERROR(__xludf.DUMMYFUNCTION("""COMPUTED_VALUE"""),"ITP09042608")</f>
        <v>ITP09042608</v>
      </c>
      <c r="G753" s="2" t="str">
        <f>IFERROR(__xludf.DUMMYFUNCTION("""COMPUTED_VALUE"""),"HH4553")</f>
        <v>HH4553</v>
      </c>
      <c r="H753" s="2" t="str">
        <f>IFERROR(__xludf.DUMMYFUNCTION("""COMPUTED_VALUE"""),"IDA Global - I - 4553 - Lưu dẫn thấm sâu mới (Nước xanh dương) - 120ml - 50")</f>
        <v>IDA Global - I - 4553 - Lưu dẫn thấm sâu mới (Nước xanh dương) - 120ml - 50</v>
      </c>
      <c r="I753" s="2" t="str">
        <f>IFERROR(__xludf.DUMMYFUNCTION("""COMPUTED_VALUE"""),"Vi lượng Quantity New")</f>
        <v>Vi lượng Quantity New</v>
      </c>
      <c r="J753" s="2" t="str">
        <f>IFERROR(__xludf.DUMMYFUNCTION("""COMPUTED_VALUE"""),"Chung ruột 3910")</f>
        <v>Chung ruột 3910</v>
      </c>
      <c r="K753" s="39">
        <f>IFERROR(__xludf.DUMMYFUNCTION("""COMPUTED_VALUE"""),46129.0)</f>
        <v>46129</v>
      </c>
      <c r="L753" s="2"/>
      <c r="M753" s="2" t="str">
        <f>IFERROR(__xludf.DUMMYFUNCTION("""COMPUTED_VALUE"""),"LƯU DẪN THẤM SẤU ")</f>
        <v>LƯU DẪN THẤM SẤU </v>
      </c>
      <c r="N753" s="2" t="str">
        <f>IFERROR(__xludf.DUMMYFUNCTION("""COMPUTED_VALUE"""),"18TL0002V1")</f>
        <v>18TL0002V1</v>
      </c>
      <c r="O753" s="2" t="str">
        <f>IFERROR(__xludf.DUMMYFUNCTION("""COMPUTED_VALUE"""),"Phân bón Vi lượng Quantity New")</f>
        <v>Phân bón Vi lượng Quantity New</v>
      </c>
      <c r="P753" s="2" t="str">
        <f>IFERROR(__xludf.DUMMYFUNCTION("""COMPUTED_VALUE"""),"Phân bón Vi lượng Quantity New")</f>
        <v>Phân bón Vi lượng Quantity New</v>
      </c>
      <c r="Q753" s="30" t="str">
        <f>IFERROR(__xludf.DUMMYFUNCTION("""COMPUTED_VALUE"""),"KHỚP")</f>
        <v>KHỚP</v>
      </c>
      <c r="R753" s="2"/>
      <c r="S753" s="2"/>
      <c r="T753" s="2"/>
      <c r="U753" s="2"/>
      <c r="V753" s="2"/>
      <c r="W753" s="2"/>
      <c r="X753" s="2"/>
      <c r="Y753" s="2"/>
    </row>
    <row r="754">
      <c r="A754" s="30">
        <f>IFERROR(__xludf.DUMMYFUNCTION("""COMPUTED_VALUE"""),751.0)</f>
        <v>751</v>
      </c>
      <c r="B754" s="39">
        <f>IFERROR(__xludf.DUMMYFUNCTION("""COMPUTED_VALUE"""),45993.0)</f>
        <v>45993</v>
      </c>
      <c r="C754" s="30">
        <f>IFERROR(__xludf.DUMMYFUNCTION("""COMPUTED_VALUE"""),4.0)</f>
        <v>4</v>
      </c>
      <c r="D754" s="30" t="str">
        <f>IFERROR(__xludf.DUMMYFUNCTION("""COMPUTED_VALUE"""),"CT CŨ")</f>
        <v>CT CŨ</v>
      </c>
      <c r="E754" s="46">
        <f>IFERROR(__xludf.DUMMYFUNCTION("""COMPUTED_VALUE"""),46121.0)</f>
        <v>46121</v>
      </c>
      <c r="F754" s="2" t="str">
        <f>IFERROR(__xludf.DUMMYFUNCTION("""COMPUTED_VALUE"""),"ITP09042610")</f>
        <v>ITP09042610</v>
      </c>
      <c r="G754" s="2" t="str">
        <f>IFERROR(__xludf.DUMMYFUNCTION("""COMPUTED_VALUE"""),"HH4507")</f>
        <v>HH4507</v>
      </c>
      <c r="H754" s="2" t="str">
        <f>IFERROR(__xludf.DUMMYFUNCTION("""COMPUTED_VALUE"""),"IDA Global - I - 4507 - KG - ORGANIC X2 (Nước nâu đen) - 1L - 20")</f>
        <v>IDA Global - I - 4507 - KG - ORGANIC X2 (Nước nâu đen) - 1L - 20</v>
      </c>
      <c r="I754" s="2" t="str">
        <f>IFERROR(__xludf.DUMMYFUNCTION("""COMPUTED_VALUE"""),"Hữu cơ SH Agro Organic Fertilizer 20")</f>
        <v>Hữu cơ SH Agro Organic Fertilizer 20</v>
      </c>
      <c r="J754" s="2" t="str">
        <f>IFERROR(__xludf.DUMMYFUNCTION("""COMPUTED_VALUE"""),"Đóng theo đơn gần nhất")</f>
        <v>Đóng theo đơn gần nhất</v>
      </c>
      <c r="K754" s="39">
        <f>IFERROR(__xludf.DUMMYFUNCTION("""COMPUTED_VALUE"""),46132.0)</f>
        <v>46132</v>
      </c>
      <c r="L754" s="2"/>
      <c r="M754" s="2" t="str">
        <f>IFERROR(__xludf.DUMMYFUNCTION("""COMPUTED_VALUE"""),"ORGANIC X2")</f>
        <v>ORGANIC X2</v>
      </c>
      <c r="N754" s="2" t="str">
        <f>IFERROR(__xludf.DUMMYFUNCTION("""COMPUTED_VALUE"""),"01RR0044V3")</f>
        <v>01RR0044V3</v>
      </c>
      <c r="O754" s="2" t="str">
        <f>IFERROR(__xludf.DUMMYFUNCTION("""COMPUTED_VALUE"""),"Phân bón Hữu cơ SH Agro Organic Fertilizer 20")</f>
        <v>Phân bón Hữu cơ SH Agro Organic Fertilizer 20</v>
      </c>
      <c r="P754" s="2" t="str">
        <f>IFERROR(__xludf.DUMMYFUNCTION("""COMPUTED_VALUE"""),"Phân bón Hữu cơ SH Agro Organic Fertilizer 20")</f>
        <v>Phân bón Hữu cơ SH Agro Organic Fertilizer 20</v>
      </c>
      <c r="Q754" s="30" t="str">
        <f>IFERROR(__xludf.DUMMYFUNCTION("""COMPUTED_VALUE"""),"KHỚP")</f>
        <v>KHỚP</v>
      </c>
      <c r="R754" s="2"/>
      <c r="S754" s="2"/>
      <c r="T754" s="2"/>
      <c r="U754" s="2"/>
      <c r="V754" s="2"/>
      <c r="W754" s="2"/>
      <c r="X754" s="2"/>
      <c r="Y754" s="2"/>
    </row>
    <row r="755">
      <c r="A755" s="30">
        <f>IFERROR(__xludf.DUMMYFUNCTION("""COMPUTED_VALUE"""),752.0)</f>
        <v>752</v>
      </c>
      <c r="B755" s="39">
        <f>IFERROR(__xludf.DUMMYFUNCTION("""COMPUTED_VALUE"""),45908.0)</f>
        <v>45908</v>
      </c>
      <c r="C755" s="30">
        <f>IFERROR(__xludf.DUMMYFUNCTION("""COMPUTED_VALUE"""),2.0)</f>
        <v>2</v>
      </c>
      <c r="D755" s="30" t="str">
        <f>IFERROR(__xludf.DUMMYFUNCTION("""COMPUTED_VALUE"""),"CT CŨ")</f>
        <v>CT CŨ</v>
      </c>
      <c r="E755" s="46">
        <f>IFERROR(__xludf.DUMMYFUNCTION("""COMPUTED_VALUE"""),46122.0)</f>
        <v>46122</v>
      </c>
      <c r="F755" s="2" t="str">
        <f>IFERROR(__xludf.DUMMYFUNCTION("""COMPUTED_VALUE"""),"ITP10042602")</f>
        <v>ITP10042602</v>
      </c>
      <c r="G755" s="2" t="str">
        <f>IFERROR(__xludf.DUMMYFUNCTION("""COMPUTED_VALUE"""),"HH4617")</f>
        <v>HH4617</v>
      </c>
      <c r="H755" s="2" t="str">
        <f>IFERROR(__xludf.DUMMYFUNCTION("""COMPUTED_VALUE"""),"IDA Global - I - 4617 - RONADO (Nước tím) - 450ml - 40")</f>
        <v>IDA Global - I - 4617 - RONADO (Nước tím) - 450ml - 40</v>
      </c>
      <c r="I755" s="2" t="str">
        <f>IFERROR(__xludf.DUMMYFUNCTION("""COMPUTED_VALUE"""),"Hỗn Hợp NP AGAMA-AP")</f>
        <v>Hỗn Hợp NP AGAMA-AP</v>
      </c>
      <c r="J755" s="2" t="str">
        <f>IFERROR(__xludf.DUMMYFUNCTION("""COMPUTED_VALUE"""),"Đóng theo đơn gần nhất")</f>
        <v>Đóng theo đơn gần nhất</v>
      </c>
      <c r="K755" s="39">
        <f>IFERROR(__xludf.DUMMYFUNCTION("""COMPUTED_VALUE"""),46132.0)</f>
        <v>46132</v>
      </c>
      <c r="L755" s="2" t="str">
        <f>IFERROR(__xludf.DUMMYFUNCTION("""COMPUTED_VALUE"""),"L03130525")</f>
        <v>L03130525</v>
      </c>
      <c r="M755" s="2" t="str">
        <f>IFERROR(__xludf.DUMMYFUNCTION("""COMPUTED_VALUE"""),"RONADO 
(CẢI TIẾN)")</f>
        <v>RONADO 
(CẢI TIẾN)</v>
      </c>
      <c r="N755" s="2" t="str">
        <f>IFERROR(__xludf.DUMMYFUNCTION("""COMPUTED_VALUE"""),"01RR0072")</f>
        <v>01RR0072</v>
      </c>
      <c r="O755" s="2" t="str">
        <f>IFERROR(__xludf.DUMMYFUNCTION("""COMPUTED_VALUE"""),"Phân bón Hỗn hợp NP AGAMA-AP")</f>
        <v>Phân bón Hỗn hợp NP AGAMA-AP</v>
      </c>
      <c r="P755" s="2" t="str">
        <f>IFERROR(__xludf.DUMMYFUNCTION("""COMPUTED_VALUE"""),"Phân bón Hỗn Hợp NP AGAMA-AP")</f>
        <v>Phân bón Hỗn Hợp NP AGAMA-AP</v>
      </c>
      <c r="Q755" s="30" t="str">
        <f>IFERROR(__xludf.DUMMYFUNCTION("""COMPUTED_VALUE"""),"KHỚP")</f>
        <v>KHỚP</v>
      </c>
      <c r="R755" s="2"/>
      <c r="S755" s="2"/>
      <c r="T755" s="2"/>
      <c r="U755" s="2"/>
      <c r="V755" s="2"/>
      <c r="W755" s="2"/>
      <c r="X755" s="2"/>
      <c r="Y755" s="2"/>
    </row>
    <row r="756">
      <c r="A756" s="30">
        <f>IFERROR(__xludf.DUMMYFUNCTION("""COMPUTED_VALUE"""),753.0)</f>
        <v>753</v>
      </c>
      <c r="B756" s="39">
        <f>IFERROR(__xludf.DUMMYFUNCTION("""COMPUTED_VALUE"""),46007.0)</f>
        <v>46007</v>
      </c>
      <c r="C756" s="30">
        <f>IFERROR(__xludf.DUMMYFUNCTION("""COMPUTED_VALUE"""),1.0)</f>
        <v>1</v>
      </c>
      <c r="D756" s="30" t="str">
        <f>IFERROR(__xludf.DUMMYFUNCTION("""COMPUTED_VALUE"""),"CT MỚI")</f>
        <v>CT MỚI</v>
      </c>
      <c r="E756" s="46">
        <f>IFERROR(__xludf.DUMMYFUNCTION("""COMPUTED_VALUE"""),46122.0)</f>
        <v>46122</v>
      </c>
      <c r="F756" s="2" t="str">
        <f>IFERROR(__xludf.DUMMYFUNCTION("""COMPUTED_VALUE"""),"ATP10042601")</f>
        <v>ATP10042601</v>
      </c>
      <c r="G756" s="2" t="str">
        <f>IFERROR(__xludf.DUMMYFUNCTION("""COMPUTED_VALUE"""),"HH4945")</f>
        <v>HH4945</v>
      </c>
      <c r="H756" s="2" t="str">
        <f>IFERROR(__xludf.DUMMYFUNCTION("""COMPUTED_VALUE"""),"GC - V - 4945 - CTY DONA VINA - GEL RA RỄ NỞ BỤI (Nước nâu đen) - 500ml - 40")</f>
        <v>GC - V - 4945 - CTY DONA VINA - GEL RA RỄ NỞ BỤI (Nước nâu đen) - 500ml - 40</v>
      </c>
      <c r="I756" s="2" t="str">
        <f>IFERROR(__xludf.DUMMYFUNCTION("""COMPUTED_VALUE"""),"Hữu Cơ Organic ĐGP 01")</f>
        <v>Hữu Cơ Organic ĐGP 01</v>
      </c>
      <c r="J756" s="2" t="str">
        <f>IFERROR(__xludf.DUMMYFUNCTION("""COMPUTED_VALUE"""),"A04251125")</f>
        <v>A04251125</v>
      </c>
      <c r="K756" s="39">
        <f>IFERROR(__xludf.DUMMYFUNCTION("""COMPUTED_VALUE"""),46134.0)</f>
        <v>46134</v>
      </c>
      <c r="L756" s="2" t="str">
        <f>IFERROR(__xludf.DUMMYFUNCTION("""COMPUTED_VALUE"""),"A04251125")</f>
        <v>A04251125</v>
      </c>
      <c r="M756" s="2" t="str">
        <f>IFERROR(__xludf.DUMMYFUNCTION("""COMPUTED_VALUE"""),"RA RỄ NỞ BỤI (DONA)")</f>
        <v>RA RỄ NỞ BỤI (DONA)</v>
      </c>
      <c r="N756" s="2" t="str">
        <f>IFERROR(__xludf.DUMMYFUNCTION("""COMPUTED_VALUE"""),"01RR0084")</f>
        <v>01RR0084</v>
      </c>
      <c r="O756" s="2" t="str">
        <f>IFERROR(__xludf.DUMMYFUNCTION("""COMPUTED_VALUE"""),"Phân bón Hữu cơ ORGANIC ĐGP 01 ")</f>
        <v>Phân bón Hữu cơ ORGANIC ĐGP 01 </v>
      </c>
      <c r="P756" s="2" t="str">
        <f>IFERROR(__xludf.DUMMYFUNCTION("""COMPUTED_VALUE"""),"Phân bón Hữu Cơ Organic ĐGP 01")</f>
        <v>Phân bón Hữu Cơ Organic ĐGP 01</v>
      </c>
      <c r="Q756" s="30" t="str">
        <f>IFERROR(__xludf.DUMMYFUNCTION("""COMPUTED_VALUE"""),"KHỚP")</f>
        <v>KHỚP</v>
      </c>
      <c r="R756" s="2" t="str">
        <f>IFERROR(__xludf.DUMMYFUNCTION("""COMPUTED_VALUE"""),"Đợi duyệt BDM")</f>
        <v>Đợi duyệt BDM</v>
      </c>
      <c r="S756" s="2"/>
      <c r="T756" s="2"/>
      <c r="U756" s="2"/>
      <c r="V756" s="2"/>
      <c r="W756" s="2"/>
      <c r="X756" s="2"/>
      <c r="Y756" s="2"/>
    </row>
    <row r="757">
      <c r="A757" s="30">
        <f>IFERROR(__xludf.DUMMYFUNCTION("""COMPUTED_VALUE"""),754.0)</f>
        <v>754</v>
      </c>
      <c r="B757" s="39">
        <f>IFERROR(__xludf.DUMMYFUNCTION("""COMPUTED_VALUE"""),46001.0)</f>
        <v>46001</v>
      </c>
      <c r="C757" s="30">
        <f>IFERROR(__xludf.DUMMYFUNCTION("""COMPUTED_VALUE"""),9.0)</f>
        <v>9</v>
      </c>
      <c r="D757" s="30" t="str">
        <f>IFERROR(__xludf.DUMMYFUNCTION("""COMPUTED_VALUE"""),"CT CŨ")</f>
        <v>CT CŨ</v>
      </c>
      <c r="E757" s="46">
        <f>IFERROR(__xludf.DUMMYFUNCTION("""COMPUTED_VALUE"""),46122.0)</f>
        <v>46122</v>
      </c>
      <c r="F757" s="2" t="str">
        <f>IFERROR(__xludf.DUMMYFUNCTION("""COMPUTED_VALUE"""),"ATP10042604")</f>
        <v>ATP10042604</v>
      </c>
      <c r="G757" s="2" t="str">
        <f>IFERROR(__xludf.DUMMYFUNCTION("""COMPUTED_VALUE"""),"HH4262")</f>
        <v>HH4262</v>
      </c>
      <c r="H757" s="2" t="str">
        <f>IFERROR(__xludf.DUMMYFUNCTION("""COMPUTED_VALUE"""),"GC - IV - 4262 - CTY HƯƠNG NÔNG - BIO HỮU CƠ (Nước nâu đen) - 10L - 1")</f>
        <v>GC - IV - 4262 - CTY HƯƠNG NÔNG - BIO HỮU CƠ (Nước nâu đen) - 10L - 1</v>
      </c>
      <c r="I757" s="2" t="str">
        <f>IFERROR(__xludf.DUMMYFUNCTION("""COMPUTED_VALUE"""),"Hữu cơ Organic BM Gold  FW")</f>
        <v>Hữu cơ Organic BM Gold  FW</v>
      </c>
      <c r="J757" s="2" t="str">
        <f>IFERROR(__xludf.DUMMYFUNCTION("""COMPUTED_VALUE"""),"Cùng ruột 
HH3948")</f>
        <v>Cùng ruột 
HH3948</v>
      </c>
      <c r="K757" s="39">
        <f>IFERROR(__xludf.DUMMYFUNCTION("""COMPUTED_VALUE"""),46130.0)</f>
        <v>46130</v>
      </c>
      <c r="L757" s="2" t="str">
        <f>IFERROR(__xludf.DUMMYFUNCTION("""COMPUTED_VALUE"""),"A02281124
I01240326")</f>
        <v>A02281124
I01240326</v>
      </c>
      <c r="M757" s="2" t="str">
        <f>IFERROR(__xludf.DUMMYFUNCTION("""COMPUTED_VALUE"""),"BIO HỮU CƠ")</f>
        <v>BIO HỮU CƠ</v>
      </c>
      <c r="N757" s="2" t="str">
        <f>IFERROR(__xludf.DUMMYFUNCTION("""COMPUTED_VALUE"""),"11TT0010V1")</f>
        <v>11TT0010V1</v>
      </c>
      <c r="O757" s="2" t="str">
        <f>IFERROR(__xludf.DUMMYFUNCTION("""COMPUTED_VALUE"""),"Phân bón Hữu cơ ORGANIC BM GOLD FW")</f>
        <v>Phân bón Hữu cơ ORGANIC BM GOLD FW</v>
      </c>
      <c r="P757" s="2" t="str">
        <f>IFERROR(__xludf.DUMMYFUNCTION("""COMPUTED_VALUE"""),"Phân bón Hữu cơ Organic BM Gold  FW")</f>
        <v>Phân bón Hữu cơ Organic BM Gold  FW</v>
      </c>
      <c r="Q757" s="30" t="str">
        <f>IFERROR(__xludf.DUMMYFUNCTION("""COMPUTED_VALUE"""),"KHỚP")</f>
        <v>KHỚP</v>
      </c>
      <c r="R757" s="2"/>
      <c r="S757" s="2"/>
      <c r="T757" s="2"/>
      <c r="U757" s="2"/>
      <c r="V757" s="2"/>
      <c r="W757" s="2"/>
      <c r="X757" s="2"/>
      <c r="Y757" s="2"/>
    </row>
    <row r="758">
      <c r="A758" s="30">
        <f>IFERROR(__xludf.DUMMYFUNCTION("""COMPUTED_VALUE"""),755.0)</f>
        <v>755</v>
      </c>
      <c r="B758" s="39">
        <f>IFERROR(__xludf.DUMMYFUNCTION("""COMPUTED_VALUE"""),46083.0)</f>
        <v>46083</v>
      </c>
      <c r="C758" s="30">
        <f>IFERROR(__xludf.DUMMYFUNCTION("""COMPUTED_VALUE"""),3.0)</f>
        <v>3</v>
      </c>
      <c r="D758" s="30" t="str">
        <f>IFERROR(__xludf.DUMMYFUNCTION("""COMPUTED_VALUE"""),"CT CŨ")</f>
        <v>CT CŨ</v>
      </c>
      <c r="E758" s="46">
        <f>IFERROR(__xludf.DUMMYFUNCTION("""COMPUTED_VALUE"""),46123.0)</f>
        <v>46123</v>
      </c>
      <c r="F758" s="2" t="str">
        <f>IFERROR(__xludf.DUMMYFUNCTION("""COMPUTED_VALUE"""),"ATP11042601")</f>
        <v>ATP11042601</v>
      </c>
      <c r="G758" s="2" t="str">
        <f>IFERROR(__xludf.DUMMYFUNCTION("""COMPUTED_VALUE"""),"HH4672")</f>
        <v>HH4672</v>
      </c>
      <c r="H758" s="2" t="str">
        <f>IFERROR(__xludf.DUMMYFUNCTION("""COMPUTED_VALUE"""),"LOT ABA - V - 4672 - THIÊN AN - NEW AMINO (Nước nâu đen) - 500ml - 30")</f>
        <v>LOT ABA - V - 4672 - THIÊN AN - NEW AMINO (Nước nâu đen) - 500ml - 30</v>
      </c>
      <c r="I758" s="2" t="str">
        <f>IFERROR(__xludf.DUMMYFUNCTION("""COMPUTED_VALUE"""),"Hữu cơ Organic BM Gold  FW")</f>
        <v>Hữu cơ Organic BM Gold  FW</v>
      </c>
      <c r="J758" s="2" t="str">
        <f>IFERROR(__xludf.DUMMYFUNCTION("""COMPUTED_VALUE"""),"Cùng ruột HH2776")</f>
        <v>Cùng ruột HH2776</v>
      </c>
      <c r="K758" s="39">
        <f>IFERROR(__xludf.DUMMYFUNCTION("""COMPUTED_VALUE"""),46130.0)</f>
        <v>46130</v>
      </c>
      <c r="L758" s="2" t="str">
        <f>IFERROR(__xludf.DUMMYFUNCTION("""COMPUTED_VALUE"""),"A02270924")</f>
        <v>A02270924</v>
      </c>
      <c r="M758" s="2" t="str">
        <f>IFERROR(__xludf.DUMMYFUNCTION("""COMPUTED_VALUE"""),"NEW AMINO")</f>
        <v>NEW AMINO</v>
      </c>
      <c r="N758" s="2" t="str">
        <f>IFERROR(__xludf.DUMMYFUNCTION("""COMPUTED_VALUE"""),"01RR0035V3")</f>
        <v>01RR0035V3</v>
      </c>
      <c r="O758" s="2" t="str">
        <f>IFERROR(__xludf.DUMMYFUNCTION("""COMPUTED_VALUE"""),"Phân bón Hữu cơ ORGANIC BM GOLD FW")</f>
        <v>Phân bón Hữu cơ ORGANIC BM GOLD FW</v>
      </c>
      <c r="P758" s="2" t="str">
        <f>IFERROR(__xludf.DUMMYFUNCTION("""COMPUTED_VALUE"""),"Phân bón Hữu cơ Organic BM Gold  FW")</f>
        <v>Phân bón Hữu cơ Organic BM Gold  FW</v>
      </c>
      <c r="Q758" s="30" t="str">
        <f>IFERROR(__xludf.DUMMYFUNCTION("""COMPUTED_VALUE"""),"KHỚP")</f>
        <v>KHỚP</v>
      </c>
      <c r="R758" s="2"/>
      <c r="S758" s="2"/>
      <c r="T758" s="2"/>
      <c r="U758" s="2"/>
      <c r="V758" s="2"/>
      <c r="W758" s="2"/>
      <c r="X758" s="2"/>
      <c r="Y758" s="2"/>
    </row>
    <row r="759">
      <c r="A759" s="30">
        <f>IFERROR(__xludf.DUMMYFUNCTION("""COMPUTED_VALUE"""),756.0)</f>
        <v>756</v>
      </c>
      <c r="B759" s="39">
        <f>IFERROR(__xludf.DUMMYFUNCTION("""COMPUTED_VALUE"""),45952.0)</f>
        <v>45952</v>
      </c>
      <c r="C759" s="30">
        <f>IFERROR(__xludf.DUMMYFUNCTION("""COMPUTED_VALUE"""),2.0)</f>
        <v>2</v>
      </c>
      <c r="D759" s="30" t="str">
        <f>IFERROR(__xludf.DUMMYFUNCTION("""COMPUTED_VALUE"""),"CT CŨ")</f>
        <v>CT CŨ</v>
      </c>
      <c r="E759" s="46">
        <f>IFERROR(__xludf.DUMMYFUNCTION("""COMPUTED_VALUE"""),46113.0)</f>
        <v>46113</v>
      </c>
      <c r="F759" s="2" t="str">
        <f>IFERROR(__xludf.DUMMYFUNCTION("""COMPUTED_VALUE"""),"XTP.01042601")</f>
        <v>XTP.01042601</v>
      </c>
      <c r="G759" s="2" t="str">
        <f>IFERROR(__xludf.DUMMYFUNCTION("""COMPUTED_VALUE"""),"HH4204")</f>
        <v>HH4204</v>
      </c>
      <c r="H759" s="2" t="str">
        <f>IFERROR(__xludf.DUMMYFUNCTION("""COMPUTED_VALUE"""),"DR.XANH - VIII - 4204 - ROBUST EXTRA (Gel nâu đen) - 500ml - 40")</f>
        <v>DR.XANH - VIII - 4204 - ROBUST EXTRA (Gel nâu đen) - 500ml - 40</v>
      </c>
      <c r="I759" s="2" t="str">
        <f>IFERROR(__xludf.DUMMYFUNCTION("""COMPUTED_VALUE"""),"Hữu cơ ROOTS US90")</f>
        <v>Hữu cơ ROOTS US90</v>
      </c>
      <c r="J759" s="2" t="str">
        <f>IFERROR(__xludf.DUMMYFUNCTION("""COMPUTED_VALUE"""),"X01180825")</f>
        <v>X01180825</v>
      </c>
      <c r="K759" s="39">
        <f>IFERROR(__xludf.DUMMYFUNCTION("""COMPUTED_VALUE"""),46124.0)</f>
        <v>46124</v>
      </c>
      <c r="L759" s="2" t="str">
        <f>IFERROR(__xludf.DUMMYFUNCTION("""COMPUTED_VALUE"""),"X01180825")</f>
        <v>X01180825</v>
      </c>
      <c r="M759" s="2" t="str">
        <f>IFERROR(__xludf.DUMMYFUNCTION("""COMPUTED_VALUE"""),"ROBUST EXTRA")</f>
        <v>ROBUST EXTRA</v>
      </c>
      <c r="N759" s="2" t="str">
        <f>IFERROR(__xludf.DUMMYFUNCTION("""COMPUTED_VALUE"""),"01RR0071V5")</f>
        <v>01RR0071V5</v>
      </c>
      <c r="O759" s="2" t="str">
        <f>IFERROR(__xludf.DUMMYFUNCTION("""COMPUTED_VALUE"""),"Phân bón hữu cơ ROOTS US90")</f>
        <v>Phân bón hữu cơ ROOTS US90</v>
      </c>
      <c r="P759" s="2" t="str">
        <f>IFERROR(__xludf.DUMMYFUNCTION("""COMPUTED_VALUE"""),"Phân bón Hữu cơ ROOTS US90")</f>
        <v>Phân bón Hữu cơ ROOTS US90</v>
      </c>
      <c r="Q759" s="30" t="str">
        <f>IFERROR(__xludf.DUMMYFUNCTION("""COMPUTED_VALUE"""),"KHỚP")</f>
        <v>KHỚP</v>
      </c>
      <c r="R759" s="2"/>
      <c r="S759" s="2"/>
      <c r="T759" s="2"/>
      <c r="U759" s="2"/>
      <c r="V759" s="2"/>
      <c r="W759" s="2"/>
      <c r="X759" s="2"/>
      <c r="Y759" s="2"/>
    </row>
    <row r="760">
      <c r="A760" s="30">
        <f>IFERROR(__xludf.DUMMYFUNCTION("""COMPUTED_VALUE"""),757.0)</f>
        <v>757</v>
      </c>
      <c r="B760" s="39">
        <f>IFERROR(__xludf.DUMMYFUNCTION("""COMPUTED_VALUE"""),45994.0)</f>
        <v>45994</v>
      </c>
      <c r="C760" s="30">
        <f>IFERROR(__xludf.DUMMYFUNCTION("""COMPUTED_VALUE"""),3.0)</f>
        <v>3</v>
      </c>
      <c r="D760" s="30" t="str">
        <f>IFERROR(__xludf.DUMMYFUNCTION("""COMPUTED_VALUE"""),"CT CŨ")</f>
        <v>CT CŨ</v>
      </c>
      <c r="E760" s="46">
        <f>IFERROR(__xludf.DUMMYFUNCTION("""COMPUTED_VALUE"""),46125.0)</f>
        <v>46125</v>
      </c>
      <c r="F760" s="2" t="str">
        <f>IFERROR(__xludf.DUMMYFUNCTION("""COMPUTED_VALUE"""),"ITP13042601")</f>
        <v>ITP13042601</v>
      </c>
      <c r="G760" s="2" t="str">
        <f>IFERROR(__xludf.DUMMYFUNCTION("""COMPUTED_VALUE"""),"HH4680")</f>
        <v>HH4680</v>
      </c>
      <c r="H760" s="2" t="str">
        <f>IFERROR(__xludf.DUMMYFUNCTION("""COMPUTED_VALUE"""),"LOTUS AGROCHEM - VI - 4680 - LOTUS KÍCH RỄ - BUNG CHỒI (Nước nâu đen) - 250ml - 40")</f>
        <v>LOTUS AGROCHEM - VI - 4680 - LOTUS KÍCH RỄ - BUNG CHỒI (Nước nâu đen) - 250ml - 40</v>
      </c>
      <c r="I760" s="2" t="str">
        <f>IFERROR(__xludf.DUMMYFUNCTION("""COMPUTED_VALUE"""),"Hữu cơ FUSEMIN COMBI+")</f>
        <v>Hữu cơ FUSEMIN COMBI+</v>
      </c>
      <c r="J760" s="2" t="str">
        <f>IFERROR(__xludf.DUMMYFUNCTION("""COMPUTED_VALUE"""),"Đóng theo dơn")</f>
        <v>Đóng theo dơn</v>
      </c>
      <c r="K760" s="39">
        <f>IFERROR(__xludf.DUMMYFUNCTION("""COMPUTED_VALUE"""),46134.0)</f>
        <v>46134</v>
      </c>
      <c r="L760" s="2" t="str">
        <f>IFERROR(__xludf.DUMMYFUNCTION("""COMPUTED_VALUE"""),"BB24040725")</f>
        <v>BB24040725</v>
      </c>
      <c r="M760" s="2" t="str">
        <f>IFERROR(__xludf.DUMMYFUNCTION("""COMPUTED_VALUE"""),"BAMBOO MAGIE FULVIC")</f>
        <v>BAMBOO MAGIE FULVIC</v>
      </c>
      <c r="N760" s="2" t="str">
        <f>IFERROR(__xludf.DUMMYFUNCTION("""COMPUTED_VALUE"""),"01RR0064V1")</f>
        <v>01RR0064V1</v>
      </c>
      <c r="O760" s="2" t="str">
        <f>IFERROR(__xludf.DUMMYFUNCTION("""COMPUTED_VALUE"""),"Phân bón hữu cơ FUSEMIN COMBI+")</f>
        <v>Phân bón hữu cơ FUSEMIN COMBI+</v>
      </c>
      <c r="P760" s="2" t="str">
        <f>IFERROR(__xludf.DUMMYFUNCTION("""COMPUTED_VALUE"""),"Phân bón Hữu cơ FUSEMIN COMBI+")</f>
        <v>Phân bón Hữu cơ FUSEMIN COMBI+</v>
      </c>
      <c r="Q760" s="30" t="str">
        <f>IFERROR(__xludf.DUMMYFUNCTION("""COMPUTED_VALUE"""),"KHỚP")</f>
        <v>KHỚP</v>
      </c>
      <c r="R760" s="2"/>
      <c r="S760" s="2"/>
      <c r="T760" s="2"/>
      <c r="U760" s="2"/>
      <c r="V760" s="2"/>
      <c r="W760" s="2"/>
      <c r="X760" s="2"/>
      <c r="Y760" s="2"/>
    </row>
    <row r="761">
      <c r="A761" s="30">
        <f>IFERROR(__xludf.DUMMYFUNCTION("""COMPUTED_VALUE"""),758.0)</f>
        <v>758</v>
      </c>
      <c r="B761" s="39">
        <f>IFERROR(__xludf.DUMMYFUNCTION("""COMPUTED_VALUE"""),45983.0)</f>
        <v>45983</v>
      </c>
      <c r="C761" s="30">
        <f>IFERROR(__xludf.DUMMYFUNCTION("""COMPUTED_VALUE"""),4.0)</f>
        <v>4</v>
      </c>
      <c r="D761" s="30" t="str">
        <f>IFERROR(__xludf.DUMMYFUNCTION("""COMPUTED_VALUE"""),"CT CŨ")</f>
        <v>CT CŨ</v>
      </c>
      <c r="E761" s="46">
        <f>IFERROR(__xludf.DUMMYFUNCTION("""COMPUTED_VALUE"""),46125.0)</f>
        <v>46125</v>
      </c>
      <c r="F761" s="2" t="str">
        <f>IFERROR(__xludf.DUMMYFUNCTION("""COMPUTED_VALUE"""),"ITP13042602")</f>
        <v>ITP13042602</v>
      </c>
      <c r="G761" s="2" t="str">
        <f>IFERROR(__xludf.DUMMYFUNCTION("""COMPUTED_VALUE"""),"HH4586")</f>
        <v>HH4586</v>
      </c>
      <c r="H761" s="2" t="str">
        <f>IFERROR(__xludf.DUMMYFUNCTION("""COMPUTED_VALUE"""),"LOTUS AGROCHEM - VI - 4586 - LOTUS DIỆP LỤC (Nước trắng sữa) - 500ml - 40")</f>
        <v>LOTUS AGROCHEM - VI - 4586 - LOTUS DIỆP LỤC (Nước trắng sữa) - 500ml - 40</v>
      </c>
      <c r="I761" s="2" t="str">
        <f>IFERROR(__xludf.DUMMYFUNCTION("""COMPUTED_VALUE"""),"vi lượng Phú Sĩ FJ-09 Kẽm Mg")</f>
        <v>vi lượng Phú Sĩ FJ-09 Kẽm Mg</v>
      </c>
      <c r="J761" s="2" t="str">
        <f>IFERROR(__xludf.DUMMYFUNCTION("""COMPUTED_VALUE"""),"Đóng theo đơn gần nhất")</f>
        <v>Đóng theo đơn gần nhất</v>
      </c>
      <c r="K761" s="39">
        <f>IFERROR(__xludf.DUMMYFUNCTION("""COMPUTED_VALUE"""),46132.0)</f>
        <v>46132</v>
      </c>
      <c r="L761" s="2" t="str">
        <f>IFERROR(__xludf.DUMMYFUNCTION("""COMPUTED_VALUE"""),"BB26040725")</f>
        <v>BB26040725</v>
      </c>
      <c r="M761" s="2" t="str">
        <f>IFERROR(__xludf.DUMMYFUNCTION("""COMPUTED_VALUE"""),"BAMBOO MG KẼM
LOTUS DIỆP LỤC")</f>
        <v>BAMBOO MG KẼM
LOTUS DIỆP LỤC</v>
      </c>
      <c r="N761" s="2" t="str">
        <f>IFERROR(__xludf.DUMMYFUNCTION("""COMPUTED_VALUE"""),"13XL0017V2")</f>
        <v>13XL0017V2</v>
      </c>
      <c r="O761" s="2" t="str">
        <f>IFERROR(__xludf.DUMMYFUNCTION("""COMPUTED_VALUE"""),"Phân bón vi lượng Phú Sĩ FJ-09 Kẽm Mg")</f>
        <v>Phân bón vi lượng Phú Sĩ FJ-09 Kẽm Mg</v>
      </c>
      <c r="P761" s="2" t="str">
        <f>IFERROR(__xludf.DUMMYFUNCTION("""COMPUTED_VALUE"""),"Phân bón vi lượng Phú Sĩ FJ-09 Kẽm Mg")</f>
        <v>Phân bón vi lượng Phú Sĩ FJ-09 Kẽm Mg</v>
      </c>
      <c r="Q761" s="30" t="str">
        <f>IFERROR(__xludf.DUMMYFUNCTION("""COMPUTED_VALUE"""),"KHỚP")</f>
        <v>KHỚP</v>
      </c>
      <c r="R761" s="2"/>
      <c r="S761" s="2"/>
      <c r="T761" s="2"/>
      <c r="U761" s="2"/>
      <c r="V761" s="2"/>
      <c r="W761" s="2"/>
      <c r="X761" s="2"/>
      <c r="Y761" s="2"/>
    </row>
    <row r="762">
      <c r="A762" s="30">
        <f>IFERROR(__xludf.DUMMYFUNCTION("""COMPUTED_VALUE"""),759.0)</f>
        <v>759</v>
      </c>
      <c r="B762" s="39">
        <f>IFERROR(__xludf.DUMMYFUNCTION("""COMPUTED_VALUE"""),45662.0)</f>
        <v>45662</v>
      </c>
      <c r="C762" s="30">
        <f>IFERROR(__xludf.DUMMYFUNCTION("""COMPUTED_VALUE"""),3.0)</f>
        <v>3</v>
      </c>
      <c r="D762" s="30" t="str">
        <f>IFERROR(__xludf.DUMMYFUNCTION("""COMPUTED_VALUE"""),"HUỶ ĐƠN")</f>
        <v>HUỶ ĐƠN</v>
      </c>
      <c r="E762" s="46">
        <f>IFERROR(__xludf.DUMMYFUNCTION("""COMPUTED_VALUE"""),46126.0)</f>
        <v>46126</v>
      </c>
      <c r="F762" s="2" t="str">
        <f>IFERROR(__xludf.DUMMYFUNCTION("""COMPUTED_VALUE"""),"ATP14042601")</f>
        <v>ATP14042601</v>
      </c>
      <c r="G762" s="2" t="str">
        <f>IFERROR(__xludf.DUMMYFUNCTION("""COMPUTED_VALUE"""),"HH4534")</f>
        <v>HH4534</v>
      </c>
      <c r="H762" s="2" t="str">
        <f>IFERROR(__xludf.DUMMYFUNCTION("""COMPUTED_VALUE"""),"GC - V - 4534 - CSSX An Khang (A.Dinh) - TAK06 (Gel nâu đen) - 20L - 1")</f>
        <v>GC - V - 4534 - CSSX An Khang (A.Dinh) - TAK06 (Gel nâu đen) - 20L - 1</v>
      </c>
      <c r="I762" s="2" t="str">
        <f>IFERROR(__xludf.DUMMYFUNCTION("""COMPUTED_VALUE"""),"Vi lượng Run Fast")</f>
        <v>Vi lượng Run Fast</v>
      </c>
      <c r="J762" s="2" t="str">
        <f>IFERROR(__xludf.DUMMYFUNCTION("""COMPUTED_VALUE"""),"A01091225")</f>
        <v>A01091225</v>
      </c>
      <c r="K762" s="39">
        <f>IFERROR(__xludf.DUMMYFUNCTION("""COMPUTED_VALUE"""),46144.0)</f>
        <v>46144</v>
      </c>
      <c r="L762" s="2" t="str">
        <f>IFERROR(__xludf.DUMMYFUNCTION("""COMPUTED_VALUE"""),"A01091225")</f>
        <v>A01091225</v>
      </c>
      <c r="M762" s="2" t="str">
        <f>IFERROR(__xludf.DUMMYFUNCTION("""COMPUTED_VALUE"""),"TAK06")</f>
        <v>TAK06</v>
      </c>
      <c r="N762" s="2" t="str">
        <f>IFERROR(__xludf.DUMMYFUNCTION("""COMPUTED_VALUE"""),"19DD0014V4")</f>
        <v>19DD0014V4</v>
      </c>
      <c r="O762" s="2" t="str">
        <f>IFERROR(__xludf.DUMMYFUNCTION("""COMPUTED_VALUE"""),"Phân bón Vi lượng Run Fast")</f>
        <v>Phân bón Vi lượng Run Fast</v>
      </c>
      <c r="P762" s="2" t="str">
        <f>IFERROR(__xludf.DUMMYFUNCTION("""COMPUTED_VALUE"""),"Phân bón Vi lượng Run Fast")</f>
        <v>Phân bón Vi lượng Run Fast</v>
      </c>
      <c r="Q762" s="30" t="str">
        <f>IFERROR(__xludf.DUMMYFUNCTION("""COMPUTED_VALUE"""),"KHỚP")</f>
        <v>KHỚP</v>
      </c>
      <c r="R762" s="2"/>
      <c r="S762" s="2"/>
      <c r="T762" s="2"/>
      <c r="U762" s="2"/>
      <c r="V762" s="2"/>
      <c r="W762" s="2"/>
      <c r="X762" s="2"/>
      <c r="Y762" s="2"/>
    </row>
    <row r="763">
      <c r="A763" s="30">
        <f>IFERROR(__xludf.DUMMYFUNCTION("""COMPUTED_VALUE"""),760.0)</f>
        <v>760</v>
      </c>
      <c r="B763" s="39">
        <f>IFERROR(__xludf.DUMMYFUNCTION("""COMPUTED_VALUE"""),46060.0)</f>
        <v>46060</v>
      </c>
      <c r="C763" s="30">
        <f>IFERROR(__xludf.DUMMYFUNCTION("""COMPUTED_VALUE"""),2.0)</f>
        <v>2</v>
      </c>
      <c r="D763" s="30" t="str">
        <f>IFERROR(__xludf.DUMMYFUNCTION("""COMPUTED_VALUE"""),"CT CŨ")</f>
        <v>CT CŨ</v>
      </c>
      <c r="E763" s="46">
        <f>IFERROR(__xludf.DUMMYFUNCTION("""COMPUTED_VALUE"""),46126.0)</f>
        <v>46126</v>
      </c>
      <c r="F763" s="2" t="str">
        <f>IFERROR(__xludf.DUMMYFUNCTION("""COMPUTED_VALUE"""),"ATP14042602")</f>
        <v>ATP14042602</v>
      </c>
      <c r="G763" s="2" t="str">
        <f>IFERROR(__xludf.DUMMYFUNCTION("""COMPUTED_VALUE"""),"HH4806")</f>
        <v>HH4806</v>
      </c>
      <c r="H763" s="2" t="str">
        <f>IFERROR(__xludf.DUMMYFUNCTION("""COMPUTED_VALUE"""),"GC - V - 4806 - CTY HÓA NÔNG CON ONG VÀNG - MAGIE KẼM PLUS (Dạng SC - Xanh lá) - 400ml - 40")</f>
        <v>GC - V - 4806 - CTY HÓA NÔNG CON ONG VÀNG - MAGIE KẼM PLUS (Dạng SC - Xanh lá) - 400ml - 40</v>
      </c>
      <c r="I763" s="2" t="str">
        <f>IFERROR(__xludf.DUMMYFUNCTION("""COMPUTED_VALUE"""),"vi lượng Phú Sĩ FJ-09 Kẽm Mg")</f>
        <v>vi lượng Phú Sĩ FJ-09 Kẽm Mg</v>
      </c>
      <c r="J763" s="2" t="str">
        <f>IFERROR(__xludf.DUMMYFUNCTION("""COMPUTED_VALUE"""),"A05200825 - 01")</f>
        <v>A05200825 - 01</v>
      </c>
      <c r="K763" s="39">
        <f>IFERROR(__xludf.DUMMYFUNCTION("""COMPUTED_VALUE"""),46129.0)</f>
        <v>46129</v>
      </c>
      <c r="L763" s="2" t="str">
        <f>IFERROR(__xludf.DUMMYFUNCTION("""COMPUTED_VALUE"""),"A05200825-01")</f>
        <v>A05200825-01</v>
      </c>
      <c r="M763" s="2" t="str">
        <f>IFERROR(__xludf.DUMMYFUNCTION("""COMPUTED_VALUE"""),"AMINO MAGIE - KẼM CAO CẤP 02 (CẢI TIẾN)")</f>
        <v>AMINO MAGIE - KẼM CAO CẤP 02 (CẢI TIẾN)</v>
      </c>
      <c r="N763" s="2" t="str">
        <f>IFERROR(__xludf.DUMMYFUNCTION("""COMPUTED_VALUE"""),"23GS0022")</f>
        <v>23GS0022</v>
      </c>
      <c r="O763" s="2" t="str">
        <f>IFERROR(__xludf.DUMMYFUNCTION("""COMPUTED_VALUE"""),"Phân bón vi lượng Phú Sĩ FJ-09 Kẽm Mg")</f>
        <v>Phân bón vi lượng Phú Sĩ FJ-09 Kẽm Mg</v>
      </c>
      <c r="P763" s="2" t="str">
        <f>IFERROR(__xludf.DUMMYFUNCTION("""COMPUTED_VALUE"""),"Phân bón vi lượng Phú Sĩ FJ-09 Kẽm Mg")</f>
        <v>Phân bón vi lượng Phú Sĩ FJ-09 Kẽm Mg</v>
      </c>
      <c r="Q763" s="30" t="str">
        <f>IFERROR(__xludf.DUMMYFUNCTION("""COMPUTED_VALUE"""),"KHỚP")</f>
        <v>KHỚP</v>
      </c>
      <c r="R763" s="2"/>
      <c r="S763" s="2"/>
      <c r="T763" s="2"/>
      <c r="U763" s="2"/>
      <c r="V763" s="2"/>
      <c r="W763" s="2"/>
      <c r="X763" s="2"/>
      <c r="Y763" s="2"/>
    </row>
    <row r="764">
      <c r="A764" s="30">
        <f>IFERROR(__xludf.DUMMYFUNCTION("""COMPUTED_VALUE"""),761.0)</f>
        <v>761</v>
      </c>
      <c r="B764" s="39">
        <f>IFERROR(__xludf.DUMMYFUNCTION("""COMPUTED_VALUE"""),45896.0)</f>
        <v>45896</v>
      </c>
      <c r="C764" s="30">
        <f>IFERROR(__xludf.DUMMYFUNCTION("""COMPUTED_VALUE"""),3.0)</f>
        <v>3</v>
      </c>
      <c r="D764" s="30" t="str">
        <f>IFERROR(__xludf.DUMMYFUNCTION("""COMPUTED_VALUE"""),"CT CŨ")</f>
        <v>CT CŨ</v>
      </c>
      <c r="E764" s="46">
        <f>IFERROR(__xludf.DUMMYFUNCTION("""COMPUTED_VALUE"""),46127.0)</f>
        <v>46127</v>
      </c>
      <c r="F764" s="2" t="str">
        <f>IFERROR(__xludf.DUMMYFUNCTION("""COMPUTED_VALUE"""),"ATP15042602")</f>
        <v>ATP15042602</v>
      </c>
      <c r="G764" s="2" t="str">
        <f>IFERROR(__xludf.DUMMYFUNCTION("""COMPUTED_VALUE"""),"HH4800")</f>
        <v>HH4800</v>
      </c>
      <c r="H764" s="2" t="str">
        <f>IFERROR(__xludf.DUMMYFUNCTION("""COMPUTED_VALUE"""),"GC - V - 4800 - CTY DONA VINA - CANXIBO MAXI (Nước trắng sữa) - 500ml - 40")</f>
        <v>GC - V - 4800 - CTY DONA VINA - CANXIBO MAXI (Nước trắng sữa) - 500ml - 40</v>
      </c>
      <c r="I764" s="2" t="str">
        <f>IFERROR(__xludf.DUMMYFUNCTION("""COMPUTED_VALUE"""),"Vi lượng AGAMA-CANXI BO")</f>
        <v>Vi lượng AGAMA-CANXI BO</v>
      </c>
      <c r="J764" s="2" t="str">
        <f>IFERROR(__xludf.DUMMYFUNCTION("""COMPUTED_VALUE"""),"A02160725")</f>
        <v>A02160725</v>
      </c>
      <c r="K764" s="39">
        <f>IFERROR(__xludf.DUMMYFUNCTION("""COMPUTED_VALUE"""),46137.0)</f>
        <v>46137</v>
      </c>
      <c r="L764" s="2" t="str">
        <f>IFERROR(__xludf.DUMMYFUNCTION("""COMPUTED_VALUE"""),"A02160725")</f>
        <v>A02160725</v>
      </c>
      <c r="M764" s="2" t="str">
        <f>IFERROR(__xludf.DUMMYFUNCTION("""COMPUTED_VALUE"""),"AGAMA-CANXI BO
(KIM NGỌC)")</f>
        <v>AGAMA-CANXI BO
(KIM NGỌC)</v>
      </c>
      <c r="N764" s="2" t="str">
        <f>IFERROR(__xludf.DUMMYFUNCTION("""COMPUTED_VALUE"""),"10CR0021")</f>
        <v>10CR0021</v>
      </c>
      <c r="O764" s="2" t="str">
        <f>IFERROR(__xludf.DUMMYFUNCTION("""COMPUTED_VALUE"""),"Phân bón Vi lượng AGAMA-CANXI BO")</f>
        <v>Phân bón Vi lượng AGAMA-CANXI BO</v>
      </c>
      <c r="P764" s="2" t="str">
        <f>IFERROR(__xludf.DUMMYFUNCTION("""COMPUTED_VALUE"""),"Phân bón Vi lượng AGAMA-CANXI BO")</f>
        <v>Phân bón Vi lượng AGAMA-CANXI BO</v>
      </c>
      <c r="Q764" s="30" t="str">
        <f>IFERROR(__xludf.DUMMYFUNCTION("""COMPUTED_VALUE"""),"KHỚP")</f>
        <v>KHỚP</v>
      </c>
      <c r="R764" s="2"/>
      <c r="S764" s="2"/>
      <c r="T764" s="2"/>
      <c r="U764" s="2"/>
      <c r="V764" s="2"/>
      <c r="W764" s="2"/>
      <c r="X764" s="2"/>
      <c r="Y764" s="2"/>
    </row>
    <row r="765">
      <c r="A765" s="30">
        <f>IFERROR(__xludf.DUMMYFUNCTION("""COMPUTED_VALUE"""),762.0)</f>
        <v>762</v>
      </c>
      <c r="B765" s="39">
        <f>IFERROR(__xludf.DUMMYFUNCTION("""COMPUTED_VALUE"""),46002.0)</f>
        <v>46002</v>
      </c>
      <c r="C765" s="30">
        <f>IFERROR(__xludf.DUMMYFUNCTION("""COMPUTED_VALUE"""),8.0)</f>
        <v>8</v>
      </c>
      <c r="D765" s="30" t="str">
        <f>IFERROR(__xludf.DUMMYFUNCTION("""COMPUTED_VALUE"""),"CT CŨ")</f>
        <v>CT CŨ</v>
      </c>
      <c r="E765" s="46">
        <f>IFERROR(__xludf.DUMMYFUNCTION("""COMPUTED_VALUE"""),46127.0)</f>
        <v>46127</v>
      </c>
      <c r="F765" s="2" t="str">
        <f>IFERROR(__xludf.DUMMYFUNCTION("""COMPUTED_VALUE"""),"ATP15042603")</f>
        <v>ATP15042603</v>
      </c>
      <c r="G765" s="2" t="str">
        <f>IFERROR(__xludf.DUMMYFUNCTION("""COMPUTED_VALUE"""),"HH4235")</f>
        <v>HH4235</v>
      </c>
      <c r="H765" s="2" t="str">
        <f>IFERROR(__xludf.DUMMYFUNCTION("""COMPUTED_VALUE"""),"GC - II - 4235 - LOT AGC (CAPY GLOBAL) - DR.STOP (Nước nâu đen) - 1L - 20")</f>
        <v>GC - II - 4235 - LOT AGC (CAPY GLOBAL) - DR.STOP (Nước nâu đen) - 1L - 20</v>
      </c>
      <c r="I765" s="2" t="str">
        <f>IFERROR(__xludf.DUMMYFUNCTION("""COMPUTED_VALUE"""),"Vi lượng Quantity New")</f>
        <v>Vi lượng Quantity New</v>
      </c>
      <c r="J765" s="2" t="str">
        <f>IFERROR(__xludf.DUMMYFUNCTION("""COMPUTED_VALUE"""),"Cùng ruột HH4155")</f>
        <v>Cùng ruột HH4155</v>
      </c>
      <c r="K765" s="39">
        <f>IFERROR(__xludf.DUMMYFUNCTION("""COMPUTED_VALUE"""),46137.0)</f>
        <v>46137</v>
      </c>
      <c r="L765" s="2" t="str">
        <f>IFERROR(__xludf.DUMMYFUNCTION("""COMPUTED_VALUE"""),"CHẶN ĐỌT DÒNG V1")</f>
        <v>CHẶN ĐỌT DÒNG V1</v>
      </c>
      <c r="M765" s="2" t="str">
        <f>IFERROR(__xludf.DUMMYFUNCTION("""COMPUTED_VALUE"""),"KODO STOP
DR.STOP
DR.H2")</f>
        <v>KODO STOP
DR.STOP
DR.H2</v>
      </c>
      <c r="N765" s="2" t="str">
        <f>IFERROR(__xludf.DUMMYFUNCTION("""COMPUTED_VALUE"""),"06CD0006V2")</f>
        <v>06CD0006V2</v>
      </c>
      <c r="O765" s="2" t="str">
        <f>IFERROR(__xludf.DUMMYFUNCTION("""COMPUTED_VALUE"""),"Phân bón Vi lượng Quantity New")</f>
        <v>Phân bón Vi lượng Quantity New</v>
      </c>
      <c r="P765" s="2" t="str">
        <f>IFERROR(__xludf.DUMMYFUNCTION("""COMPUTED_VALUE"""),"Phân bón Vi lượng Quantity New")</f>
        <v>Phân bón Vi lượng Quantity New</v>
      </c>
      <c r="Q765" s="30" t="str">
        <f>IFERROR(__xludf.DUMMYFUNCTION("""COMPUTED_VALUE"""),"KHỚP")</f>
        <v>KHỚP</v>
      </c>
      <c r="R765" s="2"/>
      <c r="S765" s="2"/>
      <c r="T765" s="2"/>
      <c r="U765" s="2"/>
      <c r="V765" s="2"/>
      <c r="W765" s="2"/>
      <c r="X765" s="2"/>
      <c r="Y765" s="2"/>
    </row>
    <row r="766">
      <c r="A766" s="30">
        <f>IFERROR(__xludf.DUMMYFUNCTION("""COMPUTED_VALUE"""),763.0)</f>
        <v>763</v>
      </c>
      <c r="B766" s="39">
        <f>IFERROR(__xludf.DUMMYFUNCTION("""COMPUTED_VALUE"""),46024.0)</f>
        <v>46024</v>
      </c>
      <c r="C766" s="30">
        <f>IFERROR(__xludf.DUMMYFUNCTION("""COMPUTED_VALUE"""),8.0)</f>
        <v>8</v>
      </c>
      <c r="D766" s="30" t="str">
        <f>IFERROR(__xludf.DUMMYFUNCTION("""COMPUTED_VALUE"""),"CT CŨ")</f>
        <v>CT CŨ</v>
      </c>
      <c r="E766" s="46">
        <f>IFERROR(__xludf.DUMMYFUNCTION("""COMPUTED_VALUE"""),46127.0)</f>
        <v>46127</v>
      </c>
      <c r="F766" s="2" t="str">
        <f>IFERROR(__xludf.DUMMYFUNCTION("""COMPUTED_VALUE"""),"ATP15042604")</f>
        <v>ATP15042604</v>
      </c>
      <c r="G766" s="2" t="str">
        <f>IFERROR(__xludf.DUMMYFUNCTION("""COMPUTED_VALUE"""),"HH4211")</f>
        <v>HH4211</v>
      </c>
      <c r="H766" s="2" t="str">
        <f>IFERROR(__xludf.DUMMYFUNCTION("""COMPUTED_VALUE"""),"GC - IV - 4211 - Cty Capy Global - TOP SPROUT (nước nâu đen) - 500ml - 40")</f>
        <v>GC - IV - 4211 - Cty Capy Global - TOP SPROUT (nước nâu đen) - 500ml - 40</v>
      </c>
      <c r="I766" s="2" t="str">
        <f>IFERROR(__xludf.DUMMYFUNCTION("""COMPUTED_VALUE"""),"Vi lượng Run Fast")</f>
        <v>Vi lượng Run Fast</v>
      </c>
      <c r="J766" s="2" t="str">
        <f>IFERROR(__xludf.DUMMYFUNCTION("""COMPUTED_VALUE"""),"Cùng ruột 
HH2666")</f>
        <v>Cùng ruột 
HH2666</v>
      </c>
      <c r="K766" s="39">
        <f>IFERROR(__xludf.DUMMYFUNCTION("""COMPUTED_VALUE"""),46137.0)</f>
        <v>46137</v>
      </c>
      <c r="L766" s="2"/>
      <c r="M766" s="2" t="str">
        <f>IFERROR(__xludf.DUMMYFUNCTION("""COMPUTED_VALUE"""),"TOP SPROUT")</f>
        <v>TOP SPROUT</v>
      </c>
      <c r="N766" s="2" t="str">
        <f>IFERROR(__xludf.DUMMYFUNCTION("""COMPUTED_VALUE"""),"08TM0004V2")</f>
        <v>08TM0004V2</v>
      </c>
      <c r="O766" s="2" t="str">
        <f>IFERROR(__xludf.DUMMYFUNCTION("""COMPUTED_VALUE"""),"Phân bón Vi lượng Run Fast")</f>
        <v>Phân bón Vi lượng Run Fast</v>
      </c>
      <c r="P766" s="2" t="str">
        <f>IFERROR(__xludf.DUMMYFUNCTION("""COMPUTED_VALUE"""),"Phân bón Vi lượng Run Fast")</f>
        <v>Phân bón Vi lượng Run Fast</v>
      </c>
      <c r="Q766" s="30" t="str">
        <f>IFERROR(__xludf.DUMMYFUNCTION("""COMPUTED_VALUE"""),"KHỚP")</f>
        <v>KHỚP</v>
      </c>
      <c r="R766" s="2"/>
      <c r="S766" s="2"/>
      <c r="T766" s="2"/>
      <c r="U766" s="2"/>
      <c r="V766" s="2"/>
      <c r="W766" s="2"/>
      <c r="X766" s="2"/>
      <c r="Y766" s="2"/>
    </row>
    <row r="767">
      <c r="A767" s="30">
        <f>IFERROR(__xludf.DUMMYFUNCTION("""COMPUTED_VALUE"""),764.0)</f>
        <v>764</v>
      </c>
      <c r="B767" s="39">
        <f>IFERROR(__xludf.DUMMYFUNCTION("""COMPUTED_VALUE"""),46020.0)</f>
        <v>46020</v>
      </c>
      <c r="C767" s="30">
        <f>IFERROR(__xludf.DUMMYFUNCTION("""COMPUTED_VALUE"""),2.0)</f>
        <v>2</v>
      </c>
      <c r="D767" s="30" t="str">
        <f>IFERROR(__xludf.DUMMYFUNCTION("""COMPUTED_VALUE"""),"CT CŨ")</f>
        <v>CT CŨ</v>
      </c>
      <c r="E767" s="46">
        <f>IFERROR(__xludf.DUMMYFUNCTION("""COMPUTED_VALUE"""),46127.0)</f>
        <v>46127</v>
      </c>
      <c r="F767" s="2" t="str">
        <f>IFERROR(__xludf.DUMMYFUNCTION("""COMPUTED_VALUE"""),"ATP15042605")</f>
        <v>ATP15042605</v>
      </c>
      <c r="G767" s="2" t="str">
        <f>IFERROR(__xludf.DUMMYFUNCTION("""COMPUTED_VALUE"""),"HH4811")</f>
        <v>HH4811</v>
      </c>
      <c r="H767" s="2" t="str">
        <f>IFERROR(__xludf.DUMMYFUNCTION("""COMPUTED_VALUE"""),"GC - V - 4811 - CTY HƯƠNG NÔNG - MAGIE KẼM (Nước trắng sữa) - 300ml - 40")</f>
        <v>GC - V - 4811 - CTY HƯƠNG NÔNG - MAGIE KẼM (Nước trắng sữa) - 300ml - 40</v>
      </c>
      <c r="I767" s="2" t="str">
        <f>IFERROR(__xludf.DUMMYFUNCTION("""COMPUTED_VALUE"""),"vi lượng Phú Sĩ FJ-09 Kẽm Mg")</f>
        <v>vi lượng Phú Sĩ FJ-09 Kẽm Mg</v>
      </c>
      <c r="J767" s="2" t="str">
        <f>IFERROR(__xludf.DUMMYFUNCTION("""COMPUTED_VALUE"""),"A02181225")</f>
        <v>A02181225</v>
      </c>
      <c r="K767" s="39">
        <f>IFERROR(__xludf.DUMMYFUNCTION("""COMPUTED_VALUE"""),46137.0)</f>
        <v>46137</v>
      </c>
      <c r="L767" s="2" t="str">
        <f>IFERROR(__xludf.DUMMYFUNCTION("""COMPUTED_VALUE"""),"A02181225")</f>
        <v>A02181225</v>
      </c>
      <c r="M767" s="2" t="str">
        <f>IFERROR(__xludf.DUMMYFUNCTION("""COMPUTED_VALUE"""),"MG ZN THÀNH CÔNG")</f>
        <v>MG ZN THÀNH CÔNG</v>
      </c>
      <c r="N767" s="2" t="str">
        <f>IFERROR(__xludf.DUMMYFUNCTION("""COMPUTED_VALUE"""),"23GS0018")</f>
        <v>23GS0018</v>
      </c>
      <c r="O767" s="2" t="str">
        <f>IFERROR(__xludf.DUMMYFUNCTION("""COMPUTED_VALUE"""),"Phân bón vi lượng Phú Sĩ FJ-09 Kẽm Mg")</f>
        <v>Phân bón vi lượng Phú Sĩ FJ-09 Kẽm Mg</v>
      </c>
      <c r="P767" s="2" t="str">
        <f>IFERROR(__xludf.DUMMYFUNCTION("""COMPUTED_VALUE"""),"Phân bón vi lượng Phú Sĩ FJ-09 Kẽm Mg")</f>
        <v>Phân bón vi lượng Phú Sĩ FJ-09 Kẽm Mg</v>
      </c>
      <c r="Q767" s="30" t="str">
        <f>IFERROR(__xludf.DUMMYFUNCTION("""COMPUTED_VALUE"""),"KHỚP")</f>
        <v>KHỚP</v>
      </c>
      <c r="R767" s="2"/>
      <c r="S767" s="2"/>
      <c r="T767" s="2"/>
      <c r="U767" s="2"/>
      <c r="V767" s="2"/>
      <c r="W767" s="2"/>
      <c r="X767" s="2"/>
      <c r="Y767" s="2"/>
    </row>
    <row r="768">
      <c r="A768" s="30">
        <f>IFERROR(__xludf.DUMMYFUNCTION("""COMPUTED_VALUE"""),765.0)</f>
        <v>765</v>
      </c>
      <c r="B768" s="39">
        <f>IFERROR(__xludf.DUMMYFUNCTION("""COMPUTED_VALUE"""),46056.0)</f>
        <v>46056</v>
      </c>
      <c r="C768" s="30">
        <f>IFERROR(__xludf.DUMMYFUNCTION("""COMPUTED_VALUE"""),9.0)</f>
        <v>9</v>
      </c>
      <c r="D768" s="30" t="str">
        <f>IFERROR(__xludf.DUMMYFUNCTION("""COMPUTED_VALUE"""),"CT CŨ")</f>
        <v>CT CŨ</v>
      </c>
      <c r="E768" s="46">
        <f>IFERROR(__xludf.DUMMYFUNCTION("""COMPUTED_VALUE"""),46128.0)</f>
        <v>46128</v>
      </c>
      <c r="F768" s="2" t="str">
        <f>IFERROR(__xludf.DUMMYFUNCTION("""COMPUTED_VALUE"""),"DTP16042601")</f>
        <v>DTP16042601</v>
      </c>
      <c r="G768" s="2" t="str">
        <f>IFERROR(__xludf.DUMMYFUNCTION("""COMPUTED_VALUE"""),"HH4748")</f>
        <v>HH4748</v>
      </c>
      <c r="H768" s="2" t="str">
        <f>IFERROR(__xludf.DUMMYFUNCTION("""COMPUTED_VALUE"""),"GC - V - 4748 - DEGO - RUN FAST (Nước đen) - 18L - 1")</f>
        <v>GC - V - 4748 - DEGO - RUN FAST (Nước đen) - 18L - 1</v>
      </c>
      <c r="I768" s="2" t="str">
        <f>IFERROR(__xludf.DUMMYFUNCTION("""COMPUTED_VALUE"""),"Vi lượng Run Fast")</f>
        <v>Vi lượng Run Fast</v>
      </c>
      <c r="J768" s="2" t="str">
        <f>IFERROR(__xludf.DUMMYFUNCTION("""COMPUTED_VALUE"""),"30NT0001")</f>
        <v>30NT0001</v>
      </c>
      <c r="K768" s="39">
        <f>IFERROR(__xludf.DUMMYFUNCTION("""COMPUTED_VALUE"""),46129.0)</f>
        <v>46129</v>
      </c>
      <c r="L768" s="2"/>
      <c r="M768" s="2" t="str">
        <f>IFERROR(__xludf.DUMMYFUNCTION("""COMPUTED_VALUE"""),"BO HAI NGÀN")</f>
        <v>BO HAI NGÀN</v>
      </c>
      <c r="N768" s="2" t="str">
        <f>IFERROR(__xludf.DUMMYFUNCTION("""COMPUTED_VALUE"""),"30NT0001")</f>
        <v>30NT0001</v>
      </c>
      <c r="O768" s="2" t="str">
        <f>IFERROR(__xludf.DUMMYFUNCTION("""COMPUTED_VALUE"""),"Phân bón Vi lượng Run Fast")</f>
        <v>Phân bón Vi lượng Run Fast</v>
      </c>
      <c r="P768" s="2" t="str">
        <f>IFERROR(__xludf.DUMMYFUNCTION("""COMPUTED_VALUE"""),"Phân bón Vi lượng Run Fast")</f>
        <v>Phân bón Vi lượng Run Fast</v>
      </c>
      <c r="Q768" s="30" t="str">
        <f>IFERROR(__xludf.DUMMYFUNCTION("""COMPUTED_VALUE"""),"KHỚP")</f>
        <v>KHỚP</v>
      </c>
      <c r="R768" s="2"/>
      <c r="S768" s="2"/>
      <c r="T768" s="2"/>
      <c r="U768" s="2"/>
      <c r="V768" s="2"/>
      <c r="W768" s="2"/>
      <c r="X768" s="2"/>
      <c r="Y768" s="2"/>
    </row>
    <row r="769">
      <c r="A769" s="30">
        <f>IFERROR(__xludf.DUMMYFUNCTION("""COMPUTED_VALUE"""),766.0)</f>
        <v>766</v>
      </c>
      <c r="B769" s="39">
        <f>IFERROR(__xludf.DUMMYFUNCTION("""COMPUTED_VALUE"""),45911.0)</f>
        <v>45911</v>
      </c>
      <c r="C769" s="30">
        <f>IFERROR(__xludf.DUMMYFUNCTION("""COMPUTED_VALUE"""),3.0)</f>
        <v>3</v>
      </c>
      <c r="D769" s="30" t="str">
        <f>IFERROR(__xludf.DUMMYFUNCTION("""COMPUTED_VALUE"""),"CT CŨ")</f>
        <v>CT CŨ</v>
      </c>
      <c r="E769" s="46">
        <f>IFERROR(__xludf.DUMMYFUNCTION("""COMPUTED_VALUE"""),46128.0)</f>
        <v>46128</v>
      </c>
      <c r="F769" s="2" t="str">
        <f>IFERROR(__xludf.DUMMYFUNCTION("""COMPUTED_VALUE"""),"ATP16042601")</f>
        <v>ATP16042601</v>
      </c>
      <c r="G769" s="2" t="str">
        <f>IFERROR(__xludf.DUMMYFUNCTION("""COMPUTED_VALUE"""),"HH4304")</f>
        <v>HH4304</v>
      </c>
      <c r="H769" s="2" t="str">
        <f>IFERROR(__xludf.DUMMYFUNCTION("""COMPUTED_VALUE"""),"GC - V - 4304 - CSSX An Khang (A.Dinh) - TAK09 (Nước nâu đen) - 500ml - 40")</f>
        <v>GC - V - 4304 - CSSX An Khang (A.Dinh) - TAK09 (Nước nâu đen) - 500ml - 40</v>
      </c>
      <c r="I769" s="2" t="str">
        <f>IFERROR(__xludf.DUMMYFUNCTION("""COMPUTED_VALUE"""),"Hữu cơ SH Agro Organic Fertilizer 20")</f>
        <v>Hữu cơ SH Agro Organic Fertilizer 20</v>
      </c>
      <c r="J769" s="2" t="str">
        <f>IFERROR(__xludf.DUMMYFUNCTION("""COMPUTED_VALUE"""),"Cùng ruột 3801
TAK09")</f>
        <v>Cùng ruột 3801
TAK09</v>
      </c>
      <c r="K769" s="39">
        <f>IFERROR(__xludf.DUMMYFUNCTION("""COMPUTED_VALUE"""),46137.0)</f>
        <v>46137</v>
      </c>
      <c r="L769" s="2" t="str">
        <f>IFERROR(__xludf.DUMMYFUNCTION("""COMPUTED_VALUE"""),"A01090625")</f>
        <v>A01090625</v>
      </c>
      <c r="M769" s="2" t="str">
        <f>IFERROR(__xludf.DUMMYFUNCTION("""COMPUTED_VALUE"""),"TAK09")</f>
        <v>TAK09</v>
      </c>
      <c r="N769" s="2" t="str">
        <f>IFERROR(__xludf.DUMMYFUNCTION("""COMPUTED_VALUE"""),"01RR0055")</f>
        <v>01RR0055</v>
      </c>
      <c r="O769" s="2" t="str">
        <f>IFERROR(__xludf.DUMMYFUNCTION("""COMPUTED_VALUE"""),"Phân bón Hữu cơ SH Agro Organic Fertilizer 20")</f>
        <v>Phân bón Hữu cơ SH Agro Organic Fertilizer 20</v>
      </c>
      <c r="P769" s="2" t="str">
        <f>IFERROR(__xludf.DUMMYFUNCTION("""COMPUTED_VALUE"""),"Phân bón Hữu cơ SH Agro Organic Fertilizer 20")</f>
        <v>Phân bón Hữu cơ SH Agro Organic Fertilizer 20</v>
      </c>
      <c r="Q769" s="30" t="str">
        <f>IFERROR(__xludf.DUMMYFUNCTION("""COMPUTED_VALUE"""),"KHỚP")</f>
        <v>KHỚP</v>
      </c>
      <c r="R769" s="2"/>
      <c r="S769" s="2"/>
      <c r="T769" s="2"/>
      <c r="U769" s="2"/>
      <c r="V769" s="2"/>
      <c r="W769" s="2"/>
      <c r="X769" s="2"/>
      <c r="Y769" s="2"/>
    </row>
    <row r="770">
      <c r="A770" s="30">
        <f>IFERROR(__xludf.DUMMYFUNCTION("""COMPUTED_VALUE"""),767.0)</f>
        <v>767</v>
      </c>
      <c r="B770" s="39">
        <f>IFERROR(__xludf.DUMMYFUNCTION("""COMPUTED_VALUE"""),45964.0)</f>
        <v>45964</v>
      </c>
      <c r="C770" s="30">
        <f>IFERROR(__xludf.DUMMYFUNCTION("""COMPUTED_VALUE"""),3.0)</f>
        <v>3</v>
      </c>
      <c r="D770" s="30" t="str">
        <f>IFERROR(__xludf.DUMMYFUNCTION("""COMPUTED_VALUE"""),"CT CŨ")</f>
        <v>CT CŨ</v>
      </c>
      <c r="E770" s="46">
        <f>IFERROR(__xludf.DUMMYFUNCTION("""COMPUTED_VALUE"""),46128.0)</f>
        <v>46128</v>
      </c>
      <c r="F770" s="2" t="str">
        <f>IFERROR(__xludf.DUMMYFUNCTION("""COMPUTED_VALUE"""),"ATP16042602")</f>
        <v>ATP16042602</v>
      </c>
      <c r="G770" s="2" t="str">
        <f>IFERROR(__xludf.DUMMYFUNCTION("""COMPUTED_VALUE"""),"HH4479")</f>
        <v>HH4479</v>
      </c>
      <c r="H770" s="2" t="str">
        <f>IFERROR(__xludf.DUMMYFUNCTION("""COMPUTED_VALUE"""),"GC - V - 4479 - CTY QUANG ĐĂNG AGRICULTURE (ĐL ÚT TIỆP) - COMBI GREEN (Nước trắng sữa) - 250ml - 40")</f>
        <v>GC - V - 4479 - CTY QUANG ĐĂNG AGRICULTURE (ĐL ÚT TIỆP) - COMBI GREEN (Nước trắng sữa) - 250ml - 40</v>
      </c>
      <c r="I770" s="2" t="str">
        <f>IFERROR(__xludf.DUMMYFUNCTION("""COMPUTED_VALUE"""),"vi lượng Phú Sĩ FJ-09 Kẽm Mg")</f>
        <v>vi lượng Phú Sĩ FJ-09 Kẽm Mg</v>
      </c>
      <c r="J770" s="2" t="str">
        <f>IFERROR(__xludf.DUMMYFUNCTION("""COMPUTED_VALUE"""),"A02011025")</f>
        <v>A02011025</v>
      </c>
      <c r="K770" s="39">
        <f>IFERROR(__xludf.DUMMYFUNCTION("""COMPUTED_VALUE"""),46137.0)</f>
        <v>46137</v>
      </c>
      <c r="L770" s="2" t="str">
        <f>IFERROR(__xludf.DUMMYFUNCTION("""COMPUTED_VALUE"""),"A02011025")</f>
        <v>A02011025</v>
      </c>
      <c r="M770" s="2" t="str">
        <f>IFERROR(__xludf.DUMMYFUNCTION("""COMPUTED_VALUE"""),"Mg Zn Cao cấp")</f>
        <v>Mg Zn Cao cấp</v>
      </c>
      <c r="N770" s="2" t="str">
        <f>IFERROR(__xludf.DUMMYFUNCTION("""COMPUTED_VALUE"""),"23GS0015")</f>
        <v>23GS0015</v>
      </c>
      <c r="O770" s="2" t="str">
        <f>IFERROR(__xludf.DUMMYFUNCTION("""COMPUTED_VALUE"""),"Phân bón vi lượng Phú Sĩ FJ-09 Kẽm Mg")</f>
        <v>Phân bón vi lượng Phú Sĩ FJ-09 Kẽm Mg</v>
      </c>
      <c r="P770" s="2" t="str">
        <f>IFERROR(__xludf.DUMMYFUNCTION("""COMPUTED_VALUE"""),"Phân bón vi lượng Phú Sĩ FJ-09 Kẽm Mg")</f>
        <v>Phân bón vi lượng Phú Sĩ FJ-09 Kẽm Mg</v>
      </c>
      <c r="Q770" s="30" t="str">
        <f>IFERROR(__xludf.DUMMYFUNCTION("""COMPUTED_VALUE"""),"KHỚP")</f>
        <v>KHỚP</v>
      </c>
      <c r="R770" s="2"/>
      <c r="S770" s="2"/>
      <c r="T770" s="2"/>
      <c r="U770" s="2"/>
      <c r="V770" s="2"/>
      <c r="W770" s="2"/>
      <c r="X770" s="2"/>
      <c r="Y770" s="2"/>
    </row>
    <row r="771">
      <c r="A771" s="30">
        <f>IFERROR(__xludf.DUMMYFUNCTION("""COMPUTED_VALUE"""),768.0)</f>
        <v>768</v>
      </c>
      <c r="B771" s="39">
        <f>IFERROR(__xludf.DUMMYFUNCTION("""COMPUTED_VALUE"""),45964.0)</f>
        <v>45964</v>
      </c>
      <c r="C771" s="30">
        <f>IFERROR(__xludf.DUMMYFUNCTION("""COMPUTED_VALUE"""),1.0)</f>
        <v>1</v>
      </c>
      <c r="D771" s="30" t="str">
        <f>IFERROR(__xludf.DUMMYFUNCTION("""COMPUTED_VALUE"""),"CT CŨ")</f>
        <v>CT CŨ</v>
      </c>
      <c r="E771" s="46">
        <f>IFERROR(__xludf.DUMMYFUNCTION("""COMPUTED_VALUE"""),46129.0)</f>
        <v>46129</v>
      </c>
      <c r="F771" s="2" t="str">
        <f>IFERROR(__xludf.DUMMYFUNCTION("""COMPUTED_VALUE"""),"ATP17042601")</f>
        <v>ATP17042601</v>
      </c>
      <c r="G771" s="2" t="str">
        <f>IFERROR(__xludf.DUMMYFUNCTION("""COMPUTED_VALUE"""),"HH4961")</f>
        <v>HH4961</v>
      </c>
      <c r="H771" s="2" t="str">
        <f>IFERROR(__xludf.DUMMYFUNCTION("""COMPUTED_VALUE"""),"GC - V - 4961 - CTY NÔNG NGHIỆP ĐĂNG KHOA - TO TRÁI ĐK VIP (Nước nâu đen) - 2L -10")</f>
        <v>GC - V - 4961 - CTY NÔNG NGHIỆP ĐĂNG KHOA - TO TRÁI ĐK VIP (Nước nâu đen) - 2L -10</v>
      </c>
      <c r="I771" s="2" t="str">
        <f>IFERROR(__xludf.DUMMYFUNCTION("""COMPUTED_VALUE"""),"Lá PK-Vi lượng SV 5-18")</f>
        <v>Lá PK-Vi lượng SV 5-18</v>
      </c>
      <c r="J771" s="2" t="str">
        <f>IFERROR(__xludf.DUMMYFUNCTION("""COMPUTED_VALUE"""),"A05190825")</f>
        <v>A05190825</v>
      </c>
      <c r="K771" s="39">
        <f>IFERROR(__xludf.DUMMYFUNCTION("""COMPUTED_VALUE"""),46137.0)</f>
        <v>46137</v>
      </c>
      <c r="L771" s="2" t="str">
        <f>IFERROR(__xludf.DUMMYFUNCTION("""COMPUTED_VALUE"""),"A05190825")</f>
        <v>A05190825</v>
      </c>
      <c r="M771" s="2" t="str">
        <f>IFERROR(__xludf.DUMMYFUNCTION("""COMPUTED_VALUE"""),"SUPER NANO VÔ GẠO
0 - 5 - 18 ")</f>
        <v>SUPER NANO VÔ GẠO
0 - 5 - 18 </v>
      </c>
      <c r="N771" s="2" t="str">
        <f>IFERROR(__xludf.DUMMYFUNCTION("""COMPUTED_VALUE"""),"04VG0045")</f>
        <v>04VG0045</v>
      </c>
      <c r="O771" s="2" t="str">
        <f>IFERROR(__xludf.DUMMYFUNCTION("""COMPUTED_VALUE"""),"Phân bón lá PK-Vi lượng SV 5-18")</f>
        <v>Phân bón lá PK-Vi lượng SV 5-18</v>
      </c>
      <c r="P771" s="2" t="str">
        <f>IFERROR(__xludf.DUMMYFUNCTION("""COMPUTED_VALUE"""),"Phân bón Lá PK-Vi lượng SV 5-18")</f>
        <v>Phân bón Lá PK-Vi lượng SV 5-18</v>
      </c>
      <c r="Q771" s="30" t="str">
        <f>IFERROR(__xludf.DUMMYFUNCTION("""COMPUTED_VALUE"""),"KHỚP")</f>
        <v>KHỚP</v>
      </c>
      <c r="R771" s="2"/>
      <c r="S771" s="2"/>
      <c r="T771" s="2"/>
      <c r="U771" s="2"/>
      <c r="V771" s="2"/>
      <c r="W771" s="2"/>
      <c r="X771" s="2"/>
      <c r="Y771" s="2"/>
    </row>
    <row r="772">
      <c r="A772" s="30">
        <f>IFERROR(__xludf.DUMMYFUNCTION("""COMPUTED_VALUE"""),769.0)</f>
        <v>769</v>
      </c>
      <c r="B772" s="39">
        <f>IFERROR(__xludf.DUMMYFUNCTION("""COMPUTED_VALUE"""),45896.0)</f>
        <v>45896</v>
      </c>
      <c r="C772" s="30">
        <f>IFERROR(__xludf.DUMMYFUNCTION("""COMPUTED_VALUE"""),2.0)</f>
        <v>2</v>
      </c>
      <c r="D772" s="30" t="str">
        <f>IFERROR(__xludf.DUMMYFUNCTION("""COMPUTED_VALUE"""),"CT CŨ")</f>
        <v>CT CŨ</v>
      </c>
      <c r="E772" s="46">
        <f>IFERROR(__xludf.DUMMYFUNCTION("""COMPUTED_VALUE"""),46130.0)</f>
        <v>46130</v>
      </c>
      <c r="F772" s="2" t="str">
        <f>IFERROR(__xludf.DUMMYFUNCTION("""COMPUTED_VALUE"""),"ATP18042601")</f>
        <v>ATP18042601</v>
      </c>
      <c r="G772" s="2" t="str">
        <f>IFERROR(__xludf.DUMMYFUNCTION("""COMPUTED_VALUE"""),"HH4725")</f>
        <v>HH4725</v>
      </c>
      <c r="H772" s="2" t="str">
        <f>IFERROR(__xludf.DUMMYFUNCTION("""COMPUTED_VALUE"""),"GC - V - 4725 - KIM NGỌC - AGAMA-CANXI BO (Nước trắng sữa) - 500ml - 40")</f>
        <v>GC - V - 4725 - KIM NGỌC - AGAMA-CANXI BO (Nước trắng sữa) - 500ml - 40</v>
      </c>
      <c r="I772" s="2" t="str">
        <f>IFERROR(__xludf.DUMMYFUNCTION("""COMPUTED_VALUE"""),"Vi lượng AGAMA-CANXI BO")</f>
        <v>Vi lượng AGAMA-CANXI BO</v>
      </c>
      <c r="J772" s="2" t="str">
        <f>IFERROR(__xludf.DUMMYFUNCTION("""COMPUTED_VALUE"""),"A02160725")</f>
        <v>A02160725</v>
      </c>
      <c r="K772" s="39">
        <f>IFERROR(__xludf.DUMMYFUNCTION("""COMPUTED_VALUE"""),46139.0)</f>
        <v>46139</v>
      </c>
      <c r="L772" s="2" t="str">
        <f>IFERROR(__xludf.DUMMYFUNCTION("""COMPUTED_VALUE"""),"A02160725")</f>
        <v>A02160725</v>
      </c>
      <c r="M772" s="2" t="str">
        <f>IFERROR(__xludf.DUMMYFUNCTION("""COMPUTED_VALUE"""),"AGAMA-CANXI BO
(KIM NGỌC)")</f>
        <v>AGAMA-CANXI BO
(KIM NGỌC)</v>
      </c>
      <c r="N772" s="2" t="str">
        <f>IFERROR(__xludf.DUMMYFUNCTION("""COMPUTED_VALUE"""),"10CR0021")</f>
        <v>10CR0021</v>
      </c>
      <c r="O772" s="2" t="str">
        <f>IFERROR(__xludf.DUMMYFUNCTION("""COMPUTED_VALUE"""),"Phân bón Vi lượng AGAMA-CANXI BO")</f>
        <v>Phân bón Vi lượng AGAMA-CANXI BO</v>
      </c>
      <c r="P772" s="2" t="str">
        <f>IFERROR(__xludf.DUMMYFUNCTION("""COMPUTED_VALUE"""),"Phân bón Vi lượng AGAMA-CANXI BO")</f>
        <v>Phân bón Vi lượng AGAMA-CANXI BO</v>
      </c>
      <c r="Q772" s="30" t="str">
        <f>IFERROR(__xludf.DUMMYFUNCTION("""COMPUTED_VALUE"""),"KHỚP")</f>
        <v>KHỚP</v>
      </c>
      <c r="R772" s="2"/>
      <c r="S772" s="2"/>
      <c r="T772" s="2"/>
      <c r="U772" s="2"/>
      <c r="V772" s="2"/>
      <c r="W772" s="2"/>
      <c r="X772" s="2"/>
      <c r="Y772" s="2"/>
    </row>
    <row r="773">
      <c r="A773" s="30">
        <f>IFERROR(__xludf.DUMMYFUNCTION("""COMPUTED_VALUE"""),770.0)</f>
        <v>770</v>
      </c>
      <c r="B773" s="39">
        <f>IFERROR(__xludf.DUMMYFUNCTION("""COMPUTED_VALUE"""),45940.0)</f>
        <v>45940</v>
      </c>
      <c r="C773" s="30">
        <f>IFERROR(__xludf.DUMMYFUNCTION("""COMPUTED_VALUE"""),7.0)</f>
        <v>7</v>
      </c>
      <c r="D773" s="30" t="str">
        <f>IFERROR(__xludf.DUMMYFUNCTION("""COMPUTED_VALUE"""),"CT CŨ")</f>
        <v>CT CŨ</v>
      </c>
      <c r="E773" s="46">
        <f>IFERROR(__xludf.DUMMYFUNCTION("""COMPUTED_VALUE"""),46130.0)</f>
        <v>46130</v>
      </c>
      <c r="F773" s="2" t="str">
        <f>IFERROR(__xludf.DUMMYFUNCTION("""COMPUTED_VALUE"""),"ITP18042601")</f>
        <v>ITP18042601</v>
      </c>
      <c r="G773" s="2" t="str">
        <f>IFERROR(__xludf.DUMMYFUNCTION("""COMPUTED_VALUE"""),"HH4311")</f>
        <v>HH4311</v>
      </c>
      <c r="H773" s="2" t="str">
        <f>IFERROR(__xludf.DUMMYFUNCTION("""COMPUTED_VALUE"""),"BAMBOO - VI - 4311 - BAMBOO 777 TE (nước xanh lơ) - 1L - 20")</f>
        <v>BAMBOO - VI - 4311 - BAMBOO 777 TE (nước xanh lơ) - 1L - 20</v>
      </c>
      <c r="I773" s="2" t="str">
        <f>IFERROR(__xludf.DUMMYFUNCTION("""COMPUTED_VALUE"""),"lá NPK-vi lượng GNC19")</f>
        <v>lá NPK-vi lượng GNC19</v>
      </c>
      <c r="J773" s="2" t="str">
        <f>IFERROR(__xludf.DUMMYFUNCTION("""COMPUTED_VALUE"""),"Đóng theo đơn gần nhất")</f>
        <v>Đóng theo đơn gần nhất</v>
      </c>
      <c r="K773" s="39">
        <f>IFERROR(__xludf.DUMMYFUNCTION("""COMPUTED_VALUE"""),46136.0)</f>
        <v>46136</v>
      </c>
      <c r="L773" s="2" t="str">
        <f>IFERROR(__xludf.DUMMYFUNCTION("""COMPUTED_VALUE"""),"BB25040725")</f>
        <v>BB25040725</v>
      </c>
      <c r="M773" s="2" t="str">
        <f>IFERROR(__xludf.DUMMYFUNCTION("""COMPUTED_VALUE"""),"BAMBOO 777 TE")</f>
        <v>BAMBOO 777 TE</v>
      </c>
      <c r="N773" s="2" t="str">
        <f>IFERROR(__xludf.DUMMYFUNCTION("""COMPUTED_VALUE"""),"03DD0015V1")</f>
        <v>03DD0015V1</v>
      </c>
      <c r="O773" s="2" t="str">
        <f>IFERROR(__xludf.DUMMYFUNCTION("""COMPUTED_VALUE"""),"Phân bón lá NPK-Vi lượng GNC 19")</f>
        <v>Phân bón lá NPK-Vi lượng GNC 19</v>
      </c>
      <c r="P773" s="2" t="str">
        <f>IFERROR(__xludf.DUMMYFUNCTION("""COMPUTED_VALUE"""),"Phân bón lá NPK-vi lượng GNC19")</f>
        <v>Phân bón lá NPK-vi lượng GNC19</v>
      </c>
      <c r="Q773" s="30" t="str">
        <f>IFERROR(__xludf.DUMMYFUNCTION("""COMPUTED_VALUE"""),"KHỚP")</f>
        <v>KHỚP</v>
      </c>
      <c r="R773" s="2"/>
      <c r="S773" s="2"/>
      <c r="T773" s="2"/>
      <c r="U773" s="2"/>
      <c r="V773" s="2"/>
      <c r="W773" s="2"/>
      <c r="X773" s="2"/>
      <c r="Y773" s="2"/>
    </row>
    <row r="774">
      <c r="A774" s="30">
        <f>IFERROR(__xludf.DUMMYFUNCTION("""COMPUTED_VALUE"""),771.0)</f>
        <v>771</v>
      </c>
      <c r="B774" s="39">
        <f>IFERROR(__xludf.DUMMYFUNCTION("""COMPUTED_VALUE"""),45896.0)</f>
        <v>45896</v>
      </c>
      <c r="C774" s="30">
        <f>IFERROR(__xludf.DUMMYFUNCTION("""COMPUTED_VALUE"""),1.0)</f>
        <v>1</v>
      </c>
      <c r="D774" s="30" t="str">
        <f>IFERROR(__xludf.DUMMYFUNCTION("""COMPUTED_VALUE"""),"CT CŨ")</f>
        <v>CT CŨ</v>
      </c>
      <c r="E774" s="46">
        <f>IFERROR(__xludf.DUMMYFUNCTION("""COMPUTED_VALUE"""),46130.0)</f>
        <v>46130</v>
      </c>
      <c r="F774" s="2" t="str">
        <f>IFERROR(__xludf.DUMMYFUNCTION("""COMPUTED_VALUE"""),"ATP18042605")</f>
        <v>ATP18042605</v>
      </c>
      <c r="G774" s="2" t="str">
        <f>IFERROR(__xludf.DUMMYFUNCTION("""COMPUTED_VALUE"""),"HH4947")</f>
        <v>HH4947</v>
      </c>
      <c r="H774" s="2" t="str">
        <f>IFERROR(__xludf.DUMMYFUNCTION("""COMPUTED_VALUE"""),"GC - V - 4947 - CTY BIOCHEM TẤN PHÁT - AGAMA CANXI-BO (Nước trắng sữa) - 500ml - 40")</f>
        <v>GC - V - 4947 - CTY BIOCHEM TẤN PHÁT - AGAMA CANXI-BO (Nước trắng sữa) - 500ml - 40</v>
      </c>
      <c r="I774" s="2" t="str">
        <f>IFERROR(__xludf.DUMMYFUNCTION("""COMPUTED_VALUE"""),"Vi lượng AGAMA-CANXI BO")</f>
        <v>Vi lượng AGAMA-CANXI BO</v>
      </c>
      <c r="J774" s="2" t="str">
        <f>IFERROR(__xludf.DUMMYFUNCTION("""COMPUTED_VALUE"""),"A02160725")</f>
        <v>A02160725</v>
      </c>
      <c r="K774" s="39">
        <f>IFERROR(__xludf.DUMMYFUNCTION("""COMPUTED_VALUE"""),46140.0)</f>
        <v>46140</v>
      </c>
      <c r="L774" s="2" t="str">
        <f>IFERROR(__xludf.DUMMYFUNCTION("""COMPUTED_VALUE"""),"A02160725")</f>
        <v>A02160725</v>
      </c>
      <c r="M774" s="2" t="str">
        <f>IFERROR(__xludf.DUMMYFUNCTION("""COMPUTED_VALUE"""),"AGAMA-CANXI BO
(KIM NGỌC)")</f>
        <v>AGAMA-CANXI BO
(KIM NGỌC)</v>
      </c>
      <c r="N774" s="2" t="str">
        <f>IFERROR(__xludf.DUMMYFUNCTION("""COMPUTED_VALUE"""),"10CR0021")</f>
        <v>10CR0021</v>
      </c>
      <c r="O774" s="2" t="str">
        <f>IFERROR(__xludf.DUMMYFUNCTION("""COMPUTED_VALUE"""),"Phân bón Vi lượng AGAMA-CANXI BO")</f>
        <v>Phân bón Vi lượng AGAMA-CANXI BO</v>
      </c>
      <c r="P774" s="2" t="str">
        <f>IFERROR(__xludf.DUMMYFUNCTION("""COMPUTED_VALUE"""),"Phân bón Vi lượng AGAMA-CANXI BO")</f>
        <v>Phân bón Vi lượng AGAMA-CANXI BO</v>
      </c>
      <c r="Q774" s="30" t="str">
        <f>IFERROR(__xludf.DUMMYFUNCTION("""COMPUTED_VALUE"""),"KHỚP")</f>
        <v>KHỚP</v>
      </c>
      <c r="R774" s="2"/>
      <c r="S774" s="2"/>
      <c r="T774" s="2"/>
      <c r="U774" s="2"/>
      <c r="V774" s="2"/>
      <c r="W774" s="2"/>
      <c r="X774" s="2"/>
      <c r="Y774" s="2"/>
    </row>
    <row r="775">
      <c r="A775" s="30">
        <f>IFERROR(__xludf.DUMMYFUNCTION("""COMPUTED_VALUE"""),772.0)</f>
        <v>772</v>
      </c>
      <c r="B775" s="39">
        <f>IFERROR(__xludf.DUMMYFUNCTION("""COMPUTED_VALUE"""),46116.0)</f>
        <v>46116</v>
      </c>
      <c r="C775" s="30">
        <f>IFERROR(__xludf.DUMMYFUNCTION("""COMPUTED_VALUE"""),16.0)</f>
        <v>16</v>
      </c>
      <c r="D775" s="30" t="str">
        <f>IFERROR(__xludf.DUMMYFUNCTION("""COMPUTED_VALUE"""),"CT CŨ")</f>
        <v>CT CŨ</v>
      </c>
      <c r="E775" s="46">
        <f>IFERROR(__xludf.DUMMYFUNCTION("""COMPUTED_VALUE"""),46132.0)</f>
        <v>46132</v>
      </c>
      <c r="F775" s="2" t="str">
        <f>IFERROR(__xludf.DUMMYFUNCTION("""COMPUTED_VALUE"""),"ITP20042601")</f>
        <v>ITP20042601</v>
      </c>
      <c r="G775" s="2" t="str">
        <f>IFERROR(__xludf.DUMMYFUNCTION("""COMPUTED_VALUE"""),"HH4375")</f>
        <v>HH4375</v>
      </c>
      <c r="H775" s="2" t="str">
        <f>IFERROR(__xludf.DUMMYFUNCTION("""COMPUTED_VALUE"""),"BAMBOO - VI - 4375 - BAMBOO CANXI BO MASTER (Nước trắng sữa) - 1L - 20")</f>
        <v>BAMBOO - VI - 4375 - BAMBOO CANXI BO MASTER (Nước trắng sữa) - 1L - 20</v>
      </c>
      <c r="I775" s="2" t="str">
        <f>IFERROR(__xludf.DUMMYFUNCTION("""COMPUTED_VALUE"""),"Vi lượng AGAMA-CANXI BO")</f>
        <v>Vi lượng AGAMA-CANXI BO</v>
      </c>
      <c r="J775" s="2" t="str">
        <f>IFERROR(__xludf.DUMMYFUNCTION("""COMPUTED_VALUE"""),"Đóng theo đơn gần nhất")</f>
        <v>Đóng theo đơn gần nhất</v>
      </c>
      <c r="K775" s="39">
        <f>IFERROR(__xludf.DUMMYFUNCTION("""COMPUTED_VALUE"""),46147.0)</f>
        <v>46147</v>
      </c>
      <c r="L775" s="2"/>
      <c r="M775" s="2" t="str">
        <f>IFERROR(__xludf.DUMMYFUNCTION("""COMPUTED_VALUE"""),"CANXI BO MASTER")</f>
        <v>CANXI BO MASTER</v>
      </c>
      <c r="N775" s="2" t="str">
        <f>IFERROR(__xludf.DUMMYFUNCTION("""COMPUTED_VALUE"""),"10CR0015V2")</f>
        <v>10CR0015V2</v>
      </c>
      <c r="O775" s="2" t="str">
        <f>IFERROR(__xludf.DUMMYFUNCTION("""COMPUTED_VALUE"""),"Phân bón Vi lượng AGAMA-CANXI BO")</f>
        <v>Phân bón Vi lượng AGAMA-CANXI BO</v>
      </c>
      <c r="P775" s="2" t="str">
        <f>IFERROR(__xludf.DUMMYFUNCTION("""COMPUTED_VALUE"""),"Phân bón Vi lượng AGAMA-CANXI BO")</f>
        <v>Phân bón Vi lượng AGAMA-CANXI BO</v>
      </c>
      <c r="Q775" s="30" t="str">
        <f>IFERROR(__xludf.DUMMYFUNCTION("""COMPUTED_VALUE"""),"KHỚP")</f>
        <v>KHỚP</v>
      </c>
      <c r="R775" s="2"/>
      <c r="S775" s="2"/>
      <c r="T775" s="2"/>
      <c r="U775" s="2"/>
      <c r="V775" s="2"/>
      <c r="W775" s="2"/>
      <c r="X775" s="2"/>
      <c r="Y775" s="2"/>
    </row>
    <row r="776">
      <c r="A776" s="30">
        <f>IFERROR(__xludf.DUMMYFUNCTION("""COMPUTED_VALUE"""),773.0)</f>
        <v>773</v>
      </c>
      <c r="B776" s="39">
        <f>IFERROR(__xludf.DUMMYFUNCTION("""COMPUTED_VALUE"""),45908.0)</f>
        <v>45908</v>
      </c>
      <c r="C776" s="30">
        <f>IFERROR(__xludf.DUMMYFUNCTION("""COMPUTED_VALUE"""),1.0)</f>
        <v>1</v>
      </c>
      <c r="D776" s="30" t="str">
        <f>IFERROR(__xludf.DUMMYFUNCTION("""COMPUTED_VALUE"""),"CT CŨ")</f>
        <v>CT CŨ</v>
      </c>
      <c r="E776" s="46">
        <f>IFERROR(__xludf.DUMMYFUNCTION("""COMPUTED_VALUE"""),46133.0)</f>
        <v>46133</v>
      </c>
      <c r="F776" s="2" t="str">
        <f>IFERROR(__xludf.DUMMYFUNCTION("""COMPUTED_VALUE"""),"ATP21042601")</f>
        <v>ATP21042601</v>
      </c>
      <c r="G776" s="2" t="str">
        <f>IFERROR(__xludf.DUMMYFUNCTION("""COMPUTED_VALUE"""),"HH4960")</f>
        <v>HH4960</v>
      </c>
      <c r="H776" s="2" t="str">
        <f>IFERROR(__xludf.DUMMYFUNCTION("""COMPUTED_VALUE"""),"GC - V - 4960 - CTY AN LẠC - RA RỄ - NỞ BỤI (Nước nâu đen) - 500ml - 40")</f>
        <v>GC - V - 4960 - CTY AN LẠC - RA RỄ - NỞ BỤI (Nước nâu đen) - 500ml - 40</v>
      </c>
      <c r="I776" s="2" t="str">
        <f>IFERROR(__xludf.DUMMYFUNCTION("""COMPUTED_VALUE"""),"Hỗn Hợp NP AGAMA-AP")</f>
        <v>Hỗn Hợp NP AGAMA-AP</v>
      </c>
      <c r="J776" s="2" t="str">
        <f>IFERROR(__xludf.DUMMYFUNCTION("""COMPUTED_VALUE"""),"A20280225")</f>
        <v>A20280225</v>
      </c>
      <c r="K776" s="39">
        <f>IFERROR(__xludf.DUMMYFUNCTION("""COMPUTED_VALUE"""),46144.0)</f>
        <v>46144</v>
      </c>
      <c r="L776" s="2" t="str">
        <f>IFERROR(__xludf.DUMMYFUNCTION("""COMPUTED_VALUE"""),"A20280225")</f>
        <v>A20280225</v>
      </c>
      <c r="M776" s="2" t="str">
        <f>IFERROR(__xludf.DUMMYFUNCTION("""COMPUTED_VALUE"""),"BETA VUA RỄ")</f>
        <v>BETA VUA RỄ</v>
      </c>
      <c r="N776" s="2" t="str">
        <f>IFERROR(__xludf.DUMMYFUNCTION("""COMPUTED_VALUE"""),"01RR0050")</f>
        <v>01RR0050</v>
      </c>
      <c r="O776" s="2" t="str">
        <f>IFERROR(__xludf.DUMMYFUNCTION("""COMPUTED_VALUE"""),"Phân bón Hỗn hợp NP AGAMA-AP")</f>
        <v>Phân bón Hỗn hợp NP AGAMA-AP</v>
      </c>
      <c r="P776" s="2" t="str">
        <f>IFERROR(__xludf.DUMMYFUNCTION("""COMPUTED_VALUE"""),"Phân bón Hỗn Hợp NP AGAMA-AP")</f>
        <v>Phân bón Hỗn Hợp NP AGAMA-AP</v>
      </c>
      <c r="Q776" s="30" t="str">
        <f>IFERROR(__xludf.DUMMYFUNCTION("""COMPUTED_VALUE"""),"KHỚP")</f>
        <v>KHỚP</v>
      </c>
      <c r="R776" s="2"/>
      <c r="S776" s="2"/>
      <c r="T776" s="2"/>
      <c r="U776" s="2"/>
      <c r="V776" s="2"/>
      <c r="W776" s="2"/>
      <c r="X776" s="2"/>
      <c r="Y776" s="2"/>
    </row>
    <row r="777">
      <c r="A777" s="30">
        <f>IFERROR(__xludf.DUMMYFUNCTION("""COMPUTED_VALUE"""),774.0)</f>
        <v>774</v>
      </c>
      <c r="B777" s="39">
        <f>IFERROR(__xludf.DUMMYFUNCTION("""COMPUTED_VALUE"""),45896.0)</f>
        <v>45896</v>
      </c>
      <c r="C777" s="30">
        <f>IFERROR(__xludf.DUMMYFUNCTION("""COMPUTED_VALUE"""),1.0)</f>
        <v>1</v>
      </c>
      <c r="D777" s="30" t="str">
        <f>IFERROR(__xludf.DUMMYFUNCTION("""COMPUTED_VALUE"""),"CT MỚI")</f>
        <v>CT MỚI</v>
      </c>
      <c r="E777" s="46">
        <f>IFERROR(__xludf.DUMMYFUNCTION("""COMPUTED_VALUE"""),46133.0)</f>
        <v>46133</v>
      </c>
      <c r="F777" s="2" t="str">
        <f>IFERROR(__xludf.DUMMYFUNCTION("""COMPUTED_VALUE"""),"ATP21042602")</f>
        <v>ATP21042602</v>
      </c>
      <c r="G777" s="2" t="str">
        <f>IFERROR(__xludf.DUMMYFUNCTION("""COMPUTED_VALUE"""),"HH4965")</f>
        <v>HH4965</v>
      </c>
      <c r="H777" s="2" t="str">
        <f>IFERROR(__xludf.DUMMYFUNCTION("""COMPUTED_VALUE"""),"GC - V - 4965 - CTY AN LẠC - TO HẠT (Nước nâu đen) - 500ml - 40")</f>
        <v>GC - V - 4965 - CTY AN LẠC - TO HẠT (Nước nâu đen) - 500ml - 40</v>
      </c>
      <c r="I777" s="2" t="str">
        <f>IFERROR(__xludf.DUMMYFUNCTION("""COMPUTED_VALUE"""),"HỖN HỢP NPK AGAMA-SRH")</f>
        <v>HỖN HỢP NPK AGAMA-SRH</v>
      </c>
      <c r="J777" s="2" t="str">
        <f>IFERROR(__xludf.DUMMYFUNCTION("""COMPUTED_VALUE"""),"A05140426")</f>
        <v>A05140426</v>
      </c>
      <c r="K777" s="39">
        <f>IFERROR(__xludf.DUMMYFUNCTION("""COMPUTED_VALUE"""),46144.0)</f>
        <v>46144</v>
      </c>
      <c r="L777" s="2" t="str">
        <f>IFERROR(__xludf.DUMMYFUNCTION("""COMPUTED_VALUE"""),"A07190825
A05140426")</f>
        <v>A07190825
A05140426</v>
      </c>
      <c r="M777" s="2" t="str">
        <f>IFERROR(__xludf.DUMMYFUNCTION("""COMPUTED_VALUE"""),"VÔ GẠO NAUY")</f>
        <v>VÔ GẠO NAUY</v>
      </c>
      <c r="N777" s="2" t="str">
        <f>IFERROR(__xludf.DUMMYFUNCTION("""COMPUTED_VALUE"""),"04VG0039V1")</f>
        <v>04VG0039V1</v>
      </c>
      <c r="O777" s="2" t="str">
        <f>IFERROR(__xludf.DUMMYFUNCTION("""COMPUTED_VALUE"""),"Phân bón Hỗn hợp NPK AGAMA-SRH")</f>
        <v>Phân bón Hỗn hợp NPK AGAMA-SRH</v>
      </c>
      <c r="P777" s="2" t="str">
        <f>IFERROR(__xludf.DUMMYFUNCTION("""COMPUTED_VALUE"""),"Phân bón HỖN HỢP NPK AGAMA-SRH")</f>
        <v>Phân bón HỖN HỢP NPK AGAMA-SRH</v>
      </c>
      <c r="Q777" s="30" t="str">
        <f>IFERROR(__xludf.DUMMYFUNCTION("""COMPUTED_VALUE"""),"KHỚP")</f>
        <v>KHỚP</v>
      </c>
      <c r="R777" s="2"/>
      <c r="S777" s="2"/>
      <c r="T777" s="2"/>
      <c r="U777" s="2"/>
      <c r="V777" s="2"/>
      <c r="W777" s="2"/>
      <c r="X777" s="2"/>
      <c r="Y777" s="2"/>
    </row>
    <row r="778">
      <c r="A778" s="30">
        <f>IFERROR(__xludf.DUMMYFUNCTION("""COMPUTED_VALUE"""),775.0)</f>
        <v>775</v>
      </c>
      <c r="B778" s="39">
        <f>IFERROR(__xludf.DUMMYFUNCTION("""COMPUTED_VALUE"""),46036.0)</f>
        <v>46036</v>
      </c>
      <c r="C778" s="30">
        <f>IFERROR(__xludf.DUMMYFUNCTION("""COMPUTED_VALUE"""),7.0)</f>
        <v>7</v>
      </c>
      <c r="D778" s="30" t="str">
        <f>IFERROR(__xludf.DUMMYFUNCTION("""COMPUTED_VALUE"""),"CT CŨ")</f>
        <v>CT CŨ</v>
      </c>
      <c r="E778" s="46">
        <f>IFERROR(__xludf.DUMMYFUNCTION("""COMPUTED_VALUE"""),46133.0)</f>
        <v>46133</v>
      </c>
      <c r="F778" s="2" t="str">
        <f>IFERROR(__xludf.DUMMYFUNCTION("""COMPUTED_VALUE"""),"AYC21042601")</f>
        <v>AYC21042601</v>
      </c>
      <c r="G778" s="2" t="str">
        <f>IFERROR(__xludf.DUMMYFUNCTION("""COMPUTED_VALUE"""),"HH4642")</f>
        <v>HH4642</v>
      </c>
      <c r="H778" s="2" t="str">
        <f>IFERROR(__xludf.DUMMYFUNCTION("""COMPUTED_VALUE"""),"GC - V - 4642 - CTY HÓA NÔNG ĐẤT VIỆT - ĐẤT VIỆT BIOGREEN (Nước nâu đen) - 20 lít - 1")</f>
        <v>GC - V - 4642 - CTY HÓA NÔNG ĐẤT VIỆT - ĐẤT VIỆT BIOGREEN (Nước nâu đen) - 20 lít - 1</v>
      </c>
      <c r="I778" s="2" t="str">
        <f>IFERROR(__xludf.DUMMYFUNCTION("""COMPUTED_VALUE"""),"Hữu Cơ Organic ĐGP 01")</f>
        <v>Hữu Cơ Organic ĐGP 01</v>
      </c>
      <c r="J778" s="2" t="str">
        <f>IFERROR(__xludf.DUMMYFUNCTION("""COMPUTED_VALUE"""),"A05181225- 01")</f>
        <v>A05181225- 01</v>
      </c>
      <c r="K778" s="39">
        <f>IFERROR(__xludf.DUMMYFUNCTION("""COMPUTED_VALUE"""),46135.0)</f>
        <v>46135</v>
      </c>
      <c r="L778" s="2" t="str">
        <f>IFERROR(__xludf.DUMMYFUNCTION("""COMPUTED_VALUE"""),"A05181225-01
I03240326")</f>
        <v>A05181225-01
I03240326</v>
      </c>
      <c r="M778" s="2" t="str">
        <f>IFERROR(__xludf.DUMMYFUNCTION("""COMPUTED_VALUE"""),"HỮU CƠ 20%")</f>
        <v>HỮU CƠ 20%</v>
      </c>
      <c r="N778" s="2" t="str">
        <f>IFERROR(__xludf.DUMMYFUNCTION("""COMPUTED_VALUE"""),"01RR0079V1")</f>
        <v>01RR0079V1</v>
      </c>
      <c r="O778" s="2" t="str">
        <f>IFERROR(__xludf.DUMMYFUNCTION("""COMPUTED_VALUE"""),"Phân bón Hữu cơ ORGANIC ĐGP 01 ")</f>
        <v>Phân bón Hữu cơ ORGANIC ĐGP 01 </v>
      </c>
      <c r="P778" s="2" t="str">
        <f>IFERROR(__xludf.DUMMYFUNCTION("""COMPUTED_VALUE"""),"Phân bón Hữu Cơ Organic ĐGP 01")</f>
        <v>Phân bón Hữu Cơ Organic ĐGP 01</v>
      </c>
      <c r="Q778" s="30" t="str">
        <f>IFERROR(__xludf.DUMMYFUNCTION("""COMPUTED_VALUE"""),"KHỚP")</f>
        <v>KHỚP</v>
      </c>
      <c r="R778" s="2"/>
      <c r="S778" s="2"/>
      <c r="T778" s="2"/>
      <c r="U778" s="2"/>
      <c r="V778" s="2"/>
      <c r="W778" s="2"/>
      <c r="X778" s="2"/>
      <c r="Y778" s="2"/>
    </row>
    <row r="779">
      <c r="A779" s="30">
        <f>IFERROR(__xludf.DUMMYFUNCTION("""COMPUTED_VALUE"""),776.0)</f>
        <v>776</v>
      </c>
      <c r="B779" s="39">
        <f>IFERROR(__xludf.DUMMYFUNCTION("""COMPUTED_VALUE"""),46105.0)</f>
        <v>46105</v>
      </c>
      <c r="C779" s="30">
        <f>IFERROR(__xludf.DUMMYFUNCTION("""COMPUTED_VALUE"""),1.0)</f>
        <v>1</v>
      </c>
      <c r="D779" s="30" t="str">
        <f>IFERROR(__xludf.DUMMYFUNCTION("""COMPUTED_VALUE"""),"HUỶ ĐƠN")</f>
        <v>HUỶ ĐƠN</v>
      </c>
      <c r="E779" s="46">
        <f>IFERROR(__xludf.DUMMYFUNCTION("""COMPUTED_VALUE"""),46133.0)</f>
        <v>46133</v>
      </c>
      <c r="F779" s="2" t="str">
        <f>IFERROR(__xludf.DUMMYFUNCTION("""COMPUTED_VALUE"""),"ATP21042603")</f>
        <v>ATP21042603</v>
      </c>
      <c r="G779" s="2" t="str">
        <f>IFERROR(__xludf.DUMMYFUNCTION("""COMPUTED_VALUE"""),"HH4975")</f>
        <v>HH4975</v>
      </c>
      <c r="H779" s="2" t="str">
        <f>IFERROR(__xludf.DUMMYFUNCTION("""COMPUTED_VALUE"""),"GC - V - 4975 - CTY DONA VINA - GEL VÔ GẠO (Nước vàng) - 500ml - 40")</f>
        <v>GC - V - 4975 - CTY DONA VINA - GEL VÔ GẠO (Nước vàng) - 500ml - 40</v>
      </c>
      <c r="I779" s="2" t="str">
        <f>IFERROR(__xludf.DUMMYFUNCTION("""COMPUTED_VALUE"""),"Lá PK-Vi lượng SV 5-18")</f>
        <v>Lá PK-Vi lượng SV 5-18</v>
      </c>
      <c r="J779" s="2" t="str">
        <f>IFERROR(__xludf.DUMMYFUNCTION("""COMPUTED_VALUE"""),"A06190825")</f>
        <v>A06190825</v>
      </c>
      <c r="K779" s="39">
        <f>IFERROR(__xludf.DUMMYFUNCTION("""COMPUTED_VALUE"""),46150.0)</f>
        <v>46150</v>
      </c>
      <c r="L779" s="2" t="str">
        <f>IFERROR(__xludf.DUMMYFUNCTION("""COMPUTED_VALUE"""),"A06190825")</f>
        <v>A06190825</v>
      </c>
      <c r="M779" s="2" t="str">
        <f>IFERROR(__xludf.DUMMYFUNCTION("""COMPUTED_VALUE"""),"SUPER VÔ GẠO")</f>
        <v>SUPER VÔ GẠO</v>
      </c>
      <c r="N779" s="2" t="str">
        <f>IFERROR(__xludf.DUMMYFUNCTION("""COMPUTED_VALUE"""),"04VG0057")</f>
        <v>04VG0057</v>
      </c>
      <c r="O779" s="2" t="str">
        <f>IFERROR(__xludf.DUMMYFUNCTION("""COMPUTED_VALUE"""),"Phân bón lá PK-Vi lượng SV 5-18")</f>
        <v>Phân bón lá PK-Vi lượng SV 5-18</v>
      </c>
      <c r="P779" s="2" t="str">
        <f>IFERROR(__xludf.DUMMYFUNCTION("""COMPUTED_VALUE"""),"Phân bón Lá PK-Vi lượng SV 5-18")</f>
        <v>Phân bón Lá PK-Vi lượng SV 5-18</v>
      </c>
      <c r="Q779" s="30" t="str">
        <f>IFERROR(__xludf.DUMMYFUNCTION("""COMPUTED_VALUE"""),"KHỚP")</f>
        <v>KHỚP</v>
      </c>
      <c r="R779" s="2"/>
      <c r="S779" s="2"/>
      <c r="T779" s="2"/>
      <c r="U779" s="2"/>
      <c r="V779" s="2"/>
      <c r="W779" s="2"/>
      <c r="X779" s="2"/>
      <c r="Y779" s="2"/>
    </row>
    <row r="780">
      <c r="A780" s="30">
        <f>IFERROR(__xludf.DUMMYFUNCTION("""COMPUTED_VALUE"""),777.0)</f>
        <v>777</v>
      </c>
      <c r="B780" s="39">
        <f>IFERROR(__xludf.DUMMYFUNCTION("""COMPUTED_VALUE"""),46036.0)</f>
        <v>46036</v>
      </c>
      <c r="C780" s="30">
        <f>IFERROR(__xludf.DUMMYFUNCTION("""COMPUTED_VALUE"""),8.0)</f>
        <v>8</v>
      </c>
      <c r="D780" s="30" t="str">
        <f>IFERROR(__xludf.DUMMYFUNCTION("""COMPUTED_VALUE"""),"CT CŨ")</f>
        <v>CT CŨ</v>
      </c>
      <c r="E780" s="46">
        <f>IFERROR(__xludf.DUMMYFUNCTION("""COMPUTED_VALUE"""),46134.0)</f>
        <v>46134</v>
      </c>
      <c r="F780" s="2" t="str">
        <f>IFERROR(__xludf.DUMMYFUNCTION("""COMPUTED_VALUE"""),"ATP22042602")</f>
        <v>ATP22042602</v>
      </c>
      <c r="G780" s="2" t="str">
        <f>IFERROR(__xludf.DUMMYFUNCTION("""COMPUTED_VALUE"""),"HH4642")</f>
        <v>HH4642</v>
      </c>
      <c r="H780" s="2" t="str">
        <f>IFERROR(__xludf.DUMMYFUNCTION("""COMPUTED_VALUE"""),"GC - V - 4642 - CTY HÓA NÔNG ĐẤT VIỆT - ĐẤT VIỆT BIOGREEN (Nước nâu đen) - 20 lít - 1")</f>
        <v>GC - V - 4642 - CTY HÓA NÔNG ĐẤT VIỆT - ĐẤT VIỆT BIOGREEN (Nước nâu đen) - 20 lít - 1</v>
      </c>
      <c r="I780" s="2" t="str">
        <f>IFERROR(__xludf.DUMMYFUNCTION("""COMPUTED_VALUE"""),"Hữu Cơ Organic ĐGP 01")</f>
        <v>Hữu Cơ Organic ĐGP 01</v>
      </c>
      <c r="J780" s="2" t="str">
        <f>IFERROR(__xludf.DUMMYFUNCTION("""COMPUTED_VALUE"""),"A05181225- 01")</f>
        <v>A05181225- 01</v>
      </c>
      <c r="K780" s="39">
        <f>IFERROR(__xludf.DUMMYFUNCTION("""COMPUTED_VALUE"""),46147.0)</f>
        <v>46147</v>
      </c>
      <c r="L780" s="2" t="str">
        <f>IFERROR(__xludf.DUMMYFUNCTION("""COMPUTED_VALUE"""),"A05181225-01
I03240326")</f>
        <v>A05181225-01
I03240326</v>
      </c>
      <c r="M780" s="2" t="str">
        <f>IFERROR(__xludf.DUMMYFUNCTION("""COMPUTED_VALUE"""),"HỮU CƠ 20%")</f>
        <v>HỮU CƠ 20%</v>
      </c>
      <c r="N780" s="2" t="str">
        <f>IFERROR(__xludf.DUMMYFUNCTION("""COMPUTED_VALUE"""),"01RR0079V1")</f>
        <v>01RR0079V1</v>
      </c>
      <c r="O780" s="2" t="str">
        <f>IFERROR(__xludf.DUMMYFUNCTION("""COMPUTED_VALUE"""),"Phân bón Hữu cơ ORGANIC ĐGP 01 ")</f>
        <v>Phân bón Hữu cơ ORGANIC ĐGP 01 </v>
      </c>
      <c r="P780" s="2" t="str">
        <f>IFERROR(__xludf.DUMMYFUNCTION("""COMPUTED_VALUE"""),"Phân bón Hữu Cơ Organic ĐGP 01")</f>
        <v>Phân bón Hữu Cơ Organic ĐGP 01</v>
      </c>
      <c r="Q780" s="30" t="str">
        <f>IFERROR(__xludf.DUMMYFUNCTION("""COMPUTED_VALUE"""),"KHỚP")</f>
        <v>KHỚP</v>
      </c>
      <c r="R780" s="2"/>
      <c r="S780" s="2"/>
      <c r="T780" s="2"/>
      <c r="U780" s="2"/>
      <c r="V780" s="2"/>
      <c r="W780" s="2"/>
      <c r="X780" s="2"/>
      <c r="Y780" s="2"/>
    </row>
    <row r="781">
      <c r="A781" s="30">
        <f>IFERROR(__xludf.DUMMYFUNCTION("""COMPUTED_VALUE"""),778.0)</f>
        <v>778</v>
      </c>
      <c r="B781" s="39">
        <f>IFERROR(__xludf.DUMMYFUNCTION("""COMPUTED_VALUE"""),46024.0)</f>
        <v>46024</v>
      </c>
      <c r="C781" s="30">
        <f>IFERROR(__xludf.DUMMYFUNCTION("""COMPUTED_VALUE"""),2.0)</f>
        <v>2</v>
      </c>
      <c r="D781" s="30" t="str">
        <f>IFERROR(__xludf.DUMMYFUNCTION("""COMPUTED_VALUE"""),"CT CŨ")</f>
        <v>CT CŨ</v>
      </c>
      <c r="E781" s="46">
        <f>IFERROR(__xludf.DUMMYFUNCTION("""COMPUTED_VALUE"""),46134.0)</f>
        <v>46134</v>
      </c>
      <c r="F781" s="2" t="str">
        <f>IFERROR(__xludf.DUMMYFUNCTION("""COMPUTED_VALUE"""),"ATP22042603")</f>
        <v>ATP22042603</v>
      </c>
      <c r="G781" s="2" t="str">
        <f>IFERROR(__xludf.DUMMYFUNCTION("""COMPUTED_VALUE"""),"HH4376")</f>
        <v>HH4376</v>
      </c>
      <c r="H781" s="2" t="str">
        <f>IFERROR(__xludf.DUMMYFUNCTION("""COMPUTED_VALUE"""),"GC - IV - 4376 - Japan Crop Science - CỨNG HƠN TRỤ THÉP (gel nâu đen) - 500ml - 30")</f>
        <v>GC - IV - 4376 - Japan Crop Science - CỨNG HƠN TRỤ THÉP (gel nâu đen) - 500ml - 30</v>
      </c>
      <c r="I781" s="2" t="str">
        <f>IFERROR(__xludf.DUMMYFUNCTION("""COMPUTED_VALUE"""),"Vi lượng Quantity New")</f>
        <v>Vi lượng Quantity New</v>
      </c>
      <c r="J781" s="2" t="str">
        <f>IFERROR(__xludf.DUMMYFUNCTION("""COMPUTED_VALUE"""),"Dòng phụ gia thấp V1 cùng ruột 1907
")</f>
        <v>Dòng phụ gia thấp V1 cùng ruột 1907
</v>
      </c>
      <c r="K781" s="39">
        <f>IFERROR(__xludf.DUMMYFUNCTION("""COMPUTED_VALUE"""),46147.0)</f>
        <v>46147</v>
      </c>
      <c r="L781" s="2" t="str">
        <f>IFERROR(__xludf.DUMMYFUNCTION("""COMPUTED_VALUE"""),"DÒNG PHỤ GIA THẤP V1")</f>
        <v>DÒNG PHỤ GIA THẤP V1</v>
      </c>
      <c r="M781" s="2" t="str">
        <f>IFERROR(__xludf.DUMMYFUNCTION("""COMPUTED_VALUE"""),"SUMO SIÊU CỨNG
CỨNG NHƯ ĐẠN
CỨNG HƠN TRỤ THÉP")</f>
        <v>SUMO SIÊU CỨNG
CỨNG NHƯ ĐẠN
CỨNG HƠN TRỤ THÉP</v>
      </c>
      <c r="N781" s="2" t="str">
        <f>IFERROR(__xludf.DUMMYFUNCTION("""COMPUTED_VALUE"""),"02CC0001V3")</f>
        <v>02CC0001V3</v>
      </c>
      <c r="O781" s="2" t="str">
        <f>IFERROR(__xludf.DUMMYFUNCTION("""COMPUTED_VALUE"""),"Phân bón Vi lượng Quantity New")</f>
        <v>Phân bón Vi lượng Quantity New</v>
      </c>
      <c r="P781" s="2" t="str">
        <f>IFERROR(__xludf.DUMMYFUNCTION("""COMPUTED_VALUE"""),"Phân bón Vi lượng Quantity New")</f>
        <v>Phân bón Vi lượng Quantity New</v>
      </c>
      <c r="Q781" s="30" t="str">
        <f>IFERROR(__xludf.DUMMYFUNCTION("""COMPUTED_VALUE"""),"KHỚP")</f>
        <v>KHỚP</v>
      </c>
      <c r="R781" s="2"/>
      <c r="S781" s="2"/>
      <c r="T781" s="2"/>
      <c r="U781" s="2"/>
      <c r="V781" s="2"/>
      <c r="W781" s="2"/>
      <c r="X781" s="2"/>
      <c r="Y781" s="2"/>
    </row>
    <row r="782">
      <c r="A782" s="30">
        <f>IFERROR(__xludf.DUMMYFUNCTION("""COMPUTED_VALUE"""),779.0)</f>
        <v>779</v>
      </c>
      <c r="B782" s="39">
        <f>IFERROR(__xludf.DUMMYFUNCTION("""COMPUTED_VALUE"""),45964.0)</f>
        <v>45964</v>
      </c>
      <c r="C782" s="30">
        <f>IFERROR(__xludf.DUMMYFUNCTION("""COMPUTED_VALUE"""),2.0)</f>
        <v>2</v>
      </c>
      <c r="D782" s="30" t="str">
        <f>IFERROR(__xludf.DUMMYFUNCTION("""COMPUTED_VALUE"""),"CT CŨ")</f>
        <v>CT CŨ</v>
      </c>
      <c r="E782" s="46">
        <f>IFERROR(__xludf.DUMMYFUNCTION("""COMPUTED_VALUE"""),46134.0)</f>
        <v>46134</v>
      </c>
      <c r="F782" s="2" t="str">
        <f>IFERROR(__xludf.DUMMYFUNCTION("""COMPUTED_VALUE"""),"ATP22042604")</f>
        <v>ATP22042604</v>
      </c>
      <c r="G782" s="2" t="str">
        <f>IFERROR(__xludf.DUMMYFUNCTION("""COMPUTED_VALUE"""),"HH4440")</f>
        <v>HH4440</v>
      </c>
      <c r="H782" s="2" t="str">
        <f>IFERROR(__xludf.DUMMYFUNCTION("""COMPUTED_VALUE"""),"GC - IV - 4440 - CTY QUANG ĐĂNG AGRICULTURE - COMBI.QĐ KẼM MG (Nước trắng sữa) - 250ml - 40")</f>
        <v>GC - IV - 4440 - CTY QUANG ĐĂNG AGRICULTURE - COMBI.QĐ KẼM MG (Nước trắng sữa) - 250ml - 40</v>
      </c>
      <c r="I782" s="2" t="str">
        <f>IFERROR(__xludf.DUMMYFUNCTION("""COMPUTED_VALUE"""),"vi lượng Phú Sĩ FJ-09 Kẽm Mg")</f>
        <v>vi lượng Phú Sĩ FJ-09 Kẽm Mg</v>
      </c>
      <c r="J782" s="2" t="str">
        <f>IFERROR(__xludf.DUMMYFUNCTION("""COMPUTED_VALUE"""),"A02011025")</f>
        <v>A02011025</v>
      </c>
      <c r="K782" s="39">
        <f>IFERROR(__xludf.DUMMYFUNCTION("""COMPUTED_VALUE"""),46170.0)</f>
        <v>46170</v>
      </c>
      <c r="L782" s="2" t="str">
        <f>IFERROR(__xludf.DUMMYFUNCTION("""COMPUTED_VALUE"""),"A02011025")</f>
        <v>A02011025</v>
      </c>
      <c r="M782" s="2" t="str">
        <f>IFERROR(__xludf.DUMMYFUNCTION("""COMPUTED_VALUE"""),"Mg Zn Cao cấp")</f>
        <v>Mg Zn Cao cấp</v>
      </c>
      <c r="N782" s="2" t="str">
        <f>IFERROR(__xludf.DUMMYFUNCTION("""COMPUTED_VALUE"""),"23GS0015")</f>
        <v>23GS0015</v>
      </c>
      <c r="O782" s="2" t="str">
        <f>IFERROR(__xludf.DUMMYFUNCTION("""COMPUTED_VALUE"""),"Phân bón vi lượng Phú Sĩ FJ-09 Kẽm Mg")</f>
        <v>Phân bón vi lượng Phú Sĩ FJ-09 Kẽm Mg</v>
      </c>
      <c r="P782" s="2" t="str">
        <f>IFERROR(__xludf.DUMMYFUNCTION("""COMPUTED_VALUE"""),"Phân bón vi lượng Phú Sĩ FJ-09 Kẽm Mg")</f>
        <v>Phân bón vi lượng Phú Sĩ FJ-09 Kẽm Mg</v>
      </c>
      <c r="Q782" s="30" t="str">
        <f>IFERROR(__xludf.DUMMYFUNCTION("""COMPUTED_VALUE"""),"KHỚP")</f>
        <v>KHỚP</v>
      </c>
      <c r="R782" s="2"/>
      <c r="S782" s="2"/>
      <c r="T782" s="2"/>
      <c r="U782" s="2"/>
      <c r="V782" s="2"/>
      <c r="W782" s="2"/>
      <c r="X782" s="2"/>
      <c r="Y782" s="2"/>
    </row>
    <row r="783">
      <c r="A783" s="30">
        <f>IFERROR(__xludf.DUMMYFUNCTION("""COMPUTED_VALUE"""),780.0)</f>
        <v>780</v>
      </c>
      <c r="B783" s="39">
        <f>IFERROR(__xludf.DUMMYFUNCTION("""COMPUTED_VALUE"""),45994.0)</f>
        <v>45994</v>
      </c>
      <c r="C783" s="30">
        <f>IFERROR(__xludf.DUMMYFUNCTION("""COMPUTED_VALUE"""),4.0)</f>
        <v>4</v>
      </c>
      <c r="D783" s="30" t="str">
        <f>IFERROR(__xludf.DUMMYFUNCTION("""COMPUTED_VALUE"""),"CT CŨ")</f>
        <v>CT CŨ</v>
      </c>
      <c r="E783" s="46">
        <f>IFERROR(__xludf.DUMMYFUNCTION("""COMPUTED_VALUE"""),46134.0)</f>
        <v>46134</v>
      </c>
      <c r="F783" s="2" t="str">
        <f>IFERROR(__xludf.DUMMYFUNCTION("""COMPUTED_VALUE"""),"ITP22042602")</f>
        <v>ITP22042602</v>
      </c>
      <c r="G783" s="2" t="str">
        <f>IFERROR(__xludf.DUMMYFUNCTION("""COMPUTED_VALUE"""),"HH4680")</f>
        <v>HH4680</v>
      </c>
      <c r="H783" s="2" t="str">
        <f>IFERROR(__xludf.DUMMYFUNCTION("""COMPUTED_VALUE"""),"LOTUS AGROCHEM - VI - 4680 - LOTUS KÍCH RỄ - BUNG CHỒI (Nước nâu đen) - 250ml - 40")</f>
        <v>LOTUS AGROCHEM - VI - 4680 - LOTUS KÍCH RỄ - BUNG CHỒI (Nước nâu đen) - 250ml - 40</v>
      </c>
      <c r="I783" s="2" t="str">
        <f>IFERROR(__xludf.DUMMYFUNCTION("""COMPUTED_VALUE"""),"Hữu cơ FUSEMIN COMBI+")</f>
        <v>Hữu cơ FUSEMIN COMBI+</v>
      </c>
      <c r="J783" s="2" t="str">
        <f>IFERROR(__xludf.DUMMYFUNCTION("""COMPUTED_VALUE"""),"Đóng theo đơn gần nhất")</f>
        <v>Đóng theo đơn gần nhất</v>
      </c>
      <c r="K783" s="39">
        <f>IFERROR(__xludf.DUMMYFUNCTION("""COMPUTED_VALUE"""),46146.0)</f>
        <v>46146</v>
      </c>
      <c r="L783" s="2" t="str">
        <f>IFERROR(__xludf.DUMMYFUNCTION("""COMPUTED_VALUE"""),"BB24040725")</f>
        <v>BB24040725</v>
      </c>
      <c r="M783" s="2" t="str">
        <f>IFERROR(__xludf.DUMMYFUNCTION("""COMPUTED_VALUE"""),"BAMBOO MAGIE FULVIC")</f>
        <v>BAMBOO MAGIE FULVIC</v>
      </c>
      <c r="N783" s="2" t="str">
        <f>IFERROR(__xludf.DUMMYFUNCTION("""COMPUTED_VALUE"""),"01RR0064V1")</f>
        <v>01RR0064V1</v>
      </c>
      <c r="O783" s="2" t="str">
        <f>IFERROR(__xludf.DUMMYFUNCTION("""COMPUTED_VALUE"""),"Phân bón hữu cơ FUSEMIN COMBI+")</f>
        <v>Phân bón hữu cơ FUSEMIN COMBI+</v>
      </c>
      <c r="P783" s="2" t="str">
        <f>IFERROR(__xludf.DUMMYFUNCTION("""COMPUTED_VALUE"""),"Phân bón Hữu cơ FUSEMIN COMBI+")</f>
        <v>Phân bón Hữu cơ FUSEMIN COMBI+</v>
      </c>
      <c r="Q783" s="30" t="str">
        <f>IFERROR(__xludf.DUMMYFUNCTION("""COMPUTED_VALUE"""),"KHỚP")</f>
        <v>KHỚP</v>
      </c>
      <c r="R783" s="2"/>
      <c r="S783" s="2"/>
      <c r="T783" s="2"/>
      <c r="U783" s="2"/>
      <c r="V783" s="2"/>
      <c r="W783" s="2"/>
      <c r="X783" s="2"/>
      <c r="Y783" s="2"/>
    </row>
    <row r="784">
      <c r="A784" s="30">
        <f>IFERROR(__xludf.DUMMYFUNCTION("""COMPUTED_VALUE"""),781.0)</f>
        <v>781</v>
      </c>
      <c r="B784" s="39">
        <f>IFERROR(__xludf.DUMMYFUNCTION("""COMPUTED_VALUE"""),46082.0)</f>
        <v>46082</v>
      </c>
      <c r="C784" s="30">
        <f>IFERROR(__xludf.DUMMYFUNCTION("""COMPUTED_VALUE"""),1.0)</f>
        <v>1</v>
      </c>
      <c r="D784" s="30" t="str">
        <f>IFERROR(__xludf.DUMMYFUNCTION("""COMPUTED_VALUE"""),"CT MỚI")</f>
        <v>CT MỚI</v>
      </c>
      <c r="E784" s="46">
        <f>IFERROR(__xludf.DUMMYFUNCTION("""COMPUTED_VALUE"""),46134.0)</f>
        <v>46134</v>
      </c>
      <c r="F784" s="2" t="str">
        <f>IFERROR(__xludf.DUMMYFUNCTION("""COMPUTED_VALUE"""),"XTP.22042601")</f>
        <v>XTP.22042601</v>
      </c>
      <c r="G784" s="2" t="str">
        <f>IFERROR(__xludf.DUMMYFUNCTION("""COMPUTED_VALUE"""),"HH4078")</f>
        <v>HH4078</v>
      </c>
      <c r="H784" s="2" t="str">
        <f>IFERROR(__xludf.DUMMYFUNCTION("""COMPUTED_VALUE"""),"DR.XANH - VIII - 4078 - DR.COMPLEX (Nước nâu đen) - 500ml - 40")</f>
        <v>DR.XANH - VIII - 4078 - DR.COMPLEX (Nước nâu đen) - 500ml - 40</v>
      </c>
      <c r="I784" s="2" t="str">
        <f>IFERROR(__xludf.DUMMYFUNCTION("""COMPUTED_VALUE"""),"Hữu cơ FUSEMIN COMBI+")</f>
        <v>Hữu cơ FUSEMIN COMBI+</v>
      </c>
      <c r="J784" s="2" t="str">
        <f>IFERROR(__xludf.DUMMYFUNCTION("""COMPUTED_VALUE"""),"X04040326")</f>
        <v>X04040326</v>
      </c>
      <c r="K784" s="39">
        <f>IFERROR(__xludf.DUMMYFUNCTION("""COMPUTED_VALUE"""),46139.0)</f>
        <v>46139</v>
      </c>
      <c r="L784" s="2" t="str">
        <f>IFERROR(__xludf.DUMMYFUNCTION("""COMPUTED_VALUE"""),"X04040326")</f>
        <v>X04040326</v>
      </c>
      <c r="M784" s="2" t="str">
        <f>IFERROR(__xludf.DUMMYFUNCTION("""COMPUTED_VALUE"""),"DR.COMBI")</f>
        <v>DR.COMBI</v>
      </c>
      <c r="N784" s="2" t="str">
        <f>IFERROR(__xludf.DUMMYFUNCTION("""COMPUTED_VALUE"""),"23GS0026")</f>
        <v>23GS0026</v>
      </c>
      <c r="O784" s="2" t="str">
        <f>IFERROR(__xludf.DUMMYFUNCTION("""COMPUTED_VALUE"""),"Phân bón hữu cơ FUSEMIN COMBI+")</f>
        <v>Phân bón hữu cơ FUSEMIN COMBI+</v>
      </c>
      <c r="P784" s="2" t="str">
        <f>IFERROR(__xludf.DUMMYFUNCTION("""COMPUTED_VALUE"""),"Phân bón Hữu cơ FUSEMIN COMBI+")</f>
        <v>Phân bón Hữu cơ FUSEMIN COMBI+</v>
      </c>
      <c r="Q784" s="30" t="str">
        <f>IFERROR(__xludf.DUMMYFUNCTION("""COMPUTED_VALUE"""),"KHỚP")</f>
        <v>KHỚP</v>
      </c>
      <c r="R784" s="2"/>
      <c r="S784" s="2"/>
      <c r="T784" s="2"/>
      <c r="U784" s="2"/>
      <c r="V784" s="2"/>
      <c r="W784" s="2"/>
      <c r="X784" s="2"/>
      <c r="Y784" s="2"/>
    </row>
    <row r="785">
      <c r="A785" s="30">
        <f>IFERROR(__xludf.DUMMYFUNCTION("""COMPUTED_VALUE"""),782.0)</f>
        <v>782</v>
      </c>
      <c r="B785" s="39">
        <f>IFERROR(__xludf.DUMMYFUNCTION("""COMPUTED_VALUE"""),46030.0)</f>
        <v>46030</v>
      </c>
      <c r="C785" s="30">
        <f>IFERROR(__xludf.DUMMYFUNCTION("""COMPUTED_VALUE"""),1.0)</f>
        <v>1</v>
      </c>
      <c r="D785" s="30" t="str">
        <f>IFERROR(__xludf.DUMMYFUNCTION("""COMPUTED_VALUE"""),"CT CŨ")</f>
        <v>CT CŨ</v>
      </c>
      <c r="E785" s="46">
        <f>IFERROR(__xludf.DUMMYFUNCTION("""COMPUTED_VALUE"""),46134.0)</f>
        <v>46134</v>
      </c>
      <c r="F785" s="2" t="str">
        <f>IFERROR(__xludf.DUMMYFUNCTION("""COMPUTED_VALUE"""),"ITP22042606")</f>
        <v>ITP22042606</v>
      </c>
      <c r="G785" s="2" t="str">
        <f>IFERROR(__xludf.DUMMYFUNCTION("""COMPUTED_VALUE"""),"HH4127")</f>
        <v>HH4127</v>
      </c>
      <c r="H785" s="2" t="str">
        <f>IFERROR(__xludf.DUMMYFUNCTION("""COMPUTED_VALUE"""),"IDA Global - I - 4127 - IDA Winner SC (Nước nâu đen) - 500ml - 40")</f>
        <v>IDA Global - I - 4127 - IDA Winner SC (Nước nâu đen) - 500ml - 40</v>
      </c>
      <c r="I785" s="2" t="str">
        <f>IFERROR(__xludf.DUMMYFUNCTION("""COMPUTED_VALUE"""),"Hữu Cơ Organic ĐGP 01")</f>
        <v>Hữu Cơ Organic ĐGP 01</v>
      </c>
      <c r="J785" s="2" t="str">
        <f>IFERROR(__xludf.DUMMYFUNCTION("""COMPUTED_VALUE"""),"Công thức lab I01171025")</f>
        <v>Công thức lab I01171025</v>
      </c>
      <c r="K785" s="39">
        <f>IFERROR(__xludf.DUMMYFUNCTION("""COMPUTED_VALUE"""),46146.0)</f>
        <v>46146</v>
      </c>
      <c r="L785" s="2" t="str">
        <f>IFERROR(__xludf.DUMMYFUNCTION("""COMPUTED_VALUE"""),"I01171025")</f>
        <v>I01171025</v>
      </c>
      <c r="M785" s="2" t="str">
        <f>IFERROR(__xludf.DUMMYFUNCTION("""COMPUTED_VALUE"""),"WINNER SC ")</f>
        <v>WINNER SC </v>
      </c>
      <c r="N785" s="2" t="str">
        <f>IFERROR(__xludf.DUMMYFUNCTION("""COMPUTED_VALUE"""),"04VG0010V3")</f>
        <v>04VG0010V3</v>
      </c>
      <c r="O785" s="2" t="str">
        <f>IFERROR(__xludf.DUMMYFUNCTION("""COMPUTED_VALUE"""),"Phân bón Hữu cơ ORGANIC ĐGP 01 ")</f>
        <v>Phân bón Hữu cơ ORGANIC ĐGP 01 </v>
      </c>
      <c r="P785" s="2" t="str">
        <f>IFERROR(__xludf.DUMMYFUNCTION("""COMPUTED_VALUE"""),"Phân bón Hữu Cơ Organic ĐGP 01")</f>
        <v>Phân bón Hữu Cơ Organic ĐGP 01</v>
      </c>
      <c r="Q785" s="30" t="str">
        <f>IFERROR(__xludf.DUMMYFUNCTION("""COMPUTED_VALUE"""),"KHỚP")</f>
        <v>KHỚP</v>
      </c>
      <c r="R785" s="2"/>
      <c r="S785" s="2"/>
      <c r="T785" s="2"/>
      <c r="U785" s="2"/>
      <c r="V785" s="2"/>
      <c r="W785" s="2"/>
      <c r="X785" s="2"/>
      <c r="Y785" s="2"/>
    </row>
    <row r="786">
      <c r="A786" s="30">
        <f>IFERROR(__xludf.DUMMYFUNCTION("""COMPUTED_VALUE"""),783.0)</f>
        <v>783</v>
      </c>
      <c r="B786" s="39">
        <f>IFERROR(__xludf.DUMMYFUNCTION("""COMPUTED_VALUE"""),45908.0)</f>
        <v>45908</v>
      </c>
      <c r="C786" s="30">
        <f>IFERROR(__xludf.DUMMYFUNCTION("""COMPUTED_VALUE"""),3.0)</f>
        <v>3</v>
      </c>
      <c r="D786" s="30" t="str">
        <f>IFERROR(__xludf.DUMMYFUNCTION("""COMPUTED_VALUE"""),"CT CŨ")</f>
        <v>CT CŨ</v>
      </c>
      <c r="E786" s="46">
        <f>IFERROR(__xludf.DUMMYFUNCTION("""COMPUTED_VALUE"""),46135.0)</f>
        <v>46135</v>
      </c>
      <c r="F786" s="2" t="str">
        <f>IFERROR(__xludf.DUMMYFUNCTION("""COMPUTED_VALUE"""),"ITP23042602")</f>
        <v>ITP23042602</v>
      </c>
      <c r="G786" s="2" t="str">
        <f>IFERROR(__xludf.DUMMYFUNCTION("""COMPUTED_VALUE"""),"HH4617")</f>
        <v>HH4617</v>
      </c>
      <c r="H786" s="2" t="str">
        <f>IFERROR(__xludf.DUMMYFUNCTION("""COMPUTED_VALUE"""),"IDA Global - I - 4617 - RONADO (Nước tím) - 450ml - 40")</f>
        <v>IDA Global - I - 4617 - RONADO (Nước tím) - 450ml - 40</v>
      </c>
      <c r="I786" s="2" t="str">
        <f>IFERROR(__xludf.DUMMYFUNCTION("""COMPUTED_VALUE"""),"Hỗn Hợp NP AGAMA-AP")</f>
        <v>Hỗn Hợp NP AGAMA-AP</v>
      </c>
      <c r="J786" s="2" t="str">
        <f>IFERROR(__xludf.DUMMYFUNCTION("""COMPUTED_VALUE"""),"Đóng theo đơn gần nhất")</f>
        <v>Đóng theo đơn gần nhất</v>
      </c>
      <c r="K786" s="39">
        <f>IFERROR(__xludf.DUMMYFUNCTION("""COMPUTED_VALUE"""),46147.0)</f>
        <v>46147</v>
      </c>
      <c r="L786" s="2" t="str">
        <f>IFERROR(__xludf.DUMMYFUNCTION("""COMPUTED_VALUE"""),"L03130525")</f>
        <v>L03130525</v>
      </c>
      <c r="M786" s="2" t="str">
        <f>IFERROR(__xludf.DUMMYFUNCTION("""COMPUTED_VALUE"""),"RONADO 
(CẢI TIẾN)")</f>
        <v>RONADO 
(CẢI TIẾN)</v>
      </c>
      <c r="N786" s="2" t="str">
        <f>IFERROR(__xludf.DUMMYFUNCTION("""COMPUTED_VALUE"""),"01RR0072")</f>
        <v>01RR0072</v>
      </c>
      <c r="O786" s="2" t="str">
        <f>IFERROR(__xludf.DUMMYFUNCTION("""COMPUTED_VALUE"""),"Phân bón Hỗn hợp NP AGAMA-AP")</f>
        <v>Phân bón Hỗn hợp NP AGAMA-AP</v>
      </c>
      <c r="P786" s="2" t="str">
        <f>IFERROR(__xludf.DUMMYFUNCTION("""COMPUTED_VALUE"""),"Phân bón Hỗn Hợp NP AGAMA-AP")</f>
        <v>Phân bón Hỗn Hợp NP AGAMA-AP</v>
      </c>
      <c r="Q786" s="30" t="str">
        <f>IFERROR(__xludf.DUMMYFUNCTION("""COMPUTED_VALUE"""),"KHỚP")</f>
        <v>KHỚP</v>
      </c>
      <c r="R786" s="2"/>
      <c r="S786" s="2"/>
      <c r="T786" s="2"/>
      <c r="U786" s="2"/>
      <c r="V786" s="2"/>
      <c r="W786" s="2"/>
      <c r="X786" s="2"/>
      <c r="Y786" s="2"/>
    </row>
    <row r="787">
      <c r="A787" s="30">
        <f>IFERROR(__xludf.DUMMYFUNCTION("""COMPUTED_VALUE"""),784.0)</f>
        <v>784</v>
      </c>
      <c r="B787" s="39">
        <f>IFERROR(__xludf.DUMMYFUNCTION("""COMPUTED_VALUE"""),45971.0)</f>
        <v>45971</v>
      </c>
      <c r="C787" s="30">
        <f>IFERROR(__xludf.DUMMYFUNCTION("""COMPUTED_VALUE"""),1.0)</f>
        <v>1</v>
      </c>
      <c r="D787" s="30" t="str">
        <f>IFERROR(__xludf.DUMMYFUNCTION("""COMPUTED_VALUE"""),"HUỶ ĐƠN")</f>
        <v>HUỶ ĐƠN</v>
      </c>
      <c r="E787" s="46">
        <f>IFERROR(__xludf.DUMMYFUNCTION("""COMPUTED_VALUE"""),46136.0)</f>
        <v>46136</v>
      </c>
      <c r="F787" s="2" t="str">
        <f>IFERROR(__xludf.DUMMYFUNCTION("""COMPUTED_VALUE"""),"ATP24042601")</f>
        <v>ATP24042601</v>
      </c>
      <c r="G787" s="2" t="str">
        <f>IFERROR(__xludf.DUMMYFUNCTION("""COMPUTED_VALUE"""),"HH4981")</f>
        <v>HH4981</v>
      </c>
      <c r="H787" s="2" t="str">
        <f>IFERROR(__xludf.DUMMYFUNCTION("""COMPUTED_VALUE"""),"GC - V - 4981 - CTY DONA VINA - GEL DƯỠNG ĐÒNG (Nước nâu đen) - 500ml - 40")</f>
        <v>GC - V - 4981 - CTY DONA VINA - GEL DƯỠNG ĐÒNG (Nước nâu đen) - 500ml - 40</v>
      </c>
      <c r="I787" s="2" t="str">
        <f>IFERROR(__xludf.DUMMYFUNCTION("""COMPUTED_VALUE"""),"Hữu Cơ PBHC Cabozinc A.B.A")</f>
        <v>Hữu Cơ PBHC Cabozinc A.B.A</v>
      </c>
      <c r="J787" s="2" t="str">
        <f>IFERROR(__xludf.DUMMYFUNCTION("""COMPUTED_VALUE"""),"A05091025")</f>
        <v>A05091025</v>
      </c>
      <c r="K787" s="39">
        <f>IFERROR(__xludf.DUMMYFUNCTION("""COMPUTED_VALUE"""),46151.0)</f>
        <v>46151</v>
      </c>
      <c r="L787" s="2" t="str">
        <f>IFERROR(__xludf.DUMMYFUNCTION("""COMPUTED_VALUE"""),"A05091025 ")</f>
        <v>A05091025 </v>
      </c>
      <c r="M787" s="2" t="str">
        <f>IFERROR(__xludf.DUMMYFUNCTION("""COMPUTED_VALUE"""),"MẬP ĐỒNG")</f>
        <v>MẬP ĐỒNG</v>
      </c>
      <c r="N787" s="2" t="str">
        <f>IFERROR(__xludf.DUMMYFUNCTION("""COMPUTED_VALUE"""),"19DD0027")</f>
        <v>19DD0027</v>
      </c>
      <c r="O787" s="2" t="str">
        <f>IFERROR(__xludf.DUMMYFUNCTION("""COMPUTED_VALUE"""),"Phân bón Hữu cơ CABOZINC A.B.A")</f>
        <v>Phân bón Hữu cơ CABOZINC A.B.A</v>
      </c>
      <c r="P787" s="2" t="str">
        <f>IFERROR(__xludf.DUMMYFUNCTION("""COMPUTED_VALUE"""),"Phân bón Hữu Cơ PBHC Cabozinc A.B.A")</f>
        <v>Phân bón Hữu Cơ PBHC Cabozinc A.B.A</v>
      </c>
      <c r="Q787" s="30" t="str">
        <f>IFERROR(__xludf.DUMMYFUNCTION("""COMPUTED_VALUE"""),"KHỚP")</f>
        <v>KHỚP</v>
      </c>
      <c r="R787" s="2"/>
      <c r="S787" s="2"/>
      <c r="T787" s="2"/>
      <c r="U787" s="2"/>
      <c r="V787" s="2"/>
      <c r="W787" s="2"/>
      <c r="X787" s="2"/>
      <c r="Y787" s="2"/>
    </row>
    <row r="788">
      <c r="A788" s="30">
        <f>IFERROR(__xludf.DUMMYFUNCTION("""COMPUTED_VALUE"""),785.0)</f>
        <v>785</v>
      </c>
      <c r="B788" s="39">
        <f>IFERROR(__xludf.DUMMYFUNCTION("""COMPUTED_VALUE"""),46097.0)</f>
        <v>46097</v>
      </c>
      <c r="C788" s="30">
        <f>IFERROR(__xludf.DUMMYFUNCTION("""COMPUTED_VALUE"""),1.0)</f>
        <v>1</v>
      </c>
      <c r="D788" s="30" t="str">
        <f>IFERROR(__xludf.DUMMYFUNCTION("""COMPUTED_VALUE"""),"CT CŨ")</f>
        <v>CT CŨ</v>
      </c>
      <c r="E788" s="46">
        <f>IFERROR(__xludf.DUMMYFUNCTION("""COMPUTED_VALUE"""),46136.0)</f>
        <v>46136</v>
      </c>
      <c r="F788" s="2" t="str">
        <f>IFERROR(__xludf.DUMMYFUNCTION("""COMPUTED_VALUE"""),"ATP24042603")</f>
        <v>ATP24042603</v>
      </c>
      <c r="G788" s="2" t="str">
        <f>IFERROR(__xludf.DUMMYFUNCTION("""COMPUTED_VALUE"""),"HH4500")</f>
        <v>HH4500</v>
      </c>
      <c r="H788" s="2" t="str">
        <f>IFERROR(__xludf.DUMMYFUNCTION("""COMPUTED_VALUE"""),"GC - V - 4500 - CTY QUANG ĐĂNG AGRICULTURE - QĐ-RICE GOLD (Nước đỏ cam) - 500ml - 40")</f>
        <v>GC - V - 4500 - CTY QUANG ĐĂNG AGRICULTURE - QĐ-RICE GOLD (Nước đỏ cam) - 500ml - 40</v>
      </c>
      <c r="I788" s="2" t="str">
        <f>IFERROR(__xludf.DUMMYFUNCTION("""COMPUTED_VALUE"""),"NPK-Vi lượng MASSIVE-BLUE")</f>
        <v>NPK-Vi lượng MASSIVE-BLUE</v>
      </c>
      <c r="J788" s="2" t="str">
        <f>IFERROR(__xludf.DUMMYFUNCTION("""COMPUTED_VALUE"""),"Cùng ruột 4208")</f>
        <v>Cùng ruột 4208</v>
      </c>
      <c r="K788" s="39">
        <f>IFERROR(__xludf.DUMMYFUNCTION("""COMPUTED_VALUE"""),46151.0)</f>
        <v>46151</v>
      </c>
      <c r="L788" s="2" t="str">
        <f>IFERROR(__xludf.DUMMYFUNCTION("""COMPUTED_VALUE"""),"A06060924")</f>
        <v>A06060924</v>
      </c>
      <c r="M788" s="2" t="str">
        <f>IFERROR(__xludf.DUMMYFUNCTION("""COMPUTED_VALUE"""),"SUPER VÔ GẠO+")</f>
        <v>SUPER VÔ GẠO+</v>
      </c>
      <c r="N788" s="2" t="str">
        <f>IFERROR(__xludf.DUMMYFUNCTION("""COMPUTED_VALUE"""),"04VG0019")</f>
        <v>04VG0019</v>
      </c>
      <c r="O788" s="2" t="str">
        <f>IFERROR(__xludf.DUMMYFUNCTION("""COMPUTED_VALUE"""),"Phân bón NPK-Vi lượng MASSIVE-BLUE")</f>
        <v>Phân bón NPK-Vi lượng MASSIVE-BLUE</v>
      </c>
      <c r="P788" s="2" t="str">
        <f>IFERROR(__xludf.DUMMYFUNCTION("""COMPUTED_VALUE"""),"Phân bón NPK-Vi lượng MASSIVE-BLUE")</f>
        <v>Phân bón NPK-Vi lượng MASSIVE-BLUE</v>
      </c>
      <c r="Q788" s="30" t="str">
        <f>IFERROR(__xludf.DUMMYFUNCTION("""COMPUTED_VALUE"""),"KHỚP")</f>
        <v>KHỚP</v>
      </c>
      <c r="R788" s="2"/>
      <c r="S788" s="2"/>
      <c r="T788" s="2"/>
      <c r="U788" s="2"/>
      <c r="V788" s="2"/>
      <c r="W788" s="2"/>
      <c r="X788" s="2"/>
      <c r="Y788" s="2"/>
    </row>
    <row r="789">
      <c r="A789" s="30">
        <f>IFERROR(__xludf.DUMMYFUNCTION("""COMPUTED_VALUE"""),786.0)</f>
        <v>786</v>
      </c>
      <c r="B789" s="39">
        <f>IFERROR(__xludf.DUMMYFUNCTION("""COMPUTED_VALUE"""),46084.0)</f>
        <v>46084</v>
      </c>
      <c r="C789" s="30">
        <f>IFERROR(__xludf.DUMMYFUNCTION("""COMPUTED_VALUE"""),1.0)</f>
        <v>1</v>
      </c>
      <c r="D789" s="30" t="str">
        <f>IFERROR(__xludf.DUMMYFUNCTION("""COMPUTED_VALUE"""),"CT CŨ")</f>
        <v>CT CŨ</v>
      </c>
      <c r="E789" s="46">
        <f>IFERROR(__xludf.DUMMYFUNCTION("""COMPUTED_VALUE"""),46136.0)</f>
        <v>46136</v>
      </c>
      <c r="F789" s="2" t="str">
        <f>IFERROR(__xludf.DUMMYFUNCTION("""COMPUTED_VALUE"""),"ATP24042604")</f>
        <v>ATP24042604</v>
      </c>
      <c r="G789" s="2" t="str">
        <f>IFERROR(__xludf.DUMMYFUNCTION("""COMPUTED_VALUE"""),"HH4896")</f>
        <v>HH4896</v>
      </c>
      <c r="H789" s="2" t="str">
        <f>IFERROR(__xludf.DUMMYFUNCTION("""COMPUTED_VALUE"""),"GC - V - 4896 - CTY QUANG ĐĂNG AGRICULTURE - QĐ-KALIMAX PLUS (Dạng SC - Trắng sữa) - 500ml - 40")</f>
        <v>GC - V - 4896 - CTY QUANG ĐĂNG AGRICULTURE - QĐ-KALIMAX PLUS (Dạng SC - Trắng sữa) - 500ml - 40</v>
      </c>
      <c r="I789" s="2" t="str">
        <f>IFERROR(__xludf.DUMMYFUNCTION("""COMPUTED_VALUE"""),"Lá PK-Vi lượng SV 5-18")</f>
        <v>Lá PK-Vi lượng SV 5-18</v>
      </c>
      <c r="J789" s="2" t="str">
        <f>IFERROR(__xludf.DUMMYFUNCTION("""COMPUTED_VALUE"""),"A01301225")</f>
        <v>A01301225</v>
      </c>
      <c r="K789" s="39">
        <f>IFERROR(__xludf.DUMMYFUNCTION("""COMPUTED_VALUE"""),46151.0)</f>
        <v>46151</v>
      </c>
      <c r="L789" s="2" t="str">
        <f>IFERROR(__xludf.DUMMYFUNCTION("""COMPUTED_VALUE"""),"A01301225")</f>
        <v>A01301225</v>
      </c>
      <c r="M789" s="2" t="str">
        <f>IFERROR(__xludf.DUMMYFUNCTION("""COMPUTED_VALUE"""),"SUPER VÔ GẠO (TRẮNG SỮA)")</f>
        <v>SUPER VÔ GẠO (TRẮNG SỮA)</v>
      </c>
      <c r="N789" s="2" t="str">
        <f>IFERROR(__xludf.DUMMYFUNCTION("""COMPUTED_VALUE"""),"04VG0053")</f>
        <v>04VG0053</v>
      </c>
      <c r="O789" s="2" t="str">
        <f>IFERROR(__xludf.DUMMYFUNCTION("""COMPUTED_VALUE"""),"Phân bón lá PK-Vi lượng SV 5-18")</f>
        <v>Phân bón lá PK-Vi lượng SV 5-18</v>
      </c>
      <c r="P789" s="2" t="str">
        <f>IFERROR(__xludf.DUMMYFUNCTION("""COMPUTED_VALUE"""),"Phân bón Lá PK-Vi lượng SV 5-18")</f>
        <v>Phân bón Lá PK-Vi lượng SV 5-18</v>
      </c>
      <c r="Q789" s="30" t="str">
        <f>IFERROR(__xludf.DUMMYFUNCTION("""COMPUTED_VALUE"""),"KHỚP")</f>
        <v>KHỚP</v>
      </c>
      <c r="R789" s="2"/>
      <c r="S789" s="2"/>
      <c r="T789" s="2"/>
      <c r="U789" s="2"/>
      <c r="V789" s="2"/>
      <c r="W789" s="2"/>
      <c r="X789" s="2"/>
      <c r="Y789" s="2"/>
    </row>
    <row r="790">
      <c r="A790" s="30">
        <f>IFERROR(__xludf.DUMMYFUNCTION("""COMPUTED_VALUE"""),787.0)</f>
        <v>787</v>
      </c>
      <c r="B790" s="39">
        <f>IFERROR(__xludf.DUMMYFUNCTION("""COMPUTED_VALUE"""),46046.0)</f>
        <v>46046</v>
      </c>
      <c r="C790" s="30">
        <f>IFERROR(__xludf.DUMMYFUNCTION("""COMPUTED_VALUE"""),3.0)</f>
        <v>3</v>
      </c>
      <c r="D790" s="30" t="str">
        <f>IFERROR(__xludf.DUMMYFUNCTION("""COMPUTED_VALUE"""),"CT CŨ")</f>
        <v>CT CŨ</v>
      </c>
      <c r="E790" s="46">
        <f>IFERROR(__xludf.DUMMYFUNCTION("""COMPUTED_VALUE"""),46136.0)</f>
        <v>46136</v>
      </c>
      <c r="F790" s="2" t="str">
        <f>IFERROR(__xludf.DUMMYFUNCTION("""COMPUTED_VALUE"""),"ATP24042605")</f>
        <v>ATP24042605</v>
      </c>
      <c r="G790" s="2" t="str">
        <f>IFERROR(__xludf.DUMMYFUNCTION("""COMPUTED_VALUE"""),"HH4648")</f>
        <v>HH4648</v>
      </c>
      <c r="H790" s="2" t="str">
        <f>IFERROR(__xludf.DUMMYFUNCTION("""COMPUTED_VALUE"""),"GC - V - 4648 - THÀNH CÔNG AGRI - ULTRA FRUIT (Gel nâu đen) - 20L - 1")</f>
        <v>GC - V - 4648 - THÀNH CÔNG AGRI - ULTRA FRUIT (Gel nâu đen) - 20L - 1</v>
      </c>
      <c r="I790" s="2" t="str">
        <f>IFERROR(__xludf.DUMMYFUNCTION("""COMPUTED_VALUE"""),"Vi lượng Quantity New")</f>
        <v>Vi lượng Quantity New</v>
      </c>
      <c r="J790" s="2" t="str">
        <f>IFERROR(__xludf.DUMMYFUNCTION("""COMPUTED_VALUE"""),"Cùng ruột 3972")</f>
        <v>Cùng ruột 3972</v>
      </c>
      <c r="K790" s="39">
        <f>IFERROR(__xludf.DUMMYFUNCTION("""COMPUTED_VALUE"""),46151.0)</f>
        <v>46151</v>
      </c>
      <c r="L790" s="2"/>
      <c r="M790" s="2" t="str">
        <f>IFERROR(__xludf.DUMMYFUNCTION("""COMPUTED_VALUE"""),"ULTRA FRUIT")</f>
        <v>ULTRA FRUIT</v>
      </c>
      <c r="N790" s="2" t="str">
        <f>IFERROR(__xludf.DUMMYFUNCTION("""COMPUTED_VALUE"""),"11TT0006V2")</f>
        <v>11TT0006V2</v>
      </c>
      <c r="O790" s="2" t="str">
        <f>IFERROR(__xludf.DUMMYFUNCTION("""COMPUTED_VALUE"""),"Phân bón Vi lượng Quantity New")</f>
        <v>Phân bón Vi lượng Quantity New</v>
      </c>
      <c r="P790" s="2" t="str">
        <f>IFERROR(__xludf.DUMMYFUNCTION("""COMPUTED_VALUE"""),"Phân bón Vi lượng Quantity New")</f>
        <v>Phân bón Vi lượng Quantity New</v>
      </c>
      <c r="Q790" s="30" t="str">
        <f>IFERROR(__xludf.DUMMYFUNCTION("""COMPUTED_VALUE"""),"KHỚP")</f>
        <v>KHỚP</v>
      </c>
      <c r="R790" s="2"/>
      <c r="S790" s="2"/>
      <c r="T790" s="2"/>
      <c r="U790" s="2"/>
      <c r="V790" s="2"/>
      <c r="W790" s="2"/>
      <c r="X790" s="2"/>
      <c r="Y790" s="2"/>
    </row>
    <row r="791">
      <c r="A791" s="30">
        <f>IFERROR(__xludf.DUMMYFUNCTION("""COMPUTED_VALUE"""),788.0)</f>
        <v>788</v>
      </c>
      <c r="B791" s="39">
        <f>IFERROR(__xludf.DUMMYFUNCTION("""COMPUTED_VALUE"""),46126.0)</f>
        <v>46126</v>
      </c>
      <c r="C791" s="30">
        <f>IFERROR(__xludf.DUMMYFUNCTION("""COMPUTED_VALUE"""),1.0)</f>
        <v>1</v>
      </c>
      <c r="D791" s="30" t="str">
        <f>IFERROR(__xludf.DUMMYFUNCTION("""COMPUTED_VALUE"""),"CT MỚI")</f>
        <v>CT MỚI</v>
      </c>
      <c r="E791" s="46">
        <f>IFERROR(__xludf.DUMMYFUNCTION("""COMPUTED_VALUE"""),46136.0)</f>
        <v>46136</v>
      </c>
      <c r="F791" s="2" t="str">
        <f>IFERROR(__xludf.DUMMYFUNCTION("""COMPUTED_VALUE"""),"ATP24042608")</f>
        <v>ATP24042608</v>
      </c>
      <c r="G791" s="2" t="str">
        <f>IFERROR(__xludf.DUMMYFUNCTION("""COMPUTED_VALUE"""),"HH4908")</f>
        <v>HH4908</v>
      </c>
      <c r="H791" s="2" t="str">
        <f>IFERROR(__xludf.DUMMYFUNCTION("""COMPUTED_VALUE"""),"GC - V - 4908 - HÓA NÔNG SHINO - CỨNG CÂY K40 (Nước nâu đen) - 450ml - 30")</f>
        <v>GC - V - 4908 - HÓA NÔNG SHINO - CỨNG CÂY K40 (Nước nâu đen) - 450ml - 30</v>
      </c>
      <c r="I791" s="2" t="str">
        <f>IFERROR(__xludf.DUMMYFUNCTION("""COMPUTED_VALUE"""),"Vi Lượng G.A 05")</f>
        <v>Vi Lượng G.A 05</v>
      </c>
      <c r="J791" s="2" t="str">
        <f>IFERROR(__xludf.DUMMYFUNCTION("""COMPUTED_VALUE"""),"A02090426")</f>
        <v>A02090426</v>
      </c>
      <c r="K791" s="39">
        <f>IFERROR(__xludf.DUMMYFUNCTION("""COMPUTED_VALUE"""),46155.0)</f>
        <v>46155</v>
      </c>
      <c r="L791" s="2" t="str">
        <f>IFERROR(__xludf.DUMMYFUNCTION("""COMPUTED_VALUE"""),"A02090426")</f>
        <v>A02090426</v>
      </c>
      <c r="M791" s="2" t="str">
        <f>IFERROR(__xludf.DUMMYFUNCTION("""COMPUTED_VALUE"""),"CỨNG CÂY 02")</f>
        <v>CỨNG CÂY 02</v>
      </c>
      <c r="N791" s="2" t="str">
        <f>IFERROR(__xludf.DUMMYFUNCTION("""COMPUTED_VALUE"""),"02CC0024")</f>
        <v>02CC0024</v>
      </c>
      <c r="O791" s="2" t="str">
        <f>IFERROR(__xludf.DUMMYFUNCTION("""COMPUTED_VALUE"""),"Phân bón Vi lượng G.A 05")</f>
        <v>Phân bón Vi lượng G.A 05</v>
      </c>
      <c r="P791" s="2" t="str">
        <f>IFERROR(__xludf.DUMMYFUNCTION("""COMPUTED_VALUE"""),"Phân bón Vi Lượng G.A 05")</f>
        <v>Phân bón Vi Lượng G.A 05</v>
      </c>
      <c r="Q791" s="30" t="str">
        <f>IFERROR(__xludf.DUMMYFUNCTION("""COMPUTED_VALUE"""),"KHỚP")</f>
        <v>KHỚP</v>
      </c>
      <c r="R791" s="2"/>
      <c r="S791" s="2"/>
      <c r="T791" s="2"/>
      <c r="U791" s="2"/>
      <c r="V791" s="2"/>
      <c r="W791" s="2"/>
      <c r="X791" s="2"/>
      <c r="Y791" s="2"/>
    </row>
    <row r="792">
      <c r="A792" s="30">
        <f>IFERROR(__xludf.DUMMYFUNCTION("""COMPUTED_VALUE"""),789.0)</f>
        <v>789</v>
      </c>
      <c r="B792" s="39">
        <f>IFERROR(__xludf.DUMMYFUNCTION("""COMPUTED_VALUE"""),46107.0)</f>
        <v>46107</v>
      </c>
      <c r="C792" s="30">
        <f>IFERROR(__xludf.DUMMYFUNCTION("""COMPUTED_VALUE"""),1.0)</f>
        <v>1</v>
      </c>
      <c r="D792" s="30" t="str">
        <f>IFERROR(__xludf.DUMMYFUNCTION("""COMPUTED_VALUE"""),"CT MỚI")</f>
        <v>CT MỚI</v>
      </c>
      <c r="E792" s="46">
        <f>IFERROR(__xludf.DUMMYFUNCTION("""COMPUTED_VALUE"""),46136.0)</f>
        <v>46136</v>
      </c>
      <c r="F792" s="2" t="str">
        <f>IFERROR(__xludf.DUMMYFUNCTION("""COMPUTED_VALUE"""),"STP24042601")</f>
        <v>STP24042601</v>
      </c>
      <c r="G792" s="2" t="str">
        <f>IFERROR(__xludf.DUMMYFUNCTION("""COMPUTED_VALUE"""),"HH4968")</f>
        <v>HH4968</v>
      </c>
      <c r="H792" s="2" t="str">
        <f>IFERROR(__xludf.DUMMYFUNCTION("""COMPUTED_VALUE"""),"GC - IX - 4968 - N2SBIO - N2 HYPER SHIELD (Nước hồng) - 50ml - 300")</f>
        <v>GC - IX - 4968 - N2SBIO - N2 HYPER SHIELD (Nước hồng) - 50ml - 300</v>
      </c>
      <c r="I792" s="2" t="str">
        <f>IFERROR(__xludf.DUMMYFUNCTION("""COMPUTED_VALUE"""),"Vi lượng Run Fast")</f>
        <v>Vi lượng Run Fast</v>
      </c>
      <c r="J792" s="2" t="str">
        <f>IFERROR(__xludf.DUMMYFUNCTION("""COMPUTED_VALUE"""),"N06230326")</f>
        <v>N06230326</v>
      </c>
      <c r="K792" s="39">
        <f>IFERROR(__xludf.DUMMYFUNCTION("""COMPUTED_VALUE"""),46146.0)</f>
        <v>46146</v>
      </c>
      <c r="L792" s="2" t="str">
        <f>IFERROR(__xludf.DUMMYFUNCTION("""COMPUTED_VALUE"""),"N06230326")</f>
        <v>N06230326</v>
      </c>
      <c r="M792" s="2" t="str">
        <f>IFERROR(__xludf.DUMMYFUNCTION("""COMPUTED_VALUE"""),"N2 BẢO VỆ CÂY TRỒNG ")</f>
        <v>N2 BẢO VỆ CÂY TRỒNG </v>
      </c>
      <c r="N792" s="2" t="str">
        <f>IFERROR(__xludf.DUMMYFUNCTION("""COMPUTED_VALUE"""),"23GS0024")</f>
        <v>23GS0024</v>
      </c>
      <c r="O792" s="2" t="str">
        <f>IFERROR(__xludf.DUMMYFUNCTION("""COMPUTED_VALUE"""),"Phân bón Vi lượng Run Fast")</f>
        <v>Phân bón Vi lượng Run Fast</v>
      </c>
      <c r="P792" s="2" t="str">
        <f>IFERROR(__xludf.DUMMYFUNCTION("""COMPUTED_VALUE"""),"Phân bón Vi lượng Run Fast")</f>
        <v>Phân bón Vi lượng Run Fast</v>
      </c>
      <c r="Q792" s="30" t="str">
        <f>IFERROR(__xludf.DUMMYFUNCTION("""COMPUTED_VALUE"""),"KHỚP")</f>
        <v>KHỚP</v>
      </c>
      <c r="R792" s="2"/>
      <c r="S792" s="2"/>
      <c r="T792" s="2"/>
      <c r="U792" s="2"/>
      <c r="V792" s="2"/>
      <c r="W792" s="2"/>
      <c r="X792" s="2"/>
      <c r="Y792" s="2"/>
    </row>
    <row r="793">
      <c r="A793" s="30">
        <f>IFERROR(__xludf.DUMMYFUNCTION("""COMPUTED_VALUE"""),790.0)</f>
        <v>790</v>
      </c>
      <c r="B793" s="39">
        <f>IFERROR(__xludf.DUMMYFUNCTION("""COMPUTED_VALUE"""),45911.0)</f>
        <v>45911</v>
      </c>
      <c r="C793" s="30">
        <f>IFERROR(__xludf.DUMMYFUNCTION("""COMPUTED_VALUE"""),4.0)</f>
        <v>4</v>
      </c>
      <c r="D793" s="30" t="str">
        <f>IFERROR(__xludf.DUMMYFUNCTION("""COMPUTED_VALUE"""),"CT CŨ")</f>
        <v>CT CŨ</v>
      </c>
      <c r="E793" s="46">
        <f>IFERROR(__xludf.DUMMYFUNCTION("""COMPUTED_VALUE"""),46139.0)</f>
        <v>46139</v>
      </c>
      <c r="F793" s="2" t="str">
        <f>IFERROR(__xludf.DUMMYFUNCTION("""COMPUTED_VALUE"""),"ATP27042601")</f>
        <v>ATP27042601</v>
      </c>
      <c r="G793" s="2" t="str">
        <f>IFERROR(__xludf.DUMMYFUNCTION("""COMPUTED_VALUE"""),"HH4304")</f>
        <v>HH4304</v>
      </c>
      <c r="H793" s="2" t="str">
        <f>IFERROR(__xludf.DUMMYFUNCTION("""COMPUTED_VALUE"""),"GC - V - 4304 - CSSX An Khang (A.Dinh) - TAK09 (Nước nâu đen) - 500ml - 40")</f>
        <v>GC - V - 4304 - CSSX An Khang (A.Dinh) - TAK09 (Nước nâu đen) - 500ml - 40</v>
      </c>
      <c r="I793" s="2" t="str">
        <f>IFERROR(__xludf.DUMMYFUNCTION("""COMPUTED_VALUE"""),"Hữu cơ SH Agro Organic Fertilizer 20")</f>
        <v>Hữu cơ SH Agro Organic Fertilizer 20</v>
      </c>
      <c r="J793" s="2" t="str">
        <f>IFERROR(__xludf.DUMMYFUNCTION("""COMPUTED_VALUE"""),"Cùng ruột 3801
TAK09")</f>
        <v>Cùng ruột 3801
TAK09</v>
      </c>
      <c r="K793" s="39">
        <f>IFERROR(__xludf.DUMMYFUNCTION("""COMPUTED_VALUE"""),46146.0)</f>
        <v>46146</v>
      </c>
      <c r="L793" s="2" t="str">
        <f>IFERROR(__xludf.DUMMYFUNCTION("""COMPUTED_VALUE"""),"A01090625")</f>
        <v>A01090625</v>
      </c>
      <c r="M793" s="2" t="str">
        <f>IFERROR(__xludf.DUMMYFUNCTION("""COMPUTED_VALUE"""),"TAK09")</f>
        <v>TAK09</v>
      </c>
      <c r="N793" s="2" t="str">
        <f>IFERROR(__xludf.DUMMYFUNCTION("""COMPUTED_VALUE"""),"01RR0055")</f>
        <v>01RR0055</v>
      </c>
      <c r="O793" s="2" t="str">
        <f>IFERROR(__xludf.DUMMYFUNCTION("""COMPUTED_VALUE"""),"Phân bón Hữu cơ SH Agro Organic Fertilizer 20")</f>
        <v>Phân bón Hữu cơ SH Agro Organic Fertilizer 20</v>
      </c>
      <c r="P793" s="2" t="str">
        <f>IFERROR(__xludf.DUMMYFUNCTION("""COMPUTED_VALUE"""),"Phân bón Hữu cơ SH Agro Organic Fertilizer 20")</f>
        <v>Phân bón Hữu cơ SH Agro Organic Fertilizer 20</v>
      </c>
      <c r="Q793" s="30" t="str">
        <f>IFERROR(__xludf.DUMMYFUNCTION("""COMPUTED_VALUE"""),"KHỚP")</f>
        <v>KHỚP</v>
      </c>
      <c r="R793" s="2"/>
      <c r="S793" s="2"/>
      <c r="T793" s="2"/>
      <c r="U793" s="2"/>
      <c r="V793" s="2"/>
      <c r="W793" s="2"/>
      <c r="X793" s="2"/>
      <c r="Y793" s="2"/>
    </row>
    <row r="794">
      <c r="A794" s="30">
        <f>IFERROR(__xludf.DUMMYFUNCTION("""COMPUTED_VALUE"""),791.0)</f>
        <v>791</v>
      </c>
      <c r="B794" s="39">
        <f>IFERROR(__xludf.DUMMYFUNCTION("""COMPUTED_VALUE"""),45993.0)</f>
        <v>45993</v>
      </c>
      <c r="C794" s="30">
        <f>IFERROR(__xludf.DUMMYFUNCTION("""COMPUTED_VALUE"""),5.0)</f>
        <v>5</v>
      </c>
      <c r="D794" s="30" t="str">
        <f>IFERROR(__xludf.DUMMYFUNCTION("""COMPUTED_VALUE"""),"CT CŨ")</f>
        <v>CT CŨ</v>
      </c>
      <c r="E794" s="46">
        <f>IFERROR(__xludf.DUMMYFUNCTION("""COMPUTED_VALUE"""),46139.0)</f>
        <v>46139</v>
      </c>
      <c r="F794" s="2" t="str">
        <f>IFERROR(__xludf.DUMMYFUNCTION("""COMPUTED_VALUE"""),"ITP27042601")</f>
        <v>ITP27042601</v>
      </c>
      <c r="G794" s="2" t="str">
        <f>IFERROR(__xludf.DUMMYFUNCTION("""COMPUTED_VALUE"""),"HH4507")</f>
        <v>HH4507</v>
      </c>
      <c r="H794" s="2" t="str">
        <f>IFERROR(__xludf.DUMMYFUNCTION("""COMPUTED_VALUE"""),"IDA Global - I - 4507 - KG - ORGANIC X2 (Nước nâu đen) - 1L - 20")</f>
        <v>IDA Global - I - 4507 - KG - ORGANIC X2 (Nước nâu đen) - 1L - 20</v>
      </c>
      <c r="I794" s="2" t="str">
        <f>IFERROR(__xludf.DUMMYFUNCTION("""COMPUTED_VALUE"""),"Hữu cơ SH Agro Organic Fertilizer 20")</f>
        <v>Hữu cơ SH Agro Organic Fertilizer 20</v>
      </c>
      <c r="J794" s="2" t="str">
        <f>IFERROR(__xludf.DUMMYFUNCTION("""COMPUTED_VALUE"""),"Đóng theo đơn gần nhất")</f>
        <v>Đóng theo đơn gần nhất</v>
      </c>
      <c r="K794" s="39">
        <f>IFERROR(__xludf.DUMMYFUNCTION("""COMPUTED_VALUE"""),46150.0)</f>
        <v>46150</v>
      </c>
      <c r="L794" s="2"/>
      <c r="M794" s="2" t="str">
        <f>IFERROR(__xludf.DUMMYFUNCTION("""COMPUTED_VALUE"""),"ORGANIC X2")</f>
        <v>ORGANIC X2</v>
      </c>
      <c r="N794" s="2" t="str">
        <f>IFERROR(__xludf.DUMMYFUNCTION("""COMPUTED_VALUE"""),"01RR0044V3")</f>
        <v>01RR0044V3</v>
      </c>
      <c r="O794" s="2" t="str">
        <f>IFERROR(__xludf.DUMMYFUNCTION("""COMPUTED_VALUE"""),"Phân bón Hữu cơ SH Agro Organic Fertilizer 20")</f>
        <v>Phân bón Hữu cơ SH Agro Organic Fertilizer 20</v>
      </c>
      <c r="P794" s="2" t="str">
        <f>IFERROR(__xludf.DUMMYFUNCTION("""COMPUTED_VALUE"""),"Phân bón Hữu cơ SH Agro Organic Fertilizer 20")</f>
        <v>Phân bón Hữu cơ SH Agro Organic Fertilizer 20</v>
      </c>
      <c r="Q794" s="30" t="str">
        <f>IFERROR(__xludf.DUMMYFUNCTION("""COMPUTED_VALUE"""),"KHỚP")</f>
        <v>KHỚP</v>
      </c>
      <c r="R794" s="2"/>
      <c r="S794" s="2"/>
      <c r="T794" s="2"/>
      <c r="U794" s="2"/>
      <c r="V794" s="2"/>
      <c r="W794" s="2"/>
      <c r="X794" s="2"/>
      <c r="Y794" s="2"/>
    </row>
    <row r="795">
      <c r="A795" s="30">
        <f>IFERROR(__xludf.DUMMYFUNCTION("""COMPUTED_VALUE"""),792.0)</f>
        <v>792</v>
      </c>
      <c r="B795" s="39">
        <f>IFERROR(__xludf.DUMMYFUNCTION("""COMPUTED_VALUE"""),45994.0)</f>
        <v>45994</v>
      </c>
      <c r="C795" s="30">
        <f>IFERROR(__xludf.DUMMYFUNCTION("""COMPUTED_VALUE"""),5.0)</f>
        <v>5</v>
      </c>
      <c r="D795" s="30" t="str">
        <f>IFERROR(__xludf.DUMMYFUNCTION("""COMPUTED_VALUE"""),"CT CŨ")</f>
        <v>CT CŨ</v>
      </c>
      <c r="E795" s="46">
        <f>IFERROR(__xludf.DUMMYFUNCTION("""COMPUTED_VALUE"""),46140.0)</f>
        <v>46140</v>
      </c>
      <c r="F795" s="2" t="str">
        <f>IFERROR(__xludf.DUMMYFUNCTION("""COMPUTED_VALUE"""),"ITP28042601")</f>
        <v>ITP28042601</v>
      </c>
      <c r="G795" s="2" t="str">
        <f>IFERROR(__xludf.DUMMYFUNCTION("""COMPUTED_VALUE"""),"HH4680")</f>
        <v>HH4680</v>
      </c>
      <c r="H795" s="2" t="str">
        <f>IFERROR(__xludf.DUMMYFUNCTION("""COMPUTED_VALUE"""),"LOTUS AGROCHEM - VI - 4680 - LOTUS KÍCH RỄ - BUNG CHỒI (Nước nâu đen) - 250ml - 40")</f>
        <v>LOTUS AGROCHEM - VI - 4680 - LOTUS KÍCH RỄ - BUNG CHỒI (Nước nâu đen) - 250ml - 40</v>
      </c>
      <c r="I795" s="2" t="str">
        <f>IFERROR(__xludf.DUMMYFUNCTION("""COMPUTED_VALUE"""),"Hữu cơ FUSEMIN COMBI+")</f>
        <v>Hữu cơ FUSEMIN COMBI+</v>
      </c>
      <c r="J795" s="2" t="str">
        <f>IFERROR(__xludf.DUMMYFUNCTION("""COMPUTED_VALUE"""),"Đóng theo đơn gần nhất")</f>
        <v>Đóng theo đơn gần nhất</v>
      </c>
      <c r="K795" s="39">
        <f>IFERROR(__xludf.DUMMYFUNCTION("""COMPUTED_VALUE"""),46150.0)</f>
        <v>46150</v>
      </c>
      <c r="L795" s="2" t="str">
        <f>IFERROR(__xludf.DUMMYFUNCTION("""COMPUTED_VALUE"""),"BB24040725")</f>
        <v>BB24040725</v>
      </c>
      <c r="M795" s="2" t="str">
        <f>IFERROR(__xludf.DUMMYFUNCTION("""COMPUTED_VALUE"""),"BAMBOO MAGIE FULVIC")</f>
        <v>BAMBOO MAGIE FULVIC</v>
      </c>
      <c r="N795" s="2" t="str">
        <f>IFERROR(__xludf.DUMMYFUNCTION("""COMPUTED_VALUE"""),"01RR0064V1")</f>
        <v>01RR0064V1</v>
      </c>
      <c r="O795" s="2" t="str">
        <f>IFERROR(__xludf.DUMMYFUNCTION("""COMPUTED_VALUE"""),"Phân bón hữu cơ FUSEMIN COMBI+")</f>
        <v>Phân bón hữu cơ FUSEMIN COMBI+</v>
      </c>
      <c r="P795" s="2" t="str">
        <f>IFERROR(__xludf.DUMMYFUNCTION("""COMPUTED_VALUE"""),"Phân bón Hữu cơ FUSEMIN COMBI+")</f>
        <v>Phân bón Hữu cơ FUSEMIN COMBI+</v>
      </c>
      <c r="Q795" s="30" t="str">
        <f>IFERROR(__xludf.DUMMYFUNCTION("""COMPUTED_VALUE"""),"KHỚP")</f>
        <v>KHỚP</v>
      </c>
      <c r="R795" s="2"/>
      <c r="S795" s="2"/>
      <c r="T795" s="2"/>
      <c r="U795" s="2"/>
      <c r="V795" s="2"/>
      <c r="W795" s="2"/>
      <c r="X795" s="2"/>
      <c r="Y795" s="2"/>
    </row>
    <row r="796">
      <c r="A796" s="30">
        <f>IFERROR(__xludf.DUMMYFUNCTION("""COMPUTED_VALUE"""),793.0)</f>
        <v>793</v>
      </c>
      <c r="B796" s="39">
        <f>IFERROR(__xludf.DUMMYFUNCTION("""COMPUTED_VALUE"""),46007.0)</f>
        <v>46007</v>
      </c>
      <c r="C796" s="30">
        <f>IFERROR(__xludf.DUMMYFUNCTION("""COMPUTED_VALUE"""),1.0)</f>
        <v>1</v>
      </c>
      <c r="D796" s="30" t="str">
        <f>IFERROR(__xludf.DUMMYFUNCTION("""COMPUTED_VALUE"""),"CT CŨ")</f>
        <v>CT CŨ</v>
      </c>
      <c r="E796" s="46">
        <f>IFERROR(__xludf.DUMMYFUNCTION("""COMPUTED_VALUE"""),46140.0)</f>
        <v>46140</v>
      </c>
      <c r="F796" s="2" t="str">
        <f>IFERROR(__xludf.DUMMYFUNCTION("""COMPUTED_VALUE"""),"ATP28042603")</f>
        <v>ATP28042603</v>
      </c>
      <c r="G796" s="2" t="str">
        <f>IFERROR(__xludf.DUMMYFUNCTION("""COMPUTED_VALUE"""),"HH4973")</f>
        <v>HH4973</v>
      </c>
      <c r="H796" s="2" t="str">
        <f>IFERROR(__xludf.DUMMYFUNCTION("""COMPUTED_VALUE"""),"GC - V - 4973 - SONG KIM AGRICULTURE - SK RA RỄ NỞ BỤI (Nước nâu đen) - 500ml - 40")</f>
        <v>GC - V - 4973 - SONG KIM AGRICULTURE - SK RA RỄ NỞ BỤI (Nước nâu đen) - 500ml - 40</v>
      </c>
      <c r="I796" s="2" t="str">
        <f>IFERROR(__xludf.DUMMYFUNCTION("""COMPUTED_VALUE"""),"Hữu Cơ Organic ĐGP 01")</f>
        <v>Hữu Cơ Organic ĐGP 01</v>
      </c>
      <c r="J796" s="2" t="str">
        <f>IFERROR(__xludf.DUMMYFUNCTION("""COMPUTED_VALUE"""),"A04251125")</f>
        <v>A04251125</v>
      </c>
      <c r="K796" s="39">
        <f>IFERROR(__xludf.DUMMYFUNCTION("""COMPUTED_VALUE"""),46157.0)</f>
        <v>46157</v>
      </c>
      <c r="L796" s="2" t="str">
        <f>IFERROR(__xludf.DUMMYFUNCTION("""COMPUTED_VALUE"""),"A04251125")</f>
        <v>A04251125</v>
      </c>
      <c r="M796" s="2" t="str">
        <f>IFERROR(__xludf.DUMMYFUNCTION("""COMPUTED_VALUE"""),"RA RỄ NỞ BỤI (DONA)")</f>
        <v>RA RỄ NỞ BỤI (DONA)</v>
      </c>
      <c r="N796" s="2" t="str">
        <f>IFERROR(__xludf.DUMMYFUNCTION("""COMPUTED_VALUE"""),"01RR0084")</f>
        <v>01RR0084</v>
      </c>
      <c r="O796" s="2" t="str">
        <f>IFERROR(__xludf.DUMMYFUNCTION("""COMPUTED_VALUE"""),"Phân bón Hữu cơ ORGANIC ĐGP 01 ")</f>
        <v>Phân bón Hữu cơ ORGANIC ĐGP 01 </v>
      </c>
      <c r="P796" s="2" t="str">
        <f>IFERROR(__xludf.DUMMYFUNCTION("""COMPUTED_VALUE"""),"Phân bón Hữu Cơ Organic ĐGP 01")</f>
        <v>Phân bón Hữu Cơ Organic ĐGP 01</v>
      </c>
      <c r="Q796" s="30" t="str">
        <f>IFERROR(__xludf.DUMMYFUNCTION("""COMPUTED_VALUE"""),"KHỚP")</f>
        <v>KHỚP</v>
      </c>
      <c r="R796" s="2"/>
      <c r="S796" s="2"/>
      <c r="T796" s="2"/>
      <c r="U796" s="2"/>
      <c r="V796" s="2"/>
      <c r="W796" s="2"/>
      <c r="X796" s="2"/>
      <c r="Y796" s="2"/>
    </row>
    <row r="797">
      <c r="A797" s="30">
        <f>IFERROR(__xludf.DUMMYFUNCTION("""COMPUTED_VALUE"""),794.0)</f>
        <v>794</v>
      </c>
      <c r="B797" s="39">
        <f>IFERROR(__xludf.DUMMYFUNCTION("""COMPUTED_VALUE"""),46007.0)</f>
        <v>46007</v>
      </c>
      <c r="C797" s="30">
        <f>IFERROR(__xludf.DUMMYFUNCTION("""COMPUTED_VALUE"""),1.0)</f>
        <v>1</v>
      </c>
      <c r="D797" s="30" t="str">
        <f>IFERROR(__xludf.DUMMYFUNCTION("""COMPUTED_VALUE"""),"CT CŨ")</f>
        <v>CT CŨ</v>
      </c>
      <c r="E797" s="46">
        <f>IFERROR(__xludf.DUMMYFUNCTION("""COMPUTED_VALUE"""),46140.0)</f>
        <v>46140</v>
      </c>
      <c r="F797" s="2" t="str">
        <f>IFERROR(__xludf.DUMMYFUNCTION("""COMPUTED_VALUE"""),"ATP28042604")</f>
        <v>ATP28042604</v>
      </c>
      <c r="G797" s="2" t="str">
        <f>IFERROR(__xludf.DUMMYFUNCTION("""COMPUTED_VALUE"""),"HH4984")</f>
        <v>HH4984</v>
      </c>
      <c r="H797" s="2" t="str">
        <f>IFERROR(__xludf.DUMMYFUNCTION("""COMPUTED_VALUE"""),"GC - V - 4984 - CTY DONA VINA - GEL RA RỄ NỞ BỤI (Nước nâu đen) - 500ml - 40")</f>
        <v>GC - V - 4984 - CTY DONA VINA - GEL RA RỄ NỞ BỤI (Nước nâu đen) - 500ml - 40</v>
      </c>
      <c r="I797" s="2" t="str">
        <f>IFERROR(__xludf.DUMMYFUNCTION("""COMPUTED_VALUE"""),"Hữu Cơ Organic ĐGP 01")</f>
        <v>Hữu Cơ Organic ĐGP 01</v>
      </c>
      <c r="J797" s="2" t="str">
        <f>IFERROR(__xludf.DUMMYFUNCTION("""COMPUTED_VALUE"""),"A04251125")</f>
        <v>A04251125</v>
      </c>
      <c r="K797" s="39">
        <f>IFERROR(__xludf.DUMMYFUNCTION("""COMPUTED_VALUE"""),46157.0)</f>
        <v>46157</v>
      </c>
      <c r="L797" s="2" t="str">
        <f>IFERROR(__xludf.DUMMYFUNCTION("""COMPUTED_VALUE"""),"A04251125")</f>
        <v>A04251125</v>
      </c>
      <c r="M797" s="2" t="str">
        <f>IFERROR(__xludf.DUMMYFUNCTION("""COMPUTED_VALUE"""),"RA RỄ NỞ BỤI (DONA)")</f>
        <v>RA RỄ NỞ BỤI (DONA)</v>
      </c>
      <c r="N797" s="2" t="str">
        <f>IFERROR(__xludf.DUMMYFUNCTION("""COMPUTED_VALUE"""),"01RR0084")</f>
        <v>01RR0084</v>
      </c>
      <c r="O797" s="2" t="str">
        <f>IFERROR(__xludf.DUMMYFUNCTION("""COMPUTED_VALUE"""),"Phân bón Hữu cơ ORGANIC ĐGP 01 ")</f>
        <v>Phân bón Hữu cơ ORGANIC ĐGP 01 </v>
      </c>
      <c r="P797" s="2" t="str">
        <f>IFERROR(__xludf.DUMMYFUNCTION("""COMPUTED_VALUE"""),"Phân bón Hữu Cơ Organic ĐGP 01")</f>
        <v>Phân bón Hữu Cơ Organic ĐGP 01</v>
      </c>
      <c r="Q797" s="30" t="str">
        <f>IFERROR(__xludf.DUMMYFUNCTION("""COMPUTED_VALUE"""),"KHỚP")</f>
        <v>KHỚP</v>
      </c>
      <c r="R797" s="2"/>
      <c r="S797" s="2"/>
      <c r="T797" s="2"/>
      <c r="U797" s="2"/>
      <c r="V797" s="2"/>
      <c r="W797" s="2"/>
      <c r="X797" s="2"/>
      <c r="Y797" s="2"/>
    </row>
    <row r="798">
      <c r="A798" s="30">
        <f>IFERROR(__xludf.DUMMYFUNCTION("""COMPUTED_VALUE"""),795.0)</f>
        <v>795</v>
      </c>
      <c r="B798" s="39">
        <f>IFERROR(__xludf.DUMMYFUNCTION("""COMPUTED_VALUE"""),46105.0)</f>
        <v>46105</v>
      </c>
      <c r="C798" s="30">
        <f>IFERROR(__xludf.DUMMYFUNCTION("""COMPUTED_VALUE"""),1.0)</f>
        <v>1</v>
      </c>
      <c r="D798" s="30" t="str">
        <f>IFERROR(__xludf.DUMMYFUNCTION("""COMPUTED_VALUE"""),"CT CŨ")</f>
        <v>CT CŨ</v>
      </c>
      <c r="E798" s="46">
        <f>IFERROR(__xludf.DUMMYFUNCTION("""COMPUTED_VALUE"""),46140.0)</f>
        <v>46140</v>
      </c>
      <c r="F798" s="2" t="str">
        <f>IFERROR(__xludf.DUMMYFUNCTION("""COMPUTED_VALUE"""),"ATP28042605")</f>
        <v>ATP28042605</v>
      </c>
      <c r="G798" s="2" t="str">
        <f>IFERROR(__xludf.DUMMYFUNCTION("""COMPUTED_VALUE"""),"HH4985")</f>
        <v>HH4985</v>
      </c>
      <c r="H798" s="2" t="str">
        <f>IFERROR(__xludf.DUMMYFUNCTION("""COMPUTED_VALUE"""),"GC - V - 4985 - CTY DONA VINA - GEL VÔ GẠO (Nước vàng) - 500ml - 40")</f>
        <v>GC - V - 4985 - CTY DONA VINA - GEL VÔ GẠO (Nước vàng) - 500ml - 40</v>
      </c>
      <c r="I798" s="2" t="str">
        <f>IFERROR(__xludf.DUMMYFUNCTION("""COMPUTED_VALUE"""),"Lá PK-Vi lượng SV 5-18")</f>
        <v>Lá PK-Vi lượng SV 5-18</v>
      </c>
      <c r="J798" s="2" t="str">
        <f>IFERROR(__xludf.DUMMYFUNCTION("""COMPUTED_VALUE"""),"A06190825")</f>
        <v>A06190825</v>
      </c>
      <c r="K798" s="39">
        <f>IFERROR(__xludf.DUMMYFUNCTION("""COMPUTED_VALUE"""),46157.0)</f>
        <v>46157</v>
      </c>
      <c r="L798" s="2" t="str">
        <f>IFERROR(__xludf.DUMMYFUNCTION("""COMPUTED_VALUE"""),"A06190825")</f>
        <v>A06190825</v>
      </c>
      <c r="M798" s="2" t="str">
        <f>IFERROR(__xludf.DUMMYFUNCTION("""COMPUTED_VALUE"""),"SUPER VÔ GẠO")</f>
        <v>SUPER VÔ GẠO</v>
      </c>
      <c r="N798" s="2" t="str">
        <f>IFERROR(__xludf.DUMMYFUNCTION("""COMPUTED_VALUE"""),"04VG0057")</f>
        <v>04VG0057</v>
      </c>
      <c r="O798" s="2" t="str">
        <f>IFERROR(__xludf.DUMMYFUNCTION("""COMPUTED_VALUE"""),"Phân bón lá PK-Vi lượng SV 5-18")</f>
        <v>Phân bón lá PK-Vi lượng SV 5-18</v>
      </c>
      <c r="P798" s="2" t="str">
        <f>IFERROR(__xludf.DUMMYFUNCTION("""COMPUTED_VALUE"""),"Phân bón Lá PK-Vi lượng SV 5-18")</f>
        <v>Phân bón Lá PK-Vi lượng SV 5-18</v>
      </c>
      <c r="Q798" s="30" t="str">
        <f>IFERROR(__xludf.DUMMYFUNCTION("""COMPUTED_VALUE"""),"KHỚP")</f>
        <v>KHỚP</v>
      </c>
      <c r="R798" s="2"/>
      <c r="S798" s="2"/>
      <c r="T798" s="2"/>
      <c r="U798" s="2"/>
      <c r="V798" s="2"/>
      <c r="W798" s="2"/>
      <c r="X798" s="2"/>
      <c r="Y798" s="2"/>
    </row>
    <row r="799">
      <c r="A799" s="30">
        <f>IFERROR(__xludf.DUMMYFUNCTION("""COMPUTED_VALUE"""),796.0)</f>
        <v>796</v>
      </c>
      <c r="B799" s="39">
        <f>IFERROR(__xludf.DUMMYFUNCTION("""COMPUTED_VALUE"""),45971.0)</f>
        <v>45971</v>
      </c>
      <c r="C799" s="30">
        <f>IFERROR(__xludf.DUMMYFUNCTION("""COMPUTED_VALUE"""),1.0)</f>
        <v>1</v>
      </c>
      <c r="D799" s="30" t="str">
        <f>IFERROR(__xludf.DUMMYFUNCTION("""COMPUTED_VALUE"""),"CT MỚI")</f>
        <v>CT MỚI</v>
      </c>
      <c r="E799" s="46">
        <f>IFERROR(__xludf.DUMMYFUNCTION("""COMPUTED_VALUE"""),46140.0)</f>
        <v>46140</v>
      </c>
      <c r="F799" s="2" t="str">
        <f>IFERROR(__xludf.DUMMYFUNCTION("""COMPUTED_VALUE"""),"ATP28042606")</f>
        <v>ATP28042606</v>
      </c>
      <c r="G799" s="2" t="str">
        <f>IFERROR(__xludf.DUMMYFUNCTION("""COMPUTED_VALUE"""),"HH4986")</f>
        <v>HH4986</v>
      </c>
      <c r="H799" s="2" t="str">
        <f>IFERROR(__xludf.DUMMYFUNCTION("""COMPUTED_VALUE"""),"GC - V - 4986 - CTY DONA VINA - GEL DƯỠNG ĐÒNG (Nước nâu đen) - 500ml - 40")</f>
        <v>GC - V - 4986 - CTY DONA VINA - GEL DƯỠNG ĐÒNG (Nước nâu đen) - 500ml - 40</v>
      </c>
      <c r="I799" s="2" t="str">
        <f>IFERROR(__xludf.DUMMYFUNCTION("""COMPUTED_VALUE"""),"Hữu Cơ PBHC Cabozinc A.B.A")</f>
        <v>Hữu Cơ PBHC Cabozinc A.B.A</v>
      </c>
      <c r="J799" s="2" t="str">
        <f>IFERROR(__xludf.DUMMYFUNCTION("""COMPUTED_VALUE"""),"A05091025")</f>
        <v>A05091025</v>
      </c>
      <c r="K799" s="39">
        <f>IFERROR(__xludf.DUMMYFUNCTION("""COMPUTED_VALUE"""),46157.0)</f>
        <v>46157</v>
      </c>
      <c r="L799" s="2" t="str">
        <f>IFERROR(__xludf.DUMMYFUNCTION("""COMPUTED_VALUE"""),"A05091025 ")</f>
        <v>A05091025 </v>
      </c>
      <c r="M799" s="2" t="str">
        <f>IFERROR(__xludf.DUMMYFUNCTION("""COMPUTED_VALUE"""),"MẬP ĐỒNG")</f>
        <v>MẬP ĐỒNG</v>
      </c>
      <c r="N799" s="2" t="str">
        <f>IFERROR(__xludf.DUMMYFUNCTION("""COMPUTED_VALUE"""),"19DD0027")</f>
        <v>19DD0027</v>
      </c>
      <c r="O799" s="2" t="str">
        <f>IFERROR(__xludf.DUMMYFUNCTION("""COMPUTED_VALUE"""),"Phân bón Hữu cơ CABOZINC A.B.A")</f>
        <v>Phân bón Hữu cơ CABOZINC A.B.A</v>
      </c>
      <c r="P799" s="2" t="str">
        <f>IFERROR(__xludf.DUMMYFUNCTION("""COMPUTED_VALUE"""),"Phân bón Hữu Cơ PBHC Cabozinc A.B.A")</f>
        <v>Phân bón Hữu Cơ PBHC Cabozinc A.B.A</v>
      </c>
      <c r="Q799" s="30" t="str">
        <f>IFERROR(__xludf.DUMMYFUNCTION("""COMPUTED_VALUE"""),"KHỚP")</f>
        <v>KHỚP</v>
      </c>
      <c r="R799" s="2"/>
      <c r="S799" s="2"/>
      <c r="T799" s="2"/>
      <c r="U799" s="2"/>
      <c r="V799" s="2"/>
      <c r="W799" s="2"/>
      <c r="X799" s="2"/>
      <c r="Y799" s="2"/>
    </row>
    <row r="800">
      <c r="A800" s="30">
        <f>IFERROR(__xludf.DUMMYFUNCTION("""COMPUTED_VALUE"""),797.0)</f>
        <v>797</v>
      </c>
      <c r="B800" s="39">
        <f>IFERROR(__xludf.DUMMYFUNCTION("""COMPUTED_VALUE"""),46101.0)</f>
        <v>46101</v>
      </c>
      <c r="C800" s="30">
        <f>IFERROR(__xludf.DUMMYFUNCTION("""COMPUTED_VALUE"""),2.0)</f>
        <v>2</v>
      </c>
      <c r="D800" s="30" t="str">
        <f>IFERROR(__xludf.DUMMYFUNCTION("""COMPUTED_VALUE"""),"CT CŨ")</f>
        <v>CT CŨ</v>
      </c>
      <c r="E800" s="46">
        <f>IFERROR(__xludf.DUMMYFUNCTION("""COMPUTED_VALUE"""),46141.0)</f>
        <v>46141</v>
      </c>
      <c r="F800" s="2" t="str">
        <f>IFERROR(__xludf.DUMMYFUNCTION("""COMPUTED_VALUE"""),"ATP29042603")</f>
        <v>ATP29042603</v>
      </c>
      <c r="G800" s="2" t="str">
        <f>IFERROR(__xludf.DUMMYFUNCTION("""COMPUTED_VALUE"""),"HH4219")</f>
        <v>HH4219</v>
      </c>
      <c r="H800" s="2" t="str">
        <f>IFERROR(__xludf.DUMMYFUNCTION("""COMPUTED_VALUE"""),"GC - V - 4219 - Cty Sen Hồng - ROOT+ (Gel xanh dương) - 500ml - 40")</f>
        <v>GC - V - 4219 - Cty Sen Hồng - ROOT+ (Gel xanh dương) - 500ml - 40</v>
      </c>
      <c r="I800" s="2" t="str">
        <f>IFERROR(__xludf.DUMMYFUNCTION("""COMPUTED_VALUE"""),"Hỗn Hợp NP AGAMA-AP")</f>
        <v>Hỗn Hợp NP AGAMA-AP</v>
      </c>
      <c r="J800" s="2" t="str">
        <f>IFERROR(__xludf.DUMMYFUNCTION("""COMPUTED_VALUE"""),"A06091025")</f>
        <v>A06091025</v>
      </c>
      <c r="K800" s="39">
        <f>IFERROR(__xludf.DUMMYFUNCTION("""COMPUTED_VALUE"""),46157.0)</f>
        <v>46157</v>
      </c>
      <c r="L800" s="2" t="str">
        <f>IFERROR(__xludf.DUMMYFUNCTION("""COMPUTED_VALUE"""),"A06091025")</f>
        <v>A06091025</v>
      </c>
      <c r="M800" s="2" t="str">
        <f>IFERROR(__xludf.DUMMYFUNCTION("""COMPUTED_VALUE"""),"ROOT+")</f>
        <v>ROOT+</v>
      </c>
      <c r="N800" s="2" t="str">
        <f>IFERROR(__xludf.DUMMYFUNCTION("""COMPUTED_VALUE"""),"01RR0080")</f>
        <v>01RR0080</v>
      </c>
      <c r="O800" s="2" t="str">
        <f>IFERROR(__xludf.DUMMYFUNCTION("""COMPUTED_VALUE"""),"Phân bón Hỗn hợp NP AGAMA-AP")</f>
        <v>Phân bón Hỗn hợp NP AGAMA-AP</v>
      </c>
      <c r="P800" s="2" t="str">
        <f>IFERROR(__xludf.DUMMYFUNCTION("""COMPUTED_VALUE"""),"Phân bón Hỗn Hợp NP AGAMA-AP")</f>
        <v>Phân bón Hỗn Hợp NP AGAMA-AP</v>
      </c>
      <c r="Q800" s="30" t="str">
        <f>IFERROR(__xludf.DUMMYFUNCTION("""COMPUTED_VALUE"""),"KHỚP")</f>
        <v>KHỚP</v>
      </c>
      <c r="R800" s="2"/>
      <c r="S800" s="2"/>
      <c r="T800" s="2"/>
      <c r="U800" s="2"/>
      <c r="V800" s="2"/>
      <c r="W800" s="2"/>
      <c r="X800" s="2"/>
      <c r="Y800" s="2"/>
    </row>
    <row r="801">
      <c r="A801" s="30">
        <f>IFERROR(__xludf.DUMMYFUNCTION("""COMPUTED_VALUE"""),798.0)</f>
        <v>798</v>
      </c>
      <c r="B801" s="39">
        <f>IFERROR(__xludf.DUMMYFUNCTION("""COMPUTED_VALUE"""),46116.0)</f>
        <v>46116</v>
      </c>
      <c r="C801" s="30">
        <f>IFERROR(__xludf.DUMMYFUNCTION("""COMPUTED_VALUE"""),17.0)</f>
        <v>17</v>
      </c>
      <c r="D801" s="30" t="str">
        <f>IFERROR(__xludf.DUMMYFUNCTION("""COMPUTED_VALUE"""),"CT CŨ")</f>
        <v>CT CŨ</v>
      </c>
      <c r="E801" s="46">
        <f>IFERROR(__xludf.DUMMYFUNCTION("""COMPUTED_VALUE"""),46141.0)</f>
        <v>46141</v>
      </c>
      <c r="F801" s="2" t="str">
        <f>IFERROR(__xludf.DUMMYFUNCTION("""COMPUTED_VALUE"""),"ITP29042604")</f>
        <v>ITP29042604</v>
      </c>
      <c r="G801" s="2" t="str">
        <f>IFERROR(__xludf.DUMMYFUNCTION("""COMPUTED_VALUE"""),"HH4375")</f>
        <v>HH4375</v>
      </c>
      <c r="H801" s="2" t="str">
        <f>IFERROR(__xludf.DUMMYFUNCTION("""COMPUTED_VALUE"""),"BAMBOO - VI - 4375 - BAMBOO CANXI BO MASTER (Nước trắng sữa) - 1L - 20")</f>
        <v>BAMBOO - VI - 4375 - BAMBOO CANXI BO MASTER (Nước trắng sữa) - 1L - 20</v>
      </c>
      <c r="I801" s="2" t="str">
        <f>IFERROR(__xludf.DUMMYFUNCTION("""COMPUTED_VALUE"""),"Vi lượng AGAMA-CANXI BO")</f>
        <v>Vi lượng AGAMA-CANXI BO</v>
      </c>
      <c r="J801" s="2" t="str">
        <f>IFERROR(__xludf.DUMMYFUNCTION("""COMPUTED_VALUE"""),"Đóng theo đơn gần nhất")</f>
        <v>Đóng theo đơn gần nhất</v>
      </c>
      <c r="K801" s="39">
        <f>IFERROR(__xludf.DUMMYFUNCTION("""COMPUTED_VALUE"""),46150.0)</f>
        <v>46150</v>
      </c>
      <c r="L801" s="2"/>
      <c r="M801" s="2" t="str">
        <f>IFERROR(__xludf.DUMMYFUNCTION("""COMPUTED_VALUE"""),"CANXI BO MASTER")</f>
        <v>CANXI BO MASTER</v>
      </c>
      <c r="N801" s="2" t="str">
        <f>IFERROR(__xludf.DUMMYFUNCTION("""COMPUTED_VALUE"""),"10CR0015V2")</f>
        <v>10CR0015V2</v>
      </c>
      <c r="O801" s="2" t="str">
        <f>IFERROR(__xludf.DUMMYFUNCTION("""COMPUTED_VALUE"""),"Phân bón Vi lượng AGAMA-CANXI BO")</f>
        <v>Phân bón Vi lượng AGAMA-CANXI BO</v>
      </c>
      <c r="P801" s="2" t="str">
        <f>IFERROR(__xludf.DUMMYFUNCTION("""COMPUTED_VALUE"""),"Phân bón Vi lượng AGAMA-CANXI BO")</f>
        <v>Phân bón Vi lượng AGAMA-CANXI BO</v>
      </c>
      <c r="Q801" s="30" t="str">
        <f>IFERROR(__xludf.DUMMYFUNCTION("""COMPUTED_VALUE"""),"KHỚP")</f>
        <v>KHỚP</v>
      </c>
      <c r="R801" s="2"/>
      <c r="S801" s="2"/>
      <c r="T801" s="2"/>
      <c r="U801" s="2"/>
      <c r="V801" s="2"/>
      <c r="W801" s="2"/>
      <c r="X801" s="2"/>
      <c r="Y801" s="2"/>
    </row>
    <row r="802">
      <c r="A802" s="30">
        <f>IFERROR(__xludf.DUMMYFUNCTION("""COMPUTED_VALUE"""),799.0)</f>
        <v>799</v>
      </c>
      <c r="B802" s="39">
        <f>IFERROR(__xludf.DUMMYFUNCTION("""COMPUTED_VALUE"""),46116.0)</f>
        <v>46116</v>
      </c>
      <c r="C802" s="30">
        <f>IFERROR(__xludf.DUMMYFUNCTION("""COMPUTED_VALUE"""),18.0)</f>
        <v>18</v>
      </c>
      <c r="D802" s="30" t="str">
        <f>IFERROR(__xludf.DUMMYFUNCTION("""COMPUTED_VALUE"""),"CT CŨ")</f>
        <v>CT CŨ</v>
      </c>
      <c r="E802" s="46">
        <f>IFERROR(__xludf.DUMMYFUNCTION("""COMPUTED_VALUE"""),46141.0)</f>
        <v>46141</v>
      </c>
      <c r="F802" s="2" t="str">
        <f>IFERROR(__xludf.DUMMYFUNCTION("""COMPUTED_VALUE"""),"ITP29042605")</f>
        <v>ITP29042605</v>
      </c>
      <c r="G802" s="2" t="str">
        <f>IFERROR(__xludf.DUMMYFUNCTION("""COMPUTED_VALUE"""),"HH4375")</f>
        <v>HH4375</v>
      </c>
      <c r="H802" s="2" t="str">
        <f>IFERROR(__xludf.DUMMYFUNCTION("""COMPUTED_VALUE"""),"BAMBOO - VI - 4375 - BAMBOO CANXI BO MASTER (Nước trắng sữa) - 1L - 20")</f>
        <v>BAMBOO - VI - 4375 - BAMBOO CANXI BO MASTER (Nước trắng sữa) - 1L - 20</v>
      </c>
      <c r="I802" s="2" t="str">
        <f>IFERROR(__xludf.DUMMYFUNCTION("""COMPUTED_VALUE"""),"Vi lượng AGAMA-CANXI BO")</f>
        <v>Vi lượng AGAMA-CANXI BO</v>
      </c>
      <c r="J802" s="2" t="str">
        <f>IFERROR(__xludf.DUMMYFUNCTION("""COMPUTED_VALUE"""),"Đóng theo đơn gần nhất")</f>
        <v>Đóng theo đơn gần nhất</v>
      </c>
      <c r="K802" s="39">
        <f>IFERROR(__xludf.DUMMYFUNCTION("""COMPUTED_VALUE"""),46156.0)</f>
        <v>46156</v>
      </c>
      <c r="L802" s="2"/>
      <c r="M802" s="2" t="str">
        <f>IFERROR(__xludf.DUMMYFUNCTION("""COMPUTED_VALUE"""),"CANXI BO MASTER")</f>
        <v>CANXI BO MASTER</v>
      </c>
      <c r="N802" s="2" t="str">
        <f>IFERROR(__xludf.DUMMYFUNCTION("""COMPUTED_VALUE"""),"10CR0015V2")</f>
        <v>10CR0015V2</v>
      </c>
      <c r="O802" s="2" t="str">
        <f>IFERROR(__xludf.DUMMYFUNCTION("""COMPUTED_VALUE"""),"Phân bón Vi lượng AGAMA-CANXI BO")</f>
        <v>Phân bón Vi lượng AGAMA-CANXI BO</v>
      </c>
      <c r="P802" s="2" t="str">
        <f>IFERROR(__xludf.DUMMYFUNCTION("""COMPUTED_VALUE"""),"Phân bón Vi lượng AGAMA-CANXI BO")</f>
        <v>Phân bón Vi lượng AGAMA-CANXI BO</v>
      </c>
      <c r="Q802" s="30" t="str">
        <f>IFERROR(__xludf.DUMMYFUNCTION("""COMPUTED_VALUE"""),"KHỚP")</f>
        <v>KHỚP</v>
      </c>
      <c r="R802" s="2"/>
      <c r="S802" s="2"/>
      <c r="T802" s="2"/>
      <c r="U802" s="2"/>
      <c r="V802" s="2"/>
      <c r="W802" s="2"/>
      <c r="X802" s="2"/>
      <c r="Y802" s="2"/>
    </row>
    <row r="803">
      <c r="A803" s="30">
        <f>IFERROR(__xludf.DUMMYFUNCTION("""COMPUTED_VALUE"""),800.0)</f>
        <v>800</v>
      </c>
      <c r="B803" s="39">
        <f>IFERROR(__xludf.DUMMYFUNCTION("""COMPUTED_VALUE"""),46116.0)</f>
        <v>46116</v>
      </c>
      <c r="C803" s="30">
        <f>IFERROR(__xludf.DUMMYFUNCTION("""COMPUTED_VALUE"""),19.0)</f>
        <v>19</v>
      </c>
      <c r="D803" s="30" t="str">
        <f>IFERROR(__xludf.DUMMYFUNCTION("""COMPUTED_VALUE"""),"CT CŨ")</f>
        <v>CT CŨ</v>
      </c>
      <c r="E803" s="46">
        <f>IFERROR(__xludf.DUMMYFUNCTION("""COMPUTED_VALUE"""),46141.0)</f>
        <v>46141</v>
      </c>
      <c r="F803" s="2" t="str">
        <f>IFERROR(__xludf.DUMMYFUNCTION("""COMPUTED_VALUE"""),"ITP29042606")</f>
        <v>ITP29042606</v>
      </c>
      <c r="G803" s="2" t="str">
        <f>IFERROR(__xludf.DUMMYFUNCTION("""COMPUTED_VALUE"""),"HH4375")</f>
        <v>HH4375</v>
      </c>
      <c r="H803" s="2" t="str">
        <f>IFERROR(__xludf.DUMMYFUNCTION("""COMPUTED_VALUE"""),"BAMBOO - VI - 4375 - BAMBOO CANXI BO MASTER (Nước trắng sữa) - 1L - 20")</f>
        <v>BAMBOO - VI - 4375 - BAMBOO CANXI BO MASTER (Nước trắng sữa) - 1L - 20</v>
      </c>
      <c r="I803" s="2" t="str">
        <f>IFERROR(__xludf.DUMMYFUNCTION("""COMPUTED_VALUE"""),"Vi lượng AGAMA-CANXI BO")</f>
        <v>Vi lượng AGAMA-CANXI BO</v>
      </c>
      <c r="J803" s="2" t="str">
        <f>IFERROR(__xludf.DUMMYFUNCTION("""COMPUTED_VALUE"""),"Đóng theo đơn gần nhất")</f>
        <v>Đóng theo đơn gần nhất</v>
      </c>
      <c r="K803" s="39">
        <f>IFERROR(__xludf.DUMMYFUNCTION("""COMPUTED_VALUE"""),46160.0)</f>
        <v>46160</v>
      </c>
      <c r="L803" s="2"/>
      <c r="M803" s="2" t="str">
        <f>IFERROR(__xludf.DUMMYFUNCTION("""COMPUTED_VALUE"""),"CANXI BO MASTER")</f>
        <v>CANXI BO MASTER</v>
      </c>
      <c r="N803" s="2" t="str">
        <f>IFERROR(__xludf.DUMMYFUNCTION("""COMPUTED_VALUE"""),"10CR0015V2")</f>
        <v>10CR0015V2</v>
      </c>
      <c r="O803" s="2" t="str">
        <f>IFERROR(__xludf.DUMMYFUNCTION("""COMPUTED_VALUE"""),"Phân bón Vi lượng AGAMA-CANXI BO")</f>
        <v>Phân bón Vi lượng AGAMA-CANXI BO</v>
      </c>
      <c r="P803" s="2" t="str">
        <f>IFERROR(__xludf.DUMMYFUNCTION("""COMPUTED_VALUE"""),"Phân bón Vi lượng AGAMA-CANXI BO")</f>
        <v>Phân bón Vi lượng AGAMA-CANXI BO</v>
      </c>
      <c r="Q803" s="30" t="str">
        <f>IFERROR(__xludf.DUMMYFUNCTION("""COMPUTED_VALUE"""),"KHỚP")</f>
        <v>KHỚP</v>
      </c>
      <c r="R803" s="2"/>
      <c r="S803" s="2"/>
      <c r="T803" s="2"/>
      <c r="U803" s="2"/>
      <c r="V803" s="2"/>
      <c r="W803" s="2"/>
      <c r="X803" s="2"/>
      <c r="Y803" s="2"/>
    </row>
    <row r="804">
      <c r="A804" s="30">
        <f>IFERROR(__xludf.DUMMYFUNCTION("""COMPUTED_VALUE"""),801.0)</f>
        <v>801</v>
      </c>
      <c r="B804" s="39">
        <f>IFERROR(__xludf.DUMMYFUNCTION("""COMPUTED_VALUE"""),46116.0)</f>
        <v>46116</v>
      </c>
      <c r="C804" s="30">
        <f>IFERROR(__xludf.DUMMYFUNCTION("""COMPUTED_VALUE"""),20.0)</f>
        <v>20</v>
      </c>
      <c r="D804" s="30" t="str">
        <f>IFERROR(__xludf.DUMMYFUNCTION("""COMPUTED_VALUE"""),"CT CŨ")</f>
        <v>CT CŨ</v>
      </c>
      <c r="E804" s="46">
        <f>IFERROR(__xludf.DUMMYFUNCTION("""COMPUTED_VALUE"""),46141.0)</f>
        <v>46141</v>
      </c>
      <c r="F804" s="2" t="str">
        <f>IFERROR(__xludf.DUMMYFUNCTION("""COMPUTED_VALUE"""),"ITP29042607")</f>
        <v>ITP29042607</v>
      </c>
      <c r="G804" s="2" t="str">
        <f>IFERROR(__xludf.DUMMYFUNCTION("""COMPUTED_VALUE"""),"HH4375")</f>
        <v>HH4375</v>
      </c>
      <c r="H804" s="2" t="str">
        <f>IFERROR(__xludf.DUMMYFUNCTION("""COMPUTED_VALUE"""),"BAMBOO - VI - 4375 - BAMBOO CANXI BO MASTER (Nước trắng sữa) - 1L - 20")</f>
        <v>BAMBOO - VI - 4375 - BAMBOO CANXI BO MASTER (Nước trắng sữa) - 1L - 20</v>
      </c>
      <c r="I804" s="2" t="str">
        <f>IFERROR(__xludf.DUMMYFUNCTION("""COMPUTED_VALUE"""),"Vi lượng AGAMA-CANXI BO")</f>
        <v>Vi lượng AGAMA-CANXI BO</v>
      </c>
      <c r="J804" s="2" t="str">
        <f>IFERROR(__xludf.DUMMYFUNCTION("""COMPUTED_VALUE"""),"Đóng theo đơn gần nhất")</f>
        <v>Đóng theo đơn gần nhất</v>
      </c>
      <c r="K804" s="39">
        <f>IFERROR(__xludf.DUMMYFUNCTION("""COMPUTED_VALUE"""),46167.0)</f>
        <v>46167</v>
      </c>
      <c r="L804" s="2"/>
      <c r="M804" s="2" t="str">
        <f>IFERROR(__xludf.DUMMYFUNCTION("""COMPUTED_VALUE"""),"CANXI BO MASTER")</f>
        <v>CANXI BO MASTER</v>
      </c>
      <c r="N804" s="2" t="str">
        <f>IFERROR(__xludf.DUMMYFUNCTION("""COMPUTED_VALUE"""),"10CR0015V2")</f>
        <v>10CR0015V2</v>
      </c>
      <c r="O804" s="2" t="str">
        <f>IFERROR(__xludf.DUMMYFUNCTION("""COMPUTED_VALUE"""),"Phân bón Vi lượng AGAMA-CANXI BO")</f>
        <v>Phân bón Vi lượng AGAMA-CANXI BO</v>
      </c>
      <c r="P804" s="2" t="str">
        <f>IFERROR(__xludf.DUMMYFUNCTION("""COMPUTED_VALUE"""),"Phân bón Vi lượng AGAMA-CANXI BO")</f>
        <v>Phân bón Vi lượng AGAMA-CANXI BO</v>
      </c>
      <c r="Q804" s="30" t="str">
        <f>IFERROR(__xludf.DUMMYFUNCTION("""COMPUTED_VALUE"""),"KHỚP")</f>
        <v>KHỚP</v>
      </c>
      <c r="R804" s="2"/>
      <c r="S804" s="2"/>
      <c r="T804" s="2"/>
      <c r="U804" s="2"/>
      <c r="V804" s="2"/>
      <c r="W804" s="2"/>
      <c r="X804" s="2"/>
      <c r="Y804" s="2"/>
    </row>
    <row r="805">
      <c r="A805" s="30">
        <f>IFERROR(__xludf.DUMMYFUNCTION("""COMPUTED_VALUE"""),802.0)</f>
        <v>802</v>
      </c>
      <c r="B805" s="39">
        <f>IFERROR(__xludf.DUMMYFUNCTION("""COMPUTED_VALUE"""),45940.0)</f>
        <v>45940</v>
      </c>
      <c r="C805" s="30">
        <f>IFERROR(__xludf.DUMMYFUNCTION("""COMPUTED_VALUE"""),8.0)</f>
        <v>8</v>
      </c>
      <c r="D805" s="30" t="str">
        <f>IFERROR(__xludf.DUMMYFUNCTION("""COMPUTED_VALUE"""),"CT CŨ")</f>
        <v>CT CŨ</v>
      </c>
      <c r="E805" s="46">
        <f>IFERROR(__xludf.DUMMYFUNCTION("""COMPUTED_VALUE"""),46141.0)</f>
        <v>46141</v>
      </c>
      <c r="F805" s="2" t="str">
        <f>IFERROR(__xludf.DUMMYFUNCTION("""COMPUTED_VALUE"""),"ITP29042608")</f>
        <v>ITP29042608</v>
      </c>
      <c r="G805" s="2" t="str">
        <f>IFERROR(__xludf.DUMMYFUNCTION("""COMPUTED_VALUE"""),"HH4311")</f>
        <v>HH4311</v>
      </c>
      <c r="H805" s="2" t="str">
        <f>IFERROR(__xludf.DUMMYFUNCTION("""COMPUTED_VALUE"""),"BAMBOO - VI - 4311 - BAMBOO 777 TE (nước xanh lơ) - 1L - 20")</f>
        <v>BAMBOO - VI - 4311 - BAMBOO 777 TE (nước xanh lơ) - 1L - 20</v>
      </c>
      <c r="I805" s="2" t="str">
        <f>IFERROR(__xludf.DUMMYFUNCTION("""COMPUTED_VALUE"""),"lá NPK-vi lượng GNC19")</f>
        <v>lá NPK-vi lượng GNC19</v>
      </c>
      <c r="J805" s="2" t="str">
        <f>IFERROR(__xludf.DUMMYFUNCTION("""COMPUTED_VALUE"""),"Đóng theo đơn gần nhất")</f>
        <v>Đóng theo đơn gần nhất</v>
      </c>
      <c r="K805" s="39">
        <f>IFERROR(__xludf.DUMMYFUNCTION("""COMPUTED_VALUE"""),46153.0)</f>
        <v>46153</v>
      </c>
      <c r="L805" s="2" t="str">
        <f>IFERROR(__xludf.DUMMYFUNCTION("""COMPUTED_VALUE"""),"BB25040725")</f>
        <v>BB25040725</v>
      </c>
      <c r="M805" s="2" t="str">
        <f>IFERROR(__xludf.DUMMYFUNCTION("""COMPUTED_VALUE"""),"BAMBOO 777 TE")</f>
        <v>BAMBOO 777 TE</v>
      </c>
      <c r="N805" s="2" t="str">
        <f>IFERROR(__xludf.DUMMYFUNCTION("""COMPUTED_VALUE"""),"03DD0015V1")</f>
        <v>03DD0015V1</v>
      </c>
      <c r="O805" s="2" t="str">
        <f>IFERROR(__xludf.DUMMYFUNCTION("""COMPUTED_VALUE"""),"Phân bón lá NPK-Vi lượng GNC 19")</f>
        <v>Phân bón lá NPK-Vi lượng GNC 19</v>
      </c>
      <c r="P805" s="2" t="str">
        <f>IFERROR(__xludf.DUMMYFUNCTION("""COMPUTED_VALUE"""),"Phân bón lá NPK-vi lượng GNC19")</f>
        <v>Phân bón lá NPK-vi lượng GNC19</v>
      </c>
      <c r="Q805" s="30" t="str">
        <f>IFERROR(__xludf.DUMMYFUNCTION("""COMPUTED_VALUE"""),"KHỚP")</f>
        <v>KHỚP</v>
      </c>
      <c r="R805" s="2"/>
      <c r="S805" s="2"/>
      <c r="T805" s="2"/>
      <c r="U805" s="2"/>
      <c r="V805" s="2"/>
      <c r="W805" s="2"/>
      <c r="X805" s="2"/>
      <c r="Y805" s="2"/>
    </row>
    <row r="806">
      <c r="A806" s="30">
        <f>IFERROR(__xludf.DUMMYFUNCTION("""COMPUTED_VALUE"""),803.0)</f>
        <v>803</v>
      </c>
      <c r="B806" s="39">
        <f>IFERROR(__xludf.DUMMYFUNCTION("""COMPUTED_VALUE"""),45957.0)</f>
        <v>45957</v>
      </c>
      <c r="C806" s="30">
        <f>IFERROR(__xludf.DUMMYFUNCTION("""COMPUTED_VALUE"""),3.0)</f>
        <v>3</v>
      </c>
      <c r="D806" s="30" t="str">
        <f>IFERROR(__xludf.DUMMYFUNCTION("""COMPUTED_VALUE"""),"CT CŨ")</f>
        <v>CT CŨ</v>
      </c>
      <c r="E806" s="46">
        <f>IFERROR(__xludf.DUMMYFUNCTION("""COMPUTED_VALUE"""),46146.0)</f>
        <v>46146</v>
      </c>
      <c r="F806" s="2" t="str">
        <f>IFERROR(__xludf.DUMMYFUNCTION("""COMPUTED_VALUE"""),"ATP04052604")</f>
        <v>ATP04052604</v>
      </c>
      <c r="G806" s="2" t="str">
        <f>IFERROR(__xludf.DUMMYFUNCTION("""COMPUTED_VALUE"""),"HH4264")</f>
        <v>HH4264</v>
      </c>
      <c r="H806" s="2" t="str">
        <f>IFERROR(__xludf.DUMMYFUNCTION("""COMPUTED_VALUE"""),"GC - V - 4264 - CTY NGỌC BẢO LONG AGRI - SIÊU VÔ GẠO (nước nâu đen) - 500ml - 30")</f>
        <v>GC - V - 4264 - CTY NGỌC BẢO LONG AGRI - SIÊU VÔ GẠO (nước nâu đen) - 500ml - 30</v>
      </c>
      <c r="I806" s="2" t="str">
        <f>IFERROR(__xludf.DUMMYFUNCTION("""COMPUTED_VALUE"""),"Lá PK-Vi lượng SV 5-18")</f>
        <v>Lá PK-Vi lượng SV 5-18</v>
      </c>
      <c r="J806" s="2" t="str">
        <f>IFERROR(__xludf.DUMMYFUNCTION("""COMPUTED_VALUE"""),"A07111025")</f>
        <v>A07111025</v>
      </c>
      <c r="K806" s="39">
        <f>IFERROR(__xludf.DUMMYFUNCTION("""COMPUTED_VALUE"""),46158.0)</f>
        <v>46158</v>
      </c>
      <c r="L806" s="2" t="str">
        <f>IFERROR(__xludf.DUMMYFUNCTION("""COMPUTED_VALUE"""),"A07111025")</f>
        <v>A07111025</v>
      </c>
      <c r="M806" s="2" t="str">
        <f>IFERROR(__xludf.DUMMYFUNCTION("""COMPUTED_VALUE"""),"VÔ GẠO NBL")</f>
        <v>VÔ GẠO NBL</v>
      </c>
      <c r="N806" s="2" t="str">
        <f>IFERROR(__xludf.DUMMYFUNCTION("""COMPUTED_VALUE"""),"04VG0041")</f>
        <v>04VG0041</v>
      </c>
      <c r="O806" s="2" t="str">
        <f>IFERROR(__xludf.DUMMYFUNCTION("""COMPUTED_VALUE"""),"Phân bón lá PK-Vi lượng SV 5-18")</f>
        <v>Phân bón lá PK-Vi lượng SV 5-18</v>
      </c>
      <c r="P806" s="2" t="str">
        <f>IFERROR(__xludf.DUMMYFUNCTION("""COMPUTED_VALUE"""),"Phân bón Lá PK-Vi lượng SV 5-18")</f>
        <v>Phân bón Lá PK-Vi lượng SV 5-18</v>
      </c>
      <c r="Q806" s="30" t="str">
        <f>IFERROR(__xludf.DUMMYFUNCTION("""COMPUTED_VALUE"""),"KHỚP")</f>
        <v>KHỚP</v>
      </c>
      <c r="R806" s="2"/>
      <c r="S806" s="2"/>
      <c r="T806" s="2"/>
      <c r="U806" s="2"/>
      <c r="V806" s="2"/>
      <c r="W806" s="2"/>
      <c r="X806" s="2"/>
      <c r="Y806" s="2"/>
    </row>
    <row r="807">
      <c r="A807" s="30">
        <f>IFERROR(__xludf.DUMMYFUNCTION("""COMPUTED_VALUE"""),804.0)</f>
        <v>804</v>
      </c>
      <c r="B807" s="39">
        <f>IFERROR(__xludf.DUMMYFUNCTION("""COMPUTED_VALUE"""),46100.0)</f>
        <v>46100</v>
      </c>
      <c r="C807" s="30">
        <f>IFERROR(__xludf.DUMMYFUNCTION("""COMPUTED_VALUE"""),1.0)</f>
        <v>1</v>
      </c>
      <c r="D807" s="30" t="str">
        <f>IFERROR(__xludf.DUMMYFUNCTION("""COMPUTED_VALUE"""),"CT CŨ")</f>
        <v>CT CŨ</v>
      </c>
      <c r="E807" s="46">
        <f>IFERROR(__xludf.DUMMYFUNCTION("""COMPUTED_VALUE"""),46147.0)</f>
        <v>46147</v>
      </c>
      <c r="F807" s="2" t="str">
        <f>IFERROR(__xludf.DUMMYFUNCTION("""COMPUTED_VALUE"""),"ATP05052601")</f>
        <v>ATP05052601</v>
      </c>
      <c r="G807" s="2" t="str">
        <f>IFERROR(__xludf.DUMMYFUNCTION("""COMPUTED_VALUE"""),"HH4971")</f>
        <v>HH4971</v>
      </c>
      <c r="H807" s="2" t="str">
        <f>IFERROR(__xludf.DUMMYFUNCTION("""COMPUTED_VALUE"""),"GC - V - 4971 - CTY QUANG ĐĂNG AGRICULTURE - BIG FRUIT QĐ.KATO (Gel nâu đen) - 500ml - 40")</f>
        <v>GC - V - 4971 - CTY QUANG ĐĂNG AGRICULTURE - BIG FRUIT QĐ.KATO (Gel nâu đen) - 500ml - 40</v>
      </c>
      <c r="I807" s="2" t="str">
        <f>IFERROR(__xludf.DUMMYFUNCTION("""COMPUTED_VALUE"""),"lá NPK-vi lượng GNC19")</f>
        <v>lá NPK-vi lượng GNC19</v>
      </c>
      <c r="J807" s="2" t="str">
        <f>IFERROR(__xludf.DUMMYFUNCTION("""COMPUTED_VALUE"""),"A01070825")</f>
        <v>A01070825</v>
      </c>
      <c r="K807" s="39">
        <f>IFERROR(__xludf.DUMMYFUNCTION("""COMPUTED_VALUE"""),46158.0)</f>
        <v>46158</v>
      </c>
      <c r="L807" s="2" t="str">
        <f>IFERROR(__xludf.DUMMYFUNCTION("""COMPUTED_VALUE"""),"A01070825
A08290725")</f>
        <v>A01070825
A08290725</v>
      </c>
      <c r="M807" s="2" t="str">
        <f>IFERROR(__xludf.DUMMYFUNCTION("""COMPUTED_VALUE"""),"SIÊU LỚN TRÁI XOÀI")</f>
        <v>SIÊU LỚN TRÁI XOÀI</v>
      </c>
      <c r="N807" s="2" t="str">
        <f>IFERROR(__xludf.DUMMYFUNCTION("""COMPUTED_VALUE"""),"11TT0015V1")</f>
        <v>11TT0015V1</v>
      </c>
      <c r="O807" s="2" t="str">
        <f>IFERROR(__xludf.DUMMYFUNCTION("""COMPUTED_VALUE"""),"Phân bón lá NPK-Vi lượng GNC 19")</f>
        <v>Phân bón lá NPK-Vi lượng GNC 19</v>
      </c>
      <c r="P807" s="2" t="str">
        <f>IFERROR(__xludf.DUMMYFUNCTION("""COMPUTED_VALUE"""),"Phân bón lá NPK-vi lượng GNC19")</f>
        <v>Phân bón lá NPK-vi lượng GNC19</v>
      </c>
      <c r="Q807" s="30" t="str">
        <f>IFERROR(__xludf.DUMMYFUNCTION("""COMPUTED_VALUE"""),"KHỚP")</f>
        <v>KHỚP</v>
      </c>
      <c r="R807" s="2"/>
      <c r="S807" s="2"/>
      <c r="T807" s="2"/>
      <c r="U807" s="2"/>
      <c r="V807" s="2"/>
      <c r="W807" s="2"/>
      <c r="X807" s="2"/>
      <c r="Y807" s="2"/>
    </row>
    <row r="808">
      <c r="A808" s="30">
        <f>IFERROR(__xludf.DUMMYFUNCTION("""COMPUTED_VALUE"""),805.0)</f>
        <v>805</v>
      </c>
      <c r="B808" s="39">
        <f>IFERROR(__xludf.DUMMYFUNCTION("""COMPUTED_VALUE"""),46036.0)</f>
        <v>46036</v>
      </c>
      <c r="C808" s="30">
        <f>IFERROR(__xludf.DUMMYFUNCTION("""COMPUTED_VALUE"""),2.0)</f>
        <v>2</v>
      </c>
      <c r="D808" s="30" t="str">
        <f>IFERROR(__xludf.DUMMYFUNCTION("""COMPUTED_VALUE"""),"CT CŨ")</f>
        <v>CT CŨ</v>
      </c>
      <c r="E808" s="46">
        <f>IFERROR(__xludf.DUMMYFUNCTION("""COMPUTED_VALUE"""),46147.0)</f>
        <v>46147</v>
      </c>
      <c r="F808" s="2" t="str">
        <f>IFERROR(__xludf.DUMMYFUNCTION("""COMPUTED_VALUE"""),"ATP05052603")</f>
        <v>ATP05052603</v>
      </c>
      <c r="G808" s="2" t="str">
        <f>IFERROR(__xludf.DUMMYFUNCTION("""COMPUTED_VALUE"""),"HH4907")</f>
        <v>HH4907</v>
      </c>
      <c r="H808" s="2" t="str">
        <f>IFERROR(__xludf.DUMMYFUNCTION("""COMPUTED_VALUE"""),"GC - V - 4907 - CTY AGRITECH - ROOT MAX BIO (Nước nâu đen) - 20L - 1")</f>
        <v>GC - V - 4907 - CTY AGRITECH - ROOT MAX BIO (Nước nâu đen) - 20L - 1</v>
      </c>
      <c r="I808" s="2" t="str">
        <f>IFERROR(__xludf.DUMMYFUNCTION("""COMPUTED_VALUE"""),"Hữu Cơ Organic ĐGP 01")</f>
        <v>Hữu Cơ Organic ĐGP 01</v>
      </c>
      <c r="J808" s="2" t="str">
        <f>IFERROR(__xludf.DUMMYFUNCTION("""COMPUTED_VALUE"""),"A05181225- 01")</f>
        <v>A05181225- 01</v>
      </c>
      <c r="K808" s="39">
        <f>IFERROR(__xludf.DUMMYFUNCTION("""COMPUTED_VALUE"""),46157.0)</f>
        <v>46157</v>
      </c>
      <c r="L808" s="2" t="str">
        <f>IFERROR(__xludf.DUMMYFUNCTION("""COMPUTED_VALUE"""),"A05181225-01
I03240326")</f>
        <v>A05181225-01
I03240326</v>
      </c>
      <c r="M808" s="2" t="str">
        <f>IFERROR(__xludf.DUMMYFUNCTION("""COMPUTED_VALUE"""),"HỮU CƠ 20%")</f>
        <v>HỮU CƠ 20%</v>
      </c>
      <c r="N808" s="2" t="str">
        <f>IFERROR(__xludf.DUMMYFUNCTION("""COMPUTED_VALUE"""),"01RR0079V1")</f>
        <v>01RR0079V1</v>
      </c>
      <c r="O808" s="2" t="str">
        <f>IFERROR(__xludf.DUMMYFUNCTION("""COMPUTED_VALUE"""),"Phân bón Hữu cơ ORGANIC ĐGP 01 ")</f>
        <v>Phân bón Hữu cơ ORGANIC ĐGP 01 </v>
      </c>
      <c r="P808" s="2" t="str">
        <f>IFERROR(__xludf.DUMMYFUNCTION("""COMPUTED_VALUE"""),"Phân bón Hữu Cơ Organic ĐGP 01")</f>
        <v>Phân bón Hữu Cơ Organic ĐGP 01</v>
      </c>
      <c r="Q808" s="30" t="str">
        <f>IFERROR(__xludf.DUMMYFUNCTION("""COMPUTED_VALUE"""),"KHỚP")</f>
        <v>KHỚP</v>
      </c>
      <c r="R808" s="2"/>
      <c r="S808" s="2"/>
      <c r="T808" s="2"/>
      <c r="U808" s="2"/>
      <c r="V808" s="2"/>
      <c r="W808" s="2"/>
      <c r="X808" s="2"/>
      <c r="Y808" s="2"/>
    </row>
    <row r="809">
      <c r="A809" s="30">
        <f>IFERROR(__xludf.DUMMYFUNCTION("""COMPUTED_VALUE"""),806.0)</f>
        <v>806</v>
      </c>
      <c r="B809" s="39">
        <f>IFERROR(__xludf.DUMMYFUNCTION("""COMPUTED_VALUE"""),46056.0)</f>
        <v>46056</v>
      </c>
      <c r="C809" s="30">
        <f>IFERROR(__xludf.DUMMYFUNCTION("""COMPUTED_VALUE"""),10.0)</f>
        <v>10</v>
      </c>
      <c r="D809" s="30" t="str">
        <f>IFERROR(__xludf.DUMMYFUNCTION("""COMPUTED_VALUE"""),"CT CŨ")</f>
        <v>CT CŨ</v>
      </c>
      <c r="E809" s="46">
        <f>IFERROR(__xludf.DUMMYFUNCTION("""COMPUTED_VALUE"""),46147.0)</f>
        <v>46147</v>
      </c>
      <c r="F809" s="2" t="str">
        <f>IFERROR(__xludf.DUMMYFUNCTION("""COMPUTED_VALUE"""),"DTP05052601")</f>
        <v>DTP05052601</v>
      </c>
      <c r="G809" s="2" t="str">
        <f>IFERROR(__xludf.DUMMYFUNCTION("""COMPUTED_VALUE"""),"HH4748")</f>
        <v>HH4748</v>
      </c>
      <c r="H809" s="2" t="str">
        <f>IFERROR(__xludf.DUMMYFUNCTION("""COMPUTED_VALUE"""),"GC - V - 4748 - DEGO - RUN FAST (Nước đen) - 18L - 1")</f>
        <v>GC - V - 4748 - DEGO - RUN FAST (Nước đen) - 18L - 1</v>
      </c>
      <c r="I809" s="2" t="str">
        <f>IFERROR(__xludf.DUMMYFUNCTION("""COMPUTED_VALUE"""),"Vi lượng Run Fast")</f>
        <v>Vi lượng Run Fast</v>
      </c>
      <c r="J809" s="2" t="str">
        <f>IFERROR(__xludf.DUMMYFUNCTION("""COMPUTED_VALUE"""),"30NT0001")</f>
        <v>30NT0001</v>
      </c>
      <c r="K809" s="39">
        <f>IFERROR(__xludf.DUMMYFUNCTION("""COMPUTED_VALUE"""),46149.0)</f>
        <v>46149</v>
      </c>
      <c r="L809" s="2"/>
      <c r="M809" s="2" t="str">
        <f>IFERROR(__xludf.DUMMYFUNCTION("""COMPUTED_VALUE"""),"BO HAI NGÀN")</f>
        <v>BO HAI NGÀN</v>
      </c>
      <c r="N809" s="2" t="str">
        <f>IFERROR(__xludf.DUMMYFUNCTION("""COMPUTED_VALUE"""),"30NT0001")</f>
        <v>30NT0001</v>
      </c>
      <c r="O809" s="2" t="str">
        <f>IFERROR(__xludf.DUMMYFUNCTION("""COMPUTED_VALUE"""),"Phân bón Vi lượng Run Fast")</f>
        <v>Phân bón Vi lượng Run Fast</v>
      </c>
      <c r="P809" s="2" t="str">
        <f>IFERROR(__xludf.DUMMYFUNCTION("""COMPUTED_VALUE"""),"Phân bón Vi lượng Run Fast")</f>
        <v>Phân bón Vi lượng Run Fast</v>
      </c>
      <c r="Q809" s="30" t="str">
        <f>IFERROR(__xludf.DUMMYFUNCTION("""COMPUTED_VALUE"""),"KHỚP")</f>
        <v>KHỚP</v>
      </c>
      <c r="R809" s="2"/>
      <c r="S809" s="2"/>
      <c r="T809" s="2"/>
      <c r="U809" s="2"/>
      <c r="V809" s="2"/>
      <c r="W809" s="2"/>
      <c r="X809" s="2"/>
      <c r="Y809" s="2"/>
    </row>
    <row r="810">
      <c r="A810" s="30">
        <f>IFERROR(__xludf.DUMMYFUNCTION("""COMPUTED_VALUE"""),807.0)</f>
        <v>807</v>
      </c>
      <c r="B810" s="39">
        <f>IFERROR(__xludf.DUMMYFUNCTION("""COMPUTED_VALUE"""),45891.0)</f>
        <v>45891</v>
      </c>
      <c r="C810" s="30">
        <f>IFERROR(__xludf.DUMMYFUNCTION("""COMPUTED_VALUE"""),1.0)</f>
        <v>1</v>
      </c>
      <c r="D810" s="30" t="str">
        <f>IFERROR(__xludf.DUMMYFUNCTION("""COMPUTED_VALUE"""),"CT CŨ")</f>
        <v>CT CŨ</v>
      </c>
      <c r="E810" s="46">
        <f>IFERROR(__xludf.DUMMYFUNCTION("""COMPUTED_VALUE"""),46147.0)</f>
        <v>46147</v>
      </c>
      <c r="F810" s="2" t="str">
        <f>IFERROR(__xludf.DUMMYFUNCTION("""COMPUTED_VALUE"""),"ATP05052604")</f>
        <v>ATP05052604</v>
      </c>
      <c r="G810" s="2" t="str">
        <f>IFERROR(__xludf.DUMMYFUNCTION("""COMPUTED_VALUE"""),"HH4976")</f>
        <v>HH4976</v>
      </c>
      <c r="H810" s="2" t="str">
        <f>IFERROR(__xludf.DUMMYFUNCTION("""COMPUTED_VALUE"""),"GC - V - 4976 - CTY AN LẠC - GROW 7-7-7 + TE (Gel xanh lơ) - 50ml - 300")</f>
        <v>GC - V - 4976 - CTY AN LẠC - GROW 7-7-7 + TE (Gel xanh lơ) - 50ml - 300</v>
      </c>
      <c r="I810" s="2" t="str">
        <f>IFERROR(__xludf.DUMMYFUNCTION("""COMPUTED_VALUE"""),"lá NPK-vi lượng GNC19")</f>
        <v>lá NPK-vi lượng GNC19</v>
      </c>
      <c r="J810" s="2" t="str">
        <f>IFERROR(__xludf.DUMMYFUNCTION("""COMPUTED_VALUE"""),"A07290725")</f>
        <v>A07290725</v>
      </c>
      <c r="K810" s="39">
        <f>IFERROR(__xludf.DUMMYFUNCTION("""COMPUTED_VALUE"""),46158.0)</f>
        <v>46158</v>
      </c>
      <c r="L810" s="2" t="str">
        <f>IFERROR(__xludf.DUMMYFUNCTION("""COMPUTED_VALUE"""),"A07290725")</f>
        <v>A07290725</v>
      </c>
      <c r="M810" s="2" t="str">
        <f>IFERROR(__xludf.DUMMYFUNCTION("""COMPUTED_VALUE"""),"SHINOMIX -02")</f>
        <v>SHINOMIX -02</v>
      </c>
      <c r="N810" s="2" t="str">
        <f>IFERROR(__xludf.DUMMYFUNCTION("""COMPUTED_VALUE"""),"01RR0070")</f>
        <v>01RR0070</v>
      </c>
      <c r="O810" s="2" t="str">
        <f>IFERROR(__xludf.DUMMYFUNCTION("""COMPUTED_VALUE"""),"Phân bón lá NPK-Vi lượng GNC 19")</f>
        <v>Phân bón lá NPK-Vi lượng GNC 19</v>
      </c>
      <c r="P810" s="2" t="str">
        <f>IFERROR(__xludf.DUMMYFUNCTION("""COMPUTED_VALUE"""),"Phân bón lá NPK-vi lượng GNC19")</f>
        <v>Phân bón lá NPK-vi lượng GNC19</v>
      </c>
      <c r="Q810" s="30" t="str">
        <f>IFERROR(__xludf.DUMMYFUNCTION("""COMPUTED_VALUE"""),"KHỚP")</f>
        <v>KHỚP</v>
      </c>
      <c r="R810" s="2"/>
      <c r="S810" s="2"/>
      <c r="T810" s="2"/>
      <c r="U810" s="2"/>
      <c r="V810" s="2"/>
      <c r="W810" s="2"/>
      <c r="X810" s="2"/>
      <c r="Y810" s="2"/>
    </row>
    <row r="811">
      <c r="A811" s="30">
        <f>IFERROR(__xludf.DUMMYFUNCTION("""COMPUTED_VALUE"""),808.0)</f>
        <v>808</v>
      </c>
      <c r="B811" s="39">
        <f>IFERROR(__xludf.DUMMYFUNCTION("""COMPUTED_VALUE"""),45940.0)</f>
        <v>45940</v>
      </c>
      <c r="C811" s="30">
        <f>IFERROR(__xludf.DUMMYFUNCTION("""COMPUTED_VALUE"""),9.0)</f>
        <v>9</v>
      </c>
      <c r="D811" s="30" t="str">
        <f>IFERROR(__xludf.DUMMYFUNCTION("""COMPUTED_VALUE"""),"CT CŨ")</f>
        <v>CT CŨ</v>
      </c>
      <c r="E811" s="46">
        <f>IFERROR(__xludf.DUMMYFUNCTION("""COMPUTED_VALUE"""),46149.0)</f>
        <v>46149</v>
      </c>
      <c r="F811" s="2" t="str">
        <f>IFERROR(__xludf.DUMMYFUNCTION("""COMPUTED_VALUE"""),"ITP07052601")</f>
        <v>ITP07052601</v>
      </c>
      <c r="G811" s="2" t="str">
        <f>IFERROR(__xludf.DUMMYFUNCTION("""COMPUTED_VALUE"""),"HH4311")</f>
        <v>HH4311</v>
      </c>
      <c r="H811" s="2" t="str">
        <f>IFERROR(__xludf.DUMMYFUNCTION("""COMPUTED_VALUE"""),"BAMBOO - VI - 4311 - BAMBOO 777 TE (nước xanh lơ) - 1L - 20")</f>
        <v>BAMBOO - VI - 4311 - BAMBOO 777 TE (nước xanh lơ) - 1L - 20</v>
      </c>
      <c r="I811" s="2" t="str">
        <f>IFERROR(__xludf.DUMMYFUNCTION("""COMPUTED_VALUE"""),"lá NPK-vi lượng GNC19")</f>
        <v>lá NPK-vi lượng GNC19</v>
      </c>
      <c r="J811" s="2" t="str">
        <f>IFERROR(__xludf.DUMMYFUNCTION("""COMPUTED_VALUE"""),"Đóng theo đơn gần nhất")</f>
        <v>Đóng theo đơn gần nhất</v>
      </c>
      <c r="K811" s="39">
        <f>IFERROR(__xludf.DUMMYFUNCTION("""COMPUTED_VALUE"""),46155.0)</f>
        <v>46155</v>
      </c>
      <c r="L811" s="2" t="str">
        <f>IFERROR(__xludf.DUMMYFUNCTION("""COMPUTED_VALUE"""),"BB25040725")</f>
        <v>BB25040725</v>
      </c>
      <c r="M811" s="2" t="str">
        <f>IFERROR(__xludf.DUMMYFUNCTION("""COMPUTED_VALUE"""),"BAMBOO 777 TE")</f>
        <v>BAMBOO 777 TE</v>
      </c>
      <c r="N811" s="2" t="str">
        <f>IFERROR(__xludf.DUMMYFUNCTION("""COMPUTED_VALUE"""),"03DD0015V1")</f>
        <v>03DD0015V1</v>
      </c>
      <c r="O811" s="2" t="str">
        <f>IFERROR(__xludf.DUMMYFUNCTION("""COMPUTED_VALUE"""),"Phân bón lá NPK-Vi lượng GNC 19")</f>
        <v>Phân bón lá NPK-Vi lượng GNC 19</v>
      </c>
      <c r="P811" s="2" t="str">
        <f>IFERROR(__xludf.DUMMYFUNCTION("""COMPUTED_VALUE"""),"Phân bón lá NPK-vi lượng GNC19")</f>
        <v>Phân bón lá NPK-vi lượng GNC19</v>
      </c>
      <c r="Q811" s="30" t="str">
        <f>IFERROR(__xludf.DUMMYFUNCTION("""COMPUTED_VALUE"""),"KHỚP")</f>
        <v>KHỚP</v>
      </c>
      <c r="R811" s="2"/>
      <c r="S811" s="2"/>
      <c r="T811" s="2"/>
      <c r="U811" s="2"/>
      <c r="V811" s="2"/>
      <c r="W811" s="2"/>
      <c r="X811" s="2"/>
      <c r="Y811" s="2"/>
    </row>
    <row r="812">
      <c r="A812" s="30">
        <f>IFERROR(__xludf.DUMMYFUNCTION("""COMPUTED_VALUE"""),809.0)</f>
        <v>809</v>
      </c>
      <c r="B812" s="39">
        <f>IFERROR(__xludf.DUMMYFUNCTION("""COMPUTED_VALUE"""),46125.0)</f>
        <v>46125</v>
      </c>
      <c r="C812" s="30">
        <f>IFERROR(__xludf.DUMMYFUNCTION("""COMPUTED_VALUE"""),3.0)</f>
        <v>3</v>
      </c>
      <c r="D812" s="30" t="str">
        <f>IFERROR(__xludf.DUMMYFUNCTION("""COMPUTED_VALUE"""),"CT MỚI")</f>
        <v>CT MỚI</v>
      </c>
      <c r="E812" s="46">
        <f>IFERROR(__xludf.DUMMYFUNCTION("""COMPUTED_VALUE"""),46150.0)</f>
        <v>46150</v>
      </c>
      <c r="F812" s="2" t="str">
        <f>IFERROR(__xludf.DUMMYFUNCTION("""COMPUTED_VALUE"""),"ATP08052602")</f>
        <v>ATP08052602</v>
      </c>
      <c r="G812" s="2" t="str">
        <f>IFERROR(__xludf.DUMMYFUNCTION("""COMPUTED_VALUE"""),"HH4694")</f>
        <v>HH4694</v>
      </c>
      <c r="H812" s="2" t="str">
        <f>IFERROR(__xludf.DUMMYFUNCTION("""COMPUTED_VALUE"""),"GC - V - 4694 - Cty Newtex - VÔ GẠO T9 (Dạng SC - Xanh lá) - 500ml - 40")</f>
        <v>GC - V - 4694 - Cty Newtex - VÔ GẠO T9 (Dạng SC - Xanh lá) - 500ml - 40</v>
      </c>
      <c r="I812" s="2" t="str">
        <f>IFERROR(__xludf.DUMMYFUNCTION("""COMPUTED_VALUE"""),"Hỗn hợp NPK GNC 101")</f>
        <v>Hỗn hợp NPK GNC 101</v>
      </c>
      <c r="J812" s="2" t="str">
        <f>IFERROR(__xludf.DUMMYFUNCTION("""COMPUTED_VALUE"""),"A01020426")</f>
        <v>A01020426</v>
      </c>
      <c r="K812" s="39">
        <f>IFERROR(__xludf.DUMMYFUNCTION("""COMPUTED_VALUE"""),46160.0)</f>
        <v>46160</v>
      </c>
      <c r="L812" s="2" t="str">
        <f>IFERROR(__xludf.DUMMYFUNCTION("""COMPUTED_VALUE"""),"A01020426")</f>
        <v>A01020426</v>
      </c>
      <c r="M812" s="2" t="str">
        <f>IFERROR(__xludf.DUMMYFUNCTION("""COMPUTED_VALUE"""),"VÔ GẠO T9 (CẢI TIẾN)")</f>
        <v>VÔ GẠO T9 (CẢI TIẾN)</v>
      </c>
      <c r="N812" s="2" t="str">
        <f>IFERROR(__xludf.DUMMYFUNCTION("""COMPUTED_VALUE"""),"04VG0040V3")</f>
        <v>04VG0040V3</v>
      </c>
      <c r="O812" s="2" t="str">
        <f>IFERROR(__xludf.DUMMYFUNCTION("""COMPUTED_VALUE"""),"Phân bón Hỗn hợp NPK GNC 101")</f>
        <v>Phân bón Hỗn hợp NPK GNC 101</v>
      </c>
      <c r="P812" s="2" t="str">
        <f>IFERROR(__xludf.DUMMYFUNCTION("""COMPUTED_VALUE"""),"Phân bón Hỗn hợp NPK GNC 101")</f>
        <v>Phân bón Hỗn hợp NPK GNC 101</v>
      </c>
      <c r="Q812" s="30" t="str">
        <f>IFERROR(__xludf.DUMMYFUNCTION("""COMPUTED_VALUE"""),"KHỚP")</f>
        <v>KHỚP</v>
      </c>
      <c r="R812" s="2"/>
      <c r="S812" s="2"/>
      <c r="T812" s="2"/>
      <c r="U812" s="2"/>
      <c r="V812" s="2"/>
      <c r="W812" s="2"/>
      <c r="X812" s="2"/>
      <c r="Y812" s="2"/>
    </row>
    <row r="813">
      <c r="A813" s="30">
        <f>IFERROR(__xludf.DUMMYFUNCTION("""COMPUTED_VALUE"""),810.0)</f>
        <v>810</v>
      </c>
      <c r="B813" s="39">
        <f>IFERROR(__xludf.DUMMYFUNCTION("""COMPUTED_VALUE"""),46044.0)</f>
        <v>46044</v>
      </c>
      <c r="C813" s="30">
        <f>IFERROR(__xludf.DUMMYFUNCTION("""COMPUTED_VALUE"""),1.0)</f>
        <v>1</v>
      </c>
      <c r="D813" s="30" t="str">
        <f>IFERROR(__xludf.DUMMYFUNCTION("""COMPUTED_VALUE"""),"CT CŨ")</f>
        <v>CT CŨ</v>
      </c>
      <c r="E813" s="46">
        <f>IFERROR(__xludf.DUMMYFUNCTION("""COMPUTED_VALUE"""),46150.0)</f>
        <v>46150</v>
      </c>
      <c r="F813" s="2" t="str">
        <f>IFERROR(__xludf.DUMMYFUNCTION("""COMPUTED_VALUE"""),"ATP08052607")</f>
        <v>ATP08052607</v>
      </c>
      <c r="G813" s="2" t="str">
        <f>IFERROR(__xludf.DUMMYFUNCTION("""COMPUTED_VALUE"""),"HH4901")</f>
        <v>HH4901</v>
      </c>
      <c r="H813" s="2" t="str">
        <f>IFERROR(__xludf.DUMMYFUNCTION("""COMPUTED_VALUE"""),"GC - V - 4901 - Cty Hóa Nông Shino - SHINOMAX (Nước vàng) - 300ml - 40")</f>
        <v>GC - V - 4901 - Cty Hóa Nông Shino - SHINOMAX (Nước vàng) - 300ml - 40</v>
      </c>
      <c r="I813" s="2" t="str">
        <f>IFERROR(__xludf.DUMMYFUNCTION("""COMPUTED_VALUE"""),"lá NPK-vi lượng GNC19")</f>
        <v>lá NPK-vi lượng GNC19</v>
      </c>
      <c r="J813" s="2" t="str">
        <f>IFERROR(__xludf.DUMMYFUNCTION("""COMPUTED_VALUE"""),"A03260525")</f>
        <v>A03260525</v>
      </c>
      <c r="K813" s="39">
        <f>IFERROR(__xludf.DUMMYFUNCTION("""COMPUTED_VALUE"""),46158.0)</f>
        <v>46158</v>
      </c>
      <c r="L813" s="2" t="str">
        <f>IFERROR(__xludf.DUMMYFUNCTION("""COMPUTED_VALUE"""),"A03260525")</f>
        <v>A03260525</v>
      </c>
      <c r="M813" s="2" t="str">
        <f>IFERROR(__xludf.DUMMYFUNCTION("""COMPUTED_VALUE"""),"ĐÒNG TO BÔNG KẸO (CẢI TIẾN)")</f>
        <v>ĐÒNG TO BÔNG KẸO (CẢI TIẾN)</v>
      </c>
      <c r="N813" s="2" t="str">
        <f>IFERROR(__xludf.DUMMYFUNCTION("""COMPUTED_VALUE"""),"03DD0017V3")</f>
        <v>03DD0017V3</v>
      </c>
      <c r="O813" s="2" t="str">
        <f>IFERROR(__xludf.DUMMYFUNCTION("""COMPUTED_VALUE"""),"Phân bón lá NPK-Vi lượng GNC 19")</f>
        <v>Phân bón lá NPK-Vi lượng GNC 19</v>
      </c>
      <c r="P813" s="2" t="str">
        <f>IFERROR(__xludf.DUMMYFUNCTION("""COMPUTED_VALUE"""),"Phân bón lá NPK-vi lượng GNC19")</f>
        <v>Phân bón lá NPK-vi lượng GNC19</v>
      </c>
      <c r="Q813" s="30" t="str">
        <f>IFERROR(__xludf.DUMMYFUNCTION("""COMPUTED_VALUE"""),"KHỚP")</f>
        <v>KHỚP</v>
      </c>
      <c r="R813" s="2"/>
      <c r="S813" s="2"/>
      <c r="T813" s="2"/>
      <c r="U813" s="2"/>
      <c r="V813" s="2"/>
      <c r="W813" s="2"/>
      <c r="X813" s="2"/>
      <c r="Y813" s="2"/>
    </row>
    <row r="814">
      <c r="A814" s="30">
        <f>IFERROR(__xludf.DUMMYFUNCTION("""COMPUTED_VALUE"""),811.0)</f>
        <v>811</v>
      </c>
      <c r="B814" s="39">
        <f>IFERROR(__xludf.DUMMYFUNCTION("""COMPUTED_VALUE"""),45940.0)</f>
        <v>45940</v>
      </c>
      <c r="C814" s="30">
        <f>IFERROR(__xludf.DUMMYFUNCTION("""COMPUTED_VALUE"""),3.0)</f>
        <v>3</v>
      </c>
      <c r="D814" s="30" t="str">
        <f>IFERROR(__xludf.DUMMYFUNCTION("""COMPUTED_VALUE"""),"CT CŨ")</f>
        <v>CT CŨ</v>
      </c>
      <c r="E814" s="46">
        <f>IFERROR(__xludf.DUMMYFUNCTION("""COMPUTED_VALUE"""),46150.0)</f>
        <v>46150</v>
      </c>
      <c r="F814" s="2" t="str">
        <f>IFERROR(__xludf.DUMMYFUNCTION("""COMPUTED_VALUE"""),"ATP08052608")</f>
        <v>ATP08052608</v>
      </c>
      <c r="G814" s="2" t="str">
        <f>IFERROR(__xludf.DUMMYFUNCTION("""COMPUTED_VALUE"""),"HH4491")</f>
        <v>HH4491</v>
      </c>
      <c r="H814" s="2" t="str">
        <f>IFERROR(__xludf.DUMMYFUNCTION("""COMPUTED_VALUE"""),"GC - IV - 4491 - Cty Hóa Nông Shino - KALI SỮA (Nước hồng sữa) - 500ml - 30")</f>
        <v>GC - IV - 4491 - Cty Hóa Nông Shino - KALI SỮA (Nước hồng sữa) - 500ml - 30</v>
      </c>
      <c r="I814" s="2" t="str">
        <f>IFERROR(__xludf.DUMMYFUNCTION("""COMPUTED_VALUE"""),"HỖN HỢP NPK AGAMA-SRH")</f>
        <v>HỖN HỢP NPK AGAMA-SRH</v>
      </c>
      <c r="J814" s="2" t="str">
        <f>IFERROR(__xludf.DUMMYFUNCTION("""COMPUTED_VALUE"""),"Cùng ruột 3951")</f>
        <v>Cùng ruột 3951</v>
      </c>
      <c r="K814" s="39">
        <f>IFERROR(__xludf.DUMMYFUNCTION("""COMPUTED_VALUE"""),46158.0)</f>
        <v>46158</v>
      </c>
      <c r="L814" s="2" t="str">
        <f>IFERROR(__xludf.DUMMYFUNCTION("""COMPUTED_VALUE"""),"A02020525")</f>
        <v>A02020525</v>
      </c>
      <c r="M814" s="2" t="str">
        <f>IFERROR(__xludf.DUMMYFUNCTION("""COMPUTED_VALUE"""),"KALI SỮA")</f>
        <v>KALI SỮA</v>
      </c>
      <c r="N814" s="2" t="str">
        <f>IFERROR(__xludf.DUMMYFUNCTION("""COMPUTED_VALUE"""),"04VG0026V2")</f>
        <v>04VG0026V2</v>
      </c>
      <c r="O814" s="2" t="str">
        <f>IFERROR(__xludf.DUMMYFUNCTION("""COMPUTED_VALUE"""),"Phân bón Hỗn hợp NPK AGAMA-SRH")</f>
        <v>Phân bón Hỗn hợp NPK AGAMA-SRH</v>
      </c>
      <c r="P814" s="2" t="str">
        <f>IFERROR(__xludf.DUMMYFUNCTION("""COMPUTED_VALUE"""),"Phân bón HỖN HỢP NPK AGAMA-SRH")</f>
        <v>Phân bón HỖN HỢP NPK AGAMA-SRH</v>
      </c>
      <c r="Q814" s="30" t="str">
        <f>IFERROR(__xludf.DUMMYFUNCTION("""COMPUTED_VALUE"""),"KHỚP")</f>
        <v>KHỚP</v>
      </c>
      <c r="R814" s="2"/>
      <c r="S814" s="2"/>
      <c r="T814" s="2"/>
      <c r="U814" s="2"/>
      <c r="V814" s="2"/>
      <c r="W814" s="2"/>
      <c r="X814" s="2"/>
      <c r="Y814" s="2"/>
    </row>
    <row r="815">
      <c r="A815" s="30">
        <f>IFERROR(__xludf.DUMMYFUNCTION("""COMPUTED_VALUE"""),812.0)</f>
        <v>812</v>
      </c>
      <c r="B815" s="39" t="str">
        <f>IFERROR(__xludf.DUMMYFUNCTION("""COMPUTED_VALUE"""),"14/05.2026")</f>
        <v>14/05.2026</v>
      </c>
      <c r="C815" s="30">
        <f>IFERROR(__xludf.DUMMYFUNCTION("""COMPUTED_VALUE"""),4.0)</f>
        <v>4</v>
      </c>
      <c r="D815" s="30" t="str">
        <f>IFERROR(__xludf.DUMMYFUNCTION("""COMPUTED_VALUE"""),"CT XỬ LÝ LỖI")</f>
        <v>CT XỬ LÝ LỖI</v>
      </c>
      <c r="E815" s="46">
        <f>IFERROR(__xludf.DUMMYFUNCTION("""COMPUTED_VALUE"""),46150.0)</f>
        <v>46150</v>
      </c>
      <c r="F815" s="2" t="str">
        <f>IFERROR(__xludf.DUMMYFUNCTION("""COMPUTED_VALUE"""),"AYC08052602")</f>
        <v>AYC08052602</v>
      </c>
      <c r="G815" s="2" t="str">
        <f>IFERROR(__xludf.DUMMYFUNCTION("""COMPUTED_VALUE"""),"HH4672")</f>
        <v>HH4672</v>
      </c>
      <c r="H815" s="2" t="str">
        <f>IFERROR(__xludf.DUMMYFUNCTION("""COMPUTED_VALUE"""),"LOT ABA - V - 4672 - THIÊN AN - NEW AMINO (Nước nâu đen) - 500ml - 30")</f>
        <v>LOT ABA - V - 4672 - THIÊN AN - NEW AMINO (Nước nâu đen) - 500ml - 30</v>
      </c>
      <c r="I815" s="2" t="str">
        <f>IFERROR(__xludf.DUMMYFUNCTION("""COMPUTED_VALUE"""),"Hữu cơ Organic BM Gold  FW")</f>
        <v>Hữu cơ Organic BM Gold  FW</v>
      </c>
      <c r="J815" s="2" t="str">
        <f>IFERROR(__xludf.DUMMYFUNCTION("""COMPUTED_VALUE"""),"Cùng ruột HH2776")</f>
        <v>Cùng ruột HH2776</v>
      </c>
      <c r="K815" s="39">
        <f>IFERROR(__xludf.DUMMYFUNCTION("""COMPUTED_VALUE"""),46158.0)</f>
        <v>46158</v>
      </c>
      <c r="L815" s="2" t="str">
        <f>IFERROR(__xludf.DUMMYFUNCTION("""COMPUTED_VALUE"""),"XỬ LÝ BTP LỖI")</f>
        <v>XỬ LÝ BTP LỖI</v>
      </c>
      <c r="M815" s="2" t="str">
        <f>IFERROR(__xludf.DUMMYFUNCTION("""COMPUTED_VALUE"""),"NEW AMINO")</f>
        <v>NEW AMINO</v>
      </c>
      <c r="N815" s="2" t="str">
        <f>IFERROR(__xludf.DUMMYFUNCTION("""COMPUTED_VALUE"""),"01RR0035V3-170426-1")</f>
        <v>01RR0035V3-170426-1</v>
      </c>
      <c r="O815" s="2" t="str">
        <f>IFERROR(__xludf.DUMMYFUNCTION("""COMPUTED_VALUE"""),"Phân bón Hữu cơ ORGANIC BM GOLD FW")</f>
        <v>Phân bón Hữu cơ ORGANIC BM GOLD FW</v>
      </c>
      <c r="P815" s="2" t="str">
        <f>IFERROR(__xludf.DUMMYFUNCTION("""COMPUTED_VALUE"""),"Phân bón Hữu cơ Organic BM Gold  FW")</f>
        <v>Phân bón Hữu cơ Organic BM Gold  FW</v>
      </c>
      <c r="Q815" s="30" t="str">
        <f>IFERROR(__xludf.DUMMYFUNCTION("""COMPUTED_VALUE"""),"KHÔNG KHỚP")</f>
        <v>KHÔNG KHỚP</v>
      </c>
      <c r="R815" s="2" t="str">
        <f>IFERROR(__xludf.DUMMYFUNCTION("""COMPUTED_VALUE"""),"Chưa nhận được BTP xử lý")</f>
        <v>Chưa nhận được BTP xử lý</v>
      </c>
      <c r="S815" s="2"/>
      <c r="T815" s="2"/>
      <c r="U815" s="2"/>
      <c r="V815" s="2"/>
      <c r="W815" s="2"/>
      <c r="X815" s="2"/>
      <c r="Y815" s="2"/>
    </row>
    <row r="816">
      <c r="A816" s="30">
        <f>IFERROR(__xludf.DUMMYFUNCTION("""COMPUTED_VALUE"""),813.0)</f>
        <v>813</v>
      </c>
      <c r="B816" s="39">
        <f>IFERROR(__xludf.DUMMYFUNCTION("""COMPUTED_VALUE"""),46002.0)</f>
        <v>46002</v>
      </c>
      <c r="C816" s="30">
        <f>IFERROR(__xludf.DUMMYFUNCTION("""COMPUTED_VALUE"""),5.0)</f>
        <v>5</v>
      </c>
      <c r="D816" s="30" t="str">
        <f>IFERROR(__xludf.DUMMYFUNCTION("""COMPUTED_VALUE"""),"CT CŨ")</f>
        <v>CT CŨ</v>
      </c>
      <c r="E816" s="46">
        <f>IFERROR(__xludf.DUMMYFUNCTION("""COMPUTED_VALUE"""),46150.0)</f>
        <v>46150</v>
      </c>
      <c r="F816" s="2" t="str">
        <f>IFERROR(__xludf.DUMMYFUNCTION("""COMPUTED_VALUE"""),"ATP08052611")</f>
        <v>ATP08052611</v>
      </c>
      <c r="G816" s="2" t="str">
        <f>IFERROR(__xludf.DUMMYFUNCTION("""COMPUTED_VALUE"""),"HH4380")</f>
        <v>HH4380</v>
      </c>
      <c r="H816" s="2" t="str">
        <f>IFERROR(__xludf.DUMMYFUNCTION("""COMPUTED_VALUE"""),"GC - V - 4380 - Cty Thành Công Agri - MASTER STOP (nước nâu đen V2) - 1L - 20")</f>
        <v>GC - V - 4380 - Cty Thành Công Agri - MASTER STOP (nước nâu đen V2) - 1L - 20</v>
      </c>
      <c r="I816" s="2" t="str">
        <f>IFERROR(__xludf.DUMMYFUNCTION("""COMPUTED_VALUE"""),"Vi lượng Quantity New")</f>
        <v>Vi lượng Quantity New</v>
      </c>
      <c r="J816" s="2" t="str">
        <f>IFERROR(__xludf.DUMMYFUNCTION("""COMPUTED_VALUE"""),"CHẶN ĐỌT 
DÒNG V2")</f>
        <v>CHẶN ĐỌT 
DÒNG V2</v>
      </c>
      <c r="K816" s="39">
        <f>IFERROR(__xludf.DUMMYFUNCTION("""COMPUTED_VALUE"""),46158.0)</f>
        <v>46158</v>
      </c>
      <c r="L816" s="2" t="str">
        <f>IFERROR(__xludf.DUMMYFUNCTION("""COMPUTED_VALUE"""),"CHẶN ĐỌT DÒNG V2")</f>
        <v>CHẶN ĐỌT DÒNG V2</v>
      </c>
      <c r="M816" s="2" t="str">
        <f>IFERROR(__xludf.DUMMYFUNCTION("""COMPUTED_VALUE"""),"STOP UP
MT STOP
AGRI STOP
STOP ĐỌT
SIÊU CHẶN ĐỌT
MASTER STOP
UNI STOP ONE
BAMBOO DOUBLE STOP")</f>
        <v>STOP UP
MT STOP
AGRI STOP
STOP ĐỌT
SIÊU CHẶN ĐỌT
MASTER STOP
UNI STOP ONE
BAMBOO DOUBLE STOP</v>
      </c>
      <c r="N816" s="2" t="str">
        <f>IFERROR(__xludf.DUMMYFUNCTION("""COMPUTED_VALUE"""),"06CD0009V3")</f>
        <v>06CD0009V3</v>
      </c>
      <c r="O816" s="2" t="str">
        <f>IFERROR(__xludf.DUMMYFUNCTION("""COMPUTED_VALUE"""),"Phân bón Vi lượng Quantity New")</f>
        <v>Phân bón Vi lượng Quantity New</v>
      </c>
      <c r="P816" s="2" t="str">
        <f>IFERROR(__xludf.DUMMYFUNCTION("""COMPUTED_VALUE"""),"Phân bón Vi lượng Quantity New")</f>
        <v>Phân bón Vi lượng Quantity New</v>
      </c>
      <c r="Q816" s="30" t="str">
        <f>IFERROR(__xludf.DUMMYFUNCTION("""COMPUTED_VALUE"""),"KHỚP")</f>
        <v>KHỚP</v>
      </c>
      <c r="R816" s="2"/>
      <c r="S816" s="2"/>
      <c r="T816" s="2"/>
      <c r="U816" s="2"/>
      <c r="V816" s="2"/>
      <c r="W816" s="2"/>
      <c r="X816" s="2"/>
      <c r="Y816" s="2"/>
    </row>
    <row r="817">
      <c r="A817" s="30">
        <f>IFERROR(__xludf.DUMMYFUNCTION("""COMPUTED_VALUE"""),814.0)</f>
        <v>814</v>
      </c>
      <c r="B817" s="39">
        <f>IFERROR(__xludf.DUMMYFUNCTION("""COMPUTED_VALUE"""),46002.0)</f>
        <v>46002</v>
      </c>
      <c r="C817" s="30">
        <f>IFERROR(__xludf.DUMMYFUNCTION("""COMPUTED_VALUE"""),2.0)</f>
        <v>2</v>
      </c>
      <c r="D817" s="30" t="str">
        <f>IFERROR(__xludf.DUMMYFUNCTION("""COMPUTED_VALUE"""),"CT CŨ")</f>
        <v>CT CŨ</v>
      </c>
      <c r="E817" s="46">
        <f>IFERROR(__xludf.DUMMYFUNCTION("""COMPUTED_VALUE"""),46150.0)</f>
        <v>46150</v>
      </c>
      <c r="F817" s="2" t="str">
        <f>IFERROR(__xludf.DUMMYFUNCTION("""COMPUTED_VALUE"""),"ATP08052612")</f>
        <v>ATP08052612</v>
      </c>
      <c r="G817" s="2" t="str">
        <f>IFERROR(__xludf.DUMMYFUNCTION("""COMPUTED_VALUE"""),"HH4379")</f>
        <v>HH4379</v>
      </c>
      <c r="H817" s="2" t="str">
        <f>IFERROR(__xludf.DUMMYFUNCTION("""COMPUTED_VALUE"""),"GC - V - 4379 - THÀNH CÔNG AGRI - MT STOP (Nước nâu đen) - 1L - 20")</f>
        <v>GC - V - 4379 - THÀNH CÔNG AGRI - MT STOP (Nước nâu đen) - 1L - 20</v>
      </c>
      <c r="I817" s="2" t="str">
        <f>IFERROR(__xludf.DUMMYFUNCTION("""COMPUTED_VALUE"""),"Vi lượng Quantity New")</f>
        <v>Vi lượng Quantity New</v>
      </c>
      <c r="J817" s="2" t="str">
        <f>IFERROR(__xludf.DUMMYFUNCTION("""COMPUTED_VALUE"""),"CHẶN ĐỌT 
DÒNG V2")</f>
        <v>CHẶN ĐỌT 
DÒNG V2</v>
      </c>
      <c r="K817" s="39">
        <f>IFERROR(__xludf.DUMMYFUNCTION("""COMPUTED_VALUE"""),46158.0)</f>
        <v>46158</v>
      </c>
      <c r="L817" s="2" t="str">
        <f>IFERROR(__xludf.DUMMYFUNCTION("""COMPUTED_VALUE"""),"CHẶN ĐỌT DÒNG V2")</f>
        <v>CHẶN ĐỌT DÒNG V2</v>
      </c>
      <c r="M817" s="2" t="str">
        <f>IFERROR(__xludf.DUMMYFUNCTION("""COMPUTED_VALUE"""),"STOP UP
MT STOP
AGRI STOP
STOP ĐỌT
SIÊU CHẶN ĐỌT
MASTER STOP
UNI STOP ONE
BAMBOO DOUBLE STOP")</f>
        <v>STOP UP
MT STOP
AGRI STOP
STOP ĐỌT
SIÊU CHẶN ĐỌT
MASTER STOP
UNI STOP ONE
BAMBOO DOUBLE STOP</v>
      </c>
      <c r="N817" s="2" t="str">
        <f>IFERROR(__xludf.DUMMYFUNCTION("""COMPUTED_VALUE"""),"06CD0009V3")</f>
        <v>06CD0009V3</v>
      </c>
      <c r="O817" s="2" t="str">
        <f>IFERROR(__xludf.DUMMYFUNCTION("""COMPUTED_VALUE"""),"Phân bón Vi lượng Quantity New")</f>
        <v>Phân bón Vi lượng Quantity New</v>
      </c>
      <c r="P817" s="2" t="str">
        <f>IFERROR(__xludf.DUMMYFUNCTION("""COMPUTED_VALUE"""),"Phân bón Vi lượng Quantity New")</f>
        <v>Phân bón Vi lượng Quantity New</v>
      </c>
      <c r="Q817" s="30" t="str">
        <f>IFERROR(__xludf.DUMMYFUNCTION("""COMPUTED_VALUE"""),"KHỚP")</f>
        <v>KHỚP</v>
      </c>
      <c r="R817" s="2"/>
      <c r="S817" s="2"/>
      <c r="T817" s="2"/>
      <c r="U817" s="2"/>
      <c r="V817" s="2"/>
      <c r="W817" s="2"/>
      <c r="X817" s="2"/>
      <c r="Y817" s="2"/>
    </row>
    <row r="818">
      <c r="A818" s="30">
        <f>IFERROR(__xludf.DUMMYFUNCTION("""COMPUTED_VALUE"""),815.0)</f>
        <v>815</v>
      </c>
      <c r="B818" s="39">
        <f>IFERROR(__xludf.DUMMYFUNCTION("""COMPUTED_VALUE"""),46107.0)</f>
        <v>46107</v>
      </c>
      <c r="C818" s="30">
        <f>IFERROR(__xludf.DUMMYFUNCTION("""COMPUTED_VALUE"""),1.0)</f>
        <v>1</v>
      </c>
      <c r="D818" s="30" t="str">
        <f>IFERROR(__xludf.DUMMYFUNCTION("""COMPUTED_VALUE"""),"CT MỚI")</f>
        <v>CT MỚI</v>
      </c>
      <c r="E818" s="46">
        <f>IFERROR(__xludf.DUMMYFUNCTION("""COMPUTED_VALUE"""),46151.0)</f>
        <v>46151</v>
      </c>
      <c r="F818" s="2" t="str">
        <f>IFERROR(__xludf.DUMMYFUNCTION("""COMPUTED_VALUE"""),"STP09052601")</f>
        <v>STP09052601</v>
      </c>
      <c r="G818" s="2" t="str">
        <f>IFERROR(__xludf.DUMMYFUNCTION("""COMPUTED_VALUE"""),"HH4988")</f>
        <v>HH4988</v>
      </c>
      <c r="H818" s="2" t="str">
        <f>IFERROR(__xludf.DUMMYFUNCTION("""COMPUTED_VALUE"""),"GC - IX - 4988 - N2SBIO - N2 AMINO 100 (Gel nâu đen) - 250ml - 40")</f>
        <v>GC - IX - 4988 - N2SBIO - N2 AMINO 100 (Gel nâu đen) - 250ml - 40</v>
      </c>
      <c r="I818" s="2" t="str">
        <f>IFERROR(__xludf.DUMMYFUNCTION("""COMPUTED_VALUE"""),"LÁ VÔ CƠ NHIỀU THÀNH PHẦN NBC-ALCROP")</f>
        <v>LÁ VÔ CƠ NHIỀU THÀNH PHẦN NBC-ALCROP</v>
      </c>
      <c r="J818" s="2" t="str">
        <f>IFERROR(__xludf.DUMMYFUNCTION("""COMPUTED_VALUE"""),"N05230326")</f>
        <v>N05230326</v>
      </c>
      <c r="K818" s="39">
        <f>IFERROR(__xludf.DUMMYFUNCTION("""COMPUTED_VALUE"""),46158.0)</f>
        <v>46158</v>
      </c>
      <c r="L818" s="2" t="str">
        <f>IFERROR(__xludf.DUMMYFUNCTION("""COMPUTED_VALUE"""),"N05230326 ")</f>
        <v>N05230326 </v>
      </c>
      <c r="M818" s="2" t="str">
        <f>IFERROR(__xludf.DUMMYFUNCTION("""COMPUTED_VALUE"""),"N2 SIÊU CHỐNG RỤNG")</f>
        <v>N2 SIÊU CHỐNG RỤNG</v>
      </c>
      <c r="N818" s="2" t="str">
        <f>IFERROR(__xludf.DUMMYFUNCTION("""COMPUTED_VALUE"""),"23GS0025")</f>
        <v>23GS0025</v>
      </c>
      <c r="O818" s="2" t="str">
        <f>IFERROR(__xludf.DUMMYFUNCTION("""COMPUTED_VALUE"""),"Phân bón lá NBC-Alcrop")</f>
        <v>Phân bón lá NBC-Alcrop</v>
      </c>
      <c r="P818" s="2" t="str">
        <f>IFERROR(__xludf.DUMMYFUNCTION("""COMPUTED_VALUE"""),"Phân bón LÁ VÔ CƠ NHIỀU THÀNH PHẦN NBC-ALCROP")</f>
        <v>Phân bón LÁ VÔ CƠ NHIỀU THÀNH PHẦN NBC-ALCROP</v>
      </c>
      <c r="Q818" s="30" t="str">
        <f>IFERROR(__xludf.DUMMYFUNCTION("""COMPUTED_VALUE"""),"KHỚP")</f>
        <v>KHỚP</v>
      </c>
      <c r="R818" s="2"/>
      <c r="S818" s="2"/>
      <c r="T818" s="2"/>
      <c r="U818" s="2"/>
      <c r="V818" s="2"/>
      <c r="W818" s="2"/>
      <c r="X818" s="2"/>
      <c r="Y818" s="2"/>
    </row>
    <row r="819">
      <c r="A819" s="30">
        <f>IFERROR(__xludf.DUMMYFUNCTION("""COMPUTED_VALUE"""),816.0)</f>
        <v>816</v>
      </c>
      <c r="B819" s="39">
        <f>IFERROR(__xludf.DUMMYFUNCTION("""COMPUTED_VALUE"""),45940.0)</f>
        <v>45940</v>
      </c>
      <c r="C819" s="30">
        <f>IFERROR(__xludf.DUMMYFUNCTION("""COMPUTED_VALUE"""),11.0)</f>
        <v>11</v>
      </c>
      <c r="D819" s="30" t="str">
        <f>IFERROR(__xludf.DUMMYFUNCTION("""COMPUTED_VALUE"""),"CT CŨ")</f>
        <v>CT CŨ</v>
      </c>
      <c r="E819" s="46">
        <f>IFERROR(__xludf.DUMMYFUNCTION("""COMPUTED_VALUE"""),46151.0)</f>
        <v>46151</v>
      </c>
      <c r="F819" s="2" t="str">
        <f>IFERROR(__xludf.DUMMYFUNCTION("""COMPUTED_VALUE"""),"STP09052602")</f>
        <v>STP09052602</v>
      </c>
      <c r="G819" s="2" t="str">
        <f>IFERROR(__xludf.DUMMYFUNCTION("""COMPUTED_VALUE"""),"HH4442")</f>
        <v>HH4442</v>
      </c>
      <c r="H819" s="2" t="str">
        <f>IFERROR(__xludf.DUMMYFUNCTION("""COMPUTED_VALUE"""),"GC - IX - 4442 - N2SBIO - N2 MG ZN-70 (Nước xanh lá) - 500ml - 40")</f>
        <v>GC - IX - 4442 - N2SBIO - N2 MG ZN-70 (Nước xanh lá) - 500ml - 40</v>
      </c>
      <c r="I819" s="2" t="str">
        <f>IFERROR(__xludf.DUMMYFUNCTION("""COMPUTED_VALUE"""),"vi lượng Phú Sĩ FJ-09 Kẽm Mg")</f>
        <v>vi lượng Phú Sĩ FJ-09 Kẽm Mg</v>
      </c>
      <c r="J819" s="2" t="str">
        <f>IFERROR(__xludf.DUMMYFUNCTION("""COMPUTED_VALUE"""),"N01080825")</f>
        <v>N01080825</v>
      </c>
      <c r="K819" s="39">
        <f>IFERROR(__xludf.DUMMYFUNCTION("""COMPUTED_VALUE"""),46160.0)</f>
        <v>46160</v>
      </c>
      <c r="L819" s="2" t="str">
        <f>IFERROR(__xludf.DUMMYFUNCTION("""COMPUTED_VALUE"""),"N01080825")</f>
        <v>N01080825</v>
      </c>
      <c r="M819" s="2" t="str">
        <f>IFERROR(__xludf.DUMMYFUNCTION("""COMPUTED_VALUE"""),"N2 MgZn-52")</f>
        <v>N2 MgZn-52</v>
      </c>
      <c r="N819" s="2" t="str">
        <f>IFERROR(__xludf.DUMMYFUNCTION("""COMPUTED_VALUE"""),"23GS0002V1")</f>
        <v>23GS0002V1</v>
      </c>
      <c r="O819" s="2" t="str">
        <f>IFERROR(__xludf.DUMMYFUNCTION("""COMPUTED_VALUE"""),"Phân bón vi lượng Phú Sĩ FJ-09 Kẽm Mg")</f>
        <v>Phân bón vi lượng Phú Sĩ FJ-09 Kẽm Mg</v>
      </c>
      <c r="P819" s="2" t="str">
        <f>IFERROR(__xludf.DUMMYFUNCTION("""COMPUTED_VALUE"""),"Phân bón vi lượng Phú Sĩ FJ-09 Kẽm Mg")</f>
        <v>Phân bón vi lượng Phú Sĩ FJ-09 Kẽm Mg</v>
      </c>
      <c r="Q819" s="30" t="str">
        <f>IFERROR(__xludf.DUMMYFUNCTION("""COMPUTED_VALUE"""),"KHỚP")</f>
        <v>KHỚP</v>
      </c>
      <c r="R819" s="2"/>
      <c r="S819" s="2"/>
      <c r="T819" s="2"/>
      <c r="U819" s="2"/>
      <c r="V819" s="2"/>
      <c r="W819" s="2"/>
      <c r="X819" s="2"/>
      <c r="Y819" s="2"/>
    </row>
    <row r="820">
      <c r="A820" s="30">
        <f>IFERROR(__xludf.DUMMYFUNCTION("""COMPUTED_VALUE"""),817.0)</f>
        <v>817</v>
      </c>
      <c r="B820" s="39">
        <f>IFERROR(__xludf.DUMMYFUNCTION("""COMPUTED_VALUE"""),45959.0)</f>
        <v>45959</v>
      </c>
      <c r="C820" s="30">
        <f>IFERROR(__xludf.DUMMYFUNCTION("""COMPUTED_VALUE"""),9.0)</f>
        <v>9</v>
      </c>
      <c r="D820" s="30" t="str">
        <f>IFERROR(__xludf.DUMMYFUNCTION("""COMPUTED_VALUE"""),"CT CŨ")</f>
        <v>CT CŨ</v>
      </c>
      <c r="E820" s="46">
        <f>IFERROR(__xludf.DUMMYFUNCTION("""COMPUTED_VALUE"""),46151.0)</f>
        <v>46151</v>
      </c>
      <c r="F820" s="2" t="str">
        <f>IFERROR(__xludf.DUMMYFUNCTION("""COMPUTED_VALUE"""),"STP09052603")</f>
        <v>STP09052603</v>
      </c>
      <c r="G820" s="2" t="str">
        <f>IFERROR(__xludf.DUMMYFUNCTION("""COMPUTED_VALUE"""),"HH4187")</f>
        <v>HH4187</v>
      </c>
      <c r="H820" s="2" t="str">
        <f>IFERROR(__xludf.DUMMYFUNCTION("""COMPUTED_VALUE"""),"GC - IX - 4187 - N2SBIO - N2 ULTRA LOCK (Dạng SC - Trắng sữa) - 500ml - 40")</f>
        <v>GC - IX - 4187 - N2SBIO - N2 ULTRA LOCK (Dạng SC - Trắng sữa) - 500ml - 40</v>
      </c>
      <c r="I820" s="2" t="str">
        <f>IFERROR(__xludf.DUMMYFUNCTION("""COMPUTED_VALUE"""),"Lá PK-Trung Lượng NBC-Photphonate")</f>
        <v>Lá PK-Trung Lượng NBC-Photphonate</v>
      </c>
      <c r="J820" s="2" t="str">
        <f>IFERROR(__xludf.DUMMYFUNCTION("""COMPUTED_VALUE"""),"N04290725")</f>
        <v>N04290725</v>
      </c>
      <c r="K820" s="39">
        <f>IFERROR(__xludf.DUMMYFUNCTION("""COMPUTED_VALUE"""),46158.0)</f>
        <v>46158</v>
      </c>
      <c r="L820" s="2" t="str">
        <f>IFERROR(__xludf.DUMMYFUNCTION("""COMPUTED_VALUE"""),"N04290725")</f>
        <v>N04290725</v>
      </c>
      <c r="M820" s="2" t="str">
        <f>IFERROR(__xludf.DUMMYFUNCTION("""COMPUTED_VALUE"""),"N2 ULTRA LOCK")</f>
        <v>N2 ULTRA LOCK</v>
      </c>
      <c r="N820" s="2" t="str">
        <f>IFERROR(__xludf.DUMMYFUNCTION("""COMPUTED_VALUE"""),"06CD0016V1")</f>
        <v>06CD0016V1</v>
      </c>
      <c r="O820" s="2" t="str">
        <f>IFERROR(__xludf.DUMMYFUNCTION("""COMPUTED_VALUE"""),"Phân bón lá PK-Trung lượng NBC-PHOTPHONATE")</f>
        <v>Phân bón lá PK-Trung lượng NBC-PHOTPHONATE</v>
      </c>
      <c r="P820" s="2" t="str">
        <f>IFERROR(__xludf.DUMMYFUNCTION("""COMPUTED_VALUE"""),"Phân bón Lá PK-Trung Lượng NBC-Photphonate")</f>
        <v>Phân bón Lá PK-Trung Lượng NBC-Photphonate</v>
      </c>
      <c r="Q820" s="30" t="str">
        <f>IFERROR(__xludf.DUMMYFUNCTION("""COMPUTED_VALUE"""),"KHỚP")</f>
        <v>KHỚP</v>
      </c>
      <c r="R820" s="2"/>
      <c r="S820" s="2"/>
      <c r="T820" s="2"/>
      <c r="U820" s="2"/>
      <c r="V820" s="2"/>
      <c r="W820" s="2"/>
      <c r="X820" s="2"/>
      <c r="Y820" s="2"/>
    </row>
    <row r="821">
      <c r="A821" s="30">
        <f>IFERROR(__xludf.DUMMYFUNCTION("""COMPUTED_VALUE"""),818.0)</f>
        <v>818</v>
      </c>
      <c r="B821" s="39">
        <f>IFERROR(__xludf.DUMMYFUNCTION("""COMPUTED_VALUE"""),45905.0)</f>
        <v>45905</v>
      </c>
      <c r="C821" s="30">
        <f>IFERROR(__xludf.DUMMYFUNCTION("""COMPUTED_VALUE"""),1.0)</f>
        <v>1</v>
      </c>
      <c r="D821" s="30" t="str">
        <f>IFERROR(__xludf.DUMMYFUNCTION("""COMPUTED_VALUE"""),"CT CŨ")</f>
        <v>CT CŨ</v>
      </c>
      <c r="E821" s="46">
        <f>IFERROR(__xludf.DUMMYFUNCTION("""COMPUTED_VALUE"""),46153.0)</f>
        <v>46153</v>
      </c>
      <c r="F821" s="2" t="str">
        <f>IFERROR(__xludf.DUMMYFUNCTION("""COMPUTED_VALUE"""),"ATP11052601")</f>
        <v>ATP11052601</v>
      </c>
      <c r="G821" s="2" t="str">
        <f>IFERROR(__xludf.DUMMYFUNCTION("""COMPUTED_VALUE"""),"HH5010")</f>
        <v>HH5010</v>
      </c>
      <c r="H821" s="2" t="str">
        <f>IFERROR(__xludf.DUMMYFUNCTION("""COMPUTED_VALUE"""),"GC - V - 5010 - CTY CAPY GLOBAL - SUPER CU (Nước xanh dương) - 500ml - 40")</f>
        <v>GC - V - 5010 - CTY CAPY GLOBAL - SUPER CU (Nước xanh dương) - 500ml - 40</v>
      </c>
      <c r="I821" s="2" t="str">
        <f>IFERROR(__xludf.DUMMYFUNCTION("""COMPUTED_VALUE"""),"Vi lượng Agama - Cu")</f>
        <v>Vi lượng Agama - Cu</v>
      </c>
      <c r="J821" s="2" t="str">
        <f>IFERROR(__xludf.DUMMYFUNCTION("""COMPUTED_VALUE"""),"A02300524 Maxan-01")</f>
        <v>A02300524 Maxan-01</v>
      </c>
      <c r="K821" s="39">
        <f>IFERROR(__xludf.DUMMYFUNCTION("""COMPUTED_VALUE"""),46162.0)</f>
        <v>46162</v>
      </c>
      <c r="L821" s="2" t="str">
        <f>IFERROR(__xludf.DUMMYFUNCTION("""COMPUTED_VALUE"""),"A02300524")</f>
        <v>A02300524</v>
      </c>
      <c r="M821" s="2" t="str">
        <f>IFERROR(__xludf.DUMMYFUNCTION("""COMPUTED_VALUE"""),"NANO CU ")</f>
        <v>NANO CU </v>
      </c>
      <c r="N821" s="2" t="str">
        <f>IFERROR(__xludf.DUMMYFUNCTION("""COMPUTED_VALUE"""),"17KN0007")</f>
        <v>17KN0007</v>
      </c>
      <c r="O821" s="2" t="str">
        <f>IFERROR(__xludf.DUMMYFUNCTION("""COMPUTED_VALUE"""),"Phân bón Vi lượng Agama-CU")</f>
        <v>Phân bón Vi lượng Agama-CU</v>
      </c>
      <c r="P821" s="2" t="str">
        <f>IFERROR(__xludf.DUMMYFUNCTION("""COMPUTED_VALUE"""),"Phân bón Vi lượng Agama - Cu")</f>
        <v>Phân bón Vi lượng Agama - Cu</v>
      </c>
      <c r="Q821" s="30" t="str">
        <f>IFERROR(__xludf.DUMMYFUNCTION("""COMPUTED_VALUE"""),"KHỚP")</f>
        <v>KHỚP</v>
      </c>
      <c r="R821" s="2"/>
      <c r="S821" s="2"/>
      <c r="T821" s="2"/>
      <c r="U821" s="2"/>
      <c r="V821" s="2"/>
      <c r="W821" s="2"/>
      <c r="X821" s="2"/>
      <c r="Y821" s="2"/>
    </row>
    <row r="822">
      <c r="A822" s="30">
        <f>IFERROR(__xludf.DUMMYFUNCTION("""COMPUTED_VALUE"""),819.0)</f>
        <v>819</v>
      </c>
      <c r="B822" s="39">
        <f>IFERROR(__xludf.DUMMYFUNCTION("""COMPUTED_VALUE"""),45939.0)</f>
        <v>45939</v>
      </c>
      <c r="C822" s="30">
        <f>IFERROR(__xludf.DUMMYFUNCTION("""COMPUTED_VALUE"""),1.0)</f>
        <v>1</v>
      </c>
      <c r="D822" s="30" t="str">
        <f>IFERROR(__xludf.DUMMYFUNCTION("""COMPUTED_VALUE"""),"CT CŨ")</f>
        <v>CT CŨ</v>
      </c>
      <c r="E822" s="46">
        <f>IFERROR(__xludf.DUMMYFUNCTION("""COMPUTED_VALUE"""),46153.0)</f>
        <v>46153</v>
      </c>
      <c r="F822" s="2" t="str">
        <f>IFERROR(__xludf.DUMMYFUNCTION("""COMPUTED_VALUE"""),"ATP11052602")</f>
        <v>ATP11052602</v>
      </c>
      <c r="G822" s="2" t="str">
        <f>IFERROR(__xludf.DUMMYFUNCTION("""COMPUTED_VALUE"""),"HH5014")</f>
        <v>HH5014</v>
      </c>
      <c r="H822" s="2" t="str">
        <f>IFERROR(__xludf.DUMMYFUNCTION("""COMPUTED_VALUE"""),"GC - X - 5014 - CSSX An Khang - TAK12 (Nước nâu vàng) - 500ml - 40")</f>
        <v>GC - X - 5014 - CSSX An Khang - TAK12 (Nước nâu vàng) - 500ml - 40</v>
      </c>
      <c r="I822" s="2" t="str">
        <f>IFERROR(__xludf.DUMMYFUNCTION("""COMPUTED_VALUE"""),"Lá Hỗn Hợp PK AGRI FOS AB")</f>
        <v>Lá Hỗn Hợp PK AGRI FOS AB</v>
      </c>
      <c r="J822" s="2" t="str">
        <f>IFERROR(__xludf.DUMMYFUNCTION("""COMPUTED_VALUE"""),"A07290925")</f>
        <v>A07290925</v>
      </c>
      <c r="K822" s="39">
        <f>IFERROR(__xludf.DUMMYFUNCTION("""COMPUTED_VALUE"""),46162.0)</f>
        <v>46162</v>
      </c>
      <c r="L822" s="2" t="str">
        <f>IFERROR(__xludf.DUMMYFUNCTION("""COMPUTED_VALUE"""),"A07290925")</f>
        <v>A07290925</v>
      </c>
      <c r="M822" s="2" t="str">
        <f>IFERROR(__xludf.DUMMYFUNCTION("""COMPUTED_VALUE"""),"TẠO MẦM ")</f>
        <v>TẠO MẦM </v>
      </c>
      <c r="N822" s="2" t="str">
        <f>IFERROR(__xludf.DUMMYFUNCTION("""COMPUTED_VALUE"""),"08TM0027")</f>
        <v>08TM0027</v>
      </c>
      <c r="O822" s="2" t="str">
        <f>IFERROR(__xludf.DUMMYFUNCTION("""COMPUTED_VALUE"""),"Phân bón lá hỗn hợp PK AGRI FOS AB")</f>
        <v>Phân bón lá hỗn hợp PK AGRI FOS AB</v>
      </c>
      <c r="P822" s="2" t="str">
        <f>IFERROR(__xludf.DUMMYFUNCTION("""COMPUTED_VALUE"""),"Phân bón Lá Hỗn Hợp PK AGRI FOS AB")</f>
        <v>Phân bón Lá Hỗn Hợp PK AGRI FOS AB</v>
      </c>
      <c r="Q822" s="30" t="str">
        <f>IFERROR(__xludf.DUMMYFUNCTION("""COMPUTED_VALUE"""),"KHỚP")</f>
        <v>KHỚP</v>
      </c>
      <c r="R822" s="2"/>
      <c r="S822" s="2"/>
      <c r="T822" s="2"/>
      <c r="U822" s="2"/>
      <c r="V822" s="2"/>
      <c r="W822" s="2"/>
      <c r="X822" s="2"/>
      <c r="Y822" s="2"/>
    </row>
    <row r="823">
      <c r="A823" s="30">
        <f>IFERROR(__xludf.DUMMYFUNCTION("""COMPUTED_VALUE"""),820.0)</f>
        <v>820</v>
      </c>
      <c r="B823" s="39">
        <f>IFERROR(__xludf.DUMMYFUNCTION("""COMPUTED_VALUE"""),46002.0)</f>
        <v>46002</v>
      </c>
      <c r="C823" s="30">
        <f>IFERROR(__xludf.DUMMYFUNCTION("""COMPUTED_VALUE"""),3.0)</f>
        <v>3</v>
      </c>
      <c r="D823" s="30" t="str">
        <f>IFERROR(__xludf.DUMMYFUNCTION("""COMPUTED_VALUE"""),"CT CŨ")</f>
        <v>CT CŨ</v>
      </c>
      <c r="E823" s="46">
        <f>IFERROR(__xludf.DUMMYFUNCTION("""COMPUTED_VALUE"""),46153.0)</f>
        <v>46153</v>
      </c>
      <c r="F823" s="2" t="str">
        <f>IFERROR(__xludf.DUMMYFUNCTION("""COMPUTED_VALUE"""),"ATP11052603")</f>
        <v>ATP11052603</v>
      </c>
      <c r="G823" s="2" t="str">
        <f>IFERROR(__xludf.DUMMYFUNCTION("""COMPUTED_VALUE"""),"HH4040")</f>
        <v>HH4040</v>
      </c>
      <c r="H823" s="2" t="str">
        <f>IFERROR(__xludf.DUMMYFUNCTION("""COMPUTED_VALUE"""),"GC - V - 4040 - AGRITECH - AGRI STOP (Nước nâu đen) - 1L - 20")</f>
        <v>GC - V - 4040 - AGRITECH - AGRI STOP (Nước nâu đen) - 1L - 20</v>
      </c>
      <c r="I823" s="2" t="str">
        <f>IFERROR(__xludf.DUMMYFUNCTION("""COMPUTED_VALUE"""),"Vi lượng Quantity New")</f>
        <v>Vi lượng Quantity New</v>
      </c>
      <c r="J823" s="2" t="str">
        <f>IFERROR(__xludf.DUMMYFUNCTION("""COMPUTED_VALUE"""),"Chặn đọt dòng V2
")</f>
        <v>Chặn đọt dòng V2
</v>
      </c>
      <c r="K823" s="39">
        <f>IFERROR(__xludf.DUMMYFUNCTION("""COMPUTED_VALUE"""),46162.0)</f>
        <v>46162</v>
      </c>
      <c r="L823" s="2" t="str">
        <f>IFERROR(__xludf.DUMMYFUNCTION("""COMPUTED_VALUE"""),"CHẶN ĐỌT DÒNG V2")</f>
        <v>CHẶN ĐỌT DÒNG V2</v>
      </c>
      <c r="M823" s="2" t="str">
        <f>IFERROR(__xludf.DUMMYFUNCTION("""COMPUTED_VALUE"""),"STOP UP
MT STOP
AGRI STOP
STOP ĐỌT
SIÊU CHẶN ĐỌT
MASTER STOP
UNI STOP ONE
BAMBOO DOUBLE STOP")</f>
        <v>STOP UP
MT STOP
AGRI STOP
STOP ĐỌT
SIÊU CHẶN ĐỌT
MASTER STOP
UNI STOP ONE
BAMBOO DOUBLE STOP</v>
      </c>
      <c r="N823" s="2" t="str">
        <f>IFERROR(__xludf.DUMMYFUNCTION("""COMPUTED_VALUE"""),"06CD0009V3")</f>
        <v>06CD0009V3</v>
      </c>
      <c r="O823" s="2" t="str">
        <f>IFERROR(__xludf.DUMMYFUNCTION("""COMPUTED_VALUE"""),"Phân bón Vi lượng Quantity New")</f>
        <v>Phân bón Vi lượng Quantity New</v>
      </c>
      <c r="P823" s="2" t="str">
        <f>IFERROR(__xludf.DUMMYFUNCTION("""COMPUTED_VALUE"""),"Phân bón Vi lượng Quantity New")</f>
        <v>Phân bón Vi lượng Quantity New</v>
      </c>
      <c r="Q823" s="30" t="str">
        <f>IFERROR(__xludf.DUMMYFUNCTION("""COMPUTED_VALUE"""),"KHỚP")</f>
        <v>KHỚP</v>
      </c>
      <c r="R823" s="2"/>
      <c r="S823" s="2"/>
      <c r="T823" s="2"/>
      <c r="U823" s="2"/>
      <c r="V823" s="2"/>
      <c r="W823" s="2"/>
      <c r="X823" s="2"/>
      <c r="Y823" s="2"/>
    </row>
    <row r="824">
      <c r="A824" s="30">
        <f>IFERROR(__xludf.DUMMYFUNCTION("""COMPUTED_VALUE"""),821.0)</f>
        <v>821</v>
      </c>
      <c r="B824" s="39">
        <f>IFERROR(__xludf.DUMMYFUNCTION("""COMPUTED_VALUE"""),46036.0)</f>
        <v>46036</v>
      </c>
      <c r="C824" s="30">
        <f>IFERROR(__xludf.DUMMYFUNCTION("""COMPUTED_VALUE"""),1.0)</f>
        <v>1</v>
      </c>
      <c r="D824" s="30" t="str">
        <f>IFERROR(__xludf.DUMMYFUNCTION("""COMPUTED_VALUE"""),"CT CŨ")</f>
        <v>CT CŨ</v>
      </c>
      <c r="E824" s="46">
        <f>IFERROR(__xludf.DUMMYFUNCTION("""COMPUTED_VALUE"""),46153.0)</f>
        <v>46153</v>
      </c>
      <c r="F824" s="2" t="str">
        <f>IFERROR(__xludf.DUMMYFUNCTION("""COMPUTED_VALUE"""),"ATP11052606")</f>
        <v>ATP11052606</v>
      </c>
      <c r="G824" s="2" t="str">
        <f>IFERROR(__xludf.DUMMYFUNCTION("""COMPUTED_VALUE"""),"HH5017")</f>
        <v>HH5017</v>
      </c>
      <c r="H824" s="2" t="str">
        <f>IFERROR(__xludf.DUMMYFUNCTION("""COMPUTED_VALUE"""),"GC - V - 5017 - CTY BIO GREEN SDB - SUPER ROOT (Nước nâu đen) - 20L - 1")</f>
        <v>GC - V - 5017 - CTY BIO GREEN SDB - SUPER ROOT (Nước nâu đen) - 20L - 1</v>
      </c>
      <c r="I824" s="2" t="str">
        <f>IFERROR(__xludf.DUMMYFUNCTION("""COMPUTED_VALUE"""),"Hữu Cơ Organic ĐGP 01")</f>
        <v>Hữu Cơ Organic ĐGP 01</v>
      </c>
      <c r="J824" s="2" t="str">
        <f>IFERROR(__xludf.DUMMYFUNCTION("""COMPUTED_VALUE"""),"A05181225- 01")</f>
        <v>A05181225- 01</v>
      </c>
      <c r="K824" s="39">
        <f>IFERROR(__xludf.DUMMYFUNCTION("""COMPUTED_VALUE"""),46162.0)</f>
        <v>46162</v>
      </c>
      <c r="L824" s="2" t="str">
        <f>IFERROR(__xludf.DUMMYFUNCTION("""COMPUTED_VALUE"""),"A05181225-01
I03240326")</f>
        <v>A05181225-01
I03240326</v>
      </c>
      <c r="M824" s="2" t="str">
        <f>IFERROR(__xludf.DUMMYFUNCTION("""COMPUTED_VALUE"""),"HỮU CƠ 20%")</f>
        <v>HỮU CƠ 20%</v>
      </c>
      <c r="N824" s="2" t="str">
        <f>IFERROR(__xludf.DUMMYFUNCTION("""COMPUTED_VALUE"""),"01RR0079V1")</f>
        <v>01RR0079V1</v>
      </c>
      <c r="O824" s="2" t="str">
        <f>IFERROR(__xludf.DUMMYFUNCTION("""COMPUTED_VALUE"""),"Phân bón Hữu cơ ORGANIC ĐGP 01 ")</f>
        <v>Phân bón Hữu cơ ORGANIC ĐGP 01 </v>
      </c>
      <c r="P824" s="2" t="str">
        <f>IFERROR(__xludf.DUMMYFUNCTION("""COMPUTED_VALUE"""),"Phân bón Hữu Cơ Organic ĐGP 01")</f>
        <v>Phân bón Hữu Cơ Organic ĐGP 01</v>
      </c>
      <c r="Q824" s="30" t="str">
        <f>IFERROR(__xludf.DUMMYFUNCTION("""COMPUTED_VALUE"""),"KHỚP")</f>
        <v>KHỚP</v>
      </c>
      <c r="R824" s="2"/>
      <c r="S824" s="2"/>
      <c r="T824" s="2"/>
      <c r="U824" s="2"/>
      <c r="V824" s="2"/>
      <c r="W824" s="2"/>
      <c r="X824" s="2"/>
      <c r="Y824" s="2"/>
    </row>
    <row r="825">
      <c r="A825" s="30">
        <f>IFERROR(__xludf.DUMMYFUNCTION("""COMPUTED_VALUE"""),822.0)</f>
        <v>822</v>
      </c>
      <c r="B825" s="39">
        <f>IFERROR(__xludf.DUMMYFUNCTION("""COMPUTED_VALUE"""),46153.0)</f>
        <v>46153</v>
      </c>
      <c r="C825" s="30">
        <f>IFERROR(__xludf.DUMMYFUNCTION("""COMPUTED_VALUE"""),1.0)</f>
        <v>1</v>
      </c>
      <c r="D825" s="30" t="str">
        <f>IFERROR(__xludf.DUMMYFUNCTION("""COMPUTED_VALUE"""),"CT CŨ")</f>
        <v>CT CŨ</v>
      </c>
      <c r="E825" s="46">
        <f>IFERROR(__xludf.DUMMYFUNCTION("""COMPUTED_VALUE"""),46153.0)</f>
        <v>46153</v>
      </c>
      <c r="F825" s="2" t="str">
        <f>IFERROR(__xludf.DUMMYFUNCTION("""COMPUTED_VALUE"""),"ATP11052607")</f>
        <v>ATP11052607</v>
      </c>
      <c r="G825" s="2" t="str">
        <f>IFERROR(__xludf.DUMMYFUNCTION("""COMPUTED_VALUE"""),"HH5006")</f>
        <v>HH5006</v>
      </c>
      <c r="H825" s="2" t="str">
        <f>IFERROR(__xludf.DUMMYFUNCTION("""COMPUTED_VALUE"""),"GC - V - 5006 - Cty Sen Hồng - ROOT+ (Gel xanh dương) - 500ml - 40")</f>
        <v>GC - V - 5006 - Cty Sen Hồng - ROOT+ (Gel xanh dương) - 500ml - 40</v>
      </c>
      <c r="I825" s="2" t="str">
        <f>IFERROR(__xludf.DUMMYFUNCTION("""COMPUTED_VALUE"""),"Hỗn Hợp NP AGAMA-AP")</f>
        <v>Hỗn Hợp NP AGAMA-AP</v>
      </c>
      <c r="J825" s="2" t="str">
        <f>IFERROR(__xludf.DUMMYFUNCTION("""COMPUTED_VALUE"""),"A06091025")</f>
        <v>A06091025</v>
      </c>
      <c r="K825" s="39">
        <f>IFERROR(__xludf.DUMMYFUNCTION("""COMPUTED_VALUE"""),46162.0)</f>
        <v>46162</v>
      </c>
      <c r="L825" s="2" t="str">
        <f>IFERROR(__xludf.DUMMYFUNCTION("""COMPUTED_VALUE"""),"A06091025")</f>
        <v>A06091025</v>
      </c>
      <c r="M825" s="2" t="str">
        <f>IFERROR(__xludf.DUMMYFUNCTION("""COMPUTED_VALUE"""),"ROOT+")</f>
        <v>ROOT+</v>
      </c>
      <c r="N825" s="2" t="str">
        <f>IFERROR(__xludf.DUMMYFUNCTION("""COMPUTED_VALUE"""),"01RR0080V1")</f>
        <v>01RR0080V1</v>
      </c>
      <c r="O825" s="2" t="str">
        <f>IFERROR(__xludf.DUMMYFUNCTION("""COMPUTED_VALUE"""),"Phân bón Hỗn hợp NP AGAMA-AP")</f>
        <v>Phân bón Hỗn hợp NP AGAMA-AP</v>
      </c>
      <c r="P825" s="2" t="str">
        <f>IFERROR(__xludf.DUMMYFUNCTION("""COMPUTED_VALUE"""),"Phân bón Hỗn Hợp NP AGAMA-AP")</f>
        <v>Phân bón Hỗn Hợp NP AGAMA-AP</v>
      </c>
      <c r="Q825" s="30" t="str">
        <f>IFERROR(__xludf.DUMMYFUNCTION("""COMPUTED_VALUE"""),"KHỚP")</f>
        <v>KHỚP</v>
      </c>
      <c r="R825" s="2"/>
      <c r="S825" s="2"/>
      <c r="T825" s="2"/>
      <c r="U825" s="2"/>
      <c r="V825" s="2"/>
      <c r="W825" s="2"/>
      <c r="X825" s="2"/>
      <c r="Y825" s="2"/>
    </row>
    <row r="826">
      <c r="A826" s="30">
        <f>IFERROR(__xludf.DUMMYFUNCTION("""COMPUTED_VALUE"""),823.0)</f>
        <v>823</v>
      </c>
      <c r="B826" s="39">
        <f>IFERROR(__xludf.DUMMYFUNCTION("""COMPUTED_VALUE"""),46056.0)</f>
        <v>46056</v>
      </c>
      <c r="C826" s="30">
        <f>IFERROR(__xludf.DUMMYFUNCTION("""COMPUTED_VALUE"""),11.0)</f>
        <v>11</v>
      </c>
      <c r="D826" s="30" t="str">
        <f>IFERROR(__xludf.DUMMYFUNCTION("""COMPUTED_VALUE"""),"CT CŨ")</f>
        <v>CT CŨ</v>
      </c>
      <c r="E826" s="46">
        <f>IFERROR(__xludf.DUMMYFUNCTION("""COMPUTED_VALUE"""),46154.0)</f>
        <v>46154</v>
      </c>
      <c r="F826" s="2" t="str">
        <f>IFERROR(__xludf.DUMMYFUNCTION("""COMPUTED_VALUE"""),"DTP12052601")</f>
        <v>DTP12052601</v>
      </c>
      <c r="G826" s="2" t="str">
        <f>IFERROR(__xludf.DUMMYFUNCTION("""COMPUTED_VALUE"""),"HH4748")</f>
        <v>HH4748</v>
      </c>
      <c r="H826" s="2" t="str">
        <f>IFERROR(__xludf.DUMMYFUNCTION("""COMPUTED_VALUE"""),"GC - V - 4748 - DEGO - RUN FAST (Nước đen) - 18L - 1")</f>
        <v>GC - V - 4748 - DEGO - RUN FAST (Nước đen) - 18L - 1</v>
      </c>
      <c r="I826" s="2" t="str">
        <f>IFERROR(__xludf.DUMMYFUNCTION("""COMPUTED_VALUE"""),"Vi lượng Run Fast")</f>
        <v>Vi lượng Run Fast</v>
      </c>
      <c r="J826" s="2" t="str">
        <f>IFERROR(__xludf.DUMMYFUNCTION("""COMPUTED_VALUE"""),"30NT0001")</f>
        <v>30NT0001</v>
      </c>
      <c r="K826" s="39">
        <f>IFERROR(__xludf.DUMMYFUNCTION("""COMPUTED_VALUE"""),46156.0)</f>
        <v>46156</v>
      </c>
      <c r="L826" s="2"/>
      <c r="M826" s="2" t="str">
        <f>IFERROR(__xludf.DUMMYFUNCTION("""COMPUTED_VALUE"""),"BO HAI NGÀN")</f>
        <v>BO HAI NGÀN</v>
      </c>
      <c r="N826" s="2" t="str">
        <f>IFERROR(__xludf.DUMMYFUNCTION("""COMPUTED_VALUE"""),"30NT0001")</f>
        <v>30NT0001</v>
      </c>
      <c r="O826" s="2" t="str">
        <f>IFERROR(__xludf.DUMMYFUNCTION("""COMPUTED_VALUE"""),"Phân bón Vi lượng Run Fast")</f>
        <v>Phân bón Vi lượng Run Fast</v>
      </c>
      <c r="P826" s="2" t="str">
        <f>IFERROR(__xludf.DUMMYFUNCTION("""COMPUTED_VALUE"""),"Phân bón Vi lượng Run Fast")</f>
        <v>Phân bón Vi lượng Run Fast</v>
      </c>
      <c r="Q826" s="30" t="str">
        <f>IFERROR(__xludf.DUMMYFUNCTION("""COMPUTED_VALUE"""),"KHỚP")</f>
        <v>KHỚP</v>
      </c>
      <c r="R826" s="2"/>
      <c r="S826" s="2"/>
      <c r="T826" s="2"/>
      <c r="U826" s="2"/>
      <c r="V826" s="2"/>
      <c r="W826" s="2"/>
      <c r="X826" s="2"/>
      <c r="Y826" s="2"/>
    </row>
    <row r="827">
      <c r="A827" s="30">
        <f>IFERROR(__xludf.DUMMYFUNCTION("""COMPUTED_VALUE"""),824.0)</f>
        <v>824</v>
      </c>
      <c r="B827" s="39">
        <f>IFERROR(__xludf.DUMMYFUNCTION("""COMPUTED_VALUE"""),46036.0)</f>
        <v>46036</v>
      </c>
      <c r="C827" s="30">
        <f>IFERROR(__xludf.DUMMYFUNCTION("""COMPUTED_VALUE"""),2.0)</f>
        <v>2</v>
      </c>
      <c r="D827" s="30" t="str">
        <f>IFERROR(__xludf.DUMMYFUNCTION("""COMPUTED_VALUE"""),"CT CŨ")</f>
        <v>CT CŨ</v>
      </c>
      <c r="E827" s="46">
        <f>IFERROR(__xludf.DUMMYFUNCTION("""COMPUTED_VALUE"""),46154.0)</f>
        <v>46154</v>
      </c>
      <c r="F827" s="2" t="str">
        <f>IFERROR(__xludf.DUMMYFUNCTION("""COMPUTED_VALUE"""),"ATP12052601")</f>
        <v>ATP12052601</v>
      </c>
      <c r="G827" s="2" t="str">
        <f>IFERROR(__xludf.DUMMYFUNCTION("""COMPUTED_VALUE"""),"HH4876")</f>
        <v>HH4876</v>
      </c>
      <c r="H827" s="2" t="str">
        <f>IFERROR(__xludf.DUMMYFUNCTION("""COMPUTED_VALUE"""),"GC - V - 4876 - CTY AGRITECH - MEGA FRUIT (Nước nâu đen) - 20L - 1")</f>
        <v>GC - V - 4876 - CTY AGRITECH - MEGA FRUIT (Nước nâu đen) - 20L - 1</v>
      </c>
      <c r="I827" s="2" t="str">
        <f>IFERROR(__xludf.DUMMYFUNCTION("""COMPUTED_VALUE"""),"Hữu Cơ Organic ĐGP 01")</f>
        <v>Hữu Cơ Organic ĐGP 01</v>
      </c>
      <c r="J827" s="2" t="str">
        <f>IFERROR(__xludf.DUMMYFUNCTION("""COMPUTED_VALUE"""),"A05181225- 01")</f>
        <v>A05181225- 01</v>
      </c>
      <c r="K827" s="39">
        <f>IFERROR(__xludf.DUMMYFUNCTION("""COMPUTED_VALUE"""),46162.0)</f>
        <v>46162</v>
      </c>
      <c r="L827" s="2" t="str">
        <f>IFERROR(__xludf.DUMMYFUNCTION("""COMPUTED_VALUE"""),"A05181225-01
I03240326")</f>
        <v>A05181225-01
I03240326</v>
      </c>
      <c r="M827" s="2" t="str">
        <f>IFERROR(__xludf.DUMMYFUNCTION("""COMPUTED_VALUE"""),"HỮU CƠ 20%")</f>
        <v>HỮU CƠ 20%</v>
      </c>
      <c r="N827" s="2" t="str">
        <f>IFERROR(__xludf.DUMMYFUNCTION("""COMPUTED_VALUE"""),"01RR0079V1")</f>
        <v>01RR0079V1</v>
      </c>
      <c r="O827" s="2" t="str">
        <f>IFERROR(__xludf.DUMMYFUNCTION("""COMPUTED_VALUE"""),"Phân bón Hữu cơ ORGANIC ĐGP 01 ")</f>
        <v>Phân bón Hữu cơ ORGANIC ĐGP 01 </v>
      </c>
      <c r="P827" s="2" t="str">
        <f>IFERROR(__xludf.DUMMYFUNCTION("""COMPUTED_VALUE"""),"Phân bón Hữu Cơ Organic ĐGP 01")</f>
        <v>Phân bón Hữu Cơ Organic ĐGP 01</v>
      </c>
      <c r="Q827" s="30" t="str">
        <f>IFERROR(__xludf.DUMMYFUNCTION("""COMPUTED_VALUE"""),"KHỚP")</f>
        <v>KHỚP</v>
      </c>
      <c r="R827" s="2"/>
      <c r="S827" s="2"/>
      <c r="T827" s="2"/>
      <c r="U827" s="2"/>
      <c r="V827" s="2"/>
      <c r="W827" s="2"/>
      <c r="X827" s="2"/>
      <c r="Y827" s="2"/>
    </row>
    <row r="828">
      <c r="A828" s="30">
        <f>IFERROR(__xludf.DUMMYFUNCTION("""COMPUTED_VALUE"""),825.0)</f>
        <v>825</v>
      </c>
      <c r="B828" s="39">
        <f>IFERROR(__xludf.DUMMYFUNCTION("""COMPUTED_VALUE"""),46036.0)</f>
        <v>46036</v>
      </c>
      <c r="C828" s="30">
        <f>IFERROR(__xludf.DUMMYFUNCTION("""COMPUTED_VALUE"""),9.0)</f>
        <v>9</v>
      </c>
      <c r="D828" s="30" t="str">
        <f>IFERROR(__xludf.DUMMYFUNCTION("""COMPUTED_VALUE"""),"CT CŨ")</f>
        <v>CT CŨ</v>
      </c>
      <c r="E828" s="46">
        <f>IFERROR(__xludf.DUMMYFUNCTION("""COMPUTED_VALUE"""),46154.0)</f>
        <v>46154</v>
      </c>
      <c r="F828" s="2" t="str">
        <f>IFERROR(__xludf.DUMMYFUNCTION("""COMPUTED_VALUE"""),"ATP12052603")</f>
        <v>ATP12052603</v>
      </c>
      <c r="G828" s="2" t="str">
        <f>IFERROR(__xludf.DUMMYFUNCTION("""COMPUTED_VALUE"""),"HH4642")</f>
        <v>HH4642</v>
      </c>
      <c r="H828" s="2" t="str">
        <f>IFERROR(__xludf.DUMMYFUNCTION("""COMPUTED_VALUE"""),"GC - V - 4642 - CTY HÓA NÔNG ĐẤT VIỆT - ĐẤT VIỆT BIOGREEN (Nước nâu đen) - 20 lít - 1")</f>
        <v>GC - V - 4642 - CTY HÓA NÔNG ĐẤT VIỆT - ĐẤT VIỆT BIOGREEN (Nước nâu đen) - 20 lít - 1</v>
      </c>
      <c r="I828" s="2" t="str">
        <f>IFERROR(__xludf.DUMMYFUNCTION("""COMPUTED_VALUE"""),"Hữu Cơ Organic ĐGP 01")</f>
        <v>Hữu Cơ Organic ĐGP 01</v>
      </c>
      <c r="J828" s="2" t="str">
        <f>IFERROR(__xludf.DUMMYFUNCTION("""COMPUTED_VALUE"""),"A05181225- 01")</f>
        <v>A05181225- 01</v>
      </c>
      <c r="K828" s="39">
        <f>IFERROR(__xludf.DUMMYFUNCTION("""COMPUTED_VALUE"""),46161.0)</f>
        <v>46161</v>
      </c>
      <c r="L828" s="2" t="str">
        <f>IFERROR(__xludf.DUMMYFUNCTION("""COMPUTED_VALUE"""),"A05181225-01
I03240326")</f>
        <v>A05181225-01
I03240326</v>
      </c>
      <c r="M828" s="2" t="str">
        <f>IFERROR(__xludf.DUMMYFUNCTION("""COMPUTED_VALUE"""),"HỮU CƠ 20%")</f>
        <v>HỮU CƠ 20%</v>
      </c>
      <c r="N828" s="2" t="str">
        <f>IFERROR(__xludf.DUMMYFUNCTION("""COMPUTED_VALUE"""),"01RR0079V1")</f>
        <v>01RR0079V1</v>
      </c>
      <c r="O828" s="2" t="str">
        <f>IFERROR(__xludf.DUMMYFUNCTION("""COMPUTED_VALUE"""),"Phân bón Hữu cơ ORGANIC ĐGP 01 ")</f>
        <v>Phân bón Hữu cơ ORGANIC ĐGP 01 </v>
      </c>
      <c r="P828" s="2" t="str">
        <f>IFERROR(__xludf.DUMMYFUNCTION("""COMPUTED_VALUE"""),"Phân bón Hữu Cơ Organic ĐGP 01")</f>
        <v>Phân bón Hữu Cơ Organic ĐGP 01</v>
      </c>
      <c r="Q828" s="30" t="str">
        <f>IFERROR(__xludf.DUMMYFUNCTION("""COMPUTED_VALUE"""),"KHỚP")</f>
        <v>KHỚP</v>
      </c>
      <c r="R828" s="2"/>
      <c r="S828" s="2"/>
      <c r="T828" s="2"/>
      <c r="U828" s="2"/>
      <c r="V828" s="2"/>
      <c r="W828" s="2"/>
      <c r="X828" s="2"/>
      <c r="Y828" s="2"/>
    </row>
    <row r="829">
      <c r="A829" s="30">
        <f>IFERROR(__xludf.DUMMYFUNCTION("""COMPUTED_VALUE"""),826.0)</f>
        <v>826</v>
      </c>
      <c r="B829" s="39">
        <f>IFERROR(__xludf.DUMMYFUNCTION("""COMPUTED_VALUE"""),45917.0)</f>
        <v>45917</v>
      </c>
      <c r="C829" s="30">
        <f>IFERROR(__xludf.DUMMYFUNCTION("""COMPUTED_VALUE"""),1.0)</f>
        <v>1</v>
      </c>
      <c r="D829" s="30" t="str">
        <f>IFERROR(__xludf.DUMMYFUNCTION("""COMPUTED_VALUE"""),"CT CŨ")</f>
        <v>CT CŨ</v>
      </c>
      <c r="E829" s="46">
        <f>IFERROR(__xludf.DUMMYFUNCTION("""COMPUTED_VALUE"""),46154.0)</f>
        <v>46154</v>
      </c>
      <c r="F829" s="2" t="str">
        <f>IFERROR(__xludf.DUMMYFUNCTION("""COMPUTED_VALUE"""),"ATP12052604")</f>
        <v>ATP12052604</v>
      </c>
      <c r="G829" s="2" t="str">
        <f>IFERROR(__xludf.DUMMYFUNCTION("""COMPUTED_VALUE"""),"HH4266")</f>
        <v>HH4266</v>
      </c>
      <c r="H829" s="2" t="str">
        <f>IFERROR(__xludf.DUMMYFUNCTION("""COMPUTED_VALUE"""),"GC - V - 4266 - CSSX An Khang (A.Dinh) - T-AK 01 (Gel nâu đen) - 500ml - 40")</f>
        <v>GC - V - 4266 - CSSX An Khang (A.Dinh) - T-AK 01 (Gel nâu đen) - 500ml - 40</v>
      </c>
      <c r="I829" s="2" t="str">
        <f>IFERROR(__xludf.DUMMYFUNCTION("""COMPUTED_VALUE"""),"Vi lượng Quantity New")</f>
        <v>Vi lượng Quantity New</v>
      </c>
      <c r="J829" s="2" t="str">
        <f>IFERROR(__xludf.DUMMYFUNCTION("""COMPUTED_VALUE"""),"Cùng ruột  2522")</f>
        <v>Cùng ruột  2522</v>
      </c>
      <c r="K829" s="39">
        <f>IFERROR(__xludf.DUMMYFUNCTION("""COMPUTED_VALUE"""),46162.0)</f>
        <v>46162</v>
      </c>
      <c r="L829" s="2"/>
      <c r="M829" s="2" t="str">
        <f>IFERROR(__xludf.DUMMYFUNCTION("""COMPUTED_VALUE"""),"T-AK 01")</f>
        <v>T-AK 01</v>
      </c>
      <c r="N829" s="2" t="str">
        <f>IFERROR(__xludf.DUMMYFUNCTION("""COMPUTED_VALUE"""),"09KH0007")</f>
        <v>09KH0007</v>
      </c>
      <c r="O829" s="2" t="str">
        <f>IFERROR(__xludf.DUMMYFUNCTION("""COMPUTED_VALUE"""),"Phân bón Vi lượng Quantity New")</f>
        <v>Phân bón Vi lượng Quantity New</v>
      </c>
      <c r="P829" s="2" t="str">
        <f>IFERROR(__xludf.DUMMYFUNCTION("""COMPUTED_VALUE"""),"Phân bón Vi lượng Quantity New")</f>
        <v>Phân bón Vi lượng Quantity New</v>
      </c>
      <c r="Q829" s="30" t="str">
        <f>IFERROR(__xludf.DUMMYFUNCTION("""COMPUTED_VALUE"""),"KHỚP")</f>
        <v>KHỚP</v>
      </c>
      <c r="R829" s="2"/>
      <c r="S829" s="2"/>
      <c r="T829" s="2"/>
      <c r="U829" s="2"/>
      <c r="V829" s="2"/>
      <c r="W829" s="2"/>
      <c r="X829" s="2"/>
      <c r="Y829" s="2"/>
    </row>
    <row r="830">
      <c r="A830" s="30">
        <f>IFERROR(__xludf.DUMMYFUNCTION("""COMPUTED_VALUE"""),827.0)</f>
        <v>827</v>
      </c>
      <c r="B830" s="39">
        <f>IFERROR(__xludf.DUMMYFUNCTION("""COMPUTED_VALUE"""),45994.0)</f>
        <v>45994</v>
      </c>
      <c r="C830" s="30">
        <f>IFERROR(__xludf.DUMMYFUNCTION("""COMPUTED_VALUE"""),6.0)</f>
        <v>6</v>
      </c>
      <c r="D830" s="30" t="str">
        <f>IFERROR(__xludf.DUMMYFUNCTION("""COMPUTED_VALUE"""),"CT CŨ")</f>
        <v>CT CŨ</v>
      </c>
      <c r="E830" s="46">
        <f>IFERROR(__xludf.DUMMYFUNCTION("""COMPUTED_VALUE"""),46155.0)</f>
        <v>46155</v>
      </c>
      <c r="F830" s="2" t="str">
        <f>IFERROR(__xludf.DUMMYFUNCTION("""COMPUTED_VALUE"""),"ITP13052601")</f>
        <v>ITP13052601</v>
      </c>
      <c r="G830" s="2" t="str">
        <f>IFERROR(__xludf.DUMMYFUNCTION("""COMPUTED_VALUE"""),"HH4680")</f>
        <v>HH4680</v>
      </c>
      <c r="H830" s="2" t="str">
        <f>IFERROR(__xludf.DUMMYFUNCTION("""COMPUTED_VALUE"""),"LOTUS AGROCHEM - VI - 4680 - LOTUS KÍCH RỄ - BUNG CHỒI (Nước nâu đen) - 250ml - 40")</f>
        <v>LOTUS AGROCHEM - VI - 4680 - LOTUS KÍCH RỄ - BUNG CHỒI (Nước nâu đen) - 250ml - 40</v>
      </c>
      <c r="I830" s="2" t="str">
        <f>IFERROR(__xludf.DUMMYFUNCTION("""COMPUTED_VALUE"""),"Hữu cơ FUSEMIN COMBI+")</f>
        <v>Hữu cơ FUSEMIN COMBI+</v>
      </c>
      <c r="J830" s="2" t="str">
        <f>IFERROR(__xludf.DUMMYFUNCTION("""COMPUTED_VALUE"""),"Đóng theo đơn gần nhất")</f>
        <v>Đóng theo đơn gần nhất</v>
      </c>
      <c r="K830" s="39">
        <f>IFERROR(__xludf.DUMMYFUNCTION("""COMPUTED_VALUE"""),46160.0)</f>
        <v>46160</v>
      </c>
      <c r="L830" s="2" t="str">
        <f>IFERROR(__xludf.DUMMYFUNCTION("""COMPUTED_VALUE"""),"BB24040725")</f>
        <v>BB24040725</v>
      </c>
      <c r="M830" s="2" t="str">
        <f>IFERROR(__xludf.DUMMYFUNCTION("""COMPUTED_VALUE"""),"BAMBOO MAGIE FULVIC")</f>
        <v>BAMBOO MAGIE FULVIC</v>
      </c>
      <c r="N830" s="2" t="str">
        <f>IFERROR(__xludf.DUMMYFUNCTION("""COMPUTED_VALUE"""),"01RR0064V1")</f>
        <v>01RR0064V1</v>
      </c>
      <c r="O830" s="2" t="str">
        <f>IFERROR(__xludf.DUMMYFUNCTION("""COMPUTED_VALUE"""),"Phân bón hữu cơ FUSEMIN COMBI+")</f>
        <v>Phân bón hữu cơ FUSEMIN COMBI+</v>
      </c>
      <c r="P830" s="2" t="str">
        <f>IFERROR(__xludf.DUMMYFUNCTION("""COMPUTED_VALUE"""),"Phân bón Hữu cơ FUSEMIN COMBI+")</f>
        <v>Phân bón Hữu cơ FUSEMIN COMBI+</v>
      </c>
      <c r="Q830" s="30" t="str">
        <f>IFERROR(__xludf.DUMMYFUNCTION("""COMPUTED_VALUE"""),"KHỚP")</f>
        <v>KHỚP</v>
      </c>
      <c r="R830" s="2"/>
      <c r="S830" s="2"/>
      <c r="T830" s="2"/>
      <c r="U830" s="2"/>
      <c r="V830" s="2"/>
      <c r="W830" s="2"/>
      <c r="X830" s="2"/>
      <c r="Y830" s="2"/>
    </row>
    <row r="831">
      <c r="A831" s="30">
        <f>IFERROR(__xludf.DUMMYFUNCTION("""COMPUTED_VALUE"""),828.0)</f>
        <v>828</v>
      </c>
      <c r="B831" s="39">
        <f>IFERROR(__xludf.DUMMYFUNCTION("""COMPUTED_VALUE"""),45994.0)</f>
        <v>45994</v>
      </c>
      <c r="C831" s="30">
        <f>IFERROR(__xludf.DUMMYFUNCTION("""COMPUTED_VALUE"""),7.0)</f>
        <v>7</v>
      </c>
      <c r="D831" s="30" t="str">
        <f>IFERROR(__xludf.DUMMYFUNCTION("""COMPUTED_VALUE"""),"CT CŨ")</f>
        <v>CT CŨ</v>
      </c>
      <c r="E831" s="46">
        <f>IFERROR(__xludf.DUMMYFUNCTION("""COMPUTED_VALUE"""),46155.0)</f>
        <v>46155</v>
      </c>
      <c r="F831" s="2" t="str">
        <f>IFERROR(__xludf.DUMMYFUNCTION("""COMPUTED_VALUE"""),"ITP13052602")</f>
        <v>ITP13052602</v>
      </c>
      <c r="G831" s="2" t="str">
        <f>IFERROR(__xludf.DUMMYFUNCTION("""COMPUTED_VALUE"""),"HH4680")</f>
        <v>HH4680</v>
      </c>
      <c r="H831" s="2" t="str">
        <f>IFERROR(__xludf.DUMMYFUNCTION("""COMPUTED_VALUE"""),"LOTUS AGROCHEM - VI - 4680 - LOTUS KÍCH RỄ - BUNG CHỒI (Nước nâu đen) - 250ml - 40")</f>
        <v>LOTUS AGROCHEM - VI - 4680 - LOTUS KÍCH RỄ - BUNG CHỒI (Nước nâu đen) - 250ml - 40</v>
      </c>
      <c r="I831" s="2" t="str">
        <f>IFERROR(__xludf.DUMMYFUNCTION("""COMPUTED_VALUE"""),"Hữu cơ FUSEMIN COMBI+")</f>
        <v>Hữu cơ FUSEMIN COMBI+</v>
      </c>
      <c r="J831" s="2" t="str">
        <f>IFERROR(__xludf.DUMMYFUNCTION("""COMPUTED_VALUE"""),"Đóng theo đơn gần nhất")</f>
        <v>Đóng theo đơn gần nhất</v>
      </c>
      <c r="K831" s="39">
        <f>IFERROR(__xludf.DUMMYFUNCTION("""COMPUTED_VALUE"""),46162.0)</f>
        <v>46162</v>
      </c>
      <c r="L831" s="2" t="str">
        <f>IFERROR(__xludf.DUMMYFUNCTION("""COMPUTED_VALUE"""),"BB24040725")</f>
        <v>BB24040725</v>
      </c>
      <c r="M831" s="2" t="str">
        <f>IFERROR(__xludf.DUMMYFUNCTION("""COMPUTED_VALUE"""),"BAMBOO MAGIE FULVIC")</f>
        <v>BAMBOO MAGIE FULVIC</v>
      </c>
      <c r="N831" s="2" t="str">
        <f>IFERROR(__xludf.DUMMYFUNCTION("""COMPUTED_VALUE"""),"01RR0064V1")</f>
        <v>01RR0064V1</v>
      </c>
      <c r="O831" s="2" t="str">
        <f>IFERROR(__xludf.DUMMYFUNCTION("""COMPUTED_VALUE"""),"Phân bón hữu cơ FUSEMIN COMBI+")</f>
        <v>Phân bón hữu cơ FUSEMIN COMBI+</v>
      </c>
      <c r="P831" s="2" t="str">
        <f>IFERROR(__xludf.DUMMYFUNCTION("""COMPUTED_VALUE"""),"Phân bón Hữu cơ FUSEMIN COMBI+")</f>
        <v>Phân bón Hữu cơ FUSEMIN COMBI+</v>
      </c>
      <c r="Q831" s="30" t="str">
        <f>IFERROR(__xludf.DUMMYFUNCTION("""COMPUTED_VALUE"""),"KHỚP")</f>
        <v>KHỚP</v>
      </c>
      <c r="R831" s="2"/>
      <c r="S831" s="2"/>
      <c r="T831" s="2"/>
      <c r="U831" s="2"/>
      <c r="V831" s="2"/>
      <c r="W831" s="2"/>
      <c r="X831" s="2"/>
      <c r="Y831" s="2"/>
    </row>
    <row r="832">
      <c r="A832" s="30">
        <f>IFERROR(__xludf.DUMMYFUNCTION("""COMPUTED_VALUE"""),829.0)</f>
        <v>829</v>
      </c>
      <c r="B832" s="39">
        <f>IFERROR(__xludf.DUMMYFUNCTION("""COMPUTED_VALUE"""),46157.0)</f>
        <v>46157</v>
      </c>
      <c r="C832" s="30">
        <f>IFERROR(__xludf.DUMMYFUNCTION("""COMPUTED_VALUE"""),1.0)</f>
        <v>1</v>
      </c>
      <c r="D832" s="30" t="str">
        <f>IFERROR(__xludf.DUMMYFUNCTION("""COMPUTED_VALUE"""),"CT MỚI")</f>
        <v>CT MỚI</v>
      </c>
      <c r="E832" s="46">
        <f>IFERROR(__xludf.DUMMYFUNCTION("""COMPUTED_VALUE"""),46155.0)</f>
        <v>46155</v>
      </c>
      <c r="F832" s="2" t="str">
        <f>IFERROR(__xludf.DUMMYFUNCTION("""COMPUTED_VALUE"""),"ATP13052602")</f>
        <v>ATP13052602</v>
      </c>
      <c r="G832" s="2" t="str">
        <f>IFERROR(__xludf.DUMMYFUNCTION("""COMPUTED_VALUE"""),"HH5020")</f>
        <v>HH5020</v>
      </c>
      <c r="H832" s="2" t="str">
        <f>IFERROR(__xludf.DUMMYFUNCTION("""COMPUTED_VALUE"""),"GC - V - 5020 - Agritech - Bio Organo (Nước nâu đen) - 5L - 4")</f>
        <v>GC - V - 5020 - Agritech - Bio Organo (Nước nâu đen) - 5L - 4</v>
      </c>
      <c r="I832" s="2" t="str">
        <f>IFERROR(__xludf.DUMMYFUNCTION("""COMPUTED_VALUE"""),"Vi lượng Quantity New")</f>
        <v>Vi lượng Quantity New</v>
      </c>
      <c r="J832" s="2" t="str">
        <f>IFERROR(__xludf.DUMMYFUNCTION("""COMPUTED_VALUE"""),"Cùng ruột 2233")</f>
        <v>Cùng ruột 2233</v>
      </c>
      <c r="K832" s="39">
        <f>IFERROR(__xludf.DUMMYFUNCTION("""COMPUTED_VALUE"""),46165.0)</f>
        <v>46165</v>
      </c>
      <c r="L832" s="2"/>
      <c r="M832" s="2" t="str">
        <f>IFERROR(__xludf.DUMMYFUNCTION("""COMPUTED_VALUE"""),"BIO ORGANIC")</f>
        <v>BIO ORGANIC</v>
      </c>
      <c r="N832" s="2" t="str">
        <f>IFERROR(__xludf.DUMMYFUNCTION("""COMPUTED_VALUE"""),"19DD0003V2")</f>
        <v>19DD0003V2</v>
      </c>
      <c r="O832" s="2" t="str">
        <f>IFERROR(__xludf.DUMMYFUNCTION("""COMPUTED_VALUE"""),"Phân bón Vi lượng Quantity New")</f>
        <v>Phân bón Vi lượng Quantity New</v>
      </c>
      <c r="P832" s="2" t="str">
        <f>IFERROR(__xludf.DUMMYFUNCTION("""COMPUTED_VALUE"""),"Phân bón Vi lượng Quantity New")</f>
        <v>Phân bón Vi lượng Quantity New</v>
      </c>
      <c r="Q832" s="30" t="str">
        <f>IFERROR(__xludf.DUMMYFUNCTION("""COMPUTED_VALUE"""),"KHỚP")</f>
        <v>KHỚP</v>
      </c>
      <c r="R832" s="2"/>
      <c r="S832" s="2"/>
      <c r="T832" s="2"/>
      <c r="U832" s="2"/>
      <c r="V832" s="2"/>
      <c r="W832" s="2"/>
      <c r="X832" s="2"/>
      <c r="Y832" s="2"/>
    </row>
    <row r="833">
      <c r="A833" s="30">
        <f>IFERROR(__xludf.DUMMYFUNCTION("""COMPUTED_VALUE"""),830.0)</f>
        <v>830</v>
      </c>
      <c r="B833" s="39">
        <f>IFERROR(__xludf.DUMMYFUNCTION("""COMPUTED_VALUE"""),-618775.0)</f>
        <v>-618775</v>
      </c>
      <c r="C833" s="30">
        <f>IFERROR(__xludf.DUMMYFUNCTION("""COMPUTED_VALUE"""),1.0)</f>
        <v>1</v>
      </c>
      <c r="D833" s="30" t="str">
        <f>IFERROR(__xludf.DUMMYFUNCTION("""COMPUTED_VALUE"""),"CT CŨ")</f>
        <v>CT CŨ</v>
      </c>
      <c r="E833" s="46">
        <f>IFERROR(__xludf.DUMMYFUNCTION("""COMPUTED_VALUE"""),46156.0)</f>
        <v>46156</v>
      </c>
      <c r="F833" s="2" t="str">
        <f>IFERROR(__xludf.DUMMYFUNCTION("""COMPUTED_VALUE"""),"ATP14052602")</f>
        <v>ATP14052602</v>
      </c>
      <c r="G833" s="2" t="str">
        <f>IFERROR(__xludf.DUMMYFUNCTION("""COMPUTED_VALUE"""),"HH5023")</f>
        <v>HH5023</v>
      </c>
      <c r="H833" s="2" t="str">
        <f>IFERROR(__xludf.DUMMYFUNCTION("""COMPUTED_VALUE"""),"GC - V - 5023 - CTY DONA VINA - GEL CỨNG CÂY (Nước nâu đen) - 500ml - 40")</f>
        <v>GC - V - 5023 - CTY DONA VINA - GEL CỨNG CÂY (Nước nâu đen) - 500ml - 40</v>
      </c>
      <c r="I833" s="2" t="str">
        <f>IFERROR(__xludf.DUMMYFUNCTION("""COMPUTED_VALUE"""),"Hữu Cơ Crops Care")</f>
        <v>Hữu Cơ Crops Care</v>
      </c>
      <c r="J833" s="2" t="str">
        <f>IFERROR(__xludf.DUMMYFUNCTION("""COMPUTED_VALUE"""),"A05301025")</f>
        <v>A05301025</v>
      </c>
      <c r="K833" s="39">
        <f>IFERROR(__xludf.DUMMYFUNCTION("""COMPUTED_VALUE"""),46165.0)</f>
        <v>46165</v>
      </c>
      <c r="L833" s="2" t="str">
        <f>IFERROR(__xludf.DUMMYFUNCTION("""COMPUTED_VALUE"""),"A05301025")</f>
        <v>A05301025</v>
      </c>
      <c r="M833" s="2" t="str">
        <f>IFERROR(__xludf.DUMMYFUNCTION("""COMPUTED_VALUE"""),"CỨNG CÂY CROP CARE 02")</f>
        <v>CỨNG CÂY CROP CARE 02</v>
      </c>
      <c r="N833" s="2" t="str">
        <f>IFERROR(__xludf.DUMMYFUNCTION("""COMPUTED_VALUE"""),"02CC0013")</f>
        <v>02CC0013</v>
      </c>
      <c r="O833" s="2" t="str">
        <f>IFERROR(__xludf.DUMMYFUNCTION("""COMPUTED_VALUE"""),"Phân bón Hữu cơ CROPS CARE")</f>
        <v>Phân bón Hữu cơ CROPS CARE</v>
      </c>
      <c r="P833" s="2" t="str">
        <f>IFERROR(__xludf.DUMMYFUNCTION("""COMPUTED_VALUE"""),"Phân bón Hữu Cơ Crops Care")</f>
        <v>Phân bón Hữu Cơ Crops Care</v>
      </c>
      <c r="Q833" s="30" t="str">
        <f>IFERROR(__xludf.DUMMYFUNCTION("""COMPUTED_VALUE"""),"KHỚP")</f>
        <v>KHỚP</v>
      </c>
      <c r="R833" s="2"/>
      <c r="S833" s="2"/>
      <c r="T833" s="2"/>
      <c r="U833" s="2"/>
      <c r="V833" s="2"/>
      <c r="W833" s="2"/>
      <c r="X833" s="2"/>
      <c r="Y833" s="2"/>
    </row>
    <row r="834">
      <c r="A834" s="30">
        <f>IFERROR(__xludf.DUMMYFUNCTION("""COMPUTED_VALUE"""),831.0)</f>
        <v>831</v>
      </c>
      <c r="B834" s="39">
        <f>IFERROR(__xludf.DUMMYFUNCTION("""COMPUTED_VALUE"""),46030.0)</f>
        <v>46030</v>
      </c>
      <c r="C834" s="30">
        <f>IFERROR(__xludf.DUMMYFUNCTION("""COMPUTED_VALUE"""),3.0)</f>
        <v>3</v>
      </c>
      <c r="D834" s="30" t="str">
        <f>IFERROR(__xludf.DUMMYFUNCTION("""COMPUTED_VALUE"""),"CT CŨ")</f>
        <v>CT CŨ</v>
      </c>
      <c r="E834" s="46">
        <f>IFERROR(__xludf.DUMMYFUNCTION("""COMPUTED_VALUE"""),46158.0)</f>
        <v>46158</v>
      </c>
      <c r="F834" s="2" t="str">
        <f>IFERROR(__xludf.DUMMYFUNCTION("""COMPUTED_VALUE"""),"ATP16052601")</f>
        <v>ATP16052601</v>
      </c>
      <c r="G834" s="2" t="str">
        <f>IFERROR(__xludf.DUMMYFUNCTION("""COMPUTED_VALUE"""),"HH4608")</f>
        <v>HH4608</v>
      </c>
      <c r="H834" s="2" t="str">
        <f>IFERROR(__xludf.DUMMYFUNCTION("""COMPUTED_VALUE"""),"GC - V - 4608 - CTY ASAHI NHẬT BẢN - RONBIN SAMURAI (Gel nâu đen) - 500ml - 40")</f>
        <v>GC - V - 4608 - CTY ASAHI NHẬT BẢN - RONBIN SAMURAI (Gel nâu đen) - 500ml - 40</v>
      </c>
      <c r="I834" s="2" t="str">
        <f>IFERROR(__xludf.DUMMYFUNCTION("""COMPUTED_VALUE"""),"Vi lượng Quantity New")</f>
        <v>Vi lượng Quantity New</v>
      </c>
      <c r="J834" s="2" t="str">
        <f>IFERROR(__xludf.DUMMYFUNCTION("""COMPUTED_VALUE"""),"A04270225")</f>
        <v>A04270225</v>
      </c>
      <c r="K834" s="39">
        <f>IFERROR(__xludf.DUMMYFUNCTION("""COMPUTED_VALUE"""),46167.0)</f>
        <v>46167</v>
      </c>
      <c r="L834" s="2" t="str">
        <f>IFERROR(__xludf.DUMMYFUNCTION("""COMPUTED_VALUE"""),"A04270225")</f>
        <v>A04270225</v>
      </c>
      <c r="M834" s="2" t="str">
        <f>IFERROR(__xludf.DUMMYFUNCTION("""COMPUTED_VALUE"""),"AMINO RONG BIỂN")</f>
        <v>AMINO RONG BIỂN</v>
      </c>
      <c r="N834" s="2" t="str">
        <f>IFERROR(__xludf.DUMMYFUNCTION("""COMPUTED_VALUE"""),"13XL0008V3")</f>
        <v>13XL0008V3</v>
      </c>
      <c r="O834" s="2" t="str">
        <f>IFERROR(__xludf.DUMMYFUNCTION("""COMPUTED_VALUE"""),"Phân bón Vi lượng Quantity New")</f>
        <v>Phân bón Vi lượng Quantity New</v>
      </c>
      <c r="P834" s="2" t="str">
        <f>IFERROR(__xludf.DUMMYFUNCTION("""COMPUTED_VALUE"""),"Phân bón Vi lượng Quantity New")</f>
        <v>Phân bón Vi lượng Quantity New</v>
      </c>
      <c r="Q834" s="30" t="str">
        <f>IFERROR(__xludf.DUMMYFUNCTION("""COMPUTED_VALUE"""),"KHỚP")</f>
        <v>KHỚP</v>
      </c>
      <c r="R834" s="2"/>
      <c r="S834" s="2"/>
      <c r="T834" s="2"/>
      <c r="U834" s="2"/>
      <c r="V834" s="2"/>
      <c r="W834" s="2"/>
      <c r="X834" s="2"/>
      <c r="Y834" s="2"/>
    </row>
    <row r="835">
      <c r="A835" s="30">
        <f>IFERROR(__xludf.DUMMYFUNCTION("""COMPUTED_VALUE"""),832.0)</f>
        <v>832</v>
      </c>
      <c r="B835" s="39">
        <f>IFERROR(__xludf.DUMMYFUNCTION("""COMPUTED_VALUE"""),46020.0)</f>
        <v>46020</v>
      </c>
      <c r="C835" s="30">
        <f>IFERROR(__xludf.DUMMYFUNCTION("""COMPUTED_VALUE"""),2.0)</f>
        <v>2</v>
      </c>
      <c r="D835" s="30" t="str">
        <f>IFERROR(__xludf.DUMMYFUNCTION("""COMPUTED_VALUE"""),"CT CŨ")</f>
        <v>CT CŨ</v>
      </c>
      <c r="E835" s="46">
        <f>IFERROR(__xludf.DUMMYFUNCTION("""COMPUTED_VALUE"""),46158.0)</f>
        <v>46158</v>
      </c>
      <c r="F835" s="2" t="str">
        <f>IFERROR(__xludf.DUMMYFUNCTION("""COMPUTED_VALUE"""),"ATP16052604")</f>
        <v>ATP16052604</v>
      </c>
      <c r="G835" s="2" t="str">
        <f>IFERROR(__xludf.DUMMYFUNCTION("""COMPUTED_VALUE"""),"HH4735")</f>
        <v>HH4735</v>
      </c>
      <c r="H835" s="2" t="str">
        <f>IFERROR(__xludf.DUMMYFUNCTION("""COMPUTED_VALUE"""),"GC - V - 4735 - CTY LÂM THÀNH - ZINC SC NANO (Nước xanh lá sữa) - 500ml - 40")</f>
        <v>GC - V - 4735 - CTY LÂM THÀNH - ZINC SC NANO (Nước xanh lá sữa) - 500ml - 40</v>
      </c>
      <c r="I835" s="2" t="str">
        <f>IFERROR(__xludf.DUMMYFUNCTION("""COMPUTED_VALUE"""),"Vi lượng MICKEY")</f>
        <v>Vi lượng MICKEY</v>
      </c>
      <c r="J835" s="2" t="str">
        <f>IFERROR(__xludf.DUMMYFUNCTION("""COMPUTED_VALUE"""),"A01181225")</f>
        <v>A01181225</v>
      </c>
      <c r="K835" s="39">
        <f>IFERROR(__xludf.DUMMYFUNCTION("""COMPUTED_VALUE"""),46167.0)</f>
        <v>46167</v>
      </c>
      <c r="L835" s="2" t="str">
        <f>IFERROR(__xludf.DUMMYFUNCTION("""COMPUTED_VALUE"""),"A01181225")</f>
        <v>A01181225</v>
      </c>
      <c r="M835" s="2" t="str">
        <f>IFERROR(__xludf.DUMMYFUNCTION("""COMPUTED_VALUE"""),"KẼM LÂM THÀNH ")</f>
        <v>KẼM LÂM THÀNH </v>
      </c>
      <c r="N835" s="2" t="str">
        <f>IFERROR(__xludf.DUMMYFUNCTION("""COMPUTED_VALUE"""),"13XL0018")</f>
        <v>13XL0018</v>
      </c>
      <c r="O835" s="2" t="str">
        <f>IFERROR(__xludf.DUMMYFUNCTION("""COMPUTED_VALUE"""),"Phân bón Vi lượng MICKEY")</f>
        <v>Phân bón Vi lượng MICKEY</v>
      </c>
      <c r="P835" s="2" t="str">
        <f>IFERROR(__xludf.DUMMYFUNCTION("""COMPUTED_VALUE"""),"Phân bón Vi lượng MICKEY")</f>
        <v>Phân bón Vi lượng MICKEY</v>
      </c>
      <c r="Q835" s="30" t="str">
        <f>IFERROR(__xludf.DUMMYFUNCTION("""COMPUTED_VALUE"""),"KHỚP")</f>
        <v>KHỚP</v>
      </c>
      <c r="R835" s="2"/>
      <c r="S835" s="2"/>
      <c r="T835" s="2"/>
      <c r="U835" s="2"/>
      <c r="V835" s="2"/>
      <c r="W835" s="2"/>
      <c r="X835" s="2"/>
      <c r="Y835" s="2"/>
    </row>
    <row r="836">
      <c r="A836" s="30">
        <f>IFERROR(__xludf.DUMMYFUNCTION("""COMPUTED_VALUE"""),833.0)</f>
        <v>833</v>
      </c>
      <c r="B836" s="39">
        <f>IFERROR(__xludf.DUMMYFUNCTION("""COMPUTED_VALUE"""),45938.0)</f>
        <v>45938</v>
      </c>
      <c r="C836" s="30">
        <f>IFERROR(__xludf.DUMMYFUNCTION("""COMPUTED_VALUE"""),1.0)</f>
        <v>1</v>
      </c>
      <c r="D836" s="30" t="str">
        <f>IFERROR(__xludf.DUMMYFUNCTION("""COMPUTED_VALUE"""),"CT CŨ")</f>
        <v>CT CŨ</v>
      </c>
      <c r="E836" s="46">
        <f>IFERROR(__xludf.DUMMYFUNCTION("""COMPUTED_VALUE"""),46158.0)</f>
        <v>46158</v>
      </c>
      <c r="F836" s="2" t="str">
        <f>IFERROR(__xludf.DUMMYFUNCTION("""COMPUTED_VALUE"""),"ATP16052606")</f>
        <v>ATP16052606</v>
      </c>
      <c r="G836" s="2" t="str">
        <f>IFERROR(__xludf.DUMMYFUNCTION("""COMPUTED_VALUE"""),"HH5027")</f>
        <v>HH5027</v>
      </c>
      <c r="H836" s="2" t="str">
        <f>IFERROR(__xludf.DUMMYFUNCTION("""COMPUTED_VALUE"""),"GC - V - 5027 - HÓA NÔNG SHINO - ROOTS (Nước nâu đen) - 500ml - 40")</f>
        <v>GC - V - 5027 - HÓA NÔNG SHINO - ROOTS (Nước nâu đen) - 500ml - 40</v>
      </c>
      <c r="I836" s="2" t="str">
        <f>IFERROR(__xludf.DUMMYFUNCTION("""COMPUTED_VALUE"""),"Vi lượng Quantity New")</f>
        <v>Vi lượng Quantity New</v>
      </c>
      <c r="J836" s="2" t="str">
        <f>IFERROR(__xludf.DUMMYFUNCTION("""COMPUTED_VALUE"""),"A06270225")</f>
        <v>A06270225</v>
      </c>
      <c r="K836" s="39">
        <f>IFERROR(__xludf.DUMMYFUNCTION("""COMPUTED_VALUE"""),46168.0)</f>
        <v>46168</v>
      </c>
      <c r="L836" s="2" t="str">
        <f>IFERROR(__xludf.DUMMYFUNCTION("""COMPUTED_VALUE"""),"A06270225")</f>
        <v>A06270225</v>
      </c>
      <c r="M836" s="2" t="str">
        <f>IFERROR(__xludf.DUMMYFUNCTION("""COMPUTED_VALUE"""),"RA RỄ NỞ BỤI")</f>
        <v>RA RỄ NỞ BỤI</v>
      </c>
      <c r="N836" s="2" t="str">
        <f>IFERROR(__xludf.DUMMYFUNCTION("""COMPUTED_VALUE"""),"01RR0049V1")</f>
        <v>01RR0049V1</v>
      </c>
      <c r="O836" s="2" t="str">
        <f>IFERROR(__xludf.DUMMYFUNCTION("""COMPUTED_VALUE"""),"Phân bón Vi lượng Quantity New")</f>
        <v>Phân bón Vi lượng Quantity New</v>
      </c>
      <c r="P836" s="2" t="str">
        <f>IFERROR(__xludf.DUMMYFUNCTION("""COMPUTED_VALUE"""),"Phân bón Vi lượng Quantity New")</f>
        <v>Phân bón Vi lượng Quantity New</v>
      </c>
      <c r="Q836" s="30" t="str">
        <f>IFERROR(__xludf.DUMMYFUNCTION("""COMPUTED_VALUE"""),"KHỚP")</f>
        <v>KHỚP</v>
      </c>
      <c r="R836" s="2"/>
      <c r="S836" s="2"/>
      <c r="T836" s="2"/>
      <c r="U836" s="2"/>
      <c r="V836" s="2"/>
      <c r="W836" s="2"/>
      <c r="X836" s="2"/>
      <c r="Y836" s="2"/>
    </row>
    <row r="837">
      <c r="A837" s="30">
        <f>IFERROR(__xludf.DUMMYFUNCTION("""COMPUTED_VALUE"""),834.0)</f>
        <v>834</v>
      </c>
      <c r="B837" s="39">
        <f>IFERROR(__xludf.DUMMYFUNCTION("""COMPUTED_VALUE"""),46024.0)</f>
        <v>46024</v>
      </c>
      <c r="C837" s="30">
        <f>IFERROR(__xludf.DUMMYFUNCTION("""COMPUTED_VALUE"""),3.0)</f>
        <v>3</v>
      </c>
      <c r="D837" s="30" t="str">
        <f>IFERROR(__xludf.DUMMYFUNCTION("""COMPUTED_VALUE"""),"CT CŨ")</f>
        <v>CT CŨ</v>
      </c>
      <c r="E837" s="46">
        <f>IFERROR(__xludf.DUMMYFUNCTION("""COMPUTED_VALUE"""),46160.0)</f>
        <v>46160</v>
      </c>
      <c r="F837" s="2" t="str">
        <f>IFERROR(__xludf.DUMMYFUNCTION("""COMPUTED_VALUE"""),"ATP18052601")</f>
        <v>ATP18052601</v>
      </c>
      <c r="G837" s="2" t="str">
        <f>IFERROR(__xludf.DUMMYFUNCTION("""COMPUTED_VALUE"""),"HH4160")</f>
        <v>HH4160</v>
      </c>
      <c r="H837" s="2" t="str">
        <f>IFERROR(__xludf.DUMMYFUNCTION("""COMPUTED_VALUE"""),"GC - IV - 4160 - Japan Crop Science - Sumo Siêu Cứng (gel nâu đen) - 500ml - 30")</f>
        <v>GC - IV - 4160 - Japan Crop Science - Sumo Siêu Cứng (gel nâu đen) - 500ml - 30</v>
      </c>
      <c r="I837" s="2" t="str">
        <f>IFERROR(__xludf.DUMMYFUNCTION("""COMPUTED_VALUE"""),"Vi lượng Quantity New")</f>
        <v>Vi lượng Quantity New</v>
      </c>
      <c r="J837" s="2" t="str">
        <f>IFERROR(__xludf.DUMMYFUNCTION("""COMPUTED_VALUE"""),"Cùng ruột 1570")</f>
        <v>Cùng ruột 1570</v>
      </c>
      <c r="K837" s="39">
        <f>IFERROR(__xludf.DUMMYFUNCTION("""COMPUTED_VALUE"""),46169.0)</f>
        <v>46169</v>
      </c>
      <c r="L837" s="2" t="str">
        <f>IFERROR(__xludf.DUMMYFUNCTION("""COMPUTED_VALUE"""),"DÒNG PHỤ GIA THẤP V1")</f>
        <v>DÒNG PHỤ GIA THẤP V1</v>
      </c>
      <c r="M837" s="2" t="str">
        <f>IFERROR(__xludf.DUMMYFUNCTION("""COMPUTED_VALUE"""),"SUMO SIÊU CỨNG
CỨNG NHƯ ĐẠN
CỨNG HƠN TRỤ THÉP")</f>
        <v>SUMO SIÊU CỨNG
CỨNG NHƯ ĐẠN
CỨNG HƠN TRỤ THÉP</v>
      </c>
      <c r="N837" s="2" t="str">
        <f>IFERROR(__xludf.DUMMYFUNCTION("""COMPUTED_VALUE"""),"02CC0001V3")</f>
        <v>02CC0001V3</v>
      </c>
      <c r="O837" s="2" t="str">
        <f>IFERROR(__xludf.DUMMYFUNCTION("""COMPUTED_VALUE"""),"Phân bón Vi lượng Quantity New")</f>
        <v>Phân bón Vi lượng Quantity New</v>
      </c>
      <c r="P837" s="2" t="str">
        <f>IFERROR(__xludf.DUMMYFUNCTION("""COMPUTED_VALUE"""),"Phân bón Vi lượng Quantity New")</f>
        <v>Phân bón Vi lượng Quantity New</v>
      </c>
      <c r="Q837" s="30" t="str">
        <f>IFERROR(__xludf.DUMMYFUNCTION("""COMPUTED_VALUE"""),"KHỚP")</f>
        <v>KHỚP</v>
      </c>
      <c r="R837" s="2"/>
      <c r="S837" s="2"/>
      <c r="T837" s="2"/>
      <c r="U837" s="2"/>
      <c r="V837" s="2"/>
      <c r="W837" s="2"/>
      <c r="X837" s="2"/>
      <c r="Y837" s="2"/>
    </row>
    <row r="838">
      <c r="A838" s="30">
        <f>IFERROR(__xludf.DUMMYFUNCTION("""COMPUTED_VALUE"""),835.0)</f>
        <v>835</v>
      </c>
      <c r="B838" s="39" t="str">
        <f>IFERROR(__xludf.DUMMYFUNCTION("""COMPUTED_VALUE"""),"")</f>
        <v/>
      </c>
      <c r="C838" s="30">
        <f>IFERROR(__xludf.DUMMYFUNCTION("""COMPUTED_VALUE"""),1.0)</f>
        <v>1</v>
      </c>
      <c r="D838" s="30" t="str">
        <f>IFERROR(__xludf.DUMMYFUNCTION("""COMPUTED_VALUE"""),"CHỈNH NHÃN/DATE")</f>
        <v>CHỈNH NHÃN/DATE</v>
      </c>
      <c r="E838" s="46">
        <f>IFERROR(__xludf.DUMMYFUNCTION("""COMPUTED_VALUE"""),46160.0)</f>
        <v>46160</v>
      </c>
      <c r="F838" s="2" t="str">
        <f>IFERROR(__xludf.DUMMYFUNCTION("""COMPUTED_VALUE"""),"AYC18052601")</f>
        <v>AYC18052601</v>
      </c>
      <c r="G838" s="2" t="str">
        <f>IFERROR(__xludf.DUMMYFUNCTION("""COMPUTED_VALUE"""),"HH5004")</f>
        <v>HH5004</v>
      </c>
      <c r="H838" s="2" t="str">
        <f>IFERROR(__xludf.DUMMYFUNCTION("""COMPUTED_VALUE"""),"GC - V - 5004 - CTY AN LẠC - TĂNG TRƯỞNG (Nước nâu đen) - 500ml - 40")</f>
        <v>GC - V - 5004 - CTY AN LẠC - TĂNG TRƯỞNG (Nước nâu đen) - 500ml - 40</v>
      </c>
      <c r="I838" s="2" t="str">
        <f>IFERROR(__xludf.DUMMYFUNCTION("""COMPUTED_VALUE"""),"Hỗn Hợp NP AGAMA-AP")</f>
        <v>Hỗn Hợp NP AGAMA-AP</v>
      </c>
      <c r="J838" s="2" t="str">
        <f>IFERROR(__xludf.DUMMYFUNCTION("""COMPUTED_VALUE"""),"A20280225")</f>
        <v>A20280225</v>
      </c>
      <c r="K838" s="39">
        <f>IFERROR(__xludf.DUMMYFUNCTION("""COMPUTED_VALUE"""),46170.0)</f>
        <v>46170</v>
      </c>
      <c r="L838" s="2" t="str">
        <f>IFERROR(__xludf.DUMMYFUNCTION("""COMPUTED_VALUE"""),"")</f>
        <v/>
      </c>
      <c r="M838" s="2" t="str">
        <f>IFERROR(__xludf.DUMMYFUNCTION("""COMPUTED_VALUE"""),"")</f>
        <v/>
      </c>
      <c r="N838" s="2"/>
      <c r="O838" s="2" t="str">
        <f>IFERROR(__xludf.DUMMYFUNCTION("""COMPUTED_VALUE"""),"")</f>
        <v/>
      </c>
      <c r="P838" s="2" t="str">
        <f>IFERROR(__xludf.DUMMYFUNCTION("""COMPUTED_VALUE"""),"Phân bón Hỗn Hợp NP AGAMA-AP")</f>
        <v>Phân bón Hỗn Hợp NP AGAMA-AP</v>
      </c>
      <c r="Q838" s="30" t="str">
        <f>IFERROR(__xludf.DUMMYFUNCTION("""COMPUTED_VALUE"""),"KHÔNG KHỚP")</f>
        <v>KHÔNG KHỚP</v>
      </c>
      <c r="R838" s="2"/>
      <c r="S838" s="2"/>
      <c r="T838" s="2"/>
      <c r="U838" s="2"/>
      <c r="V838" s="2"/>
      <c r="W838" s="2"/>
      <c r="X838" s="2"/>
      <c r="Y838" s="2"/>
    </row>
    <row r="839">
      <c r="A839" s="30">
        <f>IFERROR(__xludf.DUMMYFUNCTION("""COMPUTED_VALUE"""),836.0)</f>
        <v>836</v>
      </c>
      <c r="B839" s="39">
        <f>IFERROR(__xludf.DUMMYFUNCTION("""COMPUTED_VALUE"""),46104.0)</f>
        <v>46104</v>
      </c>
      <c r="C839" s="30">
        <f>IFERROR(__xludf.DUMMYFUNCTION("""COMPUTED_VALUE"""),1.0)</f>
        <v>1</v>
      </c>
      <c r="D839" s="30" t="str">
        <f>IFERROR(__xludf.DUMMYFUNCTION("""COMPUTED_VALUE"""),"CT CŨ")</f>
        <v>CT CŨ</v>
      </c>
      <c r="E839" s="46">
        <f>IFERROR(__xludf.DUMMYFUNCTION("""COMPUTED_VALUE"""),46160.0)</f>
        <v>46160</v>
      </c>
      <c r="F839" s="2" t="str">
        <f>IFERROR(__xludf.DUMMYFUNCTION("""COMPUTED_VALUE"""),"ATP18052603")</f>
        <v>ATP18052603</v>
      </c>
      <c r="G839" s="2" t="str">
        <f>IFERROR(__xludf.DUMMYFUNCTION("""COMPUTED_VALUE"""),"HH5026")</f>
        <v>HH5026</v>
      </c>
      <c r="H839" s="2" t="str">
        <f>IFERROR(__xludf.DUMMYFUNCTION("""COMPUTED_VALUE"""),"GC - V - 5026 - CTY LUTA - 10-60-10 (Bột màu trắng) - 1kg - 25")</f>
        <v>GC - V - 5026 - CTY LUTA - 10-60-10 (Bột màu trắng) - 1kg - 25</v>
      </c>
      <c r="I839" s="2" t="str">
        <f>IFERROR(__xludf.DUMMYFUNCTION("""COMPUTED_VALUE"""),"Hỗn Hợp NPK NPK 10-60-10 NNV")</f>
        <v>Hỗn Hợp NPK NPK 10-60-10 NNV</v>
      </c>
      <c r="J839" s="2" t="str">
        <f>IFERROR(__xludf.DUMMYFUNCTION("""COMPUTED_VALUE"""),"A01160326")</f>
        <v>A01160326</v>
      </c>
      <c r="K839" s="39">
        <f>IFERROR(__xludf.DUMMYFUNCTION("""COMPUTED_VALUE"""),46175.0)</f>
        <v>46175</v>
      </c>
      <c r="L839" s="2" t="str">
        <f>IFERROR(__xludf.DUMMYFUNCTION("""COMPUTED_VALUE"""),"A01160326")</f>
        <v>A01160326</v>
      </c>
      <c r="M839" s="2" t="str">
        <f>IFERROR(__xludf.DUMMYFUNCTION("""COMPUTED_VALUE"""),"10-60-10")</f>
        <v>10-60-10</v>
      </c>
      <c r="N839" s="2" t="str">
        <f>IFERROR(__xludf.DUMMYFUNCTION("""COMPUTED_VALUE"""),"09KH0015")</f>
        <v>09KH0015</v>
      </c>
      <c r="O839" s="2" t="str">
        <f>IFERROR(__xludf.DUMMYFUNCTION("""COMPUTED_VALUE"""),"PHÂN BÓN NPK 10-60-10 NNV")</f>
        <v>PHÂN BÓN NPK 10-60-10 NNV</v>
      </c>
      <c r="P839" s="2" t="str">
        <f>IFERROR(__xludf.DUMMYFUNCTION("""COMPUTED_VALUE"""),"Phân bón Hỗn Hợp NPK NPK 10-60-10 NNV")</f>
        <v>Phân bón Hỗn Hợp NPK NPK 10-60-10 NNV</v>
      </c>
      <c r="Q839" s="30" t="str">
        <f>IFERROR(__xludf.DUMMYFUNCTION("""COMPUTED_VALUE"""),"KHỚP")</f>
        <v>KHỚP</v>
      </c>
      <c r="R839" s="2"/>
      <c r="S839" s="2"/>
      <c r="T839" s="2"/>
      <c r="U839" s="2"/>
      <c r="V839" s="2"/>
      <c r="W839" s="2"/>
      <c r="X839" s="2"/>
      <c r="Y839" s="2"/>
    </row>
    <row r="840">
      <c r="A840" s="30">
        <f>IFERROR(__xludf.DUMMYFUNCTION("""COMPUTED_VALUE"""),837.0)</f>
        <v>837</v>
      </c>
      <c r="B840" s="39">
        <f>IFERROR(__xludf.DUMMYFUNCTION("""COMPUTED_VALUE"""),46160.0)</f>
        <v>46160</v>
      </c>
      <c r="C840" s="30">
        <f>IFERROR(__xludf.DUMMYFUNCTION("""COMPUTED_VALUE"""),1.0)</f>
        <v>1</v>
      </c>
      <c r="D840" s="30" t="str">
        <f>IFERROR(__xludf.DUMMYFUNCTION("""COMPUTED_VALUE"""),"CT MỚI")</f>
        <v>CT MỚI</v>
      </c>
      <c r="E840" s="46">
        <f>IFERROR(__xludf.DUMMYFUNCTION("""COMPUTED_VALUE"""),46160.0)</f>
        <v>46160</v>
      </c>
      <c r="F840" s="2" t="str">
        <f>IFERROR(__xludf.DUMMYFUNCTION("""COMPUTED_VALUE"""),"ATP18052605")</f>
        <v>ATP18052605</v>
      </c>
      <c r="G840" s="2" t="str">
        <f>IFERROR(__xludf.DUMMYFUNCTION("""COMPUTED_VALUE"""),"HH4978")</f>
        <v>HH4978</v>
      </c>
      <c r="H840" s="2" t="str">
        <f>IFERROR(__xludf.DUMMYFUNCTION("""COMPUTED_VALUE"""),"GC - V - 4978 - CTY QUANG ĐĂNG AGRICULTURE - ORGA GROWING QĐ.FRUIT (Nước nâu đen) - 10L - 2")</f>
        <v>GC - V - 4978 - CTY QUANG ĐĂNG AGRICULTURE - ORGA GROWING QĐ.FRUIT (Nước nâu đen) - 10L - 2</v>
      </c>
      <c r="I840" s="2" t="str">
        <f>IFERROR(__xludf.DUMMYFUNCTION("""COMPUTED_VALUE"""),"HỖN HỢP NPK AGAMA-SRH")</f>
        <v>HỖN HỢP NPK AGAMA-SRH</v>
      </c>
      <c r="J840" s="2" t="str">
        <f>IFERROR(__xludf.DUMMYFUNCTION("""COMPUTED_VALUE"""),"A02070526")</f>
        <v>A02070526</v>
      </c>
      <c r="K840" s="39">
        <f>IFERROR(__xludf.DUMMYFUNCTION("""COMPUTED_VALUE"""),46170.0)</f>
        <v>46170</v>
      </c>
      <c r="L840" s="2" t="str">
        <f>IFERROR(__xludf.DUMMYFUNCTION("""COMPUTED_VALUE"""),"A02070526")</f>
        <v>A02070526</v>
      </c>
      <c r="M840" s="2" t="str">
        <f>IFERROR(__xludf.DUMMYFUNCTION("""COMPUTED_VALUE"""),"XÔ NUÔI TRÁI 5-5-10 (Nâu)")</f>
        <v>XÔ NUÔI TRÁI 5-5-10 (Nâu)</v>
      </c>
      <c r="N840" s="2" t="str">
        <f>IFERROR(__xludf.DUMMYFUNCTION("""COMPUTED_VALUE"""),"11TT0031")</f>
        <v>11TT0031</v>
      </c>
      <c r="O840" s="2" t="str">
        <f>IFERROR(__xludf.DUMMYFUNCTION("""COMPUTED_VALUE"""),"Phân bón Hỗn hợp NPK AGAMA-SRH")</f>
        <v>Phân bón Hỗn hợp NPK AGAMA-SRH</v>
      </c>
      <c r="P840" s="2" t="str">
        <f>IFERROR(__xludf.DUMMYFUNCTION("""COMPUTED_VALUE"""),"Phân bón HỖN HỢP NPK AGAMA-SRH")</f>
        <v>Phân bón HỖN HỢP NPK AGAMA-SRH</v>
      </c>
      <c r="Q840" s="30" t="str">
        <f>IFERROR(__xludf.DUMMYFUNCTION("""COMPUTED_VALUE"""),"KHỚP")</f>
        <v>KHỚP</v>
      </c>
      <c r="R840" s="2"/>
      <c r="S840" s="2"/>
      <c r="T840" s="2"/>
      <c r="U840" s="2"/>
      <c r="V840" s="2"/>
      <c r="W840" s="2"/>
      <c r="X840" s="2"/>
      <c r="Y840" s="2"/>
    </row>
    <row r="841">
      <c r="A841" s="30">
        <f>IFERROR(__xludf.DUMMYFUNCTION("""COMPUTED_VALUE"""),838.0)</f>
        <v>838</v>
      </c>
      <c r="B841" s="39">
        <f>IFERROR(__xludf.DUMMYFUNCTION("""COMPUTED_VALUE"""),46002.0)</f>
        <v>46002</v>
      </c>
      <c r="C841" s="30">
        <f>IFERROR(__xludf.DUMMYFUNCTION("""COMPUTED_VALUE"""),1.0)</f>
        <v>1</v>
      </c>
      <c r="D841" s="30" t="str">
        <f>IFERROR(__xludf.DUMMYFUNCTION("""COMPUTED_VALUE"""),"CT CŨ")</f>
        <v>CT CŨ</v>
      </c>
      <c r="E841" s="46">
        <f>IFERROR(__xludf.DUMMYFUNCTION("""COMPUTED_VALUE"""),46160.0)</f>
        <v>46160</v>
      </c>
      <c r="F841" s="2" t="str">
        <f>IFERROR(__xludf.DUMMYFUNCTION("""COMPUTED_VALUE"""),"ATP18052607")</f>
        <v>ATP18052607</v>
      </c>
      <c r="G841" s="2" t="str">
        <f>IFERROR(__xludf.DUMMYFUNCTION("""COMPUTED_VALUE"""),"HH5030")</f>
        <v>HH5030</v>
      </c>
      <c r="H841" s="2" t="str">
        <f>IFERROR(__xludf.DUMMYFUNCTION("""COMPUTED_VALUE"""),"GC - V - 5030 - AGRITECH - AGRI STOP (Nước nâu đen) - 1L - 20")</f>
        <v>GC - V - 5030 - AGRITECH - AGRI STOP (Nước nâu đen) - 1L - 20</v>
      </c>
      <c r="I841" s="2" t="str">
        <f>IFERROR(__xludf.DUMMYFUNCTION("""COMPUTED_VALUE"""),"Vi lượng Quantity New")</f>
        <v>Vi lượng Quantity New</v>
      </c>
      <c r="J841" s="2" t="str">
        <f>IFERROR(__xludf.DUMMYFUNCTION("""COMPUTED_VALUE"""),"Chặn đọt dòng V2")</f>
        <v>Chặn đọt dòng V2</v>
      </c>
      <c r="K841" s="39">
        <f>IFERROR(__xludf.DUMMYFUNCTION("""COMPUTED_VALUE"""),46167.0)</f>
        <v>46167</v>
      </c>
      <c r="L841" s="2" t="str">
        <f>IFERROR(__xludf.DUMMYFUNCTION("""COMPUTED_VALUE"""),"CHẶN ĐỌT DÒNG V2")</f>
        <v>CHẶN ĐỌT DÒNG V2</v>
      </c>
      <c r="M841" s="2" t="str">
        <f>IFERROR(__xludf.DUMMYFUNCTION("""COMPUTED_VALUE"""),"STOP UP
MT STOP
AGRI STOP
STOP ĐỌT
SIÊU CHẶN ĐỌT
MASTER STOP
UNI STOP ONE
BAMBOO DOUBLE STOP")</f>
        <v>STOP UP
MT STOP
AGRI STOP
STOP ĐỌT
SIÊU CHẶN ĐỌT
MASTER STOP
UNI STOP ONE
BAMBOO DOUBLE STOP</v>
      </c>
      <c r="N841" s="2" t="str">
        <f>IFERROR(__xludf.DUMMYFUNCTION("""COMPUTED_VALUE"""),"06CD0009V3")</f>
        <v>06CD0009V3</v>
      </c>
      <c r="O841" s="2" t="str">
        <f>IFERROR(__xludf.DUMMYFUNCTION("""COMPUTED_VALUE"""),"Phân bón Vi lượng Quantity New")</f>
        <v>Phân bón Vi lượng Quantity New</v>
      </c>
      <c r="P841" s="2" t="str">
        <f>IFERROR(__xludf.DUMMYFUNCTION("""COMPUTED_VALUE"""),"Phân bón Vi lượng Quantity New")</f>
        <v>Phân bón Vi lượng Quantity New</v>
      </c>
      <c r="Q841" s="30" t="str">
        <f>IFERROR(__xludf.DUMMYFUNCTION("""COMPUTED_VALUE"""),"KHỚP")</f>
        <v>KHỚP</v>
      </c>
      <c r="R841" s="2"/>
      <c r="S841" s="2"/>
      <c r="T841" s="2"/>
      <c r="U841" s="2"/>
      <c r="V841" s="2"/>
      <c r="W841" s="2"/>
      <c r="X841" s="2"/>
      <c r="Y841" s="2"/>
    </row>
    <row r="842">
      <c r="A842" s="30">
        <f>IFERROR(__xludf.DUMMYFUNCTION("""COMPUTED_VALUE"""),839.0)</f>
        <v>839</v>
      </c>
      <c r="B842" s="39">
        <f>IFERROR(__xludf.DUMMYFUNCTION("""COMPUTED_VALUE"""),46036.0)</f>
        <v>46036</v>
      </c>
      <c r="C842" s="30">
        <f>IFERROR(__xludf.DUMMYFUNCTION("""COMPUTED_VALUE"""),1.0)</f>
        <v>1</v>
      </c>
      <c r="D842" s="30" t="str">
        <f>IFERROR(__xludf.DUMMYFUNCTION("""COMPUTED_VALUE"""),"CT CŨ")</f>
        <v>CT CŨ</v>
      </c>
      <c r="E842" s="46">
        <f>IFERROR(__xludf.DUMMYFUNCTION("""COMPUTED_VALUE"""),46161.0)</f>
        <v>46161</v>
      </c>
      <c r="F842" s="2" t="str">
        <f>IFERROR(__xludf.DUMMYFUNCTION("""COMPUTED_VALUE"""),"ATP19052601")</f>
        <v>ATP19052601</v>
      </c>
      <c r="G842" s="2" t="str">
        <f>IFERROR(__xludf.DUMMYFUNCTION("""COMPUTED_VALUE"""),"HH5015")</f>
        <v>HH5015</v>
      </c>
      <c r="H842" s="2" t="str">
        <f>IFERROR(__xludf.DUMMYFUNCTION("""COMPUTED_VALUE"""),"GC - V - 5015 - CTY LUTA - RA RỄ - BUNG CHỒI (Nước nâu đen) - 10L - 1")</f>
        <v>GC - V - 5015 - CTY LUTA - RA RỄ - BUNG CHỒI (Nước nâu đen) - 10L - 1</v>
      </c>
      <c r="I842" s="2" t="str">
        <f>IFERROR(__xludf.DUMMYFUNCTION("""COMPUTED_VALUE"""),"Hữu Cơ Organic ĐGP 01")</f>
        <v>Hữu Cơ Organic ĐGP 01</v>
      </c>
      <c r="J842" s="2" t="str">
        <f>IFERROR(__xludf.DUMMYFUNCTION("""COMPUTED_VALUE"""),"A05181225- 01")</f>
        <v>A05181225- 01</v>
      </c>
      <c r="K842" s="39">
        <f>IFERROR(__xludf.DUMMYFUNCTION("""COMPUTED_VALUE"""),46170.0)</f>
        <v>46170</v>
      </c>
      <c r="L842" s="2" t="str">
        <f>IFERROR(__xludf.DUMMYFUNCTION("""COMPUTED_VALUE"""),"A05181225-01
I03240326")</f>
        <v>A05181225-01
I03240326</v>
      </c>
      <c r="M842" s="2" t="str">
        <f>IFERROR(__xludf.DUMMYFUNCTION("""COMPUTED_VALUE"""),"HỮU CƠ 20%")</f>
        <v>HỮU CƠ 20%</v>
      </c>
      <c r="N842" s="2" t="str">
        <f>IFERROR(__xludf.DUMMYFUNCTION("""COMPUTED_VALUE"""),"01RR0079V1")</f>
        <v>01RR0079V1</v>
      </c>
      <c r="O842" s="2" t="str">
        <f>IFERROR(__xludf.DUMMYFUNCTION("""COMPUTED_VALUE"""),"Phân bón Hữu cơ ORGANIC ĐGP 01 ")</f>
        <v>Phân bón Hữu cơ ORGANIC ĐGP 01 </v>
      </c>
      <c r="P842" s="2" t="str">
        <f>IFERROR(__xludf.DUMMYFUNCTION("""COMPUTED_VALUE"""),"Phân bón Hữu Cơ Organic ĐGP 01")</f>
        <v>Phân bón Hữu Cơ Organic ĐGP 01</v>
      </c>
      <c r="Q842" s="30" t="str">
        <f>IFERROR(__xludf.DUMMYFUNCTION("""COMPUTED_VALUE"""),"KHỚP")</f>
        <v>KHỚP</v>
      </c>
      <c r="R842" s="2"/>
      <c r="S842" s="2"/>
      <c r="T842" s="2"/>
      <c r="U842" s="2"/>
      <c r="V842" s="2"/>
      <c r="W842" s="2"/>
      <c r="X842" s="2"/>
      <c r="Y842" s="2"/>
    </row>
    <row r="843">
      <c r="A843" s="30">
        <f>IFERROR(__xludf.DUMMYFUNCTION("""COMPUTED_VALUE"""),840.0)</f>
        <v>840</v>
      </c>
      <c r="B843" s="39">
        <f>IFERROR(__xludf.DUMMYFUNCTION("""COMPUTED_VALUE"""),46036.0)</f>
        <v>46036</v>
      </c>
      <c r="C843" s="30">
        <f>IFERROR(__xludf.DUMMYFUNCTION("""COMPUTED_VALUE"""),1.0)</f>
        <v>1</v>
      </c>
      <c r="D843" s="30" t="str">
        <f>IFERROR(__xludf.DUMMYFUNCTION("""COMPUTED_VALUE"""),"CT CŨ")</f>
        <v>CT CŨ</v>
      </c>
      <c r="E843" s="46">
        <f>IFERROR(__xludf.DUMMYFUNCTION("""COMPUTED_VALUE"""),46161.0)</f>
        <v>46161</v>
      </c>
      <c r="F843" s="2" t="str">
        <f>IFERROR(__xludf.DUMMYFUNCTION("""COMPUTED_VALUE"""),"ATP19052604")</f>
        <v>ATP19052604</v>
      </c>
      <c r="G843" s="2" t="str">
        <f>IFERROR(__xludf.DUMMYFUNCTION("""COMPUTED_VALUE"""),"HH5016")</f>
        <v>HH5016</v>
      </c>
      <c r="H843" s="2" t="str">
        <f>IFERROR(__xludf.DUMMYFUNCTION("""COMPUTED_VALUE"""),"GC - V - 5016 - CTY LUTA - LỚN TRÁI CAM - CHANH (Nước nâu đen) - 1L - 20")</f>
        <v>GC - V - 5016 - CTY LUTA - LỚN TRÁI CAM - CHANH (Nước nâu đen) - 1L - 20</v>
      </c>
      <c r="I843" s="2" t="str">
        <f>IFERROR(__xludf.DUMMYFUNCTION("""COMPUTED_VALUE"""),"Hữu Cơ Organic ĐGP 01")</f>
        <v>Hữu Cơ Organic ĐGP 01</v>
      </c>
      <c r="J843" s="2" t="str">
        <f>IFERROR(__xludf.DUMMYFUNCTION("""COMPUTED_VALUE"""),"A05181225- 01")</f>
        <v>A05181225- 01</v>
      </c>
      <c r="K843" s="39">
        <f>IFERROR(__xludf.DUMMYFUNCTION("""COMPUTED_VALUE"""),46171.0)</f>
        <v>46171</v>
      </c>
      <c r="L843" s="2" t="str">
        <f>IFERROR(__xludf.DUMMYFUNCTION("""COMPUTED_VALUE"""),"A05181225-01
I03240326")</f>
        <v>A05181225-01
I03240326</v>
      </c>
      <c r="M843" s="2" t="str">
        <f>IFERROR(__xludf.DUMMYFUNCTION("""COMPUTED_VALUE"""),"HỮU CƠ 20%")</f>
        <v>HỮU CƠ 20%</v>
      </c>
      <c r="N843" s="2" t="str">
        <f>IFERROR(__xludf.DUMMYFUNCTION("""COMPUTED_VALUE"""),"01RR0079V1")</f>
        <v>01RR0079V1</v>
      </c>
      <c r="O843" s="2" t="str">
        <f>IFERROR(__xludf.DUMMYFUNCTION("""COMPUTED_VALUE"""),"Phân bón Hữu cơ ORGANIC ĐGP 01 ")</f>
        <v>Phân bón Hữu cơ ORGANIC ĐGP 01 </v>
      </c>
      <c r="P843" s="2" t="str">
        <f>IFERROR(__xludf.DUMMYFUNCTION("""COMPUTED_VALUE"""),"Phân bón Hữu Cơ Organic ĐGP 01")</f>
        <v>Phân bón Hữu Cơ Organic ĐGP 01</v>
      </c>
      <c r="Q843" s="30" t="str">
        <f>IFERROR(__xludf.DUMMYFUNCTION("""COMPUTED_VALUE"""),"KHỚP")</f>
        <v>KHỚP</v>
      </c>
      <c r="R843" s="2"/>
      <c r="S843" s="2"/>
      <c r="T843" s="2"/>
      <c r="U843" s="2"/>
      <c r="V843" s="2"/>
      <c r="W843" s="2"/>
      <c r="X843" s="2"/>
      <c r="Y843" s="2"/>
    </row>
    <row r="844">
      <c r="A844" s="30">
        <f>IFERROR(__xludf.DUMMYFUNCTION("""COMPUTED_VALUE"""),841.0)</f>
        <v>841</v>
      </c>
      <c r="B844" s="39">
        <f>IFERROR(__xludf.DUMMYFUNCTION("""COMPUTED_VALUE"""),45994.0)</f>
        <v>45994</v>
      </c>
      <c r="C844" s="30">
        <f>IFERROR(__xludf.DUMMYFUNCTION("""COMPUTED_VALUE"""),8.0)</f>
        <v>8</v>
      </c>
      <c r="D844" s="30" t="str">
        <f>IFERROR(__xludf.DUMMYFUNCTION("""COMPUTED_VALUE"""),"CT CŨ")</f>
        <v>CT CŨ</v>
      </c>
      <c r="E844" s="46">
        <f>IFERROR(__xludf.DUMMYFUNCTION("""COMPUTED_VALUE"""),46161.0)</f>
        <v>46161</v>
      </c>
      <c r="F844" s="2" t="str">
        <f>IFERROR(__xludf.DUMMYFUNCTION("""COMPUTED_VALUE"""),"ITP19052601")</f>
        <v>ITP19052601</v>
      </c>
      <c r="G844" s="2" t="str">
        <f>IFERROR(__xludf.DUMMYFUNCTION("""COMPUTED_VALUE"""),"HH4680")</f>
        <v>HH4680</v>
      </c>
      <c r="H844" s="2" t="str">
        <f>IFERROR(__xludf.DUMMYFUNCTION("""COMPUTED_VALUE"""),"LOTUS AGROCHEM - VI - 4680 - LOTUS KÍCH RỄ - BUNG CHỒI (Nước nâu đen) - 250ml - 40")</f>
        <v>LOTUS AGROCHEM - VI - 4680 - LOTUS KÍCH RỄ - BUNG CHỒI (Nước nâu đen) - 250ml - 40</v>
      </c>
      <c r="I844" s="2" t="str">
        <f>IFERROR(__xludf.DUMMYFUNCTION("""COMPUTED_VALUE"""),"Hữu cơ FUSEMIN COMBI+")</f>
        <v>Hữu cơ FUSEMIN COMBI+</v>
      </c>
      <c r="J844" s="2" t="str">
        <f>IFERROR(__xludf.DUMMYFUNCTION("""COMPUTED_VALUE"""),"Đóng theo đơn gần nhất")</f>
        <v>Đóng theo đơn gần nhất</v>
      </c>
      <c r="K844" s="39">
        <f>IFERROR(__xludf.DUMMYFUNCTION("""COMPUTED_VALUE"""),46167.0)</f>
        <v>46167</v>
      </c>
      <c r="L844" s="2" t="str">
        <f>IFERROR(__xludf.DUMMYFUNCTION("""COMPUTED_VALUE"""),"BB24040725")</f>
        <v>BB24040725</v>
      </c>
      <c r="M844" s="2" t="str">
        <f>IFERROR(__xludf.DUMMYFUNCTION("""COMPUTED_VALUE"""),"BAMBOO MAGIE FULVIC")</f>
        <v>BAMBOO MAGIE FULVIC</v>
      </c>
      <c r="N844" s="2" t="str">
        <f>IFERROR(__xludf.DUMMYFUNCTION("""COMPUTED_VALUE"""),"01RR0064V1")</f>
        <v>01RR0064V1</v>
      </c>
      <c r="O844" s="2" t="str">
        <f>IFERROR(__xludf.DUMMYFUNCTION("""COMPUTED_VALUE"""),"Phân bón hữu cơ FUSEMIN COMBI+")</f>
        <v>Phân bón hữu cơ FUSEMIN COMBI+</v>
      </c>
      <c r="P844" s="2" t="str">
        <f>IFERROR(__xludf.DUMMYFUNCTION("""COMPUTED_VALUE"""),"Phân bón Hữu cơ FUSEMIN COMBI+")</f>
        <v>Phân bón Hữu cơ FUSEMIN COMBI+</v>
      </c>
      <c r="Q844" s="30" t="str">
        <f>IFERROR(__xludf.DUMMYFUNCTION("""COMPUTED_VALUE"""),"KHỚP")</f>
        <v>KHỚP</v>
      </c>
      <c r="R844" s="2"/>
      <c r="S844" s="2"/>
      <c r="T844" s="2"/>
      <c r="U844" s="2"/>
      <c r="V844" s="2"/>
      <c r="W844" s="2"/>
      <c r="X844" s="2"/>
      <c r="Y844" s="2"/>
    </row>
    <row r="845">
      <c r="A845" s="30">
        <f>IFERROR(__xludf.DUMMYFUNCTION("""COMPUTED_VALUE"""),842.0)</f>
        <v>842</v>
      </c>
      <c r="B845" s="39">
        <f>IFERROR(__xludf.DUMMYFUNCTION("""COMPUTED_VALUE"""),46049.0)</f>
        <v>46049</v>
      </c>
      <c r="C845" s="30">
        <f>IFERROR(__xludf.DUMMYFUNCTION("""COMPUTED_VALUE"""),2.0)</f>
        <v>2</v>
      </c>
      <c r="D845" s="30" t="str">
        <f>IFERROR(__xludf.DUMMYFUNCTION("""COMPUTED_VALUE"""),"CT CŨ")</f>
        <v>CT CŨ</v>
      </c>
      <c r="E845" s="46">
        <f>IFERROR(__xludf.DUMMYFUNCTION("""COMPUTED_VALUE"""),46162.0)</f>
        <v>46162</v>
      </c>
      <c r="F845" s="2" t="str">
        <f>IFERROR(__xludf.DUMMYFUNCTION("""COMPUTED_VALUE"""),"ATP20052601")</f>
        <v>ATP20052601</v>
      </c>
      <c r="G845" s="2" t="str">
        <f>IFERROR(__xludf.DUMMYFUNCTION("""COMPUTED_VALUE"""),"HH4659")</f>
        <v>HH4659</v>
      </c>
      <c r="H845" s="2" t="str">
        <f>IFERROR(__xludf.DUMMYFUNCTION("""COMPUTED_VALUE"""),"GC - V - 4659 - CTY HÓA NÔNG CON ONG VÀNG - CỨNG CÂY ONG VÀNG (Nước nâu đen) - 500ml - 40")</f>
        <v>GC - V - 4659 - CTY HÓA NÔNG CON ONG VÀNG - CỨNG CÂY ONG VÀNG (Nước nâu đen) - 500ml - 40</v>
      </c>
      <c r="I845" s="2" t="str">
        <f>IFERROR(__xludf.DUMMYFUNCTION("""COMPUTED_VALUE"""),"Vi Lượng G.A 05")</f>
        <v>Vi Lượng G.A 05</v>
      </c>
      <c r="J845" s="2" t="str">
        <f>IFERROR(__xludf.DUMMYFUNCTION("""COMPUTED_VALUE"""),"A02200825 - 01")</f>
        <v>A02200825 - 01</v>
      </c>
      <c r="K845" s="39">
        <f>IFERROR(__xludf.DUMMYFUNCTION("""COMPUTED_VALUE"""),46172.0)</f>
        <v>46172</v>
      </c>
      <c r="L845" s="2" t="str">
        <f>IFERROR(__xludf.DUMMYFUNCTION("""COMPUTED_VALUE"""),"A02200825 - 01")</f>
        <v>A02200825 - 01</v>
      </c>
      <c r="M845" s="2" t="str">
        <f>IFERROR(__xludf.DUMMYFUNCTION("""COMPUTED_VALUE"""),"CỨNG CÂY 02 
(NÂU VÀNG)")</f>
        <v>CỨNG CÂY 02 
(NÂU VÀNG)</v>
      </c>
      <c r="N845" s="2" t="str">
        <f>IFERROR(__xludf.DUMMYFUNCTION("""COMPUTED_VALUE"""),"02CC0019")</f>
        <v>02CC0019</v>
      </c>
      <c r="O845" s="2" t="str">
        <f>IFERROR(__xludf.DUMMYFUNCTION("""COMPUTED_VALUE"""),"Phân bón vi lượng G.A 05")</f>
        <v>Phân bón vi lượng G.A 05</v>
      </c>
      <c r="P845" s="2" t="str">
        <f>IFERROR(__xludf.DUMMYFUNCTION("""COMPUTED_VALUE"""),"Phân bón Vi Lượng G.A 05")</f>
        <v>Phân bón Vi Lượng G.A 05</v>
      </c>
      <c r="Q845" s="30" t="str">
        <f>IFERROR(__xludf.DUMMYFUNCTION("""COMPUTED_VALUE"""),"KHỚP")</f>
        <v>KHỚP</v>
      </c>
      <c r="R845" s="2"/>
      <c r="S845" s="2"/>
      <c r="T845" s="2"/>
      <c r="U845" s="2"/>
      <c r="V845" s="2"/>
      <c r="W845" s="2"/>
      <c r="X845" s="2"/>
      <c r="Y845" s="2"/>
    </row>
    <row r="846">
      <c r="A846" s="30">
        <f>IFERROR(__xludf.DUMMYFUNCTION("""COMPUTED_VALUE"""),843.0)</f>
        <v>843</v>
      </c>
      <c r="B846" s="39">
        <f>IFERROR(__xludf.DUMMYFUNCTION("""COMPUTED_VALUE"""),46076.0)</f>
        <v>46076</v>
      </c>
      <c r="C846" s="30">
        <f>IFERROR(__xludf.DUMMYFUNCTION("""COMPUTED_VALUE"""),2.0)</f>
        <v>2</v>
      </c>
      <c r="D846" s="30" t="str">
        <f>IFERROR(__xludf.DUMMYFUNCTION("""COMPUTED_VALUE"""),"CT CŨ")</f>
        <v>CT CŨ</v>
      </c>
      <c r="E846" s="46">
        <f>IFERROR(__xludf.DUMMYFUNCTION("""COMPUTED_VALUE"""),46164.0)</f>
        <v>46164</v>
      </c>
      <c r="F846" s="2" t="str">
        <f>IFERROR(__xludf.DUMMYFUNCTION("""COMPUTED_VALUE"""),"ATP22052601")</f>
        <v>ATP22052601</v>
      </c>
      <c r="G846" s="2" t="str">
        <f>IFERROR(__xludf.DUMMYFUNCTION("""COMPUTED_VALUE"""),"HH4751")</f>
        <v>HH4751</v>
      </c>
      <c r="H846" s="2" t="str">
        <f>IFERROR(__xludf.DUMMYFUNCTION("""COMPUTED_VALUE"""),"GC - IV - 4751 - Cty Master Win - CANXI-BO (Nước xanh lá) - 500ml - 40")</f>
        <v>GC - IV - 4751 - Cty Master Win - CANXI-BO (Nước xanh lá) - 500ml - 40</v>
      </c>
      <c r="I846" s="2" t="str">
        <f>IFERROR(__xludf.DUMMYFUNCTION("""COMPUTED_VALUE"""),"Hữu Cơ Crops Care")</f>
        <v>Hữu Cơ Crops Care</v>
      </c>
      <c r="J846" s="2" t="str">
        <f>IFERROR(__xludf.DUMMYFUNCTION("""COMPUTED_VALUE"""),"A05040226 
cải tiến
Canxibo 02")</f>
        <v>A05040226 
cải tiến
Canxibo 02</v>
      </c>
      <c r="K846" s="39">
        <f>IFERROR(__xludf.DUMMYFUNCTION("""COMPUTED_VALUE"""),46172.0)</f>
        <v>46172</v>
      </c>
      <c r="L846" s="2" t="str">
        <f>IFERROR(__xludf.DUMMYFUNCTION("""COMPUTED_VALUE"""),"A05040226")</f>
        <v>A05040226</v>
      </c>
      <c r="M846" s="2" t="str">
        <f>IFERROR(__xludf.DUMMYFUNCTION("""COMPUTED_VALUE"""),"CANXI BO 02")</f>
        <v>CANXI BO 02</v>
      </c>
      <c r="N846" s="2" t="str">
        <f>IFERROR(__xludf.DUMMYFUNCTION("""COMPUTED_VALUE"""),"10CR0029")</f>
        <v>10CR0029</v>
      </c>
      <c r="O846" s="2" t="str">
        <f>IFERROR(__xludf.DUMMYFUNCTION("""COMPUTED_VALUE"""),"Phân bón Hữu cơ CROPS CARE")</f>
        <v>Phân bón Hữu cơ CROPS CARE</v>
      </c>
      <c r="P846" s="2" t="str">
        <f>IFERROR(__xludf.DUMMYFUNCTION("""COMPUTED_VALUE"""),"Phân bón Hữu Cơ Crops Care")</f>
        <v>Phân bón Hữu Cơ Crops Care</v>
      </c>
      <c r="Q846" s="30" t="str">
        <f>IFERROR(__xludf.DUMMYFUNCTION("""COMPUTED_VALUE"""),"KHỚP")</f>
        <v>KHỚP</v>
      </c>
      <c r="R846" s="2"/>
      <c r="S846" s="2"/>
      <c r="T846" s="2"/>
      <c r="U846" s="2"/>
      <c r="V846" s="2"/>
      <c r="W846" s="2"/>
      <c r="X846" s="2"/>
      <c r="Y846" s="2"/>
    </row>
    <row r="847">
      <c r="A847" s="30">
        <f>IFERROR(__xludf.DUMMYFUNCTION("""COMPUTED_VALUE"""),844.0)</f>
        <v>844</v>
      </c>
      <c r="B847" s="39">
        <f>IFERROR(__xludf.DUMMYFUNCTION("""COMPUTED_VALUE"""),46163.0)</f>
        <v>46163</v>
      </c>
      <c r="C847" s="30">
        <f>IFERROR(__xludf.DUMMYFUNCTION("""COMPUTED_VALUE"""),10.0)</f>
        <v>10</v>
      </c>
      <c r="D847" s="30" t="str">
        <f>IFERROR(__xludf.DUMMYFUNCTION("""COMPUTED_VALUE"""),"CT CŨ")</f>
        <v>CT CŨ</v>
      </c>
      <c r="E847" s="46">
        <f>IFERROR(__xludf.DUMMYFUNCTION("""COMPUTED_VALUE"""),46164.0)</f>
        <v>46164</v>
      </c>
      <c r="F847" s="2" t="str">
        <f>IFERROR(__xludf.DUMMYFUNCTION("""COMPUTED_VALUE"""),"STP22052601")</f>
        <v>STP22052601</v>
      </c>
      <c r="G847" s="2" t="str">
        <f>IFERROR(__xludf.DUMMYFUNCTION("""COMPUTED_VALUE"""),"HH4187")</f>
        <v>HH4187</v>
      </c>
      <c r="H847" s="2" t="str">
        <f>IFERROR(__xludf.DUMMYFUNCTION("""COMPUTED_VALUE"""),"GC - IX - 4187 - N2SBIO - N2 ULTRA LOCK (Dạng SC - Trắng sữa) - 500ml - 40")</f>
        <v>GC - IX - 4187 - N2SBIO - N2 ULTRA LOCK (Dạng SC - Trắng sữa) - 500ml - 40</v>
      </c>
      <c r="I847" s="2" t="str">
        <f>IFERROR(__xludf.DUMMYFUNCTION("""COMPUTED_VALUE"""),"Lá PK-Trung Lượng NBC-Photphonate")</f>
        <v>Lá PK-Trung Lượng NBC-Photphonate</v>
      </c>
      <c r="J847" s="2" t="str">
        <f>IFERROR(__xludf.DUMMYFUNCTION("""COMPUTED_VALUE"""),"N04290725")</f>
        <v>N04290725</v>
      </c>
      <c r="K847" s="39">
        <f>IFERROR(__xludf.DUMMYFUNCTION("""COMPUTED_VALUE"""),46172.0)</f>
        <v>46172</v>
      </c>
      <c r="L847" s="2" t="str">
        <f>IFERROR(__xludf.DUMMYFUNCTION("""COMPUTED_VALUE"""),"XỬ LÝ BTP LỖI")</f>
        <v>XỬ LÝ BTP LỖI</v>
      </c>
      <c r="M847" s="2" t="str">
        <f>IFERROR(__xludf.DUMMYFUNCTION("""COMPUTED_VALUE"""),"N2 ULTRA LOCK (TRỘN BTP CŨ)")</f>
        <v>N2 ULTRA LOCK (TRỘN BTP CŨ)</v>
      </c>
      <c r="N847" s="2" t="str">
        <f>IFERROR(__xludf.DUMMYFUNCTION("""COMPUTED_VALUE"""),"06CD0016V1-1")</f>
        <v>06CD0016V1-1</v>
      </c>
      <c r="O847" s="2" t="str">
        <f>IFERROR(__xludf.DUMMYFUNCTION("""COMPUTED_VALUE"""),"Phân bón lá PK-Trung lượng NBC-PHOTPHONATE")</f>
        <v>Phân bón lá PK-Trung lượng NBC-PHOTPHONATE</v>
      </c>
      <c r="P847" s="2" t="str">
        <f>IFERROR(__xludf.DUMMYFUNCTION("""COMPUTED_VALUE"""),"Phân bón Lá PK-Trung Lượng NBC-Photphonate")</f>
        <v>Phân bón Lá PK-Trung Lượng NBC-Photphonate</v>
      </c>
      <c r="Q847" s="30" t="str">
        <f>IFERROR(__xludf.DUMMYFUNCTION("""COMPUTED_VALUE"""),"KHỚP")</f>
        <v>KHỚP</v>
      </c>
      <c r="R847" s="2"/>
      <c r="S847" s="2"/>
      <c r="T847" s="2"/>
      <c r="U847" s="2"/>
      <c r="V847" s="2"/>
      <c r="W847" s="2"/>
      <c r="X847" s="2"/>
      <c r="Y847" s="2"/>
    </row>
    <row r="848">
      <c r="A848" s="30">
        <f>IFERROR(__xludf.DUMMYFUNCTION("""COMPUTED_VALUE"""),845.0)</f>
        <v>845</v>
      </c>
      <c r="B848" s="39">
        <f>IFERROR(__xludf.DUMMYFUNCTION("""COMPUTED_VALUE"""),45792.0)</f>
        <v>45792</v>
      </c>
      <c r="C848" s="30">
        <f>IFERROR(__xludf.DUMMYFUNCTION("""COMPUTED_VALUE"""),1.0)</f>
        <v>1</v>
      </c>
      <c r="D848" s="30" t="str">
        <f>IFERROR(__xludf.DUMMYFUNCTION("""COMPUTED_VALUE"""),"CT MỚI")</f>
        <v>CT MỚI</v>
      </c>
      <c r="E848" s="46">
        <f>IFERROR(__xludf.DUMMYFUNCTION("""COMPUTED_VALUE"""),46164.0)</f>
        <v>46164</v>
      </c>
      <c r="F848" s="2" t="str">
        <f>IFERROR(__xludf.DUMMYFUNCTION("""COMPUTED_VALUE"""),"ATP22052603")</f>
        <v>ATP22052603</v>
      </c>
      <c r="G848" s="2" t="str">
        <f>IFERROR(__xludf.DUMMYFUNCTION("""COMPUTED_VALUE"""),"HH5028")</f>
        <v>HH5028</v>
      </c>
      <c r="H848" s="2" t="str">
        <f>IFERROR(__xludf.DUMMYFUNCTION("""COMPUTED_VALUE"""),"GC - X - 5028 - CSSX An Khang - TAK03 (Nước nâu đen) - 250ml - 40")</f>
        <v>GC - X - 5028 - CSSX An Khang - TAK03 (Nước nâu đen) - 250ml - 40</v>
      </c>
      <c r="I848" s="2" t="str">
        <f>IFERROR(__xludf.DUMMYFUNCTION("""COMPUTED_VALUE"""),"Vi lượng Quantity New")</f>
        <v>Vi lượng Quantity New</v>
      </c>
      <c r="J848" s="2" t="str">
        <f>IFERROR(__xludf.DUMMYFUNCTION("""COMPUTED_VALUE"""),"A01130526")</f>
        <v>A01130526</v>
      </c>
      <c r="K848" s="39">
        <f>IFERROR(__xludf.DUMMYFUNCTION("""COMPUTED_VALUE"""),46177.0)</f>
        <v>46177</v>
      </c>
      <c r="L848" s="2" t="str">
        <f>IFERROR(__xludf.DUMMYFUNCTION("""COMPUTED_VALUE"""),"A01130526")</f>
        <v>A01130526</v>
      </c>
      <c r="M848" s="2" t="str">
        <f>IFERROR(__xludf.DUMMYFUNCTION("""COMPUTED_VALUE"""),"TAK03
(TÍNH GIÁ)")</f>
        <v>TAK03
(TÍNH GIÁ)</v>
      </c>
      <c r="N848" s="2" t="str">
        <f>IFERROR(__xludf.DUMMYFUNCTION("""COMPUTED_VALUE"""),"10CR0035")</f>
        <v>10CR0035</v>
      </c>
      <c r="O848" s="2" t="str">
        <f>IFERROR(__xludf.DUMMYFUNCTION("""COMPUTED_VALUE"""),"Phân bón Vi lượng Quantity New")</f>
        <v>Phân bón Vi lượng Quantity New</v>
      </c>
      <c r="P848" s="2" t="str">
        <f>IFERROR(__xludf.DUMMYFUNCTION("""COMPUTED_VALUE"""),"Phân bón Vi lượng Quantity New")</f>
        <v>Phân bón Vi lượng Quantity New</v>
      </c>
      <c r="Q848" s="30" t="str">
        <f>IFERROR(__xludf.DUMMYFUNCTION("""COMPUTED_VALUE"""),"KHỚP")</f>
        <v>KHỚP</v>
      </c>
      <c r="R848" s="2"/>
      <c r="S848" s="2"/>
      <c r="T848" s="2"/>
      <c r="U848" s="2"/>
      <c r="V848" s="2"/>
      <c r="W848" s="2"/>
      <c r="X848" s="2"/>
      <c r="Y848" s="2"/>
    </row>
    <row r="849">
      <c r="A849" s="30">
        <f>IFERROR(__xludf.DUMMYFUNCTION("""COMPUTED_VALUE"""),846.0)</f>
        <v>846</v>
      </c>
      <c r="B849" s="39">
        <f>IFERROR(__xludf.DUMMYFUNCTION("""COMPUTED_VALUE"""),45937.0)</f>
        <v>45937</v>
      </c>
      <c r="C849" s="30">
        <f>IFERROR(__xludf.DUMMYFUNCTION("""COMPUTED_VALUE"""),1.0)</f>
        <v>1</v>
      </c>
      <c r="D849" s="30" t="str">
        <f>IFERROR(__xludf.DUMMYFUNCTION("""COMPUTED_VALUE"""),"CT CŨ")</f>
        <v>CT CŨ</v>
      </c>
      <c r="E849" s="46">
        <f>IFERROR(__xludf.DUMMYFUNCTION("""COMPUTED_VALUE"""),46165.0)</f>
        <v>46165</v>
      </c>
      <c r="F849" s="2" t="str">
        <f>IFERROR(__xludf.DUMMYFUNCTION("""COMPUTED_VALUE"""),"ATP23052606")</f>
        <v>ATP23052606</v>
      </c>
      <c r="G849" s="2" t="str">
        <f>IFERROR(__xludf.DUMMYFUNCTION("""COMPUTED_VALUE"""),"HH4794")</f>
        <v>HH4794</v>
      </c>
      <c r="H849" s="2" t="str">
        <f>IFERROR(__xludf.DUMMYFUNCTION("""COMPUTED_VALUE"""),"GC - V - 4794 - NHP Group - BUD P02 (Gel màu tím) - 500ml - 40")</f>
        <v>GC - V - 4794 - NHP Group - BUD P02 (Gel màu tím) - 500ml - 40</v>
      </c>
      <c r="I849" s="2" t="str">
        <f>IFERROR(__xludf.DUMMYFUNCTION("""COMPUTED_VALUE"""),"Hỗn Hợp NP AGAMA-AP")</f>
        <v>Hỗn Hợp NP AGAMA-AP</v>
      </c>
      <c r="J849" s="2" t="str">
        <f>IFERROR(__xludf.DUMMYFUNCTION("""COMPUTED_VALUE"""),"Cùng ruột HH3160, 4179")</f>
        <v>Cùng ruột HH3160, 4179</v>
      </c>
      <c r="K849" s="39">
        <f>IFERROR(__xludf.DUMMYFUNCTION("""COMPUTED_VALUE"""),46175.0)</f>
        <v>46175</v>
      </c>
      <c r="L849" s="2" t="str">
        <f>IFERROR(__xludf.DUMMYFUNCTION("""COMPUTED_VALUE"""),"A01090425")</f>
        <v>A01090425</v>
      </c>
      <c r="M849" s="2" t="str">
        <f>IFERROR(__xludf.DUMMYFUNCTION("""COMPUTED_VALUE"""),"DƯỠNG CHẤT VÔ CƠ CHUYÊN SẦU RIÊNG")</f>
        <v>DƯỠNG CHẤT VÔ CƠ CHUYÊN SẦU RIÊNG</v>
      </c>
      <c r="N849" s="2" t="str">
        <f>IFERROR(__xludf.DUMMYFUNCTION("""COMPUTED_VALUE"""),"19DD0018V1")</f>
        <v>19DD0018V1</v>
      </c>
      <c r="O849" s="2" t="str">
        <f>IFERROR(__xludf.DUMMYFUNCTION("""COMPUTED_VALUE"""),"Phân bón Hỗn hợp NP AGAMA-AP")</f>
        <v>Phân bón Hỗn hợp NP AGAMA-AP</v>
      </c>
      <c r="P849" s="2" t="str">
        <f>IFERROR(__xludf.DUMMYFUNCTION("""COMPUTED_VALUE"""),"Phân bón Hỗn Hợp NP AGAMA-AP")</f>
        <v>Phân bón Hỗn Hợp NP AGAMA-AP</v>
      </c>
      <c r="Q849" s="30" t="str">
        <f>IFERROR(__xludf.DUMMYFUNCTION("""COMPUTED_VALUE"""),"KHỚP")</f>
        <v>KHỚP</v>
      </c>
      <c r="R849" s="2"/>
      <c r="S849" s="2"/>
      <c r="T849" s="2"/>
      <c r="U849" s="2"/>
      <c r="V849" s="2"/>
      <c r="W849" s="2"/>
      <c r="X849" s="2"/>
      <c r="Y849" s="2"/>
    </row>
    <row r="850">
      <c r="A850" s="30">
        <f>IFERROR(__xludf.DUMMYFUNCTION("""COMPUTED_VALUE"""),847.0)</f>
        <v>847</v>
      </c>
      <c r="B850" s="39">
        <f>IFERROR(__xludf.DUMMYFUNCTION("""COMPUTED_VALUE"""),46060.0)</f>
        <v>46060</v>
      </c>
      <c r="C850" s="30">
        <f>IFERROR(__xludf.DUMMYFUNCTION("""COMPUTED_VALUE"""),2.0)</f>
        <v>2</v>
      </c>
      <c r="D850" s="30" t="str">
        <f>IFERROR(__xludf.DUMMYFUNCTION("""COMPUTED_VALUE"""),"CT CŨ")</f>
        <v>CT CŨ</v>
      </c>
      <c r="E850" s="46">
        <f>IFERROR(__xludf.DUMMYFUNCTION("""COMPUTED_VALUE"""),46165.0)</f>
        <v>46165</v>
      </c>
      <c r="F850" s="2" t="str">
        <f>IFERROR(__xludf.DUMMYFUNCTION("""COMPUTED_VALUE"""),"ATP23052607")</f>
        <v>ATP23052607</v>
      </c>
      <c r="G850" s="2" t="str">
        <f>IFERROR(__xludf.DUMMYFUNCTION("""COMPUTED_VALUE"""),"HH4784")</f>
        <v>HH4784</v>
      </c>
      <c r="H850" s="2" t="str">
        <f>IFERROR(__xludf.DUMMYFUNCTION("""COMPUTED_VALUE"""),"GC - V - 4784 - NHP GROUP - MAGIE KẼM (Dạng SC Xanh lá) - 500ml - 40")</f>
        <v>GC - V - 4784 - NHP GROUP - MAGIE KẼM (Dạng SC Xanh lá) - 500ml - 40</v>
      </c>
      <c r="I850" s="2" t="str">
        <f>IFERROR(__xludf.DUMMYFUNCTION("""COMPUTED_VALUE"""),"vi lượng Phú Sĩ FJ-09 Kẽm Mg")</f>
        <v>vi lượng Phú Sĩ FJ-09 Kẽm Mg</v>
      </c>
      <c r="J850" s="2" t="str">
        <f>IFERROR(__xludf.DUMMYFUNCTION("""COMPUTED_VALUE"""),"A05200825-01")</f>
        <v>A05200825-01</v>
      </c>
      <c r="K850" s="39">
        <f>IFERROR(__xludf.DUMMYFUNCTION("""COMPUTED_VALUE"""),46175.0)</f>
        <v>46175</v>
      </c>
      <c r="L850" s="2" t="str">
        <f>IFERROR(__xludf.DUMMYFUNCTION("""COMPUTED_VALUE"""),"A05200825-01")</f>
        <v>A05200825-01</v>
      </c>
      <c r="M850" s="2" t="str">
        <f>IFERROR(__xludf.DUMMYFUNCTION("""COMPUTED_VALUE"""),"AMINO MAGIE - KẼM CAO CẤP 02 (CẢI TIẾN)")</f>
        <v>AMINO MAGIE - KẼM CAO CẤP 02 (CẢI TIẾN)</v>
      </c>
      <c r="N850" s="2" t="str">
        <f>IFERROR(__xludf.DUMMYFUNCTION("""COMPUTED_VALUE"""),"23GS0022")</f>
        <v>23GS0022</v>
      </c>
      <c r="O850" s="2" t="str">
        <f>IFERROR(__xludf.DUMMYFUNCTION("""COMPUTED_VALUE"""),"Phân bón vi lượng Phú Sĩ FJ-09 Kẽm Mg")</f>
        <v>Phân bón vi lượng Phú Sĩ FJ-09 Kẽm Mg</v>
      </c>
      <c r="P850" s="2" t="str">
        <f>IFERROR(__xludf.DUMMYFUNCTION("""COMPUTED_VALUE"""),"Phân bón vi lượng Phú Sĩ FJ-09 Kẽm Mg")</f>
        <v>Phân bón vi lượng Phú Sĩ FJ-09 Kẽm Mg</v>
      </c>
      <c r="Q850" s="30" t="str">
        <f>IFERROR(__xludf.DUMMYFUNCTION("""COMPUTED_VALUE"""),"KHỚP")</f>
        <v>KHỚP</v>
      </c>
      <c r="R850" s="2"/>
      <c r="S850" s="2"/>
      <c r="T850" s="2"/>
      <c r="U850" s="2"/>
      <c r="V850" s="2"/>
      <c r="W850" s="2"/>
      <c r="X850" s="2"/>
      <c r="Y850" s="2"/>
    </row>
    <row r="851">
      <c r="A851" s="30">
        <f>IFERROR(__xludf.DUMMYFUNCTION("""COMPUTED_VALUE"""),848.0)</f>
        <v>848</v>
      </c>
      <c r="B851" s="39">
        <f>IFERROR(__xludf.DUMMYFUNCTION("""COMPUTED_VALUE"""),46070.0)</f>
        <v>46070</v>
      </c>
      <c r="C851" s="30">
        <f>IFERROR(__xludf.DUMMYFUNCTION("""COMPUTED_VALUE"""),2.0)</f>
        <v>2</v>
      </c>
      <c r="D851" s="30" t="str">
        <f>IFERROR(__xludf.DUMMYFUNCTION("""COMPUTED_VALUE"""),"CT CŨ")</f>
        <v>CT CŨ</v>
      </c>
      <c r="E851" s="46">
        <f>IFERROR(__xludf.DUMMYFUNCTION("""COMPUTED_VALUE"""),46165.0)</f>
        <v>46165</v>
      </c>
      <c r="F851" s="2" t="str">
        <f>IFERROR(__xludf.DUMMYFUNCTION("""COMPUTED_VALUE"""),"ATP23052608")</f>
        <v>ATP23052608</v>
      </c>
      <c r="G851" s="2" t="str">
        <f>IFERROR(__xludf.DUMMYFUNCTION("""COMPUTED_VALUE"""),"HH4712")</f>
        <v>HH4712</v>
      </c>
      <c r="H851" s="2" t="str">
        <f>IFERROR(__xludf.DUMMYFUNCTION("""COMPUTED_VALUE"""),"GC - V - 4712 - NHP GROUP - CALIMIX (Nước nâu đen) - 500ml - 40")</f>
        <v>GC - V - 4712 - NHP GROUP - CALIMIX (Nước nâu đen) - 500ml - 40</v>
      </c>
      <c r="I851" s="2" t="str">
        <f>IFERROR(__xludf.DUMMYFUNCTION("""COMPUTED_VALUE"""),"Hữu cơ SH Agro Organic Fertilizer 20")</f>
        <v>Hữu cơ SH Agro Organic Fertilizer 20</v>
      </c>
      <c r="J851" s="2" t="str">
        <f>IFERROR(__xludf.DUMMYFUNCTION("""COMPUTED_VALUE"""),"A05050325")</f>
        <v>A05050325</v>
      </c>
      <c r="K851" s="39">
        <f>IFERROR(__xludf.DUMMYFUNCTION("""COMPUTED_VALUE"""),46175.0)</f>
        <v>46175</v>
      </c>
      <c r="L851" s="2" t="str">
        <f>IFERROR(__xludf.DUMMYFUNCTION("""COMPUTED_VALUE"""),"A05050325")</f>
        <v>A05050325</v>
      </c>
      <c r="M851" s="2" t="str">
        <f>IFERROR(__xludf.DUMMYFUNCTION("""COMPUTED_VALUE"""),"CALIMIX")</f>
        <v>CALIMIX</v>
      </c>
      <c r="N851" s="2" t="str">
        <f>IFERROR(__xludf.DUMMYFUNCTION("""COMPUTED_VALUE"""),"08TM0019V1")</f>
        <v>08TM0019V1</v>
      </c>
      <c r="O851" s="2" t="str">
        <f>IFERROR(__xludf.DUMMYFUNCTION("""COMPUTED_VALUE"""),"Phân bón Hữu cơ SH Agro Organic Fertilizer 20")</f>
        <v>Phân bón Hữu cơ SH Agro Organic Fertilizer 20</v>
      </c>
      <c r="P851" s="2" t="str">
        <f>IFERROR(__xludf.DUMMYFUNCTION("""COMPUTED_VALUE"""),"Phân bón Hữu cơ SH Agro Organic Fertilizer 20")</f>
        <v>Phân bón Hữu cơ SH Agro Organic Fertilizer 20</v>
      </c>
      <c r="Q851" s="30" t="str">
        <f>IFERROR(__xludf.DUMMYFUNCTION("""COMPUTED_VALUE"""),"KHỚP")</f>
        <v>KHỚP</v>
      </c>
      <c r="R851" s="2"/>
      <c r="S851" s="2"/>
      <c r="T851" s="2"/>
      <c r="U851" s="2"/>
      <c r="V851" s="2"/>
      <c r="W851" s="2"/>
      <c r="X851" s="2"/>
      <c r="Y851" s="2"/>
    </row>
    <row r="852">
      <c r="A852" s="30">
        <f>IFERROR(__xludf.DUMMYFUNCTION("""COMPUTED_VALUE"""),849.0)</f>
        <v>849</v>
      </c>
      <c r="B852" s="39">
        <f>IFERROR(__xludf.DUMMYFUNCTION("""COMPUTED_VALUE"""),46056.0)</f>
        <v>46056</v>
      </c>
      <c r="C852" s="30">
        <f>IFERROR(__xludf.DUMMYFUNCTION("""COMPUTED_VALUE"""),12.0)</f>
        <v>12</v>
      </c>
      <c r="D852" s="30" t="str">
        <f>IFERROR(__xludf.DUMMYFUNCTION("""COMPUTED_VALUE"""),"CT CŨ")</f>
        <v>CT CŨ</v>
      </c>
      <c r="E852" s="46">
        <f>IFERROR(__xludf.DUMMYFUNCTION("""COMPUTED_VALUE"""),46166.0)</f>
        <v>46166</v>
      </c>
      <c r="F852" s="2" t="str">
        <f>IFERROR(__xludf.DUMMYFUNCTION("""COMPUTED_VALUE"""),"DTP24052601")</f>
        <v>DTP24052601</v>
      </c>
      <c r="G852" s="2" t="str">
        <f>IFERROR(__xludf.DUMMYFUNCTION("""COMPUTED_VALUE"""),"HH4748")</f>
        <v>HH4748</v>
      </c>
      <c r="H852" s="2" t="str">
        <f>IFERROR(__xludf.DUMMYFUNCTION("""COMPUTED_VALUE"""),"GC - V - 4748 - DEGO - RUN FAST (Nước đen) - 18L - 1")</f>
        <v>GC - V - 4748 - DEGO - RUN FAST (Nước đen) - 18L - 1</v>
      </c>
      <c r="I852" s="2" t="str">
        <f>IFERROR(__xludf.DUMMYFUNCTION("""COMPUTED_VALUE"""),"Vi lượng Run Fast")</f>
        <v>Vi lượng Run Fast</v>
      </c>
      <c r="J852" s="2" t="str">
        <f>IFERROR(__xludf.DUMMYFUNCTION("""COMPUTED_VALUE"""),"30NT0001")</f>
        <v>30NT0001</v>
      </c>
      <c r="K852" s="39">
        <f>IFERROR(__xludf.DUMMYFUNCTION("""COMPUTED_VALUE"""),46169.0)</f>
        <v>46169</v>
      </c>
      <c r="L852" s="2"/>
      <c r="M852" s="2" t="str">
        <f>IFERROR(__xludf.DUMMYFUNCTION("""COMPUTED_VALUE"""),"BO HAI NGÀN")</f>
        <v>BO HAI NGÀN</v>
      </c>
      <c r="N852" s="2" t="str">
        <f>IFERROR(__xludf.DUMMYFUNCTION("""COMPUTED_VALUE"""),"30NT0001")</f>
        <v>30NT0001</v>
      </c>
      <c r="O852" s="2" t="str">
        <f>IFERROR(__xludf.DUMMYFUNCTION("""COMPUTED_VALUE"""),"Phân bón Vi lượng Run Fast")</f>
        <v>Phân bón Vi lượng Run Fast</v>
      </c>
      <c r="P852" s="2" t="str">
        <f>IFERROR(__xludf.DUMMYFUNCTION("""COMPUTED_VALUE"""),"Phân bón Vi lượng Run Fast")</f>
        <v>Phân bón Vi lượng Run Fast</v>
      </c>
      <c r="Q852" s="30" t="str">
        <f>IFERROR(__xludf.DUMMYFUNCTION("""COMPUTED_VALUE"""),"KHỚP")</f>
        <v>KHỚP</v>
      </c>
      <c r="R852" s="2"/>
      <c r="S852" s="2"/>
      <c r="T852" s="2"/>
      <c r="U852" s="2"/>
      <c r="V852" s="2"/>
      <c r="W852" s="2"/>
      <c r="X852" s="2"/>
      <c r="Y852" s="2"/>
    </row>
    <row r="853">
      <c r="A853" s="30">
        <f>IFERROR(__xludf.DUMMYFUNCTION("""COMPUTED_VALUE"""),850.0)</f>
        <v>850</v>
      </c>
      <c r="B853" s="39">
        <f>IFERROR(__xludf.DUMMYFUNCTION("""COMPUTED_VALUE"""),46077.0)</f>
        <v>46077</v>
      </c>
      <c r="C853" s="30">
        <f>IFERROR(__xludf.DUMMYFUNCTION("""COMPUTED_VALUE"""),2.0)</f>
        <v>2</v>
      </c>
      <c r="D853" s="30" t="str">
        <f>IFERROR(__xludf.DUMMYFUNCTION("""COMPUTED_VALUE"""),"CT CŨ")</f>
        <v>CT CŨ</v>
      </c>
      <c r="E853" s="46">
        <f>IFERROR(__xludf.DUMMYFUNCTION("""COMPUTED_VALUE"""),46167.0)</f>
        <v>46167</v>
      </c>
      <c r="F853" s="2" t="str">
        <f>IFERROR(__xludf.DUMMYFUNCTION("""COMPUTED_VALUE"""),"ATP25052603")</f>
        <v>ATP25052603</v>
      </c>
      <c r="G853" s="2" t="str">
        <f>IFERROR(__xludf.DUMMYFUNCTION("""COMPUTED_VALUE"""),"HH4764")</f>
        <v>HH4764</v>
      </c>
      <c r="H853" s="2" t="str">
        <f>IFERROR(__xludf.DUMMYFUNCTION("""COMPUTED_VALUE"""),"GC - V - 4764 - Cty Agritech - Agri Amino (Chuyên cây ăn trái) (Nước nâu đen) - 500ml - 40")</f>
        <v>GC - V - 4764 - Cty Agritech - Agri Amino (Chuyên cây ăn trái) (Nước nâu đen) - 500ml - 40</v>
      </c>
      <c r="I853" s="2" t="str">
        <f>IFERROR(__xludf.DUMMYFUNCTION("""COMPUTED_VALUE"""),"Vi lượng Quantity New")</f>
        <v>Vi lượng Quantity New</v>
      </c>
      <c r="J853" s="2" t="str">
        <f>IFERROR(__xludf.DUMMYFUNCTION("""COMPUTED_VALUE"""),"Cùng ruột HH3472")</f>
        <v>Cùng ruột HH3472</v>
      </c>
      <c r="K853" s="39">
        <f>IFERROR(__xludf.DUMMYFUNCTION("""COMPUTED_VALUE"""),46177.0)</f>
        <v>46177</v>
      </c>
      <c r="L853" s="2"/>
      <c r="M853" s="2" t="str">
        <f>IFERROR(__xludf.DUMMYFUNCTION("""COMPUTED_VALUE"""),"AGRI AMINO")</f>
        <v>AGRI AMINO</v>
      </c>
      <c r="N853" s="2" t="str">
        <f>IFERROR(__xludf.DUMMYFUNCTION("""COMPUTED_VALUE"""),"11TT0004V2")</f>
        <v>11TT0004V2</v>
      </c>
      <c r="O853" s="2" t="str">
        <f>IFERROR(__xludf.DUMMYFUNCTION("""COMPUTED_VALUE"""),"Phân bón Vi lượng Quantity New")</f>
        <v>Phân bón Vi lượng Quantity New</v>
      </c>
      <c r="P853" s="2" t="str">
        <f>IFERROR(__xludf.DUMMYFUNCTION("""COMPUTED_VALUE"""),"Phân bón Vi lượng Quantity New")</f>
        <v>Phân bón Vi lượng Quantity New</v>
      </c>
      <c r="Q853" s="30" t="str">
        <f>IFERROR(__xludf.DUMMYFUNCTION("""COMPUTED_VALUE"""),"KHỚP")</f>
        <v>KHỚP</v>
      </c>
      <c r="R853" s="2"/>
      <c r="S853" s="2"/>
      <c r="T853" s="2"/>
      <c r="U853" s="2"/>
      <c r="V853" s="2"/>
      <c r="W853" s="2"/>
      <c r="X853" s="2"/>
      <c r="Y853" s="2"/>
    </row>
    <row r="854">
      <c r="A854" s="30">
        <f>IFERROR(__xludf.DUMMYFUNCTION("""COMPUTED_VALUE"""),851.0)</f>
        <v>851</v>
      </c>
      <c r="B854" s="39">
        <f>IFERROR(__xludf.DUMMYFUNCTION("""COMPUTED_VALUE"""),45938.0)</f>
        <v>45938</v>
      </c>
      <c r="C854" s="30">
        <f>IFERROR(__xludf.DUMMYFUNCTION("""COMPUTED_VALUE"""),4.0)</f>
        <v>4</v>
      </c>
      <c r="D854" s="30" t="str">
        <f>IFERROR(__xludf.DUMMYFUNCTION("""COMPUTED_VALUE"""),"CT CŨ")</f>
        <v>CT CŨ</v>
      </c>
      <c r="E854" s="46">
        <f>IFERROR(__xludf.DUMMYFUNCTION("""COMPUTED_VALUE"""),46167.0)</f>
        <v>46167</v>
      </c>
      <c r="F854" s="2" t="str">
        <f>IFERROR(__xludf.DUMMYFUNCTION("""COMPUTED_VALUE"""),"ATP25052606")</f>
        <v>ATP25052606</v>
      </c>
      <c r="G854" s="2" t="str">
        <f>IFERROR(__xludf.DUMMYFUNCTION("""COMPUTED_VALUE"""),"HH4301")</f>
        <v>HH4301</v>
      </c>
      <c r="H854" s="2" t="str">
        <f>IFERROR(__xludf.DUMMYFUNCTION("""COMPUTED_VALUE"""),"GC - V - 4301 - CTY GNH - Ra Rễ Nở Bụi (nước nâu đen) - 1L - 20")</f>
        <v>GC - V - 4301 - CTY GNH - Ra Rễ Nở Bụi (nước nâu đen) - 1L - 20</v>
      </c>
      <c r="I854" s="2" t="str">
        <f>IFERROR(__xludf.DUMMYFUNCTION("""COMPUTED_VALUE"""),"Vi lượng Quantity New")</f>
        <v>Vi lượng Quantity New</v>
      </c>
      <c r="J854" s="2" t="str">
        <f>IFERROR(__xludf.DUMMYFUNCTION("""COMPUTED_VALUE"""),"cừng ruột HH3244 ")</f>
        <v>cừng ruột HH3244 </v>
      </c>
      <c r="K854" s="39">
        <f>IFERROR(__xludf.DUMMYFUNCTION("""COMPUTED_VALUE"""),46177.0)</f>
        <v>46177</v>
      </c>
      <c r="L854" s="2" t="str">
        <f>IFERROR(__xludf.DUMMYFUNCTION("""COMPUTED_VALUE"""),"A06270225")</f>
        <v>A06270225</v>
      </c>
      <c r="M854" s="2" t="str">
        <f>IFERROR(__xludf.DUMMYFUNCTION("""COMPUTED_VALUE"""),"RA RỄ NỞ BỤI")</f>
        <v>RA RỄ NỞ BỤI</v>
      </c>
      <c r="N854" s="2" t="str">
        <f>IFERROR(__xludf.DUMMYFUNCTION("""COMPUTED_VALUE"""),"01RR0049V1")</f>
        <v>01RR0049V1</v>
      </c>
      <c r="O854" s="2" t="str">
        <f>IFERROR(__xludf.DUMMYFUNCTION("""COMPUTED_VALUE"""),"Phân bón Vi lượng Quantity New")</f>
        <v>Phân bón Vi lượng Quantity New</v>
      </c>
      <c r="P854" s="2" t="str">
        <f>IFERROR(__xludf.DUMMYFUNCTION("""COMPUTED_VALUE"""),"Phân bón Vi lượng Quantity New")</f>
        <v>Phân bón Vi lượng Quantity New</v>
      </c>
      <c r="Q854" s="30" t="str">
        <f>IFERROR(__xludf.DUMMYFUNCTION("""COMPUTED_VALUE"""),"KHỚP")</f>
        <v>KHỚP</v>
      </c>
      <c r="R854" s="2"/>
      <c r="S854" s="2"/>
      <c r="T854" s="2"/>
      <c r="U854" s="2"/>
      <c r="V854" s="2"/>
      <c r="W854" s="2"/>
      <c r="X854" s="2"/>
      <c r="Y854" s="2"/>
    </row>
    <row r="855">
      <c r="A855" s="30">
        <f>IFERROR(__xludf.DUMMYFUNCTION("""COMPUTED_VALUE"""),852.0)</f>
        <v>852</v>
      </c>
      <c r="B855" s="39">
        <f>IFERROR(__xludf.DUMMYFUNCTION("""COMPUTED_VALUE"""),45908.0)</f>
        <v>45908</v>
      </c>
      <c r="C855" s="30">
        <f>IFERROR(__xludf.DUMMYFUNCTION("""COMPUTED_VALUE"""),1.0)</f>
        <v>1</v>
      </c>
      <c r="D855" s="30" t="str">
        <f>IFERROR(__xludf.DUMMYFUNCTION("""COMPUTED_VALUE"""),"CT CŨ")</f>
        <v>CT CŨ</v>
      </c>
      <c r="E855" s="46">
        <f>IFERROR(__xludf.DUMMYFUNCTION("""COMPUTED_VALUE"""),46167.0)</f>
        <v>46167</v>
      </c>
      <c r="F855" s="2" t="str">
        <f>IFERROR(__xludf.DUMMYFUNCTION("""COMPUTED_VALUE"""),"ATP25052607")</f>
        <v>ATP25052607</v>
      </c>
      <c r="G855" s="2" t="str">
        <f>IFERROR(__xludf.DUMMYFUNCTION("""COMPUTED_VALUE"""),"HH5045")</f>
        <v>HH5045</v>
      </c>
      <c r="H855" s="2" t="str">
        <f>IFERROR(__xludf.DUMMYFUNCTION("""COMPUTED_VALUE"""),"GC - V - 5045 - CTY HÓA NÔNG CON ONG VÀNG - DAP SUPER (Nước nâu đen) - 500ml - 40")</f>
        <v>GC - V - 5045 - CTY HÓA NÔNG CON ONG VÀNG - DAP SUPER (Nước nâu đen) - 500ml - 40</v>
      </c>
      <c r="I855" s="2" t="str">
        <f>IFERROR(__xludf.DUMMYFUNCTION("""COMPUTED_VALUE"""),"Hỗn Hợp NP AGAMA-AP")</f>
        <v>Hỗn Hợp NP AGAMA-AP</v>
      </c>
      <c r="J855" s="2" t="str">
        <f>IFERROR(__xludf.DUMMYFUNCTION("""COMPUTED_VALUE"""),"A20280225")</f>
        <v>A20280225</v>
      </c>
      <c r="K855" s="39">
        <f>IFERROR(__xludf.DUMMYFUNCTION("""COMPUTED_VALUE"""),46174.0)</f>
        <v>46174</v>
      </c>
      <c r="L855" s="2" t="str">
        <f>IFERROR(__xludf.DUMMYFUNCTION("""COMPUTED_VALUE"""),"A20280225")</f>
        <v>A20280225</v>
      </c>
      <c r="M855" s="2" t="str">
        <f>IFERROR(__xludf.DUMMYFUNCTION("""COMPUTED_VALUE"""),"BETA VUA RỄ")</f>
        <v>BETA VUA RỄ</v>
      </c>
      <c r="N855" s="2" t="str">
        <f>IFERROR(__xludf.DUMMYFUNCTION("""COMPUTED_VALUE"""),"01RR0050")</f>
        <v>01RR0050</v>
      </c>
      <c r="O855" s="2" t="str">
        <f>IFERROR(__xludf.DUMMYFUNCTION("""COMPUTED_VALUE"""),"Phân bón Hỗn hợp NP AGAMA-AP")</f>
        <v>Phân bón Hỗn hợp NP AGAMA-AP</v>
      </c>
      <c r="P855" s="2" t="str">
        <f>IFERROR(__xludf.DUMMYFUNCTION("""COMPUTED_VALUE"""),"Phân bón Hỗn Hợp NP AGAMA-AP")</f>
        <v>Phân bón Hỗn Hợp NP AGAMA-AP</v>
      </c>
      <c r="Q855" s="30" t="str">
        <f>IFERROR(__xludf.DUMMYFUNCTION("""COMPUTED_VALUE"""),"KHỚP")</f>
        <v>KHỚP</v>
      </c>
      <c r="R855" s="2"/>
      <c r="S855" s="2"/>
      <c r="T855" s="2"/>
      <c r="U855" s="2"/>
      <c r="V855" s="2"/>
      <c r="W855" s="2"/>
      <c r="X855" s="2"/>
      <c r="Y855" s="2"/>
    </row>
    <row r="856">
      <c r="A856" s="30">
        <f>IFERROR(__xludf.DUMMYFUNCTION("""COMPUTED_VALUE"""),853.0)</f>
        <v>853</v>
      </c>
      <c r="B856" s="39">
        <f>IFERROR(__xludf.DUMMYFUNCTION("""COMPUTED_VALUE"""),46104.0)</f>
        <v>46104</v>
      </c>
      <c r="C856" s="30">
        <f>IFERROR(__xludf.DUMMYFUNCTION("""COMPUTED_VALUE"""),2.0)</f>
        <v>2</v>
      </c>
      <c r="D856" s="30" t="str">
        <f>IFERROR(__xludf.DUMMYFUNCTION("""COMPUTED_VALUE"""),"CT CŨ")</f>
        <v>CT CŨ</v>
      </c>
      <c r="E856" s="46">
        <f>IFERROR(__xludf.DUMMYFUNCTION("""COMPUTED_VALUE"""),46167.0)</f>
        <v>46167</v>
      </c>
      <c r="F856" s="2" t="str">
        <f>IFERROR(__xludf.DUMMYFUNCTION("""COMPUTED_VALUE"""),"ATP25052610")</f>
        <v>ATP25052610</v>
      </c>
      <c r="G856" s="2" t="str">
        <f>IFERROR(__xludf.DUMMYFUNCTION("""COMPUTED_VALUE"""),"HH4911")</f>
        <v>HH4911</v>
      </c>
      <c r="H856" s="2" t="str">
        <f>IFERROR(__xludf.DUMMYFUNCTION("""COMPUTED_VALUE"""),"GC - V - 4911 - WINDY ALS - 10-60-10 (Bột màu trắng) - 500gr - 24")</f>
        <v>GC - V - 4911 - WINDY ALS - 10-60-10 (Bột màu trắng) - 500gr - 24</v>
      </c>
      <c r="I856" s="2" t="str">
        <f>IFERROR(__xludf.DUMMYFUNCTION("""COMPUTED_VALUE"""),"Hỗn Hợp NPK NPK 10-60-10 NNV")</f>
        <v>Hỗn Hợp NPK NPK 10-60-10 NNV</v>
      </c>
      <c r="J856" s="2" t="str">
        <f>IFERROR(__xludf.DUMMYFUNCTION("""COMPUTED_VALUE"""),"A01160326")</f>
        <v>A01160326</v>
      </c>
      <c r="K856" s="39">
        <f>IFERROR(__xludf.DUMMYFUNCTION("""COMPUTED_VALUE"""),46177.0)</f>
        <v>46177</v>
      </c>
      <c r="L856" s="2" t="str">
        <f>IFERROR(__xludf.DUMMYFUNCTION("""COMPUTED_VALUE"""),"A01160326")</f>
        <v>A01160326</v>
      </c>
      <c r="M856" s="2" t="str">
        <f>IFERROR(__xludf.DUMMYFUNCTION("""COMPUTED_VALUE"""),"10-60-10")</f>
        <v>10-60-10</v>
      </c>
      <c r="N856" s="2" t="str">
        <f>IFERROR(__xludf.DUMMYFUNCTION("""COMPUTED_VALUE"""),"09KH0015")</f>
        <v>09KH0015</v>
      </c>
      <c r="O856" s="2" t="str">
        <f>IFERROR(__xludf.DUMMYFUNCTION("""COMPUTED_VALUE"""),"PHÂN BÓN NPK 10-60-10 NNV")</f>
        <v>PHÂN BÓN NPK 10-60-10 NNV</v>
      </c>
      <c r="P856" s="2" t="str">
        <f>IFERROR(__xludf.DUMMYFUNCTION("""COMPUTED_VALUE"""),"Phân bón Hỗn Hợp NPK NPK 10-60-10 NNV")</f>
        <v>Phân bón Hỗn Hợp NPK NPK 10-60-10 NNV</v>
      </c>
      <c r="Q856" s="30" t="str">
        <f>IFERROR(__xludf.DUMMYFUNCTION("""COMPUTED_VALUE"""),"KHỚP")</f>
        <v>KHỚP</v>
      </c>
      <c r="R856" s="2"/>
      <c r="S856" s="2"/>
      <c r="T856" s="2"/>
      <c r="U856" s="2"/>
      <c r="V856" s="2"/>
      <c r="W856" s="2"/>
      <c r="X856" s="2"/>
      <c r="Y856" s="2"/>
    </row>
    <row r="857">
      <c r="A857" s="30">
        <f>IFERROR(__xludf.DUMMYFUNCTION("""COMPUTED_VALUE"""),854.0)</f>
        <v>854</v>
      </c>
      <c r="B857" s="39" t="str">
        <f>IFERROR(__xludf.DUMMYFUNCTION("""COMPUTED_VALUE"""),"")</f>
        <v/>
      </c>
      <c r="C857" s="30">
        <f>IFERROR(__xludf.DUMMYFUNCTION("""COMPUTED_VALUE"""),3.0)</f>
        <v>3</v>
      </c>
      <c r="D857" s="30" t="str">
        <f>IFERROR(__xludf.DUMMYFUNCTION("""COMPUTED_VALUE"""),"CHỈNH NHÃN/DATE")</f>
        <v>CHỈNH NHÃN/DATE</v>
      </c>
      <c r="E857" s="46">
        <f>IFERROR(__xludf.DUMMYFUNCTION("""COMPUTED_VALUE"""),46167.0)</f>
        <v>46167</v>
      </c>
      <c r="F857" s="2" t="str">
        <f>IFERROR(__xludf.DUMMYFUNCTION("""COMPUTED_VALUE"""),"AYC25052601")</f>
        <v>AYC25052601</v>
      </c>
      <c r="G857" s="2" t="str">
        <f>IFERROR(__xludf.DUMMYFUNCTION("""COMPUTED_VALUE"""),"HH4911")</f>
        <v>HH4911</v>
      </c>
      <c r="H857" s="2" t="str">
        <f>IFERROR(__xludf.DUMMYFUNCTION("""COMPUTED_VALUE"""),"GC - V - 4911 - WINDY ALS - 10-60-10 (Bột màu trắng) - 500gr - 24")</f>
        <v>GC - V - 4911 - WINDY ALS - 10-60-10 (Bột màu trắng) - 500gr - 24</v>
      </c>
      <c r="I857" s="2" t="str">
        <f>IFERROR(__xludf.DUMMYFUNCTION("""COMPUTED_VALUE"""),"Hỗn Hợp NPK NPK 10-60-10 NNV")</f>
        <v>Hỗn Hợp NPK NPK 10-60-10 NNV</v>
      </c>
      <c r="J857" s="2" t="str">
        <f>IFERROR(__xludf.DUMMYFUNCTION("""COMPUTED_VALUE"""),"A01160326")</f>
        <v>A01160326</v>
      </c>
      <c r="K857" s="39">
        <f>IFERROR(__xludf.DUMMYFUNCTION("""COMPUTED_VALUE"""),46177.0)</f>
        <v>46177</v>
      </c>
      <c r="L857" s="2" t="str">
        <f>IFERROR(__xludf.DUMMYFUNCTION("""COMPUTED_VALUE"""),"")</f>
        <v/>
      </c>
      <c r="M857" s="2" t="str">
        <f>IFERROR(__xludf.DUMMYFUNCTION("""COMPUTED_VALUE"""),"")</f>
        <v/>
      </c>
      <c r="N857" s="2"/>
      <c r="O857" s="2" t="str">
        <f>IFERROR(__xludf.DUMMYFUNCTION("""COMPUTED_VALUE"""),"")</f>
        <v/>
      </c>
      <c r="P857" s="2" t="str">
        <f>IFERROR(__xludf.DUMMYFUNCTION("""COMPUTED_VALUE"""),"Phân bón Hỗn Hợp NPK NPK 10-60-10 NNV")</f>
        <v>Phân bón Hỗn Hợp NPK NPK 10-60-10 NNV</v>
      </c>
      <c r="Q857" s="30" t="str">
        <f>IFERROR(__xludf.DUMMYFUNCTION("""COMPUTED_VALUE"""),"KHÔNG KHỚP")</f>
        <v>KHÔNG KHỚP</v>
      </c>
      <c r="R857" s="2"/>
      <c r="S857" s="2"/>
      <c r="T857" s="2"/>
      <c r="U857" s="2"/>
      <c r="V857" s="2"/>
      <c r="W857" s="2"/>
      <c r="X857" s="2"/>
      <c r="Y857" s="2"/>
    </row>
    <row r="858">
      <c r="A858" s="30">
        <f>IFERROR(__xludf.DUMMYFUNCTION("""COMPUTED_VALUE"""),855.0)</f>
        <v>855</v>
      </c>
      <c r="B858" s="39">
        <f>IFERROR(__xludf.DUMMYFUNCTION("""COMPUTED_VALUE"""),46140.0)</f>
        <v>46140</v>
      </c>
      <c r="C858" s="30">
        <f>IFERROR(__xludf.DUMMYFUNCTION("""COMPUTED_VALUE"""),1.0)</f>
        <v>1</v>
      </c>
      <c r="D858" s="30" t="str">
        <f>IFERROR(__xludf.DUMMYFUNCTION("""COMPUTED_VALUE"""),"CT CŨ")</f>
        <v>CT CŨ</v>
      </c>
      <c r="E858" s="46">
        <f>IFERROR(__xludf.DUMMYFUNCTION("""COMPUTED_VALUE"""),46168.0)</f>
        <v>46168</v>
      </c>
      <c r="F858" s="2" t="str">
        <f>IFERROR(__xludf.DUMMYFUNCTION("""COMPUTED_VALUE"""),"ATP26052604")</f>
        <v>ATP26052604</v>
      </c>
      <c r="G858" s="2" t="str">
        <f>IFERROR(__xludf.DUMMYFUNCTION("""COMPUTED_VALUE"""),"HH4982")</f>
        <v>HH4982</v>
      </c>
      <c r="H858" s="2" t="str">
        <f>IFERROR(__xludf.DUMMYFUNCTION("""COMPUTED_VALUE"""),"GC - V - 4982 - GC WINDY ALS - TẠO MẦM HOA (Nước nâu vàng) - 15L - 1")</f>
        <v>GC - V - 4982 - GC WINDY ALS - TẠO MẦM HOA (Nước nâu vàng) - 15L - 1</v>
      </c>
      <c r="I858" s="2" t="str">
        <f>IFERROR(__xludf.DUMMYFUNCTION("""COMPUTED_VALUE"""),"Lá Hỗn Hợp PK AGRI FOS AB")</f>
        <v>Lá Hỗn Hợp PK AGRI FOS AB</v>
      </c>
      <c r="J858" s="2" t="str">
        <f>IFERROR(__xludf.DUMMYFUNCTION("""COMPUTED_VALUE"""),"A05280226")</f>
        <v>A05280226</v>
      </c>
      <c r="K858" s="39">
        <f>IFERROR(__xludf.DUMMYFUNCTION("""COMPUTED_VALUE"""),46179.0)</f>
        <v>46179</v>
      </c>
      <c r="L858" s="2" t="str">
        <f>IFERROR(__xludf.DUMMYFUNCTION("""COMPUTED_VALUE"""),"A05280226 ")</f>
        <v>A05280226 </v>
      </c>
      <c r="M858" s="2" t="str">
        <f>IFERROR(__xludf.DUMMYFUNCTION("""COMPUTED_VALUE"""),"CAN LÂN TẠO MẦM
(TÍNH GIÁ)")</f>
        <v>CAN LÂN TẠO MẦM
(TÍNH GIÁ)</v>
      </c>
      <c r="N858" s="2" t="str">
        <f>IFERROR(__xludf.DUMMYFUNCTION("""COMPUTED_VALUE"""),"08TM0028")</f>
        <v>08TM0028</v>
      </c>
      <c r="O858" s="2" t="str">
        <f>IFERROR(__xludf.DUMMYFUNCTION("""COMPUTED_VALUE"""),"Phân bón lá Hỗn hợp PK AGRI FOS AB")</f>
        <v>Phân bón lá Hỗn hợp PK AGRI FOS AB</v>
      </c>
      <c r="P858" s="2" t="str">
        <f>IFERROR(__xludf.DUMMYFUNCTION("""COMPUTED_VALUE"""),"Phân bón Lá Hỗn Hợp PK AGRI FOS AB")</f>
        <v>Phân bón Lá Hỗn Hợp PK AGRI FOS AB</v>
      </c>
      <c r="Q858" s="30" t="str">
        <f>IFERROR(__xludf.DUMMYFUNCTION("""COMPUTED_VALUE"""),"KHỚP")</f>
        <v>KHỚP</v>
      </c>
      <c r="R858" s="2"/>
      <c r="S858" s="2"/>
      <c r="T858" s="2"/>
      <c r="U858" s="2"/>
      <c r="V858" s="2"/>
      <c r="W858" s="2"/>
      <c r="X858" s="2"/>
      <c r="Y858" s="2"/>
    </row>
    <row r="859">
      <c r="A859" s="30">
        <f>IFERROR(__xludf.DUMMYFUNCTION("""COMPUTED_VALUE"""),856.0)</f>
        <v>856</v>
      </c>
      <c r="B859" s="39">
        <f>IFERROR(__xludf.DUMMYFUNCTION("""COMPUTED_VALUE"""),45929.0)</f>
        <v>45929</v>
      </c>
      <c r="C859" s="30">
        <f>IFERROR(__xludf.DUMMYFUNCTION("""COMPUTED_VALUE"""),2.0)</f>
        <v>2</v>
      </c>
      <c r="D859" s="30" t="str">
        <f>IFERROR(__xludf.DUMMYFUNCTION("""COMPUTED_VALUE"""),"CT CŨ")</f>
        <v>CT CŨ</v>
      </c>
      <c r="E859" s="46">
        <f>IFERROR(__xludf.DUMMYFUNCTION("""COMPUTED_VALUE"""),46168.0)</f>
        <v>46168</v>
      </c>
      <c r="F859" s="2" t="str">
        <f>IFERROR(__xludf.DUMMYFUNCTION("""COMPUTED_VALUE"""),"ATP26052605")</f>
        <v>ATP26052605</v>
      </c>
      <c r="G859" s="2" t="str">
        <f>IFERROR(__xludf.DUMMYFUNCTION("""COMPUTED_VALUE"""),"HH4290")</f>
        <v>HH4290</v>
      </c>
      <c r="H859" s="2" t="str">
        <f>IFERROR(__xludf.DUMMYFUNCTION("""COMPUTED_VALUE"""),"GC - V - 4290 - NEWTECH CROP SCIENCE - NEW RICE (Nước đỏ cam) - 500ml - 30")</f>
        <v>GC - V - 4290 - NEWTECH CROP SCIENCE - NEW RICE (Nước đỏ cam) - 500ml - 30</v>
      </c>
      <c r="I859" s="2" t="str">
        <f>IFERROR(__xludf.DUMMYFUNCTION("""COMPUTED_VALUE"""),"NPK-Vi lượng MASSIVE-BLUE")</f>
        <v>NPK-Vi lượng MASSIVE-BLUE</v>
      </c>
      <c r="J859" s="2" t="str">
        <f>IFERROR(__xludf.DUMMYFUNCTION("""COMPUTED_VALUE"""),"A04090226")</f>
        <v>A04090226</v>
      </c>
      <c r="K859" s="39">
        <f>IFERROR(__xludf.DUMMYFUNCTION("""COMPUTED_VALUE"""),46178.0)</f>
        <v>46178</v>
      </c>
      <c r="L859" s="2"/>
      <c r="M859" s="2" t="str">
        <f>IFERROR(__xludf.DUMMYFUNCTION("""COMPUTED_VALUE"""),"SIÊU VÔ GẠO TE+
1 TẤN 4
SHINO 1 TẤN 4
SHINO RICE")</f>
        <v>SIÊU VÔ GẠO TE+
1 TẤN 4
SHINO 1 TẤN 4
SHINO RICE</v>
      </c>
      <c r="N859" s="2" t="str">
        <f>IFERROR(__xludf.DUMMYFUNCTION("""COMPUTED_VALUE"""),"04VG0014V1")</f>
        <v>04VG0014V1</v>
      </c>
      <c r="O859" s="2" t="str">
        <f>IFERROR(__xludf.DUMMYFUNCTION("""COMPUTED_VALUE"""),"Phân bón NPK-Vi lượng MASSIVE-BLUE")</f>
        <v>Phân bón NPK-Vi lượng MASSIVE-BLUE</v>
      </c>
      <c r="P859" s="2" t="str">
        <f>IFERROR(__xludf.DUMMYFUNCTION("""COMPUTED_VALUE"""),"Phân bón NPK-Vi lượng MASSIVE-BLUE")</f>
        <v>Phân bón NPK-Vi lượng MASSIVE-BLUE</v>
      </c>
      <c r="Q859" s="30" t="str">
        <f>IFERROR(__xludf.DUMMYFUNCTION("""COMPUTED_VALUE"""),"KHỚP")</f>
        <v>KHỚP</v>
      </c>
      <c r="R859" s="2"/>
      <c r="S859" s="2"/>
      <c r="T859" s="2"/>
      <c r="U859" s="2"/>
      <c r="V859" s="2"/>
      <c r="W859" s="2"/>
      <c r="X859" s="2"/>
      <c r="Y859" s="2"/>
    </row>
    <row r="860">
      <c r="A860" s="30">
        <f>IFERROR(__xludf.DUMMYFUNCTION("""COMPUTED_VALUE"""),857.0)</f>
        <v>857</v>
      </c>
      <c r="B860" s="39">
        <f>IFERROR(__xludf.DUMMYFUNCTION("""COMPUTED_VALUE"""),46056.0)</f>
        <v>46056</v>
      </c>
      <c r="C860" s="30">
        <f>IFERROR(__xludf.DUMMYFUNCTION("""COMPUTED_VALUE"""),13.0)</f>
        <v>13</v>
      </c>
      <c r="D860" s="30" t="str">
        <f>IFERROR(__xludf.DUMMYFUNCTION("""COMPUTED_VALUE"""),"CT CŨ")</f>
        <v>CT CŨ</v>
      </c>
      <c r="E860" s="46">
        <f>IFERROR(__xludf.DUMMYFUNCTION("""COMPUTED_VALUE"""),46168.0)</f>
        <v>46168</v>
      </c>
      <c r="F860" s="2" t="str">
        <f>IFERROR(__xludf.DUMMYFUNCTION("""COMPUTED_VALUE"""),"DTP26052601")</f>
        <v>DTP26052601</v>
      </c>
      <c r="G860" s="2" t="str">
        <f>IFERROR(__xludf.DUMMYFUNCTION("""COMPUTED_VALUE"""),"HH4748")</f>
        <v>HH4748</v>
      </c>
      <c r="H860" s="2" t="str">
        <f>IFERROR(__xludf.DUMMYFUNCTION("""COMPUTED_VALUE"""),"GC - V - 4748 - DEGO - RUN FAST (Nước đen) - 18L - 1")</f>
        <v>GC - V - 4748 - DEGO - RUN FAST (Nước đen) - 18L - 1</v>
      </c>
      <c r="I860" s="2" t="str">
        <f>IFERROR(__xludf.DUMMYFUNCTION("""COMPUTED_VALUE"""),"Phân bón")</f>
        <v>Phân bón</v>
      </c>
      <c r="J860" s="2" t="str">
        <f>IFERROR(__xludf.DUMMYFUNCTION("""COMPUTED_VALUE"""),"Vi lượng Run Fast")</f>
        <v>Vi lượng Run Fast</v>
      </c>
      <c r="K860" s="39">
        <f>IFERROR(__xludf.DUMMYFUNCTION("""COMPUTED_VALUE"""),46173.0)</f>
        <v>46173</v>
      </c>
      <c r="L860" s="2"/>
      <c r="M860" s="2" t="str">
        <f>IFERROR(__xludf.DUMMYFUNCTION("""COMPUTED_VALUE"""),"BO HAI NGÀN")</f>
        <v>BO HAI NGÀN</v>
      </c>
      <c r="N860" s="2" t="str">
        <f>IFERROR(__xludf.DUMMYFUNCTION("""COMPUTED_VALUE"""),"30NT0001")</f>
        <v>30NT0001</v>
      </c>
      <c r="O860" s="2" t="str">
        <f>IFERROR(__xludf.DUMMYFUNCTION("""COMPUTED_VALUE"""),"Phân bón Vi lượng Run Fast")</f>
        <v>Phân bón Vi lượng Run Fast</v>
      </c>
      <c r="P860" s="2" t="str">
        <f>IFERROR(__xludf.DUMMYFUNCTION("""COMPUTED_VALUE"""),"Phân bón Phân bón")</f>
        <v>Phân bón Phân bón</v>
      </c>
      <c r="Q860" s="30" t="str">
        <f>IFERROR(__xludf.DUMMYFUNCTION("""COMPUTED_VALUE"""),"KHỚP")</f>
        <v>KHỚP</v>
      </c>
      <c r="R860" s="2"/>
      <c r="S860" s="2"/>
      <c r="T860" s="2"/>
      <c r="U860" s="2"/>
      <c r="V860" s="2"/>
      <c r="W860" s="2"/>
      <c r="X860" s="2"/>
      <c r="Y860" s="2"/>
    </row>
    <row r="861">
      <c r="A861" s="30">
        <f>IFERROR(__xludf.DUMMYFUNCTION("""COMPUTED_VALUE"""),858.0)</f>
        <v>858</v>
      </c>
      <c r="B861" s="39">
        <f>IFERROR(__xludf.DUMMYFUNCTION("""COMPUTED_VALUE"""),45938.0)</f>
        <v>45938</v>
      </c>
      <c r="C861" s="30">
        <f>IFERROR(__xludf.DUMMYFUNCTION("""COMPUTED_VALUE"""),1.0)</f>
        <v>1</v>
      </c>
      <c r="D861" s="30" t="str">
        <f>IFERROR(__xludf.DUMMYFUNCTION("""COMPUTED_VALUE"""),"CT CŨ")</f>
        <v>CT CŨ</v>
      </c>
      <c r="E861" s="46">
        <f>IFERROR(__xludf.DUMMYFUNCTION("""COMPUTED_VALUE"""),46168.0)</f>
        <v>46168</v>
      </c>
      <c r="F861" s="2" t="str">
        <f>IFERROR(__xludf.DUMMYFUNCTION("""COMPUTED_VALUE"""),"ATP26052608")</f>
        <v>ATP26052608</v>
      </c>
      <c r="G861" s="2" t="str">
        <f>IFERROR(__xludf.DUMMYFUNCTION("""COMPUTED_VALUE"""),"HH5049")</f>
        <v>HH5049</v>
      </c>
      <c r="H861" s="2" t="str">
        <f>IFERROR(__xludf.DUMMYFUNCTION("""COMPUTED_VALUE"""),"GC - V - 5049 - CTY GNH - Ra Rễ Nở Bụi (Nước nâu đen) - 1L - 20")</f>
        <v>GC - V - 5049 - CTY GNH - Ra Rễ Nở Bụi (Nước nâu đen) - 1L - 20</v>
      </c>
      <c r="I861" s="2" t="str">
        <f>IFERROR(__xludf.DUMMYFUNCTION("""COMPUTED_VALUE"""),"Vi lượng Quantity New")</f>
        <v>Vi lượng Quantity New</v>
      </c>
      <c r="J861" s="2" t="str">
        <f>IFERROR(__xludf.DUMMYFUNCTION("""COMPUTED_VALUE""")," ruột HH4301")</f>
        <v> ruột HH4301</v>
      </c>
      <c r="K861" s="39">
        <f>IFERROR(__xludf.DUMMYFUNCTION("""COMPUTED_VALUE"""),46181.0)</f>
        <v>46181</v>
      </c>
      <c r="L861" s="2" t="str">
        <f>IFERROR(__xludf.DUMMYFUNCTION("""COMPUTED_VALUE"""),"A06270225")</f>
        <v>A06270225</v>
      </c>
      <c r="M861" s="2" t="str">
        <f>IFERROR(__xludf.DUMMYFUNCTION("""COMPUTED_VALUE"""),"RA RỄ NỞ BỤI")</f>
        <v>RA RỄ NỞ BỤI</v>
      </c>
      <c r="N861" s="2" t="str">
        <f>IFERROR(__xludf.DUMMYFUNCTION("""COMPUTED_VALUE"""),"01RR0049V1")</f>
        <v>01RR0049V1</v>
      </c>
      <c r="O861" s="2" t="str">
        <f>IFERROR(__xludf.DUMMYFUNCTION("""COMPUTED_VALUE"""),"Phân bón Vi lượng Quantity New")</f>
        <v>Phân bón Vi lượng Quantity New</v>
      </c>
      <c r="P861" s="2" t="str">
        <f>IFERROR(__xludf.DUMMYFUNCTION("""COMPUTED_VALUE"""),"Phân bón Vi lượng Quantity New")</f>
        <v>Phân bón Vi lượng Quantity New</v>
      </c>
      <c r="Q861" s="30" t="str">
        <f>IFERROR(__xludf.DUMMYFUNCTION("""COMPUTED_VALUE"""),"KHỚP")</f>
        <v>KHỚP</v>
      </c>
      <c r="R861" s="2"/>
      <c r="S861" s="2"/>
      <c r="T861" s="2"/>
      <c r="U861" s="2"/>
      <c r="V861" s="2"/>
      <c r="W861" s="2"/>
      <c r="X861" s="2"/>
      <c r="Y861" s="2"/>
    </row>
    <row r="862">
      <c r="A862" s="30">
        <f>IFERROR(__xludf.DUMMYFUNCTION("""COMPUTED_VALUE"""),859.0)</f>
        <v>859</v>
      </c>
      <c r="B862" s="39">
        <f>IFERROR(__xludf.DUMMYFUNCTION("""COMPUTED_VALUE"""),46058.0)</f>
        <v>46058</v>
      </c>
      <c r="C862" s="30">
        <f>IFERROR(__xludf.DUMMYFUNCTION("""COMPUTED_VALUE"""),3.0)</f>
        <v>3</v>
      </c>
      <c r="D862" s="30" t="str">
        <f>IFERROR(__xludf.DUMMYFUNCTION("""COMPUTED_VALUE"""),"CT CŨ")</f>
        <v>CT CŨ</v>
      </c>
      <c r="E862" s="46">
        <f>IFERROR(__xludf.DUMMYFUNCTION("""COMPUTED_VALUE"""),46169.0)</f>
        <v>46169</v>
      </c>
      <c r="F862" s="2" t="str">
        <f>IFERROR(__xludf.DUMMYFUNCTION("""COMPUTED_VALUE"""),"ATP26052601")</f>
        <v>ATP26052601</v>
      </c>
      <c r="G862" s="2" t="str">
        <f>IFERROR(__xludf.DUMMYFUNCTION("""COMPUTED_VALUE"""),"HH4666")</f>
        <v>HH4666</v>
      </c>
      <c r="H862" s="2" t="str">
        <f>IFERROR(__xludf.DUMMYFUNCTION("""COMPUTED_VALUE"""),"GC - IV - 4666 - Cty Master Win - ENERGROW (Gel nâu đen) - 1L - 20")</f>
        <v>GC - IV - 4666 - Cty Master Win - ENERGROW (Gel nâu đen) - 1L - 20</v>
      </c>
      <c r="I862" s="2" t="str">
        <f>IFERROR(__xludf.DUMMYFUNCTION("""COMPUTED_VALUE"""),"Hữu Cơ Crops Care")</f>
        <v>Hữu Cơ Crops Care</v>
      </c>
      <c r="J862" s="2" t="str">
        <f>IFERROR(__xludf.DUMMYFUNCTION("""COMPUTED_VALUE"""),"Cùng ruột 2756")</f>
        <v>Cùng ruột 2756</v>
      </c>
      <c r="K862" s="39">
        <f>IFERROR(__xludf.DUMMYFUNCTION("""COMPUTED_VALUE"""),46181.0)</f>
        <v>46181</v>
      </c>
      <c r="L862" s="2" t="str">
        <f>IFERROR(__xludf.DUMMYFUNCTION("""COMPUTED_VALUE"""),"A01271124")</f>
        <v>A01271124</v>
      </c>
      <c r="M862" s="2" t="str">
        <f>IFERROR(__xludf.DUMMYFUNCTION("""COMPUTED_VALUE"""),"ENERGROW")</f>
        <v>ENERGROW</v>
      </c>
      <c r="N862" s="2" t="str">
        <f>IFERROR(__xludf.DUMMYFUNCTION("""COMPUTED_VALUE"""),"19DD0021V3")</f>
        <v>19DD0021V3</v>
      </c>
      <c r="O862" s="2" t="str">
        <f>IFERROR(__xludf.DUMMYFUNCTION("""COMPUTED_VALUE"""),"Phân bón Hữu cơ CROPS CARE")</f>
        <v>Phân bón Hữu cơ CROPS CARE</v>
      </c>
      <c r="P862" s="2" t="str">
        <f>IFERROR(__xludf.DUMMYFUNCTION("""COMPUTED_VALUE"""),"Phân bón Hữu Cơ Crops Care")</f>
        <v>Phân bón Hữu Cơ Crops Care</v>
      </c>
      <c r="Q862" s="30" t="str">
        <f>IFERROR(__xludf.DUMMYFUNCTION("""COMPUTED_VALUE"""),"KHỚP")</f>
        <v>KHỚP</v>
      </c>
      <c r="R862" s="2"/>
      <c r="S862" s="2"/>
      <c r="T862" s="2"/>
      <c r="U862" s="2"/>
      <c r="V862" s="2"/>
      <c r="W862" s="2"/>
      <c r="X862" s="2"/>
      <c r="Y862" s="2"/>
    </row>
    <row r="863">
      <c r="A863" s="30">
        <f>IFERROR(__xludf.DUMMYFUNCTION("""COMPUTED_VALUE"""),860.0)</f>
        <v>860</v>
      </c>
      <c r="B863" s="39">
        <f>IFERROR(__xludf.DUMMYFUNCTION("""COMPUTED_VALUE"""),46060.0)</f>
        <v>46060</v>
      </c>
      <c r="C863" s="30">
        <f>IFERROR(__xludf.DUMMYFUNCTION("""COMPUTED_VALUE"""),3.0)</f>
        <v>3</v>
      </c>
      <c r="D863" s="30" t="str">
        <f>IFERROR(__xludf.DUMMYFUNCTION("""COMPUTED_VALUE"""),"CT CŨ")</f>
        <v>CT CŨ</v>
      </c>
      <c r="E863" s="46">
        <f>IFERROR(__xludf.DUMMYFUNCTION("""COMPUTED_VALUE"""),46169.0)</f>
        <v>46169</v>
      </c>
      <c r="F863" s="2" t="str">
        <f>IFERROR(__xludf.DUMMYFUNCTION("""COMPUTED_VALUE"""),"AYC26052601")</f>
        <v>AYC26052601</v>
      </c>
      <c r="G863" s="2" t="str">
        <f>IFERROR(__xludf.DUMMYFUNCTION("""COMPUTED_VALUE"""),"HH4806")</f>
        <v>HH4806</v>
      </c>
      <c r="H863" s="2" t="str">
        <f>IFERROR(__xludf.DUMMYFUNCTION("""COMPUTED_VALUE"""),"GC - V - 4806 - CTY HÓA NÔNG CON ONG VÀNG - MAGIE KẼM PLUS (Dạng SC - Xanh lá) - 400ml - 40")</f>
        <v>GC - V - 4806 - CTY HÓA NÔNG CON ONG VÀNG - MAGIE KẼM PLUS (Dạng SC - Xanh lá) - 400ml - 40</v>
      </c>
      <c r="I863" s="2" t="str">
        <f>IFERROR(__xludf.DUMMYFUNCTION("""COMPUTED_VALUE"""),"vi lượng Phú Sĩ FJ-09 Kẽm Mg")</f>
        <v>vi lượng Phú Sĩ FJ-09 Kẽm Mg</v>
      </c>
      <c r="J863" s="2" t="str">
        <f>IFERROR(__xludf.DUMMYFUNCTION("""COMPUTED_VALUE"""),"A05200825 - 01 ")</f>
        <v>A05200825 - 01 </v>
      </c>
      <c r="K863" s="39">
        <f>IFERROR(__xludf.DUMMYFUNCTION("""COMPUTED_VALUE"""),46179.0)</f>
        <v>46179</v>
      </c>
      <c r="L863" s="2" t="str">
        <f>IFERROR(__xludf.DUMMYFUNCTION("""COMPUTED_VALUE"""),"A05200825-01")</f>
        <v>A05200825-01</v>
      </c>
      <c r="M863" s="2" t="str">
        <f>IFERROR(__xludf.DUMMYFUNCTION("""COMPUTED_VALUE"""),"AMINO MAGIE - KẼM CAO CẤP 02 (CẢI TIẾN)")</f>
        <v>AMINO MAGIE - KẼM CAO CẤP 02 (CẢI TIẾN)</v>
      </c>
      <c r="N863" s="2" t="str">
        <f>IFERROR(__xludf.DUMMYFUNCTION("""COMPUTED_VALUE"""),"23GS0022")</f>
        <v>23GS0022</v>
      </c>
      <c r="O863" s="2" t="str">
        <f>IFERROR(__xludf.DUMMYFUNCTION("""COMPUTED_VALUE"""),"Phân bón vi lượng Phú Sĩ FJ-09 Kẽm Mg")</f>
        <v>Phân bón vi lượng Phú Sĩ FJ-09 Kẽm Mg</v>
      </c>
      <c r="P863" s="2" t="str">
        <f>IFERROR(__xludf.DUMMYFUNCTION("""COMPUTED_VALUE"""),"Phân bón vi lượng Phú Sĩ FJ-09 Kẽm Mg")</f>
        <v>Phân bón vi lượng Phú Sĩ FJ-09 Kẽm Mg</v>
      </c>
      <c r="Q863" s="30" t="str">
        <f>IFERROR(__xludf.DUMMYFUNCTION("""COMPUTED_VALUE"""),"KHỚP")</f>
        <v>KHỚP</v>
      </c>
      <c r="R863" s="2"/>
      <c r="S863" s="2"/>
      <c r="T863" s="2"/>
      <c r="U863" s="2"/>
      <c r="V863" s="2"/>
      <c r="W863" s="2"/>
      <c r="X863" s="2"/>
      <c r="Y863" s="2"/>
    </row>
    <row r="864">
      <c r="A864" s="30">
        <f>IFERROR(__xludf.DUMMYFUNCTION("""COMPUTED_VALUE"""),861.0)</f>
        <v>861</v>
      </c>
      <c r="B864" s="39">
        <f>IFERROR(__xludf.DUMMYFUNCTION("""COMPUTED_VALUE"""),45896.0)</f>
        <v>45896</v>
      </c>
      <c r="C864" s="30">
        <f>IFERROR(__xludf.DUMMYFUNCTION("""COMPUTED_VALUE"""),2.0)</f>
        <v>2</v>
      </c>
      <c r="D864" s="30" t="str">
        <f>IFERROR(__xludf.DUMMYFUNCTION("""COMPUTED_VALUE"""),"CT CŨ")</f>
        <v>CT CŨ</v>
      </c>
      <c r="E864" s="46">
        <f>IFERROR(__xludf.DUMMYFUNCTION("""COMPUTED_VALUE"""),46169.0)</f>
        <v>46169</v>
      </c>
      <c r="F864" s="2" t="str">
        <f>IFERROR(__xludf.DUMMYFUNCTION("""COMPUTED_VALUE"""),"ATP26052602")</f>
        <v>ATP26052602</v>
      </c>
      <c r="G864" s="2" t="str">
        <f>IFERROR(__xludf.DUMMYFUNCTION("""COMPUTED_VALUE"""),"HH4807")</f>
        <v>HH4807</v>
      </c>
      <c r="H864" s="2" t="str">
        <f>IFERROR(__xludf.DUMMYFUNCTION("""COMPUTED_VALUE"""),"GC - V - 4807 - CTY HÓA NÔNG CON ONG VÀNG - ĐÒNG TO BÔNG BỰ (Dạng SC - Trắng sữa) - 400ml - 40")</f>
        <v>GC - V - 4807 - CTY HÓA NÔNG CON ONG VÀNG - ĐÒNG TO BÔNG BỰ (Dạng SC - Trắng sữa) - 400ml - 40</v>
      </c>
      <c r="I864" s="2" t="str">
        <f>IFERROR(__xludf.DUMMYFUNCTION("""COMPUTED_VALUE"""),"Vi lượng AGAMA-CANXI BO")</f>
        <v>Vi lượng AGAMA-CANXI BO</v>
      </c>
      <c r="J864" s="2" t="str">
        <f>IFERROR(__xludf.DUMMYFUNCTION("""COMPUTED_VALUE"""),"A02160725 ")</f>
        <v>A02160725 </v>
      </c>
      <c r="K864" s="39">
        <f>IFERROR(__xludf.DUMMYFUNCTION("""COMPUTED_VALUE"""),46179.0)</f>
        <v>46179</v>
      </c>
      <c r="L864" s="2" t="str">
        <f>IFERROR(__xludf.DUMMYFUNCTION("""COMPUTED_VALUE"""),"A02160725")</f>
        <v>A02160725</v>
      </c>
      <c r="M864" s="2" t="str">
        <f>IFERROR(__xludf.DUMMYFUNCTION("""COMPUTED_VALUE"""),"AGAMA-CANXI BO
(KIM NGỌC)")</f>
        <v>AGAMA-CANXI BO
(KIM NGỌC)</v>
      </c>
      <c r="N864" s="2" t="str">
        <f>IFERROR(__xludf.DUMMYFUNCTION("""COMPUTED_VALUE"""),"10CR0021")</f>
        <v>10CR0021</v>
      </c>
      <c r="O864" s="2" t="str">
        <f>IFERROR(__xludf.DUMMYFUNCTION("""COMPUTED_VALUE"""),"Phân bón Vi lượng AGAMA-CANXI BO")</f>
        <v>Phân bón Vi lượng AGAMA-CANXI BO</v>
      </c>
      <c r="P864" s="2" t="str">
        <f>IFERROR(__xludf.DUMMYFUNCTION("""COMPUTED_VALUE"""),"Phân bón Vi lượng AGAMA-CANXI BO")</f>
        <v>Phân bón Vi lượng AGAMA-CANXI BO</v>
      </c>
      <c r="Q864" s="30" t="str">
        <f>IFERROR(__xludf.DUMMYFUNCTION("""COMPUTED_VALUE"""),"KHỚP")</f>
        <v>KHỚP</v>
      </c>
      <c r="R864" s="2"/>
      <c r="S864" s="2"/>
      <c r="T864" s="2"/>
      <c r="U864" s="2"/>
      <c r="V864" s="2"/>
      <c r="W864" s="2"/>
      <c r="X864" s="2"/>
      <c r="Y864" s="2"/>
    </row>
    <row r="865">
      <c r="A865" s="30">
        <f>IFERROR(__xludf.DUMMYFUNCTION("""COMPUTED_VALUE"""),862.0)</f>
        <v>862</v>
      </c>
      <c r="B865" s="39">
        <f>IFERROR(__xludf.DUMMYFUNCTION("""COMPUTED_VALUE"""),46126.0)</f>
        <v>46126</v>
      </c>
      <c r="C865" s="30">
        <f>IFERROR(__xludf.DUMMYFUNCTION("""COMPUTED_VALUE"""),1.0)</f>
        <v>1</v>
      </c>
      <c r="D865" s="30" t="str">
        <f>IFERROR(__xludf.DUMMYFUNCTION("""COMPUTED_VALUE"""),"CT CŨ")</f>
        <v>CT CŨ</v>
      </c>
      <c r="E865" s="46">
        <f>IFERROR(__xludf.DUMMYFUNCTION("""COMPUTED_VALUE"""),46170.0)</f>
        <v>46170</v>
      </c>
      <c r="F865" s="2" t="str">
        <f>IFERROR(__xludf.DUMMYFUNCTION("""COMPUTED_VALUE"""),"ATP28052603")</f>
        <v>ATP28052603</v>
      </c>
      <c r="G865" s="2" t="str">
        <f>IFERROR(__xludf.DUMMYFUNCTION("""COMPUTED_VALUE"""),"HH5052")</f>
        <v>HH5052</v>
      </c>
      <c r="H865" s="2" t="str">
        <f>IFERROR(__xludf.DUMMYFUNCTION("""COMPUTED_VALUE"""),"GC - V - 5052 - HÓA NÔNG SHINO - CỨNG CÂY D345 (Nước nâu đen) - 450ml - 30")</f>
        <v>GC - V - 5052 - HÓA NÔNG SHINO - CỨNG CÂY D345 (Nước nâu đen) - 450ml - 30</v>
      </c>
      <c r="I865" s="2" t="str">
        <f>IFERROR(__xludf.DUMMYFUNCTION("""COMPUTED_VALUE"""),"Vi Lượng G.A 05")</f>
        <v>Vi Lượng G.A 05</v>
      </c>
      <c r="J865" s="2" t="str">
        <f>IFERROR(__xludf.DUMMYFUNCTION("""COMPUTED_VALUE"""),"A02090426")</f>
        <v>A02090426</v>
      </c>
      <c r="K865" s="39">
        <f>IFERROR(__xludf.DUMMYFUNCTION("""COMPUTED_VALUE"""),46183.0)</f>
        <v>46183</v>
      </c>
      <c r="L865" s="2" t="str">
        <f>IFERROR(__xludf.DUMMYFUNCTION("""COMPUTED_VALUE"""),"A02090426")</f>
        <v>A02090426</v>
      </c>
      <c r="M865" s="2" t="str">
        <f>IFERROR(__xludf.DUMMYFUNCTION("""COMPUTED_VALUE"""),"CỨNG CÂY 02")</f>
        <v>CỨNG CÂY 02</v>
      </c>
      <c r="N865" s="2" t="str">
        <f>IFERROR(__xludf.DUMMYFUNCTION("""COMPUTED_VALUE"""),"02CC0024")</f>
        <v>02CC0024</v>
      </c>
      <c r="O865" s="2" t="str">
        <f>IFERROR(__xludf.DUMMYFUNCTION("""COMPUTED_VALUE"""),"Phân bón Vi lượng G.A 05")</f>
        <v>Phân bón Vi lượng G.A 05</v>
      </c>
      <c r="P865" s="2" t="str">
        <f>IFERROR(__xludf.DUMMYFUNCTION("""COMPUTED_VALUE"""),"Phân bón Vi Lượng G.A 05")</f>
        <v>Phân bón Vi Lượng G.A 05</v>
      </c>
      <c r="Q865" s="30" t="str">
        <f>IFERROR(__xludf.DUMMYFUNCTION("""COMPUTED_VALUE"""),"KHỚP")</f>
        <v>KHỚP</v>
      </c>
      <c r="R865" s="2"/>
      <c r="S865" s="2"/>
      <c r="T865" s="2"/>
      <c r="U865" s="2"/>
      <c r="V865" s="2"/>
      <c r="W865" s="2"/>
      <c r="X865" s="2"/>
      <c r="Y865" s="2"/>
    </row>
    <row r="866">
      <c r="A866" s="30">
        <f>IFERROR(__xludf.DUMMYFUNCTION("""COMPUTED_VALUE"""),863.0)</f>
        <v>863</v>
      </c>
      <c r="B866" s="39">
        <f>IFERROR(__xludf.DUMMYFUNCTION("""COMPUTED_VALUE"""),46126.0)</f>
        <v>46126</v>
      </c>
      <c r="C866" s="30">
        <f>IFERROR(__xludf.DUMMYFUNCTION("""COMPUTED_VALUE"""),2.0)</f>
        <v>2</v>
      </c>
      <c r="D866" s="30" t="str">
        <f>IFERROR(__xludf.DUMMYFUNCTION("""COMPUTED_VALUE"""),"CT CŨ")</f>
        <v>CT CŨ</v>
      </c>
      <c r="E866" s="46">
        <f>IFERROR(__xludf.DUMMYFUNCTION("""COMPUTED_VALUE"""),46170.0)</f>
        <v>46170</v>
      </c>
      <c r="F866" s="2" t="str">
        <f>IFERROR(__xludf.DUMMYFUNCTION("""COMPUTED_VALUE"""),"ATP28052604")</f>
        <v>ATP28052604</v>
      </c>
      <c r="G866" s="2" t="str">
        <f>IFERROR(__xludf.DUMMYFUNCTION("""COMPUTED_VALUE"""),"HH4908")</f>
        <v>HH4908</v>
      </c>
      <c r="H866" s="2" t="str">
        <f>IFERROR(__xludf.DUMMYFUNCTION("""COMPUTED_VALUE"""),"GC - V - 4908 - HÓA NÔNG SHINO - CỨNG CÂY K40 (Nước nâu đen) - 450ml - 30")</f>
        <v>GC - V - 4908 - HÓA NÔNG SHINO - CỨNG CÂY K40 (Nước nâu đen) - 450ml - 30</v>
      </c>
      <c r="I866" s="2" t="str">
        <f>IFERROR(__xludf.DUMMYFUNCTION("""COMPUTED_VALUE"""),"Vi Lượng G.A 05")</f>
        <v>Vi Lượng G.A 05</v>
      </c>
      <c r="J866" s="2" t="str">
        <f>IFERROR(__xludf.DUMMYFUNCTION("""COMPUTED_VALUE"""),"A02090426")</f>
        <v>A02090426</v>
      </c>
      <c r="K866" s="39">
        <f>IFERROR(__xludf.DUMMYFUNCTION("""COMPUTED_VALUE"""),46183.0)</f>
        <v>46183</v>
      </c>
      <c r="L866" s="2" t="str">
        <f>IFERROR(__xludf.DUMMYFUNCTION("""COMPUTED_VALUE"""),"A02090426")</f>
        <v>A02090426</v>
      </c>
      <c r="M866" s="2" t="str">
        <f>IFERROR(__xludf.DUMMYFUNCTION("""COMPUTED_VALUE"""),"CỨNG CÂY 02")</f>
        <v>CỨNG CÂY 02</v>
      </c>
      <c r="N866" s="2" t="str">
        <f>IFERROR(__xludf.DUMMYFUNCTION("""COMPUTED_VALUE"""),"02CC0024")</f>
        <v>02CC0024</v>
      </c>
      <c r="O866" s="2" t="str">
        <f>IFERROR(__xludf.DUMMYFUNCTION("""COMPUTED_VALUE"""),"Phân bón Vi lượng G.A 05")</f>
        <v>Phân bón Vi lượng G.A 05</v>
      </c>
      <c r="P866" s="2" t="str">
        <f>IFERROR(__xludf.DUMMYFUNCTION("""COMPUTED_VALUE"""),"Phân bón Vi Lượng G.A 05")</f>
        <v>Phân bón Vi Lượng G.A 05</v>
      </c>
      <c r="Q866" s="30" t="str">
        <f>IFERROR(__xludf.DUMMYFUNCTION("""COMPUTED_VALUE"""),"KHỚP")</f>
        <v>KHỚP</v>
      </c>
      <c r="R866" s="2"/>
      <c r="S866" s="2"/>
      <c r="T866" s="2"/>
      <c r="U866" s="2"/>
      <c r="V866" s="2"/>
      <c r="W866" s="2"/>
      <c r="X866" s="2"/>
      <c r="Y866" s="2"/>
    </row>
    <row r="867">
      <c r="A867" s="30">
        <f>IFERROR(__xludf.DUMMYFUNCTION("""COMPUTED_VALUE"""),864.0)</f>
        <v>864</v>
      </c>
      <c r="B867" s="39">
        <f>IFERROR(__xludf.DUMMYFUNCTION("""COMPUTED_VALUE"""),45953.0)</f>
        <v>45953</v>
      </c>
      <c r="C867" s="30">
        <f>IFERROR(__xludf.DUMMYFUNCTION("""COMPUTED_VALUE"""),7.0)</f>
        <v>7</v>
      </c>
      <c r="D867" s="30" t="str">
        <f>IFERROR(__xludf.DUMMYFUNCTION("""COMPUTED_VALUE"""),"CT CŨ")</f>
        <v>CT CŨ</v>
      </c>
      <c r="E867" s="46">
        <f>IFERROR(__xludf.DUMMYFUNCTION("""COMPUTED_VALUE"""),46170.0)</f>
        <v>46170</v>
      </c>
      <c r="F867" s="2" t="str">
        <f>IFERROR(__xludf.DUMMYFUNCTION("""COMPUTED_VALUE"""),"ATP28052605")</f>
        <v>ATP28052605</v>
      </c>
      <c r="G867" s="2" t="str">
        <f>IFERROR(__xludf.DUMMYFUNCTION("""COMPUTED_VALUE"""),"HH4212")</f>
        <v>HH4212</v>
      </c>
      <c r="H867" s="2" t="str">
        <f>IFERROR(__xludf.DUMMYFUNCTION("""COMPUTED_VALUE"""),"GC - IV - 4212 - Cty CAPY GLOBAL - NUTRI BIO KING (Gel nâu đen) - 5L - 4")</f>
        <v>GC - IV - 4212 - Cty CAPY GLOBAL - NUTRI BIO KING (Gel nâu đen) - 5L - 4</v>
      </c>
      <c r="I867" s="2" t="str">
        <f>IFERROR(__xludf.DUMMYFUNCTION("""COMPUTED_VALUE"""),"Hữu Cơ Crops Care")</f>
        <v>Hữu Cơ Crops Care</v>
      </c>
      <c r="J867" s="2" t="str">
        <f>IFERROR(__xludf.DUMMYFUNCTION("""COMPUTED_VALUE"""),"A02131025")</f>
        <v>A02131025</v>
      </c>
      <c r="K867" s="39">
        <f>IFERROR(__xludf.DUMMYFUNCTION("""COMPUTED_VALUE"""),46181.0)</f>
        <v>46181</v>
      </c>
      <c r="L867" s="2" t="str">
        <f>IFERROR(__xludf.DUMMYFUNCTION("""COMPUTED_VALUE"""),"A02131025")</f>
        <v>A02131025</v>
      </c>
      <c r="M867" s="2" t="str">
        <f>IFERROR(__xludf.DUMMYFUNCTION("""COMPUTED_VALUE"""),"NUTRI BIOKING - CROP CARE")</f>
        <v>NUTRI BIOKING - CROP CARE</v>
      </c>
      <c r="N867" s="2" t="str">
        <f>IFERROR(__xludf.DUMMYFUNCTION("""COMPUTED_VALUE"""),"01RR0076")</f>
        <v>01RR0076</v>
      </c>
      <c r="O867" s="2" t="str">
        <f>IFERROR(__xludf.DUMMYFUNCTION("""COMPUTED_VALUE"""),"Phân bón Hữu cơ CROPS CARE")</f>
        <v>Phân bón Hữu cơ CROPS CARE</v>
      </c>
      <c r="P867" s="2" t="str">
        <f>IFERROR(__xludf.DUMMYFUNCTION("""COMPUTED_VALUE"""),"Phân bón Hữu Cơ Crops Care")</f>
        <v>Phân bón Hữu Cơ Crops Care</v>
      </c>
      <c r="Q867" s="30" t="str">
        <f>IFERROR(__xludf.DUMMYFUNCTION("""COMPUTED_VALUE"""),"KHỚP")</f>
        <v>KHỚP</v>
      </c>
      <c r="R867" s="2"/>
      <c r="S867" s="2"/>
      <c r="T867" s="2"/>
      <c r="U867" s="2"/>
      <c r="V867" s="2"/>
      <c r="W867" s="2"/>
      <c r="X867" s="2"/>
      <c r="Y867" s="2"/>
    </row>
    <row r="868">
      <c r="A868" s="30">
        <f>IFERROR(__xludf.DUMMYFUNCTION("""COMPUTED_VALUE"""),865.0)</f>
        <v>865</v>
      </c>
      <c r="B868" s="39">
        <f>IFERROR(__xludf.DUMMYFUNCTION("""COMPUTED_VALUE"""),45915.0)</f>
        <v>45915</v>
      </c>
      <c r="C868" s="30">
        <f>IFERROR(__xludf.DUMMYFUNCTION("""COMPUTED_VALUE"""),2.0)</f>
        <v>2</v>
      </c>
      <c r="D868" s="30" t="str">
        <f>IFERROR(__xludf.DUMMYFUNCTION("""COMPUTED_VALUE"""),"CT CŨ")</f>
        <v>CT CŨ</v>
      </c>
      <c r="E868" s="46">
        <f>IFERROR(__xludf.DUMMYFUNCTION("""COMPUTED_VALUE"""),46170.0)</f>
        <v>46170</v>
      </c>
      <c r="F868" s="2" t="str">
        <f>IFERROR(__xludf.DUMMYFUNCTION("""COMPUTED_VALUE"""),"ATP28052606")</f>
        <v>ATP28052606</v>
      </c>
      <c r="G868" s="2" t="str">
        <f>IFERROR(__xludf.DUMMYFUNCTION("""COMPUTED_VALUE"""),"HH4449")</f>
        <v>HH4449</v>
      </c>
      <c r="H868" s="2" t="str">
        <f>IFERROR(__xludf.DUMMYFUNCTION("""COMPUTED_VALUE"""),"GC - V - 4449 - CTY CAPY GLOBAL - POWER X20 (Nước vàng) - 90ml - 50")</f>
        <v>GC - V - 4449 - CTY CAPY GLOBAL - POWER X20 (Nước vàng) - 90ml - 50</v>
      </c>
      <c r="I868" s="2" t="str">
        <f>IFERROR(__xludf.DUMMYFUNCTION("""COMPUTED_VALUE"""),"Vi lượng Quantity New")</f>
        <v>Vi lượng Quantity New</v>
      </c>
      <c r="J868" s="2" t="str">
        <f>IFERROR(__xludf.DUMMYFUNCTION("""COMPUTED_VALUE"""),"Cùng ruột 
HH2941")</f>
        <v>Cùng ruột 
HH2941</v>
      </c>
      <c r="K868" s="39">
        <f>IFERROR(__xludf.DUMMYFUNCTION("""COMPUTED_VALUE"""),46181.0)</f>
        <v>46181</v>
      </c>
      <c r="L868" s="2"/>
      <c r="M868" s="2" t="str">
        <f>IFERROR(__xludf.DUMMYFUNCTION("""COMPUTED_VALUE"""),"TRỢ LỰC D1")</f>
        <v>TRỢ LỰC D1</v>
      </c>
      <c r="N868" s="2" t="str">
        <f>IFERROR(__xludf.DUMMYFUNCTION("""COMPUTED_VALUE"""),"18TL0004V1")</f>
        <v>18TL0004V1</v>
      </c>
      <c r="O868" s="2" t="str">
        <f>IFERROR(__xludf.DUMMYFUNCTION("""COMPUTED_VALUE"""),"Phân bón Vi lượng Quantity New")</f>
        <v>Phân bón Vi lượng Quantity New</v>
      </c>
      <c r="P868" s="2" t="str">
        <f>IFERROR(__xludf.DUMMYFUNCTION("""COMPUTED_VALUE"""),"Phân bón Vi lượng Quantity New")</f>
        <v>Phân bón Vi lượng Quantity New</v>
      </c>
      <c r="Q868" s="30" t="str">
        <f>IFERROR(__xludf.DUMMYFUNCTION("""COMPUTED_VALUE"""),"KHỚP")</f>
        <v>KHỚP</v>
      </c>
      <c r="R868" s="2"/>
      <c r="S868" s="2"/>
      <c r="T868" s="2"/>
      <c r="U868" s="2"/>
      <c r="V868" s="2"/>
      <c r="W868" s="2"/>
      <c r="X868" s="2"/>
      <c r="Y868" s="2"/>
    </row>
    <row r="869">
      <c r="A869" s="30">
        <f>IFERROR(__xludf.DUMMYFUNCTION("""COMPUTED_VALUE"""),866.0)</f>
        <v>866</v>
      </c>
      <c r="B869" s="39">
        <f>IFERROR(__xludf.DUMMYFUNCTION("""COMPUTED_VALUE"""),46020.0)</f>
        <v>46020</v>
      </c>
      <c r="C869" s="30">
        <f>IFERROR(__xludf.DUMMYFUNCTION("""COMPUTED_VALUE"""),1.0)</f>
        <v>1</v>
      </c>
      <c r="D869" s="30" t="str">
        <f>IFERROR(__xludf.DUMMYFUNCTION("""COMPUTED_VALUE"""),"CT CŨ")</f>
        <v>CT CŨ</v>
      </c>
      <c r="E869" s="46">
        <f>IFERROR(__xludf.DUMMYFUNCTION("""COMPUTED_VALUE"""),46171.0)</f>
        <v>46171</v>
      </c>
      <c r="F869" s="2" t="str">
        <f>IFERROR(__xludf.DUMMYFUNCTION("""COMPUTED_VALUE"""),"ATP29052601")</f>
        <v>ATP29052601</v>
      </c>
      <c r="G869" s="2" t="str">
        <f>IFERROR(__xludf.DUMMYFUNCTION("""COMPUTED_VALUE"""),"HH5050")</f>
        <v>HH5050</v>
      </c>
      <c r="H869" s="2" t="str">
        <f>IFERROR(__xludf.DUMMYFUNCTION("""COMPUTED_VALUE"""),"AGRITECH - ANH TRƯƠNG - Vi lượng MICKEY - GREEN GALAXY - 500ml - 40")</f>
        <v>AGRITECH - ANH TRƯƠNG - Vi lượng MICKEY - GREEN GALAXY - 500ml - 40</v>
      </c>
      <c r="I869" s="2" t="str">
        <f>IFERROR(__xludf.DUMMYFUNCTION("""COMPUTED_VALUE"""),"Vi lượng MICKEY")</f>
        <v>Vi lượng MICKEY</v>
      </c>
      <c r="J869" s="2" t="str">
        <f>IFERROR(__xludf.DUMMYFUNCTION("""COMPUTED_VALUE"""),"A01181225")</f>
        <v>A01181225</v>
      </c>
      <c r="K869" s="39">
        <f>IFERROR(__xludf.DUMMYFUNCTION("""COMPUTED_VALUE"""),46184.0)</f>
        <v>46184</v>
      </c>
      <c r="L869" s="2" t="str">
        <f>IFERROR(__xludf.DUMMYFUNCTION("""COMPUTED_VALUE"""),"A01181225")</f>
        <v>A01181225</v>
      </c>
      <c r="M869" s="2" t="str">
        <f>IFERROR(__xludf.DUMMYFUNCTION("""COMPUTED_VALUE"""),"KẼM LÂM THÀNH ")</f>
        <v>KẼM LÂM THÀNH </v>
      </c>
      <c r="N869" s="2" t="str">
        <f>IFERROR(__xludf.DUMMYFUNCTION("""COMPUTED_VALUE"""),"13XL0018")</f>
        <v>13XL0018</v>
      </c>
      <c r="O869" s="2" t="str">
        <f>IFERROR(__xludf.DUMMYFUNCTION("""COMPUTED_VALUE"""),"Phân bón Vi lượng MICKEY")</f>
        <v>Phân bón Vi lượng MICKEY</v>
      </c>
      <c r="P869" s="2" t="str">
        <f>IFERROR(__xludf.DUMMYFUNCTION("""COMPUTED_VALUE"""),"Phân bón Vi lượng MICKEY")</f>
        <v>Phân bón Vi lượng MICKEY</v>
      </c>
      <c r="Q869" s="30" t="str">
        <f>IFERROR(__xludf.DUMMYFUNCTION("""COMPUTED_VALUE"""),"KHỚP")</f>
        <v>KHỚP</v>
      </c>
      <c r="R869" s="2"/>
      <c r="S869" s="2"/>
      <c r="T869" s="2"/>
      <c r="U869" s="2"/>
      <c r="V869" s="2"/>
      <c r="W869" s="2"/>
      <c r="X869" s="2"/>
      <c r="Y869" s="2"/>
    </row>
    <row r="870">
      <c r="A870" s="30">
        <f>IFERROR(__xludf.DUMMYFUNCTION("""COMPUTED_VALUE"""),867.0)</f>
        <v>867</v>
      </c>
      <c r="B870" s="39">
        <f>IFERROR(__xludf.DUMMYFUNCTION("""COMPUTED_VALUE"""),46036.0)</f>
        <v>46036</v>
      </c>
      <c r="C870" s="30">
        <f>IFERROR(__xludf.DUMMYFUNCTION("""COMPUTED_VALUE"""),1.0)</f>
        <v>1</v>
      </c>
      <c r="D870" s="30" t="str">
        <f>IFERROR(__xludf.DUMMYFUNCTION("""COMPUTED_VALUE"""),"CT CŨ")</f>
        <v>CT CŨ</v>
      </c>
      <c r="E870" s="46">
        <f>IFERROR(__xludf.DUMMYFUNCTION("""COMPUTED_VALUE"""),46171.0)</f>
        <v>46171</v>
      </c>
      <c r="F870" s="2" t="str">
        <f>IFERROR(__xludf.DUMMYFUNCTION("""COMPUTED_VALUE"""),"ATP29052602")</f>
        <v>ATP29052602</v>
      </c>
      <c r="G870" s="2" t="str">
        <f>IFERROR(__xludf.DUMMYFUNCTION("""COMPUTED_VALUE"""),"HH5035")</f>
        <v>HH5035</v>
      </c>
      <c r="H870" s="2" t="str">
        <f>IFERROR(__xludf.DUMMYFUNCTION("""COMPUTED_VALUE"""),"GC - V - 5035 - CTY USAFARM - NPP Hi-ROOTS (Nước nâu đen) - 5L - 4")</f>
        <v>GC - V - 5035 - CTY USAFARM - NPP Hi-ROOTS (Nước nâu đen) - 5L - 4</v>
      </c>
      <c r="I870" s="2" t="str">
        <f>IFERROR(__xludf.DUMMYFUNCTION("""COMPUTED_VALUE"""),"Hữu cơ SH Agro Organic Fertilizer 20")</f>
        <v>Hữu cơ SH Agro Organic Fertilizer 20</v>
      </c>
      <c r="J870" s="2" t="str">
        <f>IFERROR(__xludf.DUMMYFUNCTION("""COMPUTED_VALUE"""),"A05291024")</f>
        <v>A05291024</v>
      </c>
      <c r="K870" s="39">
        <f>IFERROR(__xludf.DUMMYFUNCTION("""COMPUTED_VALUE"""),46177.0)</f>
        <v>46177</v>
      </c>
      <c r="L870" s="2" t="str">
        <f>IFERROR(__xludf.DUMMYFUNCTION("""COMPUTED_VALUE"""),"A06291024")</f>
        <v>A06291024</v>
      </c>
      <c r="M870" s="2" t="str">
        <f>IFERROR(__xludf.DUMMYFUNCTION("""COMPUTED_VALUE"""),"ULTRA BUD")</f>
        <v>ULTRA BUD</v>
      </c>
      <c r="N870" s="2" t="str">
        <f>IFERROR(__xludf.DUMMYFUNCTION("""COMPUTED_VALUE"""),"01RR0036V2")</f>
        <v>01RR0036V2</v>
      </c>
      <c r="O870" s="2" t="str">
        <f>IFERROR(__xludf.DUMMYFUNCTION("""COMPUTED_VALUE"""),"Phân bón Hữu cơ SH Agro Organic Fertilizer 20")</f>
        <v>Phân bón Hữu cơ SH Agro Organic Fertilizer 20</v>
      </c>
      <c r="P870" s="2" t="str">
        <f>IFERROR(__xludf.DUMMYFUNCTION("""COMPUTED_VALUE"""),"Phân bón Hữu cơ SH Agro Organic Fertilizer 20")</f>
        <v>Phân bón Hữu cơ SH Agro Organic Fertilizer 20</v>
      </c>
      <c r="Q870" s="30" t="str">
        <f>IFERROR(__xludf.DUMMYFUNCTION("""COMPUTED_VALUE"""),"KHỚP")</f>
        <v>KHỚP</v>
      </c>
      <c r="R870" s="2"/>
      <c r="S870" s="2"/>
      <c r="T870" s="2"/>
      <c r="U870" s="2"/>
      <c r="V870" s="2"/>
      <c r="W870" s="2"/>
      <c r="X870" s="2"/>
      <c r="Y870" s="2"/>
    </row>
    <row r="871">
      <c r="A871" s="30">
        <f>IFERROR(__xludf.DUMMYFUNCTION("""COMPUTED_VALUE"""),868.0)</f>
        <v>868</v>
      </c>
      <c r="B871" s="39">
        <f>IFERROR(__xludf.DUMMYFUNCTION("""COMPUTED_VALUE"""),45983.0)</f>
        <v>45983</v>
      </c>
      <c r="C871" s="30">
        <f>IFERROR(__xludf.DUMMYFUNCTION("""COMPUTED_VALUE"""),5.0)</f>
        <v>5</v>
      </c>
      <c r="D871" s="30" t="str">
        <f>IFERROR(__xludf.DUMMYFUNCTION("""COMPUTED_VALUE"""),"CT CŨ")</f>
        <v>CT CŨ</v>
      </c>
      <c r="E871" s="46">
        <f>IFERROR(__xludf.DUMMYFUNCTION("""COMPUTED_VALUE"""),46170.0)</f>
        <v>46170</v>
      </c>
      <c r="F871" s="2" t="str">
        <f>IFERROR(__xludf.DUMMYFUNCTION("""COMPUTED_VALUE"""),"ITP28052602")</f>
        <v>ITP28052602</v>
      </c>
      <c r="G871" s="2" t="str">
        <f>IFERROR(__xludf.DUMMYFUNCTION("""COMPUTED_VALUE"""),"HH4586")</f>
        <v>HH4586</v>
      </c>
      <c r="H871" s="2" t="str">
        <f>IFERROR(__xludf.DUMMYFUNCTION("""COMPUTED_VALUE"""),"LOTUS AGROCHEM - VI - 4586 - LOTUS DIỆP LỤC (Nước trắng sữa) - 500ml - 40")</f>
        <v>LOTUS AGROCHEM - VI - 4586 - LOTUS DIỆP LỤC (Nước trắng sữa) - 500ml - 40</v>
      </c>
      <c r="I871" s="2" t="str">
        <f>IFERROR(__xludf.DUMMYFUNCTION("""COMPUTED_VALUE"""),"vi lượng Phú Sĩ FJ-09 Kẽm Mg")</f>
        <v>vi lượng Phú Sĩ FJ-09 Kẽm Mg</v>
      </c>
      <c r="J871" s="2" t="str">
        <f>IFERROR(__xludf.DUMMYFUNCTION("""COMPUTED_VALUE"""),"Đóng theo đơn gần nhất")</f>
        <v>Đóng theo đơn gần nhất</v>
      </c>
      <c r="K871" s="39">
        <f>IFERROR(__xludf.DUMMYFUNCTION("""COMPUTED_VALUE"""),46178.0)</f>
        <v>46178</v>
      </c>
      <c r="L871" s="2" t="str">
        <f>IFERROR(__xludf.DUMMYFUNCTION("""COMPUTED_VALUE"""),"BB26040725")</f>
        <v>BB26040725</v>
      </c>
      <c r="M871" s="2" t="str">
        <f>IFERROR(__xludf.DUMMYFUNCTION("""COMPUTED_VALUE"""),"BAMBOO MG KẼM
LOTUS DIỆP LỤC")</f>
        <v>BAMBOO MG KẼM
LOTUS DIỆP LỤC</v>
      </c>
      <c r="N871" s="2" t="str">
        <f>IFERROR(__xludf.DUMMYFUNCTION("""COMPUTED_VALUE"""),"13XL0017V2")</f>
        <v>13XL0017V2</v>
      </c>
      <c r="O871" s="2" t="str">
        <f>IFERROR(__xludf.DUMMYFUNCTION("""COMPUTED_VALUE"""),"Phân bón vi lượng Phú Sĩ FJ-09 Kẽm Mg")</f>
        <v>Phân bón vi lượng Phú Sĩ FJ-09 Kẽm Mg</v>
      </c>
      <c r="P871" s="2" t="str">
        <f>IFERROR(__xludf.DUMMYFUNCTION("""COMPUTED_VALUE"""),"Phân bón vi lượng Phú Sĩ FJ-09 Kẽm Mg")</f>
        <v>Phân bón vi lượng Phú Sĩ FJ-09 Kẽm Mg</v>
      </c>
      <c r="Q871" s="30" t="str">
        <f>IFERROR(__xludf.DUMMYFUNCTION("""COMPUTED_VALUE"""),"KHỚP")</f>
        <v>KHỚP</v>
      </c>
      <c r="R871" s="2"/>
      <c r="S871" s="2"/>
      <c r="T871" s="2"/>
      <c r="U871" s="2"/>
      <c r="V871" s="2"/>
      <c r="W871" s="2"/>
      <c r="X871" s="2"/>
      <c r="Y871" s="2"/>
    </row>
    <row r="872">
      <c r="A872" s="30">
        <f>IFERROR(__xludf.DUMMYFUNCTION("""COMPUTED_VALUE"""),869.0)</f>
        <v>869</v>
      </c>
      <c r="B872" s="39">
        <f>IFERROR(__xludf.DUMMYFUNCTION("""COMPUTED_VALUE"""),45994.0)</f>
        <v>45994</v>
      </c>
      <c r="C872" s="30">
        <f>IFERROR(__xludf.DUMMYFUNCTION("""COMPUTED_VALUE"""),9.0)</f>
        <v>9</v>
      </c>
      <c r="D872" s="30" t="str">
        <f>IFERROR(__xludf.DUMMYFUNCTION("""COMPUTED_VALUE"""),"CT CŨ")</f>
        <v>CT CŨ</v>
      </c>
      <c r="E872" s="46">
        <f>IFERROR(__xludf.DUMMYFUNCTION("""COMPUTED_VALUE"""),46170.0)</f>
        <v>46170</v>
      </c>
      <c r="F872" s="2" t="str">
        <f>IFERROR(__xludf.DUMMYFUNCTION("""COMPUTED_VALUE"""),"ITP28052603")</f>
        <v>ITP28052603</v>
      </c>
      <c r="G872" s="2" t="str">
        <f>IFERROR(__xludf.DUMMYFUNCTION("""COMPUTED_VALUE"""),"HH4680")</f>
        <v>HH4680</v>
      </c>
      <c r="H872" s="2" t="str">
        <f>IFERROR(__xludf.DUMMYFUNCTION("""COMPUTED_VALUE"""),"LOTUS AGROCHEM - VI - 4680 - LOTUS KÍCH RỄ - BUNG CHỒI (Nước nâu đen) - 250ml - 40")</f>
        <v>LOTUS AGROCHEM - VI - 4680 - LOTUS KÍCH RỄ - BUNG CHỒI (Nước nâu đen) - 250ml - 40</v>
      </c>
      <c r="I872" s="2" t="str">
        <f>IFERROR(__xludf.DUMMYFUNCTION("""COMPUTED_VALUE"""),"Hữu cơ FUSEMIN COMBI+")</f>
        <v>Hữu cơ FUSEMIN COMBI+</v>
      </c>
      <c r="J872" s="2" t="str">
        <f>IFERROR(__xludf.DUMMYFUNCTION("""COMPUTED_VALUE"""),"Đóng theo đơn gần nhất")</f>
        <v>Đóng theo đơn gần nhất</v>
      </c>
      <c r="K872" s="39">
        <f>IFERROR(__xludf.DUMMYFUNCTION("""COMPUTED_VALUE"""),46178.0)</f>
        <v>46178</v>
      </c>
      <c r="L872" s="2" t="str">
        <f>IFERROR(__xludf.DUMMYFUNCTION("""COMPUTED_VALUE"""),"BB24040725")</f>
        <v>BB24040725</v>
      </c>
      <c r="M872" s="2" t="str">
        <f>IFERROR(__xludf.DUMMYFUNCTION("""COMPUTED_VALUE"""),"BAMBOO MAGIE FULVIC")</f>
        <v>BAMBOO MAGIE FULVIC</v>
      </c>
      <c r="N872" s="2" t="str">
        <f>IFERROR(__xludf.DUMMYFUNCTION("""COMPUTED_VALUE"""),"01RR0064V1")</f>
        <v>01RR0064V1</v>
      </c>
      <c r="O872" s="2" t="str">
        <f>IFERROR(__xludf.DUMMYFUNCTION("""COMPUTED_VALUE"""),"Phân bón hữu cơ FUSEMIN COMBI+")</f>
        <v>Phân bón hữu cơ FUSEMIN COMBI+</v>
      </c>
      <c r="P872" s="2" t="str">
        <f>IFERROR(__xludf.DUMMYFUNCTION("""COMPUTED_VALUE"""),"Phân bón Hữu cơ FUSEMIN COMBI+")</f>
        <v>Phân bón Hữu cơ FUSEMIN COMBI+</v>
      </c>
      <c r="Q872" s="30" t="str">
        <f>IFERROR(__xludf.DUMMYFUNCTION("""COMPUTED_VALUE"""),"KHỚP")</f>
        <v>KHỚP</v>
      </c>
      <c r="R872" s="2"/>
      <c r="S872" s="2"/>
      <c r="T872" s="2"/>
      <c r="U872" s="2"/>
      <c r="V872" s="2"/>
      <c r="W872" s="2"/>
      <c r="X872" s="2"/>
      <c r="Y872" s="2"/>
    </row>
    <row r="873">
      <c r="A873" s="30">
        <f>IFERROR(__xludf.DUMMYFUNCTION("""COMPUTED_VALUE"""),870.0)</f>
        <v>870</v>
      </c>
      <c r="B873" s="39">
        <f>IFERROR(__xludf.DUMMYFUNCTION("""COMPUTED_VALUE"""),45940.0)</f>
        <v>45940</v>
      </c>
      <c r="C873" s="30">
        <f>IFERROR(__xludf.DUMMYFUNCTION("""COMPUTED_VALUE"""),12.0)</f>
        <v>12</v>
      </c>
      <c r="D873" s="30" t="str">
        <f>IFERROR(__xludf.DUMMYFUNCTION("""COMPUTED_VALUE"""),"CT CŨ")</f>
        <v>CT CŨ</v>
      </c>
      <c r="E873" s="46">
        <f>IFERROR(__xludf.DUMMYFUNCTION("""COMPUTED_VALUE"""),46171.0)</f>
        <v>46171</v>
      </c>
      <c r="F873" s="2" t="str">
        <f>IFERROR(__xludf.DUMMYFUNCTION("""COMPUTED_VALUE"""),"STP29052601")</f>
        <v>STP29052601</v>
      </c>
      <c r="G873" s="2" t="str">
        <f>IFERROR(__xludf.DUMMYFUNCTION("""COMPUTED_VALUE"""),"HH4442")</f>
        <v>HH4442</v>
      </c>
      <c r="H873" s="2" t="str">
        <f>IFERROR(__xludf.DUMMYFUNCTION("""COMPUTED_VALUE"""),"GC - IX - 4442 - N2SBIO - N2 MG ZN-70 (Nước xanh lá) - 500ml - 40")</f>
        <v>GC - IX - 4442 - N2SBIO - N2 MG ZN-70 (Nước xanh lá) - 500ml - 40</v>
      </c>
      <c r="I873" s="2" t="str">
        <f>IFERROR(__xludf.DUMMYFUNCTION("""COMPUTED_VALUE"""),"vi lượng Phú Sĩ FJ-09 Kẽm Mg")</f>
        <v>vi lượng Phú Sĩ FJ-09 Kẽm Mg</v>
      </c>
      <c r="J873" s="2" t="str">
        <f>IFERROR(__xludf.DUMMYFUNCTION("""COMPUTED_VALUE"""),"N01080825 ")</f>
        <v>N01080825 </v>
      </c>
      <c r="K873" s="39">
        <f>IFERROR(__xludf.DUMMYFUNCTION("""COMPUTED_VALUE"""),46178.0)</f>
        <v>46178</v>
      </c>
      <c r="L873" s="2" t="str">
        <f>IFERROR(__xludf.DUMMYFUNCTION("""COMPUTED_VALUE"""),"N01080825")</f>
        <v>N01080825</v>
      </c>
      <c r="M873" s="2" t="str">
        <f>IFERROR(__xludf.DUMMYFUNCTION("""COMPUTED_VALUE"""),"N2 MgZn-52")</f>
        <v>N2 MgZn-52</v>
      </c>
      <c r="N873" s="2" t="str">
        <f>IFERROR(__xludf.DUMMYFUNCTION("""COMPUTED_VALUE"""),"23GS0002V1")</f>
        <v>23GS0002V1</v>
      </c>
      <c r="O873" s="2" t="str">
        <f>IFERROR(__xludf.DUMMYFUNCTION("""COMPUTED_VALUE"""),"Phân bón vi lượng Phú Sĩ FJ-09 Kẽm Mg")</f>
        <v>Phân bón vi lượng Phú Sĩ FJ-09 Kẽm Mg</v>
      </c>
      <c r="P873" s="2" t="str">
        <f>IFERROR(__xludf.DUMMYFUNCTION("""COMPUTED_VALUE"""),"Phân bón vi lượng Phú Sĩ FJ-09 Kẽm Mg")</f>
        <v>Phân bón vi lượng Phú Sĩ FJ-09 Kẽm Mg</v>
      </c>
      <c r="Q873" s="30" t="str">
        <f>IFERROR(__xludf.DUMMYFUNCTION("""COMPUTED_VALUE"""),"KHỚP")</f>
        <v>KHỚP</v>
      </c>
      <c r="R873" s="2"/>
      <c r="S873" s="2"/>
      <c r="T873" s="2"/>
      <c r="U873" s="2"/>
      <c r="V873" s="2"/>
      <c r="W873" s="2"/>
      <c r="X873" s="2"/>
      <c r="Y873" s="2"/>
    </row>
    <row r="874">
      <c r="A874" s="30">
        <f>IFERROR(__xludf.DUMMYFUNCTION("""COMPUTED_VALUE"""),871.0)</f>
        <v>871</v>
      </c>
      <c r="B874" s="39">
        <f>IFERROR(__xludf.DUMMYFUNCTION("""COMPUTED_VALUE"""),46002.0)</f>
        <v>46002</v>
      </c>
      <c r="C874" s="30">
        <f>IFERROR(__xludf.DUMMYFUNCTION("""COMPUTED_VALUE"""),1.0)</f>
        <v>1</v>
      </c>
      <c r="D874" s="30" t="str">
        <f>IFERROR(__xludf.DUMMYFUNCTION("""COMPUTED_VALUE"""),"CT CŨ")</f>
        <v>CT CŨ</v>
      </c>
      <c r="E874" s="46">
        <f>IFERROR(__xludf.DUMMYFUNCTION("""COMPUTED_VALUE"""),46171.0)</f>
        <v>46171</v>
      </c>
      <c r="F874" s="2" t="str">
        <f>IFERROR(__xludf.DUMMYFUNCTION("""COMPUTED_VALUE"""),"ATP29052604")</f>
        <v>ATP29052604</v>
      </c>
      <c r="G874" s="2" t="str">
        <f>IFERROR(__xludf.DUMMYFUNCTION("""COMPUTED_VALUE"""),"HH5065")</f>
        <v>HH5065</v>
      </c>
      <c r="H874" s="2" t="str">
        <f>IFERROR(__xludf.DUMMYFUNCTION("""COMPUTED_VALUE"""),"GC - V - 5065 - AGRITECH - AGRI STOP (Nước nâu đen) - 1L - 20")</f>
        <v>GC - V - 5065 - AGRITECH - AGRI STOP (Nước nâu đen) - 1L - 20</v>
      </c>
      <c r="I874" s="2" t="str">
        <f>IFERROR(__xludf.DUMMYFUNCTION("""COMPUTED_VALUE"""),"Vi lượng Quantity New")</f>
        <v>Vi lượng Quantity New</v>
      </c>
      <c r="J874" s="2" t="str">
        <f>IFERROR(__xludf.DUMMYFUNCTION("""COMPUTED_VALUE"""),"Chặn đọt dòng V2")</f>
        <v>Chặn đọt dòng V2</v>
      </c>
      <c r="K874" s="39">
        <f>IFERROR(__xludf.DUMMYFUNCTION("""COMPUTED_VALUE"""),46176.0)</f>
        <v>46176</v>
      </c>
      <c r="L874" s="2" t="str">
        <f>IFERROR(__xludf.DUMMYFUNCTION("""COMPUTED_VALUE"""),"CHẶN ĐỌT DÒNG V2")</f>
        <v>CHẶN ĐỌT DÒNG V2</v>
      </c>
      <c r="M874" s="2" t="str">
        <f>IFERROR(__xludf.DUMMYFUNCTION("""COMPUTED_VALUE"""),"STOP UP
MT STOP
AGRI STOP
STOP ĐỌT
SIÊU CHẶN ĐỌT
MASTER STOP
UNI STOP ONE
BAMBOO DOUBLE STOP")</f>
        <v>STOP UP
MT STOP
AGRI STOP
STOP ĐỌT
SIÊU CHẶN ĐỌT
MASTER STOP
UNI STOP ONE
BAMBOO DOUBLE STOP</v>
      </c>
      <c r="N874" s="2" t="str">
        <f>IFERROR(__xludf.DUMMYFUNCTION("""COMPUTED_VALUE"""),"06CD0009V3")</f>
        <v>06CD0009V3</v>
      </c>
      <c r="O874" s="2" t="str">
        <f>IFERROR(__xludf.DUMMYFUNCTION("""COMPUTED_VALUE"""),"Phân bón Vi lượng Quantity New")</f>
        <v>Phân bón Vi lượng Quantity New</v>
      </c>
      <c r="P874" s="2" t="str">
        <f>IFERROR(__xludf.DUMMYFUNCTION("""COMPUTED_VALUE"""),"Phân bón Vi lượng Quantity New")</f>
        <v>Phân bón Vi lượng Quantity New</v>
      </c>
      <c r="Q874" s="30" t="str">
        <f>IFERROR(__xludf.DUMMYFUNCTION("""COMPUTED_VALUE"""),"KHỚP")</f>
        <v>KHỚP</v>
      </c>
      <c r="R874" s="2"/>
      <c r="S874" s="2"/>
      <c r="T874" s="2"/>
      <c r="U874" s="2"/>
      <c r="V874" s="2"/>
      <c r="W874" s="2"/>
      <c r="X874" s="2"/>
      <c r="Y874" s="2"/>
    </row>
    <row r="875">
      <c r="A875" s="30">
        <f>IFERROR(__xludf.DUMMYFUNCTION("""COMPUTED_VALUE"""),872.0)</f>
        <v>872</v>
      </c>
      <c r="B875" s="39">
        <f>IFERROR(__xludf.DUMMYFUNCTION("""COMPUTED_VALUE"""),46002.0)</f>
        <v>46002</v>
      </c>
      <c r="C875" s="30">
        <f>IFERROR(__xludf.DUMMYFUNCTION("""COMPUTED_VALUE"""),4.0)</f>
        <v>4</v>
      </c>
      <c r="D875" s="30" t="str">
        <f>IFERROR(__xludf.DUMMYFUNCTION("""COMPUTED_VALUE"""),"CT CŨ")</f>
        <v>CT CŨ</v>
      </c>
      <c r="E875" s="46">
        <f>IFERROR(__xludf.DUMMYFUNCTION("""COMPUTED_VALUE"""),46171.0)</f>
        <v>46171</v>
      </c>
      <c r="F875" s="2" t="str">
        <f>IFERROR(__xludf.DUMMYFUNCTION("""COMPUTED_VALUE"""),"ATP29052606")</f>
        <v>ATP29052606</v>
      </c>
      <c r="G875" s="2" t="str">
        <f>IFERROR(__xludf.DUMMYFUNCTION("""COMPUTED_VALUE"""),"HH4321")</f>
        <v>HH4321</v>
      </c>
      <c r="H875" s="2" t="str">
        <f>IFERROR(__xludf.DUMMYFUNCTION("""COMPUTED_VALUE"""),"GC - V - 4321 - NHP GROUP - KODO STOP (Nước nâu đen) - 1L - 2")</f>
        <v>GC - V - 4321 - NHP GROUP - KODO STOP (Nước nâu đen) - 1L - 2</v>
      </c>
      <c r="I875" s="2" t="str">
        <f>IFERROR(__xludf.DUMMYFUNCTION("""COMPUTED_VALUE"""),"Vi lượng Quantity New")</f>
        <v>Vi lượng Quantity New</v>
      </c>
      <c r="J875" s="2" t="str">
        <f>IFERROR(__xludf.DUMMYFUNCTION("""COMPUTED_VALUE"""),"cùng ruột 4011
")</f>
        <v>cùng ruột 4011
</v>
      </c>
      <c r="K875" s="39">
        <f>IFERROR(__xludf.DUMMYFUNCTION("""COMPUTED_VALUE"""),46181.0)</f>
        <v>46181</v>
      </c>
      <c r="L875" s="2" t="str">
        <f>IFERROR(__xludf.DUMMYFUNCTION("""COMPUTED_VALUE"""),"CHẶN ĐỌT DÒNG V1")</f>
        <v>CHẶN ĐỌT DÒNG V1</v>
      </c>
      <c r="M875" s="2" t="str">
        <f>IFERROR(__xludf.DUMMYFUNCTION("""COMPUTED_VALUE"""),"KODO STOP
DR.STOP
DR.H2")</f>
        <v>KODO STOP
DR.STOP
DR.H2</v>
      </c>
      <c r="N875" s="2" t="str">
        <f>IFERROR(__xludf.DUMMYFUNCTION("""COMPUTED_VALUE"""),"06CD0006V2")</f>
        <v>06CD0006V2</v>
      </c>
      <c r="O875" s="2" t="str">
        <f>IFERROR(__xludf.DUMMYFUNCTION("""COMPUTED_VALUE"""),"Phân bón Vi lượng Quantity New")</f>
        <v>Phân bón Vi lượng Quantity New</v>
      </c>
      <c r="P875" s="2" t="str">
        <f>IFERROR(__xludf.DUMMYFUNCTION("""COMPUTED_VALUE"""),"Phân bón Vi lượng Quantity New")</f>
        <v>Phân bón Vi lượng Quantity New</v>
      </c>
      <c r="Q875" s="30" t="str">
        <f>IFERROR(__xludf.DUMMYFUNCTION("""COMPUTED_VALUE"""),"KHỚP")</f>
        <v>KHỚP</v>
      </c>
      <c r="R875" s="2"/>
      <c r="S875" s="2"/>
      <c r="T875" s="2"/>
      <c r="U875" s="2"/>
      <c r="V875" s="2"/>
      <c r="W875" s="2"/>
      <c r="X875" s="2"/>
      <c r="Y875" s="2"/>
    </row>
    <row r="876">
      <c r="A876" s="30">
        <f>IFERROR(__xludf.DUMMYFUNCTION("""COMPUTED_VALUE"""),873.0)</f>
        <v>873</v>
      </c>
      <c r="B876" s="39">
        <f>IFERROR(__xludf.DUMMYFUNCTION("""COMPUTED_VALUE"""),46084.0)</f>
        <v>46084</v>
      </c>
      <c r="C876" s="30">
        <f>IFERROR(__xludf.DUMMYFUNCTION("""COMPUTED_VALUE"""),1.0)</f>
        <v>1</v>
      </c>
      <c r="D876" s="30" t="str">
        <f>IFERROR(__xludf.DUMMYFUNCTION("""COMPUTED_VALUE"""),"CT CŨ")</f>
        <v>CT CŨ</v>
      </c>
      <c r="E876" s="46">
        <f>IFERROR(__xludf.DUMMYFUNCTION("""COMPUTED_VALUE"""),46172.0)</f>
        <v>46172</v>
      </c>
      <c r="F876" s="2" t="str">
        <f>IFERROR(__xludf.DUMMYFUNCTION("""COMPUTED_VALUE"""),"ATP30052602")</f>
        <v>ATP30052602</v>
      </c>
      <c r="G876" s="2" t="str">
        <f>IFERROR(__xludf.DUMMYFUNCTION("""COMPUTED_VALUE"""),"HH5046")</f>
        <v>HH5046</v>
      </c>
      <c r="H876" s="2" t="str">
        <f>IFERROR(__xludf.DUMMYFUNCTION("""COMPUTED_VALUE"""),"GC - V - 5046 - CTY HÓA NÔNG CON ONG VÀNG - VÔ GẠO ONG VÀNG (Nước trắng sữa) - 500ml - 40")</f>
        <v>GC - V - 5046 - CTY HÓA NÔNG CON ONG VÀNG - VÔ GẠO ONG VÀNG (Nước trắng sữa) - 500ml - 40</v>
      </c>
      <c r="I876" s="2" t="str">
        <f>IFERROR(__xludf.DUMMYFUNCTION("""COMPUTED_VALUE"""),"Lá PK-Vi lượng SV 5-18")</f>
        <v>Lá PK-Vi lượng SV 5-18</v>
      </c>
      <c r="J876" s="2" t="str">
        <f>IFERROR(__xludf.DUMMYFUNCTION("""COMPUTED_VALUE"""),"A01301225")</f>
        <v>A01301225</v>
      </c>
      <c r="K876" s="39">
        <f>IFERROR(__xludf.DUMMYFUNCTION("""COMPUTED_VALUE"""),46184.0)</f>
        <v>46184</v>
      </c>
      <c r="L876" s="2" t="str">
        <f>IFERROR(__xludf.DUMMYFUNCTION("""COMPUTED_VALUE"""),"A01301225")</f>
        <v>A01301225</v>
      </c>
      <c r="M876" s="2" t="str">
        <f>IFERROR(__xludf.DUMMYFUNCTION("""COMPUTED_VALUE"""),"SUPER VÔ GẠO (TRẮNG SỮA)")</f>
        <v>SUPER VÔ GẠO (TRẮNG SỮA)</v>
      </c>
      <c r="N876" s="2" t="str">
        <f>IFERROR(__xludf.DUMMYFUNCTION("""COMPUTED_VALUE"""),"04VG0053")</f>
        <v>04VG0053</v>
      </c>
      <c r="O876" s="2" t="str">
        <f>IFERROR(__xludf.DUMMYFUNCTION("""COMPUTED_VALUE"""),"Phân bón lá PK-Vi lượng SV 5-18")</f>
        <v>Phân bón lá PK-Vi lượng SV 5-18</v>
      </c>
      <c r="P876" s="2" t="str">
        <f>IFERROR(__xludf.DUMMYFUNCTION("""COMPUTED_VALUE"""),"Phân bón Lá PK-Vi lượng SV 5-18")</f>
        <v>Phân bón Lá PK-Vi lượng SV 5-18</v>
      </c>
      <c r="Q876" s="30" t="str">
        <f>IFERROR(__xludf.DUMMYFUNCTION("""COMPUTED_VALUE"""),"KHỚP")</f>
        <v>KHỚP</v>
      </c>
      <c r="R876" s="2"/>
      <c r="S876" s="2"/>
      <c r="T876" s="2"/>
      <c r="U876" s="2"/>
      <c r="V876" s="2"/>
      <c r="W876" s="2"/>
      <c r="X876" s="2"/>
      <c r="Y876" s="2"/>
    </row>
    <row r="877">
      <c r="A877" s="30">
        <f>IFERROR(__xludf.DUMMYFUNCTION("""COMPUTED_VALUE"""),874.0)</f>
        <v>874</v>
      </c>
      <c r="B877" s="39">
        <f>IFERROR(__xludf.DUMMYFUNCTION("""COMPUTED_VALUE"""),46056.0)</f>
        <v>46056</v>
      </c>
      <c r="C877" s="30">
        <f>IFERROR(__xludf.DUMMYFUNCTION("""COMPUTED_VALUE"""),14.0)</f>
        <v>14</v>
      </c>
      <c r="D877" s="30" t="str">
        <f>IFERROR(__xludf.DUMMYFUNCTION("""COMPUTED_VALUE"""),"CT CŨ")</f>
        <v>CT CŨ</v>
      </c>
      <c r="E877" s="46">
        <f>IFERROR(__xludf.DUMMYFUNCTION("""COMPUTED_VALUE"""),46174.0)</f>
        <v>46174</v>
      </c>
      <c r="F877" s="2" t="str">
        <f>IFERROR(__xludf.DUMMYFUNCTION("""COMPUTED_VALUE"""),"DTP01062601")</f>
        <v>DTP01062601</v>
      </c>
      <c r="G877" s="2" t="str">
        <f>IFERROR(__xludf.DUMMYFUNCTION("""COMPUTED_VALUE"""),"HH4748")</f>
        <v>HH4748</v>
      </c>
      <c r="H877" s="2" t="str">
        <f>IFERROR(__xludf.DUMMYFUNCTION("""COMPUTED_VALUE"""),"GC - V - 4748 - DEGO - RUN FAST (Nước đen) - 18L - 1")</f>
        <v>GC - V - 4748 - DEGO - RUN FAST (Nước đen) - 18L - 1</v>
      </c>
      <c r="I877" s="2" t="str">
        <f>IFERROR(__xludf.DUMMYFUNCTION("""COMPUTED_VALUE"""),"Vi lượng Run Fast")</f>
        <v>Vi lượng Run Fast</v>
      </c>
      <c r="J877" s="2" t="str">
        <f>IFERROR(__xludf.DUMMYFUNCTION("""COMPUTED_VALUE"""),"30NT0001")</f>
        <v>30NT0001</v>
      </c>
      <c r="K877" s="39">
        <f>IFERROR(__xludf.DUMMYFUNCTION("""COMPUTED_VALUE"""),46178.0)</f>
        <v>46178</v>
      </c>
      <c r="L877" s="2"/>
      <c r="M877" s="2" t="str">
        <f>IFERROR(__xludf.DUMMYFUNCTION("""COMPUTED_VALUE"""),"BO HAI NGÀN")</f>
        <v>BO HAI NGÀN</v>
      </c>
      <c r="N877" s="2" t="str">
        <f>IFERROR(__xludf.DUMMYFUNCTION("""COMPUTED_VALUE"""),"30NT0001")</f>
        <v>30NT0001</v>
      </c>
      <c r="O877" s="2" t="str">
        <f>IFERROR(__xludf.DUMMYFUNCTION("""COMPUTED_VALUE"""),"Phân bón Vi lượng Run Fast")</f>
        <v>Phân bón Vi lượng Run Fast</v>
      </c>
      <c r="P877" s="2" t="str">
        <f>IFERROR(__xludf.DUMMYFUNCTION("""COMPUTED_VALUE"""),"Phân bón Vi lượng Run Fast")</f>
        <v>Phân bón Vi lượng Run Fast</v>
      </c>
      <c r="Q877" s="30" t="str">
        <f>IFERROR(__xludf.DUMMYFUNCTION("""COMPUTED_VALUE"""),"KHỚP")</f>
        <v>KHỚP</v>
      </c>
      <c r="R877" s="2"/>
      <c r="S877" s="2"/>
      <c r="T877" s="2"/>
      <c r="U877" s="2"/>
      <c r="V877" s="2"/>
      <c r="W877" s="2"/>
      <c r="X877" s="2"/>
      <c r="Y877" s="2"/>
    </row>
    <row r="878">
      <c r="A878" s="30">
        <f>IFERROR(__xludf.DUMMYFUNCTION("""COMPUTED_VALUE"""),875.0)</f>
        <v>875</v>
      </c>
      <c r="B878" s="39">
        <f>IFERROR(__xludf.DUMMYFUNCTION("""COMPUTED_VALUE"""),46056.0)</f>
        <v>46056</v>
      </c>
      <c r="C878" s="30">
        <f>IFERROR(__xludf.DUMMYFUNCTION("""COMPUTED_VALUE"""),15.0)</f>
        <v>15</v>
      </c>
      <c r="D878" s="30" t="str">
        <f>IFERROR(__xludf.DUMMYFUNCTION("""COMPUTED_VALUE"""),"CT CŨ")</f>
        <v>CT CŨ</v>
      </c>
      <c r="E878" s="46">
        <f>IFERROR(__xludf.DUMMYFUNCTION("""COMPUTED_VALUE"""),46174.0)</f>
        <v>46174</v>
      </c>
      <c r="F878" s="2" t="str">
        <f>IFERROR(__xludf.DUMMYFUNCTION("""COMPUTED_VALUE"""),"DTP01062602")</f>
        <v>DTP01062602</v>
      </c>
      <c r="G878" s="2" t="str">
        <f>IFERROR(__xludf.DUMMYFUNCTION("""COMPUTED_VALUE"""),"HH4748")</f>
        <v>HH4748</v>
      </c>
      <c r="H878" s="2" t="str">
        <f>IFERROR(__xludf.DUMMYFUNCTION("""COMPUTED_VALUE"""),"GC - V - 4748 - DEGO - RUN FAST (Nước đen) - 18L - 1")</f>
        <v>GC - V - 4748 - DEGO - RUN FAST (Nước đen) - 18L - 1</v>
      </c>
      <c r="I878" s="2" t="str">
        <f>IFERROR(__xludf.DUMMYFUNCTION("""COMPUTED_VALUE"""),"Vi lượng Run Fast")</f>
        <v>Vi lượng Run Fast</v>
      </c>
      <c r="J878" s="2" t="str">
        <f>IFERROR(__xludf.DUMMYFUNCTION("""COMPUTED_VALUE"""),"30NT0001")</f>
        <v>30NT0001</v>
      </c>
      <c r="K878" s="39">
        <f>IFERROR(__xludf.DUMMYFUNCTION("""COMPUTED_VALUE"""),46178.0)</f>
        <v>46178</v>
      </c>
      <c r="L878" s="2"/>
      <c r="M878" s="2" t="str">
        <f>IFERROR(__xludf.DUMMYFUNCTION("""COMPUTED_VALUE"""),"BO HAI NGÀN")</f>
        <v>BO HAI NGÀN</v>
      </c>
      <c r="N878" s="2" t="str">
        <f>IFERROR(__xludf.DUMMYFUNCTION("""COMPUTED_VALUE"""),"30NT0001")</f>
        <v>30NT0001</v>
      </c>
      <c r="O878" s="2" t="str">
        <f>IFERROR(__xludf.DUMMYFUNCTION("""COMPUTED_VALUE"""),"Phân bón Vi lượng Run Fast")</f>
        <v>Phân bón Vi lượng Run Fast</v>
      </c>
      <c r="P878" s="2" t="str">
        <f>IFERROR(__xludf.DUMMYFUNCTION("""COMPUTED_VALUE"""),"Phân bón Vi lượng Run Fast")</f>
        <v>Phân bón Vi lượng Run Fast</v>
      </c>
      <c r="Q878" s="30" t="str">
        <f>IFERROR(__xludf.DUMMYFUNCTION("""COMPUTED_VALUE"""),"KHỚP")</f>
        <v>KHỚP</v>
      </c>
      <c r="R878" s="2"/>
      <c r="S878" s="2"/>
      <c r="T878" s="2"/>
      <c r="U878" s="2"/>
      <c r="V878" s="2"/>
      <c r="W878" s="2"/>
      <c r="X878" s="2"/>
      <c r="Y878" s="2"/>
    </row>
    <row r="879">
      <c r="A879" s="30">
        <f>IFERROR(__xludf.DUMMYFUNCTION("""COMPUTED_VALUE"""),876.0)</f>
        <v>876</v>
      </c>
      <c r="B879" s="39">
        <f>IFERROR(__xludf.DUMMYFUNCTION("""COMPUTED_VALUE"""),45905.0)</f>
        <v>45905</v>
      </c>
      <c r="C879" s="30">
        <f>IFERROR(__xludf.DUMMYFUNCTION("""COMPUTED_VALUE"""),3.0)</f>
        <v>3</v>
      </c>
      <c r="D879" s="30" t="str">
        <f>IFERROR(__xludf.DUMMYFUNCTION("""COMPUTED_VALUE"""),"CT CŨ")</f>
        <v>CT CŨ</v>
      </c>
      <c r="E879" s="46">
        <f>IFERROR(__xludf.DUMMYFUNCTION("""COMPUTED_VALUE"""),46175.0)</f>
        <v>46175</v>
      </c>
      <c r="F879" s="2" t="str">
        <f>IFERROR(__xludf.DUMMYFUNCTION("""COMPUTED_VALUE"""),"ITP02062604")</f>
        <v>ITP02062604</v>
      </c>
      <c r="G879" s="2" t="str">
        <f>IFERROR(__xludf.DUMMYFUNCTION("""COMPUTED_VALUE"""),"HH4553")</f>
        <v>HH4553</v>
      </c>
      <c r="H879" s="2" t="str">
        <f>IFERROR(__xludf.DUMMYFUNCTION("""COMPUTED_VALUE"""),"IDA Global - I - 4553 - Lưu dẫn thấm sâu mới (Nước xanh dương) - 120ml - 50")</f>
        <v>IDA Global - I - 4553 - Lưu dẫn thấm sâu mới (Nước xanh dương) - 120ml - 50</v>
      </c>
      <c r="I879" s="2" t="str">
        <f>IFERROR(__xludf.DUMMYFUNCTION("""COMPUTED_VALUE"""),"Vi lượng Quantity New")</f>
        <v>Vi lượng Quantity New</v>
      </c>
      <c r="J879" s="2" t="str">
        <f>IFERROR(__xludf.DUMMYFUNCTION("""COMPUTED_VALUE"""),"Đóng theo đơn gần nhất")</f>
        <v>Đóng theo đơn gần nhất</v>
      </c>
      <c r="K879" s="39">
        <f>IFERROR(__xludf.DUMMYFUNCTION("""COMPUTED_VALUE"""),46183.0)</f>
        <v>46183</v>
      </c>
      <c r="L879" s="2"/>
      <c r="M879" s="2" t="str">
        <f>IFERROR(__xludf.DUMMYFUNCTION("""COMPUTED_VALUE"""),"LƯU DẪN THẤM SẤU ")</f>
        <v>LƯU DẪN THẤM SẤU </v>
      </c>
      <c r="N879" s="2" t="str">
        <f>IFERROR(__xludf.DUMMYFUNCTION("""COMPUTED_VALUE"""),"18TL0002V1")</f>
        <v>18TL0002V1</v>
      </c>
      <c r="O879" s="2" t="str">
        <f>IFERROR(__xludf.DUMMYFUNCTION("""COMPUTED_VALUE"""),"Phân bón Vi lượng Quantity New")</f>
        <v>Phân bón Vi lượng Quantity New</v>
      </c>
      <c r="P879" s="2" t="str">
        <f>IFERROR(__xludf.DUMMYFUNCTION("""COMPUTED_VALUE"""),"Phân bón Vi lượng Quantity New")</f>
        <v>Phân bón Vi lượng Quantity New</v>
      </c>
      <c r="Q879" s="30" t="str">
        <f>IFERROR(__xludf.DUMMYFUNCTION("""COMPUTED_VALUE"""),"KHỚP")</f>
        <v>KHỚP</v>
      </c>
      <c r="R879" s="2"/>
      <c r="S879" s="2"/>
      <c r="T879" s="2"/>
      <c r="U879" s="2"/>
      <c r="V879" s="2"/>
      <c r="W879" s="2"/>
      <c r="X879" s="2"/>
      <c r="Y879" s="2"/>
    </row>
    <row r="880">
      <c r="A880" s="30">
        <f>IFERROR(__xludf.DUMMYFUNCTION("""COMPUTED_VALUE"""),877.0)</f>
        <v>877</v>
      </c>
      <c r="B880" s="39">
        <f>IFERROR(__xludf.DUMMYFUNCTION("""COMPUTED_VALUE"""),45993.0)</f>
        <v>45993</v>
      </c>
      <c r="C880" s="30">
        <f>IFERROR(__xludf.DUMMYFUNCTION("""COMPUTED_VALUE"""),6.0)</f>
        <v>6</v>
      </c>
      <c r="D880" s="30" t="str">
        <f>IFERROR(__xludf.DUMMYFUNCTION("""COMPUTED_VALUE"""),"CT CŨ")</f>
        <v>CT CŨ</v>
      </c>
      <c r="E880" s="46">
        <f>IFERROR(__xludf.DUMMYFUNCTION("""COMPUTED_VALUE"""),46175.0)</f>
        <v>46175</v>
      </c>
      <c r="F880" s="2" t="str">
        <f>IFERROR(__xludf.DUMMYFUNCTION("""COMPUTED_VALUE"""),"ITP02062606")</f>
        <v>ITP02062606</v>
      </c>
      <c r="G880" s="2" t="str">
        <f>IFERROR(__xludf.DUMMYFUNCTION("""COMPUTED_VALUE"""),"HH4507")</f>
        <v>HH4507</v>
      </c>
      <c r="H880" s="2" t="str">
        <f>IFERROR(__xludf.DUMMYFUNCTION("""COMPUTED_VALUE"""),"IDA Global - I - 4507 - KG - ORGANIC X2 (Nước nâu đen) - 1L - 20")</f>
        <v>IDA Global - I - 4507 - KG - ORGANIC X2 (Nước nâu đen) - 1L - 20</v>
      </c>
      <c r="I880" s="2" t="str">
        <f>IFERROR(__xludf.DUMMYFUNCTION("""COMPUTED_VALUE"""),"Hữu cơ SH Agro Organic Fertilizer 20")</f>
        <v>Hữu cơ SH Agro Organic Fertilizer 20</v>
      </c>
      <c r="J880" s="2" t="str">
        <f>IFERROR(__xludf.DUMMYFUNCTION("""COMPUTED_VALUE"""),"Đóng theo đơn gần nhất")</f>
        <v>Đóng theo đơn gần nhất</v>
      </c>
      <c r="K880" s="39">
        <f>IFERROR(__xludf.DUMMYFUNCTION("""COMPUTED_VALUE"""),46182.0)</f>
        <v>46182</v>
      </c>
      <c r="L880" s="2"/>
      <c r="M880" s="2" t="str">
        <f>IFERROR(__xludf.DUMMYFUNCTION("""COMPUTED_VALUE"""),"ORGANIC X2")</f>
        <v>ORGANIC X2</v>
      </c>
      <c r="N880" s="2" t="str">
        <f>IFERROR(__xludf.DUMMYFUNCTION("""COMPUTED_VALUE"""),"01RR0044V3")</f>
        <v>01RR0044V3</v>
      </c>
      <c r="O880" s="2" t="str">
        <f>IFERROR(__xludf.DUMMYFUNCTION("""COMPUTED_VALUE"""),"Phân bón Hữu cơ SH Agro Organic Fertilizer 20")</f>
        <v>Phân bón Hữu cơ SH Agro Organic Fertilizer 20</v>
      </c>
      <c r="P880" s="2" t="str">
        <f>IFERROR(__xludf.DUMMYFUNCTION("""COMPUTED_VALUE"""),"Phân bón Hữu cơ SH Agro Organic Fertilizer 20")</f>
        <v>Phân bón Hữu cơ SH Agro Organic Fertilizer 20</v>
      </c>
      <c r="Q880" s="30" t="str">
        <f>IFERROR(__xludf.DUMMYFUNCTION("""COMPUTED_VALUE"""),"KHỚP")</f>
        <v>KHỚP</v>
      </c>
      <c r="R880" s="2"/>
      <c r="S880" s="2"/>
      <c r="T880" s="2"/>
      <c r="U880" s="2"/>
      <c r="V880" s="2"/>
      <c r="W880" s="2"/>
      <c r="X880" s="2"/>
      <c r="Y880" s="2"/>
    </row>
    <row r="881">
      <c r="A881" s="30">
        <f>IFERROR(__xludf.DUMMYFUNCTION("""COMPUTED_VALUE"""),878.0)</f>
        <v>878</v>
      </c>
      <c r="B881" s="39">
        <f>IFERROR(__xludf.DUMMYFUNCTION("""COMPUTED_VALUE"""),45908.0)</f>
        <v>45908</v>
      </c>
      <c r="C881" s="30">
        <f>IFERROR(__xludf.DUMMYFUNCTION("""COMPUTED_VALUE"""),4.0)</f>
        <v>4</v>
      </c>
      <c r="D881" s="30" t="str">
        <f>IFERROR(__xludf.DUMMYFUNCTION("""COMPUTED_VALUE"""),"CT CŨ")</f>
        <v>CT CŨ</v>
      </c>
      <c r="E881" s="46">
        <f>IFERROR(__xludf.DUMMYFUNCTION("""COMPUTED_VALUE"""),46175.0)</f>
        <v>46175</v>
      </c>
      <c r="F881" s="2" t="str">
        <f>IFERROR(__xludf.DUMMYFUNCTION("""COMPUTED_VALUE"""),"ITP02062607")</f>
        <v>ITP02062607</v>
      </c>
      <c r="G881" s="2" t="str">
        <f>IFERROR(__xludf.DUMMYFUNCTION("""COMPUTED_VALUE"""),"HH4617")</f>
        <v>HH4617</v>
      </c>
      <c r="H881" s="2" t="str">
        <f>IFERROR(__xludf.DUMMYFUNCTION("""COMPUTED_VALUE"""),"IDA Global - I - 4617 - RONADO (Nước tím) - 450ml - 40")</f>
        <v>IDA Global - I - 4617 - RONADO (Nước tím) - 450ml - 40</v>
      </c>
      <c r="I881" s="2" t="str">
        <f>IFERROR(__xludf.DUMMYFUNCTION("""COMPUTED_VALUE"""),"Hỗn Hợp NP AGAMA-AP")</f>
        <v>Hỗn Hợp NP AGAMA-AP</v>
      </c>
      <c r="J881" s="2" t="str">
        <f>IFERROR(__xludf.DUMMYFUNCTION("""COMPUTED_VALUE"""),"Đóng theo đơn gần nhất")</f>
        <v>Đóng theo đơn gần nhất</v>
      </c>
      <c r="K881" s="39">
        <f>IFERROR(__xludf.DUMMYFUNCTION("""COMPUTED_VALUE"""),46185.0)</f>
        <v>46185</v>
      </c>
      <c r="L881" s="2" t="str">
        <f>IFERROR(__xludf.DUMMYFUNCTION("""COMPUTED_VALUE"""),"L03130525")</f>
        <v>L03130525</v>
      </c>
      <c r="M881" s="2" t="str">
        <f>IFERROR(__xludf.DUMMYFUNCTION("""COMPUTED_VALUE"""),"RONADO 
(CẢI TIẾN)")</f>
        <v>RONADO 
(CẢI TIẾN)</v>
      </c>
      <c r="N881" s="2" t="str">
        <f>IFERROR(__xludf.DUMMYFUNCTION("""COMPUTED_VALUE"""),"01RR0072")</f>
        <v>01RR0072</v>
      </c>
      <c r="O881" s="2" t="str">
        <f>IFERROR(__xludf.DUMMYFUNCTION("""COMPUTED_VALUE"""),"Phân bón Hỗn hợp NP AGAMA-AP")</f>
        <v>Phân bón Hỗn hợp NP AGAMA-AP</v>
      </c>
      <c r="P881" s="2" t="str">
        <f>IFERROR(__xludf.DUMMYFUNCTION("""COMPUTED_VALUE"""),"Phân bón Hỗn Hợp NP AGAMA-AP")</f>
        <v>Phân bón Hỗn Hợp NP AGAMA-AP</v>
      </c>
      <c r="Q881" s="30" t="str">
        <f>IFERROR(__xludf.DUMMYFUNCTION("""COMPUTED_VALUE"""),"KHỚP")</f>
        <v>KHỚP</v>
      </c>
      <c r="R881" s="2"/>
      <c r="S881" s="2"/>
      <c r="T881" s="2"/>
      <c r="U881" s="2"/>
      <c r="V881" s="2"/>
      <c r="W881" s="2"/>
      <c r="X881" s="2"/>
      <c r="Y881" s="2"/>
    </row>
    <row r="882">
      <c r="A882" s="30">
        <f>IFERROR(__xludf.DUMMYFUNCTION("""COMPUTED_VALUE"""),879.0)</f>
        <v>879</v>
      </c>
      <c r="B882" s="39">
        <f>IFERROR(__xludf.DUMMYFUNCTION("""COMPUTED_VALUE"""),46002.0)</f>
        <v>46002</v>
      </c>
      <c r="C882" s="30">
        <f>IFERROR(__xludf.DUMMYFUNCTION("""COMPUTED_VALUE"""),4.0)</f>
        <v>4</v>
      </c>
      <c r="D882" s="30" t="str">
        <f>IFERROR(__xludf.DUMMYFUNCTION("""COMPUTED_VALUE"""),"CT CŨ")</f>
        <v>CT CŨ</v>
      </c>
      <c r="E882" s="46">
        <f>IFERROR(__xludf.DUMMYFUNCTION("""COMPUTED_VALUE"""),46175.0)</f>
        <v>46175</v>
      </c>
      <c r="F882" s="2" t="str">
        <f>IFERROR(__xludf.DUMMYFUNCTION("""COMPUTED_VALUE"""),"ITP02062608")</f>
        <v>ITP02062608</v>
      </c>
      <c r="G882" s="2" t="str">
        <f>IFERROR(__xludf.DUMMYFUNCTION("""COMPUTED_VALUE"""),"HH4285")</f>
        <v>HH4285</v>
      </c>
      <c r="H882" s="2" t="str">
        <f>IFERROR(__xludf.DUMMYFUNCTION("""COMPUTED_VALUE"""),"IDA Global - I - 4285 - STOP UP (Nước nâu đen) - 1L - 20")</f>
        <v>IDA Global - I - 4285 - STOP UP (Nước nâu đen) - 1L - 20</v>
      </c>
      <c r="I882" s="2" t="str">
        <f>IFERROR(__xludf.DUMMYFUNCTION("""COMPUTED_VALUE"""),"Vi lượng Quantity New")</f>
        <v>Vi lượng Quantity New</v>
      </c>
      <c r="J882" s="2" t="str">
        <f>IFERROR(__xludf.DUMMYFUNCTION("""COMPUTED_VALUE"""),"Đóng theo đơn gần nhất")</f>
        <v>Đóng theo đơn gần nhất</v>
      </c>
      <c r="K882" s="39">
        <f>IFERROR(__xludf.DUMMYFUNCTION("""COMPUTED_VALUE"""),46184.0)</f>
        <v>46184</v>
      </c>
      <c r="L882" s="2" t="str">
        <f>IFERROR(__xludf.DUMMYFUNCTION("""COMPUTED_VALUE"""),"CHẶN ĐỌT DÒNG V2")</f>
        <v>CHẶN ĐỌT DÒNG V2</v>
      </c>
      <c r="M882" s="2" t="str">
        <f>IFERROR(__xludf.DUMMYFUNCTION("""COMPUTED_VALUE"""),"STOP UP
MT STOP
AGRI STOP
STOP ĐỌT
SIÊU CHẶN ĐỌT
MASTER STOP
UNI STOP ONE
BAMBOO DOUBLE STOP")</f>
        <v>STOP UP
MT STOP
AGRI STOP
STOP ĐỌT
SIÊU CHẶN ĐỌT
MASTER STOP
UNI STOP ONE
BAMBOO DOUBLE STOP</v>
      </c>
      <c r="N882" s="2" t="str">
        <f>IFERROR(__xludf.DUMMYFUNCTION("""COMPUTED_VALUE"""),"06CD0009V3")</f>
        <v>06CD0009V3</v>
      </c>
      <c r="O882" s="2" t="str">
        <f>IFERROR(__xludf.DUMMYFUNCTION("""COMPUTED_VALUE"""),"Phân bón Vi lượng Quantity New")</f>
        <v>Phân bón Vi lượng Quantity New</v>
      </c>
      <c r="P882" s="2" t="str">
        <f>IFERROR(__xludf.DUMMYFUNCTION("""COMPUTED_VALUE"""),"Phân bón Vi lượng Quantity New")</f>
        <v>Phân bón Vi lượng Quantity New</v>
      </c>
      <c r="Q882" s="30" t="str">
        <f>IFERROR(__xludf.DUMMYFUNCTION("""COMPUTED_VALUE"""),"KHỚP")</f>
        <v>KHỚP</v>
      </c>
      <c r="R882" s="2"/>
      <c r="S882" s="2"/>
      <c r="T882" s="2"/>
      <c r="U882" s="2"/>
      <c r="V882" s="2"/>
      <c r="W882" s="2"/>
      <c r="X882" s="2"/>
      <c r="Y882" s="2"/>
    </row>
    <row r="883">
      <c r="A883" s="30">
        <f>IFERROR(__xludf.DUMMYFUNCTION("""COMPUTED_VALUE"""),880.0)</f>
        <v>880</v>
      </c>
      <c r="B883" s="39">
        <f>IFERROR(__xludf.DUMMYFUNCTION("""COMPUTED_VALUE"""),46049.0)</f>
        <v>46049</v>
      </c>
      <c r="C883" s="30">
        <f>IFERROR(__xludf.DUMMYFUNCTION("""COMPUTED_VALUE"""),3.0)</f>
        <v>3</v>
      </c>
      <c r="D883" s="30" t="str">
        <f>IFERROR(__xludf.DUMMYFUNCTION("""COMPUTED_VALUE"""),"CT CŨ")</f>
        <v>CT CŨ</v>
      </c>
      <c r="E883" s="46">
        <f>IFERROR(__xludf.DUMMYFUNCTION("""COMPUTED_VALUE"""),46175.0)</f>
        <v>46175</v>
      </c>
      <c r="F883" s="2" t="str">
        <f>IFERROR(__xludf.DUMMYFUNCTION("""COMPUTED_VALUE"""),"ITP02062609")</f>
        <v>ITP02062609</v>
      </c>
      <c r="G883" s="2" t="str">
        <f>IFERROR(__xludf.DUMMYFUNCTION("""COMPUTED_VALUE"""),"HH4705")</f>
        <v>HH4705</v>
      </c>
      <c r="H883" s="2" t="str">
        <f>IFERROR(__xludf.DUMMYFUNCTION("""COMPUTED_VALUE"""),"IDA Global - I - 4705 - WINNER X2 (Nước đỏ cam) - 500ml - 40")</f>
        <v>IDA Global - I - 4705 - WINNER X2 (Nước đỏ cam) - 500ml - 40</v>
      </c>
      <c r="I883" s="2" t="str">
        <f>IFERROR(__xludf.DUMMYFUNCTION("""COMPUTED_VALUE"""),"Lá PK-Vi lượng SV 5-18")</f>
        <v>Lá PK-Vi lượng SV 5-18</v>
      </c>
      <c r="J883" s="2" t="str">
        <f>IFERROR(__xludf.DUMMYFUNCTION("""COMPUTED_VALUE"""),"Đóng theo đơn gần nhất")</f>
        <v>Đóng theo đơn gần nhất</v>
      </c>
      <c r="K883" s="39">
        <f>IFERROR(__xludf.DUMMYFUNCTION("""COMPUTED_VALUE"""),46183.0)</f>
        <v>46183</v>
      </c>
      <c r="L883" s="2" t="str">
        <f>IFERROR(__xludf.DUMMYFUNCTION("""COMPUTED_VALUE"""),"I01151225")</f>
        <v>I01151225</v>
      </c>
      <c r="M883" s="2" t="str">
        <f>IFERROR(__xludf.DUMMYFUNCTION("""COMPUTED_VALUE"""),"WINNER X2")</f>
        <v>WINNER X2</v>
      </c>
      <c r="N883" s="2" t="str">
        <f>IFERROR(__xludf.DUMMYFUNCTION("""COMPUTED_VALUE"""),"04VG0051")</f>
        <v>04VG0051</v>
      </c>
      <c r="O883" s="2" t="str">
        <f>IFERROR(__xludf.DUMMYFUNCTION("""COMPUTED_VALUE"""),"Phân bón lá PK-Vi lượng SV 5-18")</f>
        <v>Phân bón lá PK-Vi lượng SV 5-18</v>
      </c>
      <c r="P883" s="2" t="str">
        <f>IFERROR(__xludf.DUMMYFUNCTION("""COMPUTED_VALUE"""),"Phân bón Lá PK-Vi lượng SV 5-18")</f>
        <v>Phân bón Lá PK-Vi lượng SV 5-18</v>
      </c>
      <c r="Q883" s="30" t="str">
        <f>IFERROR(__xludf.DUMMYFUNCTION("""COMPUTED_VALUE"""),"KHỚP")</f>
        <v>KHỚP</v>
      </c>
      <c r="R883" s="2"/>
      <c r="S883" s="2"/>
      <c r="T883" s="2"/>
      <c r="U883" s="2"/>
      <c r="V883" s="2"/>
      <c r="W883" s="2"/>
      <c r="X883" s="2"/>
      <c r="Y883" s="2"/>
    </row>
    <row r="884">
      <c r="A884" s="30">
        <f>IFERROR(__xludf.DUMMYFUNCTION("""COMPUTED_VALUE"""),881.0)</f>
        <v>881</v>
      </c>
      <c r="B884" s="39">
        <f>IFERROR(__xludf.DUMMYFUNCTION("""COMPUTED_VALUE"""),45938.0)</f>
        <v>45938</v>
      </c>
      <c r="C884" s="30">
        <f>IFERROR(__xludf.DUMMYFUNCTION("""COMPUTED_VALUE"""),2.0)</f>
        <v>2</v>
      </c>
      <c r="D884" s="30" t="str">
        <f>IFERROR(__xludf.DUMMYFUNCTION("""COMPUTED_VALUE"""),"CT CŨ")</f>
        <v>CT CŨ</v>
      </c>
      <c r="E884" s="46">
        <f>IFERROR(__xludf.DUMMYFUNCTION("""COMPUTED_VALUE"""),46175.0)</f>
        <v>46175</v>
      </c>
      <c r="F884" s="2" t="str">
        <f>IFERROR(__xludf.DUMMYFUNCTION("""COMPUTED_VALUE"""),"ATP02062603")</f>
        <v>ATP02062603</v>
      </c>
      <c r="G884" s="2" t="str">
        <f>IFERROR(__xludf.DUMMYFUNCTION("""COMPUTED_VALUE"""),"HH5049")</f>
        <v>HH5049</v>
      </c>
      <c r="H884" s="2" t="str">
        <f>IFERROR(__xludf.DUMMYFUNCTION("""COMPUTED_VALUE"""),"GC - V - 5049 - CTY GNH - Ra Rễ Nở Bụi (Nước nâu đen) - 1L - 20")</f>
        <v>GC - V - 5049 - CTY GNH - Ra Rễ Nở Bụi (Nước nâu đen) - 1L - 20</v>
      </c>
      <c r="I884" s="2" t="str">
        <f>IFERROR(__xludf.DUMMYFUNCTION("""COMPUTED_VALUE"""),"Vi lượng Quantity New")</f>
        <v>Vi lượng Quantity New</v>
      </c>
      <c r="J884" s="2" t="str">
        <f>IFERROR(__xludf.DUMMYFUNCTION("""COMPUTED_VALUE"""),"cùng ruột  HH4301")</f>
        <v>cùng ruột  HH4301</v>
      </c>
      <c r="K884" s="39">
        <f>IFERROR(__xludf.DUMMYFUNCTION("""COMPUTED_VALUE"""),46184.0)</f>
        <v>46184</v>
      </c>
      <c r="L884" s="2" t="str">
        <f>IFERROR(__xludf.DUMMYFUNCTION("""COMPUTED_VALUE"""),"A06270225")</f>
        <v>A06270225</v>
      </c>
      <c r="M884" s="2" t="str">
        <f>IFERROR(__xludf.DUMMYFUNCTION("""COMPUTED_VALUE"""),"RA RỄ NỞ BỤI")</f>
        <v>RA RỄ NỞ BỤI</v>
      </c>
      <c r="N884" s="2" t="str">
        <f>IFERROR(__xludf.DUMMYFUNCTION("""COMPUTED_VALUE"""),"01RR0049V1")</f>
        <v>01RR0049V1</v>
      </c>
      <c r="O884" s="2" t="str">
        <f>IFERROR(__xludf.DUMMYFUNCTION("""COMPUTED_VALUE"""),"Phân bón Vi lượng Quantity New")</f>
        <v>Phân bón Vi lượng Quantity New</v>
      </c>
      <c r="P884" s="2" t="str">
        <f>IFERROR(__xludf.DUMMYFUNCTION("""COMPUTED_VALUE"""),"Phân bón Vi lượng Quantity New")</f>
        <v>Phân bón Vi lượng Quantity New</v>
      </c>
      <c r="Q884" s="30" t="str">
        <f>IFERROR(__xludf.DUMMYFUNCTION("""COMPUTED_VALUE"""),"KHỚP")</f>
        <v>KHỚP</v>
      </c>
      <c r="R884" s="2"/>
      <c r="S884" s="2"/>
      <c r="T884" s="2"/>
      <c r="U884" s="2"/>
      <c r="V884" s="2"/>
      <c r="W884" s="2"/>
      <c r="X884" s="2"/>
      <c r="Y884" s="2"/>
    </row>
    <row r="885">
      <c r="A885" s="30">
        <f>IFERROR(__xludf.DUMMYFUNCTION("""COMPUTED_VALUE"""),882.0)</f>
        <v>882</v>
      </c>
      <c r="B885" s="39">
        <f>IFERROR(__xludf.DUMMYFUNCTION("""COMPUTED_VALUE"""),45896.0)</f>
        <v>45896</v>
      </c>
      <c r="C885" s="30">
        <f>IFERROR(__xludf.DUMMYFUNCTION("""COMPUTED_VALUE"""),1.0)</f>
        <v>1</v>
      </c>
      <c r="D885" s="30" t="str">
        <f>IFERROR(__xludf.DUMMYFUNCTION("""COMPUTED_VALUE"""),"CT CŨ")</f>
        <v>CT CŨ</v>
      </c>
      <c r="E885" s="46">
        <f>IFERROR(__xludf.DUMMYFUNCTION("""COMPUTED_VALUE"""),46175.0)</f>
        <v>46175</v>
      </c>
      <c r="F885" s="2" t="str">
        <f>IFERROR(__xludf.DUMMYFUNCTION("""COMPUTED_VALUE"""),"ATP02062604")</f>
        <v>ATP02062604</v>
      </c>
      <c r="G885" s="2" t="str">
        <f>IFERROR(__xludf.DUMMYFUNCTION("""COMPUTED_VALUE"""),"HH5038")</f>
        <v>HH5038</v>
      </c>
      <c r="H885" s="2" t="str">
        <f>IFERROR(__xludf.DUMMYFUNCTION("""COMPUTED_VALUE"""),"GC - X - 5038 - CTY ACE VN - BOCAXI (Nước trắng sữa) - 50ml - 100")</f>
        <v>GC - X - 5038 - CTY ACE VN - BOCAXI (Nước trắng sữa) - 50ml - 100</v>
      </c>
      <c r="I885" s="2" t="str">
        <f>IFERROR(__xludf.DUMMYFUNCTION("""COMPUTED_VALUE"""),"Vi lượng AGAMA-CANXI BO")</f>
        <v>Vi lượng AGAMA-CANXI BO</v>
      </c>
      <c r="J885" s="2" t="str">
        <f>IFERROR(__xludf.DUMMYFUNCTION("""COMPUTED_VALUE"""),"A02160725")</f>
        <v>A02160725</v>
      </c>
      <c r="K885" s="39">
        <f>IFERROR(__xludf.DUMMYFUNCTION("""COMPUTED_VALUE"""),46188.0)</f>
        <v>46188</v>
      </c>
      <c r="L885" s="2" t="str">
        <f>IFERROR(__xludf.DUMMYFUNCTION("""COMPUTED_VALUE"""),"A02160725")</f>
        <v>A02160725</v>
      </c>
      <c r="M885" s="2" t="str">
        <f>IFERROR(__xludf.DUMMYFUNCTION("""COMPUTED_VALUE"""),"AGAMA-CANXI BO
(KIM NGỌC)")</f>
        <v>AGAMA-CANXI BO
(KIM NGỌC)</v>
      </c>
      <c r="N885" s="2" t="str">
        <f>IFERROR(__xludf.DUMMYFUNCTION("""COMPUTED_VALUE"""),"10CR0021")</f>
        <v>10CR0021</v>
      </c>
      <c r="O885" s="2" t="str">
        <f>IFERROR(__xludf.DUMMYFUNCTION("""COMPUTED_VALUE"""),"Phân bón Vi lượng AGAMA-CANXI BO")</f>
        <v>Phân bón Vi lượng AGAMA-CANXI BO</v>
      </c>
      <c r="P885" s="2" t="str">
        <f>IFERROR(__xludf.DUMMYFUNCTION("""COMPUTED_VALUE"""),"Phân bón Vi lượng AGAMA-CANXI BO")</f>
        <v>Phân bón Vi lượng AGAMA-CANXI BO</v>
      </c>
      <c r="Q885" s="30" t="str">
        <f>IFERROR(__xludf.DUMMYFUNCTION("""COMPUTED_VALUE"""),"KHỚP")</f>
        <v>KHỚP</v>
      </c>
      <c r="R885" s="2"/>
      <c r="S885" s="2"/>
      <c r="T885" s="2"/>
      <c r="U885" s="2"/>
      <c r="V885" s="2"/>
      <c r="W885" s="2"/>
      <c r="X885" s="2"/>
      <c r="Y885" s="2"/>
    </row>
    <row r="886">
      <c r="A886" s="30">
        <f>IFERROR(__xludf.DUMMYFUNCTION("""COMPUTED_VALUE"""),883.0)</f>
        <v>883</v>
      </c>
      <c r="B886" s="39">
        <f>IFERROR(__xludf.DUMMYFUNCTION("""COMPUTED_VALUE"""),46036.0)</f>
        <v>46036</v>
      </c>
      <c r="C886" s="30">
        <f>IFERROR(__xludf.DUMMYFUNCTION("""COMPUTED_VALUE"""),2.0)</f>
        <v>2</v>
      </c>
      <c r="D886" s="30" t="str">
        <f>IFERROR(__xludf.DUMMYFUNCTION("""COMPUTED_VALUE"""),"CT CŨ")</f>
        <v>CT CŨ</v>
      </c>
      <c r="E886" s="46">
        <f>IFERROR(__xludf.DUMMYFUNCTION("""COMPUTED_VALUE"""),46176.0)</f>
        <v>46176</v>
      </c>
      <c r="F886" s="2" t="str">
        <f>IFERROR(__xludf.DUMMYFUNCTION("""COMPUTED_VALUE"""),"ATP03062604")</f>
        <v>ATP03062604</v>
      </c>
      <c r="G886" s="2" t="str">
        <f>IFERROR(__xludf.DUMMYFUNCTION("""COMPUTED_VALUE"""),"HH4819")</f>
        <v>HH4819</v>
      </c>
      <c r="H886" s="2" t="str">
        <f>IFERROR(__xludf.DUMMYFUNCTION("""COMPUTED_VALUE"""),"GC - V - 4819 - CTY ASAHI NHẬT BẢN - KINONE KÍCH RỄ (Nước nâu đen) - 18.5L -1")</f>
        <v>GC - V - 4819 - CTY ASAHI NHẬT BẢN - KINONE KÍCH RỄ (Nước nâu đen) - 18.5L -1</v>
      </c>
      <c r="I886" s="2" t="str">
        <f>IFERROR(__xludf.DUMMYFUNCTION("""COMPUTED_VALUE"""),"Hữu cơ SH Agro Organic Fertilizer 20")</f>
        <v>Hữu cơ SH Agro Organic Fertilizer 20</v>
      </c>
      <c r="J886" s="2" t="str">
        <f>IFERROR(__xludf.DUMMYFUNCTION("""COMPUTED_VALUE"""),"A05291024")</f>
        <v>A05291024</v>
      </c>
      <c r="K886" s="39">
        <f>IFERROR(__xludf.DUMMYFUNCTION("""COMPUTED_VALUE"""),46188.0)</f>
        <v>46188</v>
      </c>
      <c r="L886" s="2" t="str">
        <f>IFERROR(__xludf.DUMMYFUNCTION("""COMPUTED_VALUE"""),"A06291024")</f>
        <v>A06291024</v>
      </c>
      <c r="M886" s="2" t="str">
        <f>IFERROR(__xludf.DUMMYFUNCTION("""COMPUTED_VALUE"""),"ULTRA BUD")</f>
        <v>ULTRA BUD</v>
      </c>
      <c r="N886" s="2" t="str">
        <f>IFERROR(__xludf.DUMMYFUNCTION("""COMPUTED_VALUE"""),"01RR0036V2")</f>
        <v>01RR0036V2</v>
      </c>
      <c r="O886" s="2" t="str">
        <f>IFERROR(__xludf.DUMMYFUNCTION("""COMPUTED_VALUE"""),"Phân bón Hữu cơ SH Agro Organic Fertilizer 20")</f>
        <v>Phân bón Hữu cơ SH Agro Organic Fertilizer 20</v>
      </c>
      <c r="P886" s="2" t="str">
        <f>IFERROR(__xludf.DUMMYFUNCTION("""COMPUTED_VALUE"""),"Phân bón Hữu cơ SH Agro Organic Fertilizer 20")</f>
        <v>Phân bón Hữu cơ SH Agro Organic Fertilizer 20</v>
      </c>
      <c r="Q886" s="30" t="str">
        <f>IFERROR(__xludf.DUMMYFUNCTION("""COMPUTED_VALUE"""),"KHỚP")</f>
        <v>KHỚP</v>
      </c>
      <c r="R886" s="2"/>
      <c r="S886" s="2"/>
      <c r="T886" s="2"/>
      <c r="U886" s="2"/>
      <c r="V886" s="2"/>
      <c r="W886" s="2"/>
      <c r="X886" s="2"/>
      <c r="Y886" s="2"/>
    </row>
    <row r="887">
      <c r="A887" s="30">
        <f>IFERROR(__xludf.DUMMYFUNCTION("""COMPUTED_VALUE"""),884.0)</f>
        <v>884</v>
      </c>
      <c r="B887" s="39" t="str">
        <f>IFERROR(__xludf.DUMMYFUNCTION("""COMPUTED_VALUE"""),"")</f>
        <v/>
      </c>
      <c r="C887" s="30">
        <f>IFERROR(__xludf.DUMMYFUNCTION("""COMPUTED_VALUE"""),0.0)</f>
        <v>0</v>
      </c>
      <c r="D887" s="30"/>
      <c r="E887" s="46" t="str">
        <f>IFERROR(__xludf.DUMMYFUNCTION("""COMPUTED_VALUE"""),"")</f>
        <v/>
      </c>
      <c r="F887" s="2"/>
      <c r="G887" s="2" t="str">
        <f>IFERROR(__xludf.DUMMYFUNCTION("""COMPUTED_VALUE"""),"")</f>
        <v/>
      </c>
      <c r="H887" s="2" t="str">
        <f>IFERROR(__xludf.DUMMYFUNCTION("""COMPUTED_VALUE"""),"")</f>
        <v/>
      </c>
      <c r="I887" s="2" t="str">
        <f>IFERROR(__xludf.DUMMYFUNCTION("""COMPUTED_VALUE"""),"")</f>
        <v/>
      </c>
      <c r="J887" s="2" t="str">
        <f>IFERROR(__xludf.DUMMYFUNCTION("""COMPUTED_VALUE"""),"")</f>
        <v/>
      </c>
      <c r="K887" s="39" t="str">
        <f>IFERROR(__xludf.DUMMYFUNCTION("""COMPUTED_VALUE"""),"")</f>
        <v/>
      </c>
      <c r="L887" s="2" t="str">
        <f>IFERROR(__xludf.DUMMYFUNCTION("""COMPUTED_VALUE"""),"")</f>
        <v/>
      </c>
      <c r="M887" s="2" t="str">
        <f>IFERROR(__xludf.DUMMYFUNCTION("""COMPUTED_VALUE"""),"")</f>
        <v/>
      </c>
      <c r="N887" s="2"/>
      <c r="O887" s="2" t="str">
        <f>IFERROR(__xludf.DUMMYFUNCTION("""COMPUTED_VALUE"""),"")</f>
        <v/>
      </c>
      <c r="P887" s="2" t="str">
        <f>IFERROR(__xludf.DUMMYFUNCTION("""COMPUTED_VALUE"""),"Phân bón ")</f>
        <v>Phân bón </v>
      </c>
      <c r="Q887" s="30" t="str">
        <f>IFERROR(__xludf.DUMMYFUNCTION("""COMPUTED_VALUE"""),"")</f>
        <v/>
      </c>
      <c r="R887" s="2"/>
      <c r="S887" s="2"/>
      <c r="T887" s="2"/>
      <c r="U887" s="2"/>
      <c r="V887" s="2"/>
      <c r="W887" s="2"/>
      <c r="X887" s="2"/>
      <c r="Y887" s="2"/>
    </row>
    <row r="888">
      <c r="A888" s="30">
        <f>IFERROR(__xludf.DUMMYFUNCTION("""COMPUTED_VALUE"""),885.0)</f>
        <v>885</v>
      </c>
      <c r="B888" s="39" t="str">
        <f>IFERROR(__xludf.DUMMYFUNCTION("""COMPUTED_VALUE"""),"")</f>
        <v/>
      </c>
      <c r="C888" s="30">
        <f>IFERROR(__xludf.DUMMYFUNCTION("""COMPUTED_VALUE"""),0.0)</f>
        <v>0</v>
      </c>
      <c r="D888" s="30"/>
      <c r="E888" s="46" t="str">
        <f>IFERROR(__xludf.DUMMYFUNCTION("""COMPUTED_VALUE"""),"")</f>
        <v/>
      </c>
      <c r="F888" s="2"/>
      <c r="G888" s="2" t="str">
        <f>IFERROR(__xludf.DUMMYFUNCTION("""COMPUTED_VALUE"""),"")</f>
        <v/>
      </c>
      <c r="H888" s="2" t="str">
        <f>IFERROR(__xludf.DUMMYFUNCTION("""COMPUTED_VALUE"""),"")</f>
        <v/>
      </c>
      <c r="I888" s="2" t="str">
        <f>IFERROR(__xludf.DUMMYFUNCTION("""COMPUTED_VALUE"""),"")</f>
        <v/>
      </c>
      <c r="J888" s="2" t="str">
        <f>IFERROR(__xludf.DUMMYFUNCTION("""COMPUTED_VALUE"""),"")</f>
        <v/>
      </c>
      <c r="K888" s="39" t="str">
        <f>IFERROR(__xludf.DUMMYFUNCTION("""COMPUTED_VALUE"""),"")</f>
        <v/>
      </c>
      <c r="L888" s="2" t="str">
        <f>IFERROR(__xludf.DUMMYFUNCTION("""COMPUTED_VALUE"""),"")</f>
        <v/>
      </c>
      <c r="M888" s="2" t="str">
        <f>IFERROR(__xludf.DUMMYFUNCTION("""COMPUTED_VALUE"""),"")</f>
        <v/>
      </c>
      <c r="N888" s="2"/>
      <c r="O888" s="2" t="str">
        <f>IFERROR(__xludf.DUMMYFUNCTION("""COMPUTED_VALUE"""),"")</f>
        <v/>
      </c>
      <c r="P888" s="2" t="str">
        <f>IFERROR(__xludf.DUMMYFUNCTION("""COMPUTED_VALUE"""),"Phân bón ")</f>
        <v>Phân bón </v>
      </c>
      <c r="Q888" s="30" t="str">
        <f>IFERROR(__xludf.DUMMYFUNCTION("""COMPUTED_VALUE"""),"")</f>
        <v/>
      </c>
      <c r="R888" s="2"/>
      <c r="S888" s="2"/>
      <c r="T888" s="2"/>
      <c r="U888" s="2"/>
      <c r="V888" s="2"/>
      <c r="W888" s="2"/>
      <c r="X888" s="2"/>
      <c r="Y888" s="2"/>
    </row>
    <row r="889">
      <c r="A889" s="30">
        <f>IFERROR(__xludf.DUMMYFUNCTION("""COMPUTED_VALUE"""),886.0)</f>
        <v>886</v>
      </c>
      <c r="B889" s="39" t="str">
        <f>IFERROR(__xludf.DUMMYFUNCTION("""COMPUTED_VALUE"""),"")</f>
        <v/>
      </c>
      <c r="C889" s="30">
        <f>IFERROR(__xludf.DUMMYFUNCTION("""COMPUTED_VALUE"""),0.0)</f>
        <v>0</v>
      </c>
      <c r="D889" s="30"/>
      <c r="E889" s="46" t="str">
        <f>IFERROR(__xludf.DUMMYFUNCTION("""COMPUTED_VALUE"""),"")</f>
        <v/>
      </c>
      <c r="F889" s="2"/>
      <c r="G889" s="2" t="str">
        <f>IFERROR(__xludf.DUMMYFUNCTION("""COMPUTED_VALUE"""),"")</f>
        <v/>
      </c>
      <c r="H889" s="2" t="str">
        <f>IFERROR(__xludf.DUMMYFUNCTION("""COMPUTED_VALUE"""),"")</f>
        <v/>
      </c>
      <c r="I889" s="2" t="str">
        <f>IFERROR(__xludf.DUMMYFUNCTION("""COMPUTED_VALUE"""),"")</f>
        <v/>
      </c>
      <c r="J889" s="2" t="str">
        <f>IFERROR(__xludf.DUMMYFUNCTION("""COMPUTED_VALUE"""),"")</f>
        <v/>
      </c>
      <c r="K889" s="39" t="str">
        <f>IFERROR(__xludf.DUMMYFUNCTION("""COMPUTED_VALUE"""),"")</f>
        <v/>
      </c>
      <c r="L889" s="2" t="str">
        <f>IFERROR(__xludf.DUMMYFUNCTION("""COMPUTED_VALUE"""),"")</f>
        <v/>
      </c>
      <c r="M889" s="2" t="str">
        <f>IFERROR(__xludf.DUMMYFUNCTION("""COMPUTED_VALUE"""),"")</f>
        <v/>
      </c>
      <c r="N889" s="2"/>
      <c r="O889" s="2" t="str">
        <f>IFERROR(__xludf.DUMMYFUNCTION("""COMPUTED_VALUE"""),"")</f>
        <v/>
      </c>
      <c r="P889" s="2" t="str">
        <f>IFERROR(__xludf.DUMMYFUNCTION("""COMPUTED_VALUE"""),"Phân bón ")</f>
        <v>Phân bón </v>
      </c>
      <c r="Q889" s="30" t="str">
        <f>IFERROR(__xludf.DUMMYFUNCTION("""COMPUTED_VALUE"""),"")</f>
        <v/>
      </c>
      <c r="R889" s="2"/>
      <c r="S889" s="2"/>
      <c r="T889" s="2"/>
      <c r="U889" s="2"/>
      <c r="V889" s="2"/>
      <c r="W889" s="2"/>
      <c r="X889" s="2"/>
      <c r="Y889" s="2"/>
    </row>
    <row r="890">
      <c r="A890" s="30">
        <f>IFERROR(__xludf.DUMMYFUNCTION("""COMPUTED_VALUE"""),887.0)</f>
        <v>887</v>
      </c>
      <c r="B890" s="39" t="str">
        <f>IFERROR(__xludf.DUMMYFUNCTION("""COMPUTED_VALUE"""),"")</f>
        <v/>
      </c>
      <c r="C890" s="30">
        <f>IFERROR(__xludf.DUMMYFUNCTION("""COMPUTED_VALUE"""),0.0)</f>
        <v>0</v>
      </c>
      <c r="D890" s="30"/>
      <c r="E890" s="46" t="str">
        <f>IFERROR(__xludf.DUMMYFUNCTION("""COMPUTED_VALUE"""),"")</f>
        <v/>
      </c>
      <c r="F890" s="2"/>
      <c r="G890" s="2" t="str">
        <f>IFERROR(__xludf.DUMMYFUNCTION("""COMPUTED_VALUE"""),"")</f>
        <v/>
      </c>
      <c r="H890" s="2" t="str">
        <f>IFERROR(__xludf.DUMMYFUNCTION("""COMPUTED_VALUE"""),"")</f>
        <v/>
      </c>
      <c r="I890" s="2" t="str">
        <f>IFERROR(__xludf.DUMMYFUNCTION("""COMPUTED_VALUE"""),"")</f>
        <v/>
      </c>
      <c r="J890" s="2" t="str">
        <f>IFERROR(__xludf.DUMMYFUNCTION("""COMPUTED_VALUE"""),"")</f>
        <v/>
      </c>
      <c r="K890" s="39" t="str">
        <f>IFERROR(__xludf.DUMMYFUNCTION("""COMPUTED_VALUE"""),"")</f>
        <v/>
      </c>
      <c r="L890" s="2" t="str">
        <f>IFERROR(__xludf.DUMMYFUNCTION("""COMPUTED_VALUE"""),"")</f>
        <v/>
      </c>
      <c r="M890" s="2" t="str">
        <f>IFERROR(__xludf.DUMMYFUNCTION("""COMPUTED_VALUE"""),"")</f>
        <v/>
      </c>
      <c r="N890" s="2"/>
      <c r="O890" s="2" t="str">
        <f>IFERROR(__xludf.DUMMYFUNCTION("""COMPUTED_VALUE"""),"")</f>
        <v/>
      </c>
      <c r="P890" s="2" t="str">
        <f>IFERROR(__xludf.DUMMYFUNCTION("""COMPUTED_VALUE"""),"Phân bón ")</f>
        <v>Phân bón </v>
      </c>
      <c r="Q890" s="30" t="str">
        <f>IFERROR(__xludf.DUMMYFUNCTION("""COMPUTED_VALUE"""),"")</f>
        <v/>
      </c>
      <c r="R890" s="2"/>
      <c r="S890" s="2"/>
      <c r="T890" s="2"/>
      <c r="U890" s="2"/>
      <c r="V890" s="2"/>
      <c r="W890" s="2"/>
      <c r="X890" s="2"/>
      <c r="Y890" s="2"/>
    </row>
    <row r="891">
      <c r="A891" s="30">
        <f>IFERROR(__xludf.DUMMYFUNCTION("""COMPUTED_VALUE"""),888.0)</f>
        <v>888</v>
      </c>
      <c r="B891" s="39" t="str">
        <f>IFERROR(__xludf.DUMMYFUNCTION("""COMPUTED_VALUE"""),"")</f>
        <v/>
      </c>
      <c r="C891" s="30">
        <f>IFERROR(__xludf.DUMMYFUNCTION("""COMPUTED_VALUE"""),0.0)</f>
        <v>0</v>
      </c>
      <c r="D891" s="30"/>
      <c r="E891" s="46" t="str">
        <f>IFERROR(__xludf.DUMMYFUNCTION("""COMPUTED_VALUE"""),"")</f>
        <v/>
      </c>
      <c r="F891" s="2"/>
      <c r="G891" s="2" t="str">
        <f>IFERROR(__xludf.DUMMYFUNCTION("""COMPUTED_VALUE"""),"")</f>
        <v/>
      </c>
      <c r="H891" s="2" t="str">
        <f>IFERROR(__xludf.DUMMYFUNCTION("""COMPUTED_VALUE"""),"")</f>
        <v/>
      </c>
      <c r="I891" s="2" t="str">
        <f>IFERROR(__xludf.DUMMYFUNCTION("""COMPUTED_VALUE"""),"")</f>
        <v/>
      </c>
      <c r="J891" s="2" t="str">
        <f>IFERROR(__xludf.DUMMYFUNCTION("""COMPUTED_VALUE"""),"")</f>
        <v/>
      </c>
      <c r="K891" s="39" t="str">
        <f>IFERROR(__xludf.DUMMYFUNCTION("""COMPUTED_VALUE"""),"")</f>
        <v/>
      </c>
      <c r="L891" s="2" t="str">
        <f>IFERROR(__xludf.DUMMYFUNCTION("""COMPUTED_VALUE"""),"")</f>
        <v/>
      </c>
      <c r="M891" s="2" t="str">
        <f>IFERROR(__xludf.DUMMYFUNCTION("""COMPUTED_VALUE"""),"")</f>
        <v/>
      </c>
      <c r="N891" s="2"/>
      <c r="O891" s="2" t="str">
        <f>IFERROR(__xludf.DUMMYFUNCTION("""COMPUTED_VALUE"""),"")</f>
        <v/>
      </c>
      <c r="P891" s="2" t="str">
        <f>IFERROR(__xludf.DUMMYFUNCTION("""COMPUTED_VALUE"""),"Phân bón ")</f>
        <v>Phân bón </v>
      </c>
      <c r="Q891" s="30" t="str">
        <f>IFERROR(__xludf.DUMMYFUNCTION("""COMPUTED_VALUE"""),"")</f>
        <v/>
      </c>
      <c r="R891" s="2"/>
      <c r="S891" s="2"/>
      <c r="T891" s="2"/>
      <c r="U891" s="2"/>
      <c r="V891" s="2"/>
      <c r="W891" s="2"/>
      <c r="X891" s="2"/>
      <c r="Y891" s="2"/>
    </row>
    <row r="892">
      <c r="A892" s="30">
        <f>IFERROR(__xludf.DUMMYFUNCTION("""COMPUTED_VALUE"""),889.0)</f>
        <v>889</v>
      </c>
      <c r="B892" s="39" t="str">
        <f>IFERROR(__xludf.DUMMYFUNCTION("""COMPUTED_VALUE"""),"")</f>
        <v/>
      </c>
      <c r="C892" s="30">
        <f>IFERROR(__xludf.DUMMYFUNCTION("""COMPUTED_VALUE"""),0.0)</f>
        <v>0</v>
      </c>
      <c r="D892" s="30"/>
      <c r="E892" s="46" t="str">
        <f>IFERROR(__xludf.DUMMYFUNCTION("""COMPUTED_VALUE"""),"")</f>
        <v/>
      </c>
      <c r="F892" s="2"/>
      <c r="G892" s="2" t="str">
        <f>IFERROR(__xludf.DUMMYFUNCTION("""COMPUTED_VALUE"""),"")</f>
        <v/>
      </c>
      <c r="H892" s="2" t="str">
        <f>IFERROR(__xludf.DUMMYFUNCTION("""COMPUTED_VALUE"""),"")</f>
        <v/>
      </c>
      <c r="I892" s="2" t="str">
        <f>IFERROR(__xludf.DUMMYFUNCTION("""COMPUTED_VALUE"""),"")</f>
        <v/>
      </c>
      <c r="J892" s="2" t="str">
        <f>IFERROR(__xludf.DUMMYFUNCTION("""COMPUTED_VALUE"""),"")</f>
        <v/>
      </c>
      <c r="K892" s="39" t="str">
        <f>IFERROR(__xludf.DUMMYFUNCTION("""COMPUTED_VALUE"""),"")</f>
        <v/>
      </c>
      <c r="L892" s="2" t="str">
        <f>IFERROR(__xludf.DUMMYFUNCTION("""COMPUTED_VALUE"""),"")</f>
        <v/>
      </c>
      <c r="M892" s="2" t="str">
        <f>IFERROR(__xludf.DUMMYFUNCTION("""COMPUTED_VALUE"""),"")</f>
        <v/>
      </c>
      <c r="N892" s="2"/>
      <c r="O892" s="2" t="str">
        <f>IFERROR(__xludf.DUMMYFUNCTION("""COMPUTED_VALUE"""),"")</f>
        <v/>
      </c>
      <c r="P892" s="2" t="str">
        <f>IFERROR(__xludf.DUMMYFUNCTION("""COMPUTED_VALUE"""),"Phân bón ")</f>
        <v>Phân bón </v>
      </c>
      <c r="Q892" s="30" t="str">
        <f>IFERROR(__xludf.DUMMYFUNCTION("""COMPUTED_VALUE"""),"")</f>
        <v/>
      </c>
      <c r="R892" s="2"/>
      <c r="S892" s="2"/>
      <c r="T892" s="2"/>
      <c r="U892" s="2"/>
      <c r="V892" s="2"/>
      <c r="W892" s="2"/>
      <c r="X892" s="2"/>
      <c r="Y892" s="2"/>
    </row>
    <row r="893">
      <c r="A893" s="30">
        <f>IFERROR(__xludf.DUMMYFUNCTION("""COMPUTED_VALUE"""),890.0)</f>
        <v>890</v>
      </c>
      <c r="B893" s="39" t="str">
        <f>IFERROR(__xludf.DUMMYFUNCTION("""COMPUTED_VALUE"""),"")</f>
        <v/>
      </c>
      <c r="C893" s="30">
        <f>IFERROR(__xludf.DUMMYFUNCTION("""COMPUTED_VALUE"""),0.0)</f>
        <v>0</v>
      </c>
      <c r="D893" s="30"/>
      <c r="E893" s="46" t="str">
        <f>IFERROR(__xludf.DUMMYFUNCTION("""COMPUTED_VALUE"""),"")</f>
        <v/>
      </c>
      <c r="F893" s="2"/>
      <c r="G893" s="2" t="str">
        <f>IFERROR(__xludf.DUMMYFUNCTION("""COMPUTED_VALUE"""),"")</f>
        <v/>
      </c>
      <c r="H893" s="2" t="str">
        <f>IFERROR(__xludf.DUMMYFUNCTION("""COMPUTED_VALUE"""),"")</f>
        <v/>
      </c>
      <c r="I893" s="2" t="str">
        <f>IFERROR(__xludf.DUMMYFUNCTION("""COMPUTED_VALUE"""),"")</f>
        <v/>
      </c>
      <c r="J893" s="2" t="str">
        <f>IFERROR(__xludf.DUMMYFUNCTION("""COMPUTED_VALUE"""),"")</f>
        <v/>
      </c>
      <c r="K893" s="39" t="str">
        <f>IFERROR(__xludf.DUMMYFUNCTION("""COMPUTED_VALUE"""),"")</f>
        <v/>
      </c>
      <c r="L893" s="2" t="str">
        <f>IFERROR(__xludf.DUMMYFUNCTION("""COMPUTED_VALUE"""),"")</f>
        <v/>
      </c>
      <c r="M893" s="2" t="str">
        <f>IFERROR(__xludf.DUMMYFUNCTION("""COMPUTED_VALUE"""),"")</f>
        <v/>
      </c>
      <c r="N893" s="2"/>
      <c r="O893" s="2" t="str">
        <f>IFERROR(__xludf.DUMMYFUNCTION("""COMPUTED_VALUE"""),"")</f>
        <v/>
      </c>
      <c r="P893" s="2" t="str">
        <f>IFERROR(__xludf.DUMMYFUNCTION("""COMPUTED_VALUE"""),"Phân bón ")</f>
        <v>Phân bón </v>
      </c>
      <c r="Q893" s="30" t="str">
        <f>IFERROR(__xludf.DUMMYFUNCTION("""COMPUTED_VALUE"""),"")</f>
        <v/>
      </c>
      <c r="R893" s="2"/>
      <c r="S893" s="2"/>
      <c r="T893" s="2"/>
      <c r="U893" s="2"/>
      <c r="V893" s="2"/>
      <c r="W893" s="2"/>
      <c r="X893" s="2"/>
      <c r="Y893" s="2"/>
    </row>
    <row r="894">
      <c r="A894" s="30">
        <f>IFERROR(__xludf.DUMMYFUNCTION("""COMPUTED_VALUE"""),891.0)</f>
        <v>891</v>
      </c>
      <c r="B894" s="39" t="str">
        <f>IFERROR(__xludf.DUMMYFUNCTION("""COMPUTED_VALUE"""),"")</f>
        <v/>
      </c>
      <c r="C894" s="30">
        <f>IFERROR(__xludf.DUMMYFUNCTION("""COMPUTED_VALUE"""),0.0)</f>
        <v>0</v>
      </c>
      <c r="D894" s="30"/>
      <c r="E894" s="46" t="str">
        <f>IFERROR(__xludf.DUMMYFUNCTION("""COMPUTED_VALUE"""),"")</f>
        <v/>
      </c>
      <c r="F894" s="2"/>
      <c r="G894" s="2" t="str">
        <f>IFERROR(__xludf.DUMMYFUNCTION("""COMPUTED_VALUE"""),"")</f>
        <v/>
      </c>
      <c r="H894" s="2" t="str">
        <f>IFERROR(__xludf.DUMMYFUNCTION("""COMPUTED_VALUE"""),"")</f>
        <v/>
      </c>
      <c r="I894" s="2" t="str">
        <f>IFERROR(__xludf.DUMMYFUNCTION("""COMPUTED_VALUE"""),"")</f>
        <v/>
      </c>
      <c r="J894" s="2" t="str">
        <f>IFERROR(__xludf.DUMMYFUNCTION("""COMPUTED_VALUE"""),"")</f>
        <v/>
      </c>
      <c r="K894" s="39" t="str">
        <f>IFERROR(__xludf.DUMMYFUNCTION("""COMPUTED_VALUE"""),"")</f>
        <v/>
      </c>
      <c r="L894" s="2" t="str">
        <f>IFERROR(__xludf.DUMMYFUNCTION("""COMPUTED_VALUE"""),"")</f>
        <v/>
      </c>
      <c r="M894" s="2" t="str">
        <f>IFERROR(__xludf.DUMMYFUNCTION("""COMPUTED_VALUE"""),"")</f>
        <v/>
      </c>
      <c r="N894" s="2"/>
      <c r="O894" s="2" t="str">
        <f>IFERROR(__xludf.DUMMYFUNCTION("""COMPUTED_VALUE"""),"")</f>
        <v/>
      </c>
      <c r="P894" s="2" t="str">
        <f>IFERROR(__xludf.DUMMYFUNCTION("""COMPUTED_VALUE"""),"Phân bón ")</f>
        <v>Phân bón </v>
      </c>
      <c r="Q894" s="30" t="str">
        <f>IFERROR(__xludf.DUMMYFUNCTION("""COMPUTED_VALUE"""),"")</f>
        <v/>
      </c>
      <c r="R894" s="2"/>
      <c r="S894" s="2"/>
      <c r="T894" s="2"/>
      <c r="U894" s="2"/>
      <c r="V894" s="2"/>
      <c r="W894" s="2"/>
      <c r="X894" s="2"/>
      <c r="Y894" s="2"/>
    </row>
    <row r="895">
      <c r="A895" s="30">
        <f>IFERROR(__xludf.DUMMYFUNCTION("""COMPUTED_VALUE"""),892.0)</f>
        <v>892</v>
      </c>
      <c r="B895" s="39" t="str">
        <f>IFERROR(__xludf.DUMMYFUNCTION("""COMPUTED_VALUE"""),"")</f>
        <v/>
      </c>
      <c r="C895" s="30">
        <f>IFERROR(__xludf.DUMMYFUNCTION("""COMPUTED_VALUE"""),0.0)</f>
        <v>0</v>
      </c>
      <c r="D895" s="30"/>
      <c r="E895" s="46" t="str">
        <f>IFERROR(__xludf.DUMMYFUNCTION("""COMPUTED_VALUE"""),"")</f>
        <v/>
      </c>
      <c r="F895" s="2"/>
      <c r="G895" s="2" t="str">
        <f>IFERROR(__xludf.DUMMYFUNCTION("""COMPUTED_VALUE"""),"")</f>
        <v/>
      </c>
      <c r="H895" s="2" t="str">
        <f>IFERROR(__xludf.DUMMYFUNCTION("""COMPUTED_VALUE"""),"")</f>
        <v/>
      </c>
      <c r="I895" s="2" t="str">
        <f>IFERROR(__xludf.DUMMYFUNCTION("""COMPUTED_VALUE"""),"")</f>
        <v/>
      </c>
      <c r="J895" s="2" t="str">
        <f>IFERROR(__xludf.DUMMYFUNCTION("""COMPUTED_VALUE"""),"")</f>
        <v/>
      </c>
      <c r="K895" s="39" t="str">
        <f>IFERROR(__xludf.DUMMYFUNCTION("""COMPUTED_VALUE"""),"")</f>
        <v/>
      </c>
      <c r="L895" s="2" t="str">
        <f>IFERROR(__xludf.DUMMYFUNCTION("""COMPUTED_VALUE"""),"")</f>
        <v/>
      </c>
      <c r="M895" s="2" t="str">
        <f>IFERROR(__xludf.DUMMYFUNCTION("""COMPUTED_VALUE"""),"")</f>
        <v/>
      </c>
      <c r="N895" s="2"/>
      <c r="O895" s="2" t="str">
        <f>IFERROR(__xludf.DUMMYFUNCTION("""COMPUTED_VALUE"""),"")</f>
        <v/>
      </c>
      <c r="P895" s="2" t="str">
        <f>IFERROR(__xludf.DUMMYFUNCTION("""COMPUTED_VALUE"""),"Phân bón ")</f>
        <v>Phân bón </v>
      </c>
      <c r="Q895" s="30" t="str">
        <f>IFERROR(__xludf.DUMMYFUNCTION("""COMPUTED_VALUE"""),"")</f>
        <v/>
      </c>
      <c r="R895" s="2"/>
      <c r="S895" s="2"/>
      <c r="T895" s="2"/>
      <c r="U895" s="2"/>
      <c r="V895" s="2"/>
      <c r="W895" s="2"/>
      <c r="X895" s="2"/>
      <c r="Y895" s="2"/>
    </row>
    <row r="896">
      <c r="A896" s="30">
        <f>IFERROR(__xludf.DUMMYFUNCTION("""COMPUTED_VALUE"""),893.0)</f>
        <v>893</v>
      </c>
      <c r="B896" s="39" t="str">
        <f>IFERROR(__xludf.DUMMYFUNCTION("""COMPUTED_VALUE"""),"")</f>
        <v/>
      </c>
      <c r="C896" s="30">
        <f>IFERROR(__xludf.DUMMYFUNCTION("""COMPUTED_VALUE"""),0.0)</f>
        <v>0</v>
      </c>
      <c r="D896" s="30"/>
      <c r="E896" s="46" t="str">
        <f>IFERROR(__xludf.DUMMYFUNCTION("""COMPUTED_VALUE"""),"")</f>
        <v/>
      </c>
      <c r="F896" s="2"/>
      <c r="G896" s="2" t="str">
        <f>IFERROR(__xludf.DUMMYFUNCTION("""COMPUTED_VALUE"""),"")</f>
        <v/>
      </c>
      <c r="H896" s="2" t="str">
        <f>IFERROR(__xludf.DUMMYFUNCTION("""COMPUTED_VALUE"""),"")</f>
        <v/>
      </c>
      <c r="I896" s="2" t="str">
        <f>IFERROR(__xludf.DUMMYFUNCTION("""COMPUTED_VALUE"""),"")</f>
        <v/>
      </c>
      <c r="J896" s="2" t="str">
        <f>IFERROR(__xludf.DUMMYFUNCTION("""COMPUTED_VALUE"""),"")</f>
        <v/>
      </c>
      <c r="K896" s="39" t="str">
        <f>IFERROR(__xludf.DUMMYFUNCTION("""COMPUTED_VALUE"""),"")</f>
        <v/>
      </c>
      <c r="L896" s="2" t="str">
        <f>IFERROR(__xludf.DUMMYFUNCTION("""COMPUTED_VALUE"""),"")</f>
        <v/>
      </c>
      <c r="M896" s="2" t="str">
        <f>IFERROR(__xludf.DUMMYFUNCTION("""COMPUTED_VALUE"""),"")</f>
        <v/>
      </c>
      <c r="N896" s="2"/>
      <c r="O896" s="2" t="str">
        <f>IFERROR(__xludf.DUMMYFUNCTION("""COMPUTED_VALUE"""),"")</f>
        <v/>
      </c>
      <c r="P896" s="2" t="str">
        <f>IFERROR(__xludf.DUMMYFUNCTION("""COMPUTED_VALUE"""),"Phân bón ")</f>
        <v>Phân bón </v>
      </c>
      <c r="Q896" s="30" t="str">
        <f>IFERROR(__xludf.DUMMYFUNCTION("""COMPUTED_VALUE"""),"")</f>
        <v/>
      </c>
      <c r="R896" s="2"/>
      <c r="S896" s="2"/>
      <c r="T896" s="2"/>
      <c r="U896" s="2"/>
      <c r="V896" s="2"/>
      <c r="W896" s="2"/>
      <c r="X896" s="2"/>
      <c r="Y896" s="2"/>
    </row>
    <row r="897">
      <c r="A897" s="30">
        <f>IFERROR(__xludf.DUMMYFUNCTION("""COMPUTED_VALUE"""),894.0)</f>
        <v>894</v>
      </c>
      <c r="B897" s="39" t="str">
        <f>IFERROR(__xludf.DUMMYFUNCTION("""COMPUTED_VALUE"""),"")</f>
        <v/>
      </c>
      <c r="C897" s="30">
        <f>IFERROR(__xludf.DUMMYFUNCTION("""COMPUTED_VALUE"""),0.0)</f>
        <v>0</v>
      </c>
      <c r="D897" s="30"/>
      <c r="E897" s="46" t="str">
        <f>IFERROR(__xludf.DUMMYFUNCTION("""COMPUTED_VALUE"""),"")</f>
        <v/>
      </c>
      <c r="F897" s="2"/>
      <c r="G897" s="2" t="str">
        <f>IFERROR(__xludf.DUMMYFUNCTION("""COMPUTED_VALUE"""),"")</f>
        <v/>
      </c>
      <c r="H897" s="2" t="str">
        <f>IFERROR(__xludf.DUMMYFUNCTION("""COMPUTED_VALUE"""),"")</f>
        <v/>
      </c>
      <c r="I897" s="2" t="str">
        <f>IFERROR(__xludf.DUMMYFUNCTION("""COMPUTED_VALUE"""),"")</f>
        <v/>
      </c>
      <c r="J897" s="2" t="str">
        <f>IFERROR(__xludf.DUMMYFUNCTION("""COMPUTED_VALUE"""),"")</f>
        <v/>
      </c>
      <c r="K897" s="39" t="str">
        <f>IFERROR(__xludf.DUMMYFUNCTION("""COMPUTED_VALUE"""),"")</f>
        <v/>
      </c>
      <c r="L897" s="2" t="str">
        <f>IFERROR(__xludf.DUMMYFUNCTION("""COMPUTED_VALUE"""),"")</f>
        <v/>
      </c>
      <c r="M897" s="2" t="str">
        <f>IFERROR(__xludf.DUMMYFUNCTION("""COMPUTED_VALUE"""),"")</f>
        <v/>
      </c>
      <c r="N897" s="2"/>
      <c r="O897" s="2" t="str">
        <f>IFERROR(__xludf.DUMMYFUNCTION("""COMPUTED_VALUE"""),"")</f>
        <v/>
      </c>
      <c r="P897" s="2" t="str">
        <f>IFERROR(__xludf.DUMMYFUNCTION("""COMPUTED_VALUE"""),"Phân bón ")</f>
        <v>Phân bón </v>
      </c>
      <c r="Q897" s="30" t="str">
        <f>IFERROR(__xludf.DUMMYFUNCTION("""COMPUTED_VALUE"""),"")</f>
        <v/>
      </c>
      <c r="R897" s="2"/>
      <c r="S897" s="2"/>
      <c r="T897" s="2"/>
      <c r="U897" s="2"/>
      <c r="V897" s="2"/>
      <c r="W897" s="2"/>
      <c r="X897" s="2"/>
      <c r="Y897" s="2"/>
    </row>
    <row r="898">
      <c r="A898" s="30">
        <f>IFERROR(__xludf.DUMMYFUNCTION("""COMPUTED_VALUE"""),895.0)</f>
        <v>895</v>
      </c>
      <c r="B898" s="39" t="str">
        <f>IFERROR(__xludf.DUMMYFUNCTION("""COMPUTED_VALUE"""),"")</f>
        <v/>
      </c>
      <c r="C898" s="30">
        <f>IFERROR(__xludf.DUMMYFUNCTION("""COMPUTED_VALUE"""),0.0)</f>
        <v>0</v>
      </c>
      <c r="D898" s="30"/>
      <c r="E898" s="46" t="str">
        <f>IFERROR(__xludf.DUMMYFUNCTION("""COMPUTED_VALUE"""),"")</f>
        <v/>
      </c>
      <c r="F898" s="2"/>
      <c r="G898" s="2" t="str">
        <f>IFERROR(__xludf.DUMMYFUNCTION("""COMPUTED_VALUE"""),"")</f>
        <v/>
      </c>
      <c r="H898" s="2" t="str">
        <f>IFERROR(__xludf.DUMMYFUNCTION("""COMPUTED_VALUE"""),"")</f>
        <v/>
      </c>
      <c r="I898" s="2" t="str">
        <f>IFERROR(__xludf.DUMMYFUNCTION("""COMPUTED_VALUE"""),"")</f>
        <v/>
      </c>
      <c r="J898" s="2" t="str">
        <f>IFERROR(__xludf.DUMMYFUNCTION("""COMPUTED_VALUE"""),"")</f>
        <v/>
      </c>
      <c r="K898" s="39" t="str">
        <f>IFERROR(__xludf.DUMMYFUNCTION("""COMPUTED_VALUE"""),"")</f>
        <v/>
      </c>
      <c r="L898" s="2" t="str">
        <f>IFERROR(__xludf.DUMMYFUNCTION("""COMPUTED_VALUE"""),"")</f>
        <v/>
      </c>
      <c r="M898" s="2" t="str">
        <f>IFERROR(__xludf.DUMMYFUNCTION("""COMPUTED_VALUE"""),"")</f>
        <v/>
      </c>
      <c r="N898" s="2"/>
      <c r="O898" s="2" t="str">
        <f>IFERROR(__xludf.DUMMYFUNCTION("""COMPUTED_VALUE"""),"")</f>
        <v/>
      </c>
      <c r="P898" s="2" t="str">
        <f>IFERROR(__xludf.DUMMYFUNCTION("""COMPUTED_VALUE"""),"Phân bón ")</f>
        <v>Phân bón </v>
      </c>
      <c r="Q898" s="30" t="str">
        <f>IFERROR(__xludf.DUMMYFUNCTION("""COMPUTED_VALUE"""),"")</f>
        <v/>
      </c>
      <c r="R898" s="2"/>
      <c r="S898" s="2"/>
      <c r="T898" s="2"/>
      <c r="U898" s="2"/>
      <c r="V898" s="2"/>
      <c r="W898" s="2"/>
      <c r="X898" s="2"/>
      <c r="Y898" s="2"/>
    </row>
    <row r="899">
      <c r="A899" s="30">
        <f>IFERROR(__xludf.DUMMYFUNCTION("""COMPUTED_VALUE"""),896.0)</f>
        <v>896</v>
      </c>
      <c r="B899" s="39" t="str">
        <f>IFERROR(__xludf.DUMMYFUNCTION("""COMPUTED_VALUE"""),"")</f>
        <v/>
      </c>
      <c r="C899" s="30">
        <f>IFERROR(__xludf.DUMMYFUNCTION("""COMPUTED_VALUE"""),0.0)</f>
        <v>0</v>
      </c>
      <c r="D899" s="30"/>
      <c r="E899" s="46" t="str">
        <f>IFERROR(__xludf.DUMMYFUNCTION("""COMPUTED_VALUE"""),"")</f>
        <v/>
      </c>
      <c r="F899" s="2"/>
      <c r="G899" s="2" t="str">
        <f>IFERROR(__xludf.DUMMYFUNCTION("""COMPUTED_VALUE"""),"")</f>
        <v/>
      </c>
      <c r="H899" s="2" t="str">
        <f>IFERROR(__xludf.DUMMYFUNCTION("""COMPUTED_VALUE"""),"")</f>
        <v/>
      </c>
      <c r="I899" s="2" t="str">
        <f>IFERROR(__xludf.DUMMYFUNCTION("""COMPUTED_VALUE"""),"")</f>
        <v/>
      </c>
      <c r="J899" s="2" t="str">
        <f>IFERROR(__xludf.DUMMYFUNCTION("""COMPUTED_VALUE"""),"")</f>
        <v/>
      </c>
      <c r="K899" s="39" t="str">
        <f>IFERROR(__xludf.DUMMYFUNCTION("""COMPUTED_VALUE"""),"")</f>
        <v/>
      </c>
      <c r="L899" s="2" t="str">
        <f>IFERROR(__xludf.DUMMYFUNCTION("""COMPUTED_VALUE"""),"")</f>
        <v/>
      </c>
      <c r="M899" s="2" t="str">
        <f>IFERROR(__xludf.DUMMYFUNCTION("""COMPUTED_VALUE"""),"")</f>
        <v/>
      </c>
      <c r="N899" s="2"/>
      <c r="O899" s="2" t="str">
        <f>IFERROR(__xludf.DUMMYFUNCTION("""COMPUTED_VALUE"""),"")</f>
        <v/>
      </c>
      <c r="P899" s="2" t="str">
        <f>IFERROR(__xludf.DUMMYFUNCTION("""COMPUTED_VALUE"""),"Phân bón ")</f>
        <v>Phân bón </v>
      </c>
      <c r="Q899" s="30" t="str">
        <f>IFERROR(__xludf.DUMMYFUNCTION("""COMPUTED_VALUE"""),"")</f>
        <v/>
      </c>
      <c r="R899" s="2"/>
      <c r="S899" s="2"/>
      <c r="T899" s="2"/>
      <c r="U899" s="2"/>
      <c r="V899" s="2"/>
      <c r="W899" s="2"/>
      <c r="X899" s="2"/>
      <c r="Y899" s="2"/>
    </row>
    <row r="900">
      <c r="A900" s="30">
        <f>IFERROR(__xludf.DUMMYFUNCTION("""COMPUTED_VALUE"""),897.0)</f>
        <v>897</v>
      </c>
      <c r="B900" s="39" t="str">
        <f>IFERROR(__xludf.DUMMYFUNCTION("""COMPUTED_VALUE"""),"")</f>
        <v/>
      </c>
      <c r="C900" s="30">
        <f>IFERROR(__xludf.DUMMYFUNCTION("""COMPUTED_VALUE"""),0.0)</f>
        <v>0</v>
      </c>
      <c r="D900" s="30"/>
      <c r="E900" s="46" t="str">
        <f>IFERROR(__xludf.DUMMYFUNCTION("""COMPUTED_VALUE"""),"")</f>
        <v/>
      </c>
      <c r="F900" s="2"/>
      <c r="G900" s="2" t="str">
        <f>IFERROR(__xludf.DUMMYFUNCTION("""COMPUTED_VALUE"""),"")</f>
        <v/>
      </c>
      <c r="H900" s="2" t="str">
        <f>IFERROR(__xludf.DUMMYFUNCTION("""COMPUTED_VALUE"""),"")</f>
        <v/>
      </c>
      <c r="I900" s="2" t="str">
        <f>IFERROR(__xludf.DUMMYFUNCTION("""COMPUTED_VALUE"""),"")</f>
        <v/>
      </c>
      <c r="J900" s="2" t="str">
        <f>IFERROR(__xludf.DUMMYFUNCTION("""COMPUTED_VALUE"""),"")</f>
        <v/>
      </c>
      <c r="K900" s="39" t="str">
        <f>IFERROR(__xludf.DUMMYFUNCTION("""COMPUTED_VALUE"""),"")</f>
        <v/>
      </c>
      <c r="L900" s="2" t="str">
        <f>IFERROR(__xludf.DUMMYFUNCTION("""COMPUTED_VALUE"""),"")</f>
        <v/>
      </c>
      <c r="M900" s="2" t="str">
        <f>IFERROR(__xludf.DUMMYFUNCTION("""COMPUTED_VALUE"""),"")</f>
        <v/>
      </c>
      <c r="N900" s="2"/>
      <c r="O900" s="2" t="str">
        <f>IFERROR(__xludf.DUMMYFUNCTION("""COMPUTED_VALUE"""),"")</f>
        <v/>
      </c>
      <c r="P900" s="2" t="str">
        <f>IFERROR(__xludf.DUMMYFUNCTION("""COMPUTED_VALUE"""),"Phân bón ")</f>
        <v>Phân bón </v>
      </c>
      <c r="Q900" s="30" t="str">
        <f>IFERROR(__xludf.DUMMYFUNCTION("""COMPUTED_VALUE"""),"")</f>
        <v/>
      </c>
      <c r="R900" s="2"/>
      <c r="S900" s="2"/>
      <c r="T900" s="2"/>
      <c r="U900" s="2"/>
      <c r="V900" s="2"/>
      <c r="W900" s="2"/>
      <c r="X900" s="2"/>
      <c r="Y900" s="2"/>
    </row>
    <row r="901">
      <c r="A901" s="30">
        <f>IFERROR(__xludf.DUMMYFUNCTION("""COMPUTED_VALUE"""),898.0)</f>
        <v>898</v>
      </c>
      <c r="B901" s="39" t="str">
        <f>IFERROR(__xludf.DUMMYFUNCTION("""COMPUTED_VALUE"""),"")</f>
        <v/>
      </c>
      <c r="C901" s="30">
        <f>IFERROR(__xludf.DUMMYFUNCTION("""COMPUTED_VALUE"""),0.0)</f>
        <v>0</v>
      </c>
      <c r="D901" s="30"/>
      <c r="E901" s="46" t="str">
        <f>IFERROR(__xludf.DUMMYFUNCTION("""COMPUTED_VALUE"""),"")</f>
        <v/>
      </c>
      <c r="F901" s="2"/>
      <c r="G901" s="2" t="str">
        <f>IFERROR(__xludf.DUMMYFUNCTION("""COMPUTED_VALUE"""),"")</f>
        <v/>
      </c>
      <c r="H901" s="2" t="str">
        <f>IFERROR(__xludf.DUMMYFUNCTION("""COMPUTED_VALUE"""),"")</f>
        <v/>
      </c>
      <c r="I901" s="2" t="str">
        <f>IFERROR(__xludf.DUMMYFUNCTION("""COMPUTED_VALUE"""),"")</f>
        <v/>
      </c>
      <c r="J901" s="2" t="str">
        <f>IFERROR(__xludf.DUMMYFUNCTION("""COMPUTED_VALUE"""),"")</f>
        <v/>
      </c>
      <c r="K901" s="39" t="str">
        <f>IFERROR(__xludf.DUMMYFUNCTION("""COMPUTED_VALUE"""),"")</f>
        <v/>
      </c>
      <c r="L901" s="2" t="str">
        <f>IFERROR(__xludf.DUMMYFUNCTION("""COMPUTED_VALUE"""),"")</f>
        <v/>
      </c>
      <c r="M901" s="2" t="str">
        <f>IFERROR(__xludf.DUMMYFUNCTION("""COMPUTED_VALUE"""),"")</f>
        <v/>
      </c>
      <c r="N901" s="2"/>
      <c r="O901" s="2" t="str">
        <f>IFERROR(__xludf.DUMMYFUNCTION("""COMPUTED_VALUE"""),"")</f>
        <v/>
      </c>
      <c r="P901" s="2" t="str">
        <f>IFERROR(__xludf.DUMMYFUNCTION("""COMPUTED_VALUE"""),"Phân bón ")</f>
        <v>Phân bón </v>
      </c>
      <c r="Q901" s="30" t="str">
        <f>IFERROR(__xludf.DUMMYFUNCTION("""COMPUTED_VALUE"""),"")</f>
        <v/>
      </c>
      <c r="R901" s="2"/>
      <c r="S901" s="2"/>
      <c r="T901" s="2"/>
      <c r="U901" s="2"/>
      <c r="V901" s="2"/>
      <c r="W901" s="2"/>
      <c r="X901" s="2"/>
      <c r="Y901" s="2"/>
    </row>
    <row r="902">
      <c r="A902" s="30">
        <f>IFERROR(__xludf.DUMMYFUNCTION("""COMPUTED_VALUE"""),899.0)</f>
        <v>899</v>
      </c>
      <c r="B902" s="39" t="str">
        <f>IFERROR(__xludf.DUMMYFUNCTION("""COMPUTED_VALUE"""),"")</f>
        <v/>
      </c>
      <c r="C902" s="30">
        <f>IFERROR(__xludf.DUMMYFUNCTION("""COMPUTED_VALUE"""),0.0)</f>
        <v>0</v>
      </c>
      <c r="D902" s="30"/>
      <c r="E902" s="46" t="str">
        <f>IFERROR(__xludf.DUMMYFUNCTION("""COMPUTED_VALUE"""),"")</f>
        <v/>
      </c>
      <c r="F902" s="2"/>
      <c r="G902" s="2" t="str">
        <f>IFERROR(__xludf.DUMMYFUNCTION("""COMPUTED_VALUE"""),"")</f>
        <v/>
      </c>
      <c r="H902" s="2" t="str">
        <f>IFERROR(__xludf.DUMMYFUNCTION("""COMPUTED_VALUE"""),"")</f>
        <v/>
      </c>
      <c r="I902" s="2" t="str">
        <f>IFERROR(__xludf.DUMMYFUNCTION("""COMPUTED_VALUE"""),"")</f>
        <v/>
      </c>
      <c r="J902" s="2" t="str">
        <f>IFERROR(__xludf.DUMMYFUNCTION("""COMPUTED_VALUE"""),"")</f>
        <v/>
      </c>
      <c r="K902" s="39" t="str">
        <f>IFERROR(__xludf.DUMMYFUNCTION("""COMPUTED_VALUE"""),"")</f>
        <v/>
      </c>
      <c r="L902" s="2" t="str">
        <f>IFERROR(__xludf.DUMMYFUNCTION("""COMPUTED_VALUE"""),"")</f>
        <v/>
      </c>
      <c r="M902" s="2" t="str">
        <f>IFERROR(__xludf.DUMMYFUNCTION("""COMPUTED_VALUE"""),"")</f>
        <v/>
      </c>
      <c r="N902" s="2"/>
      <c r="O902" s="2" t="str">
        <f>IFERROR(__xludf.DUMMYFUNCTION("""COMPUTED_VALUE"""),"")</f>
        <v/>
      </c>
      <c r="P902" s="2" t="str">
        <f>IFERROR(__xludf.DUMMYFUNCTION("""COMPUTED_VALUE"""),"Phân bón ")</f>
        <v>Phân bón </v>
      </c>
      <c r="Q902" s="30" t="str">
        <f>IFERROR(__xludf.DUMMYFUNCTION("""COMPUTED_VALUE"""),"")</f>
        <v/>
      </c>
      <c r="R902" s="2"/>
      <c r="S902" s="2"/>
      <c r="T902" s="2"/>
      <c r="U902" s="2"/>
      <c r="V902" s="2"/>
      <c r="W902" s="2"/>
      <c r="X902" s="2"/>
      <c r="Y902" s="2"/>
    </row>
    <row r="903">
      <c r="A903" s="30">
        <f>IFERROR(__xludf.DUMMYFUNCTION("""COMPUTED_VALUE"""),900.0)</f>
        <v>900</v>
      </c>
      <c r="B903" s="39" t="str">
        <f>IFERROR(__xludf.DUMMYFUNCTION("""COMPUTED_VALUE"""),"")</f>
        <v/>
      </c>
      <c r="C903" s="30">
        <f>IFERROR(__xludf.DUMMYFUNCTION("""COMPUTED_VALUE"""),0.0)</f>
        <v>0</v>
      </c>
      <c r="D903" s="30"/>
      <c r="E903" s="46" t="str">
        <f>IFERROR(__xludf.DUMMYFUNCTION("""COMPUTED_VALUE"""),"")</f>
        <v/>
      </c>
      <c r="F903" s="2"/>
      <c r="G903" s="2" t="str">
        <f>IFERROR(__xludf.DUMMYFUNCTION("""COMPUTED_VALUE"""),"")</f>
        <v/>
      </c>
      <c r="H903" s="2" t="str">
        <f>IFERROR(__xludf.DUMMYFUNCTION("""COMPUTED_VALUE"""),"")</f>
        <v/>
      </c>
      <c r="I903" s="2" t="str">
        <f>IFERROR(__xludf.DUMMYFUNCTION("""COMPUTED_VALUE"""),"")</f>
        <v/>
      </c>
      <c r="J903" s="2" t="str">
        <f>IFERROR(__xludf.DUMMYFUNCTION("""COMPUTED_VALUE"""),"")</f>
        <v/>
      </c>
      <c r="K903" s="39" t="str">
        <f>IFERROR(__xludf.DUMMYFUNCTION("""COMPUTED_VALUE"""),"")</f>
        <v/>
      </c>
      <c r="L903" s="2" t="str">
        <f>IFERROR(__xludf.DUMMYFUNCTION("""COMPUTED_VALUE"""),"")</f>
        <v/>
      </c>
      <c r="M903" s="2" t="str">
        <f>IFERROR(__xludf.DUMMYFUNCTION("""COMPUTED_VALUE"""),"")</f>
        <v/>
      </c>
      <c r="N903" s="2"/>
      <c r="O903" s="2" t="str">
        <f>IFERROR(__xludf.DUMMYFUNCTION("""COMPUTED_VALUE"""),"")</f>
        <v/>
      </c>
      <c r="P903" s="2" t="str">
        <f>IFERROR(__xludf.DUMMYFUNCTION("""COMPUTED_VALUE"""),"Phân bón ")</f>
        <v>Phân bón </v>
      </c>
      <c r="Q903" s="30" t="str">
        <f>IFERROR(__xludf.DUMMYFUNCTION("""COMPUTED_VALUE"""),"")</f>
        <v/>
      </c>
      <c r="R903" s="2"/>
      <c r="S903" s="2"/>
      <c r="T903" s="2"/>
      <c r="U903" s="2"/>
      <c r="V903" s="2"/>
      <c r="W903" s="2"/>
      <c r="X903" s="2"/>
      <c r="Y903" s="2"/>
    </row>
    <row r="904">
      <c r="A904" s="30">
        <f>IFERROR(__xludf.DUMMYFUNCTION("""COMPUTED_VALUE"""),901.0)</f>
        <v>901</v>
      </c>
      <c r="B904" s="39" t="str">
        <f>IFERROR(__xludf.DUMMYFUNCTION("""COMPUTED_VALUE"""),"")</f>
        <v/>
      </c>
      <c r="C904" s="30">
        <f>IFERROR(__xludf.DUMMYFUNCTION("""COMPUTED_VALUE"""),0.0)</f>
        <v>0</v>
      </c>
      <c r="D904" s="30"/>
      <c r="E904" s="46" t="str">
        <f>IFERROR(__xludf.DUMMYFUNCTION("""COMPUTED_VALUE"""),"")</f>
        <v/>
      </c>
      <c r="F904" s="2"/>
      <c r="G904" s="2" t="str">
        <f>IFERROR(__xludf.DUMMYFUNCTION("""COMPUTED_VALUE"""),"")</f>
        <v/>
      </c>
      <c r="H904" s="2" t="str">
        <f>IFERROR(__xludf.DUMMYFUNCTION("""COMPUTED_VALUE"""),"")</f>
        <v/>
      </c>
      <c r="I904" s="2" t="str">
        <f>IFERROR(__xludf.DUMMYFUNCTION("""COMPUTED_VALUE"""),"")</f>
        <v/>
      </c>
      <c r="J904" s="2" t="str">
        <f>IFERROR(__xludf.DUMMYFUNCTION("""COMPUTED_VALUE"""),"")</f>
        <v/>
      </c>
      <c r="K904" s="39" t="str">
        <f>IFERROR(__xludf.DUMMYFUNCTION("""COMPUTED_VALUE"""),"")</f>
        <v/>
      </c>
      <c r="L904" s="2" t="str">
        <f>IFERROR(__xludf.DUMMYFUNCTION("""COMPUTED_VALUE"""),"")</f>
        <v/>
      </c>
      <c r="M904" s="2" t="str">
        <f>IFERROR(__xludf.DUMMYFUNCTION("""COMPUTED_VALUE"""),"")</f>
        <v/>
      </c>
      <c r="N904" s="2"/>
      <c r="O904" s="2" t="str">
        <f>IFERROR(__xludf.DUMMYFUNCTION("""COMPUTED_VALUE"""),"")</f>
        <v/>
      </c>
      <c r="P904" s="2" t="str">
        <f>IFERROR(__xludf.DUMMYFUNCTION("""COMPUTED_VALUE"""),"Phân bón ")</f>
        <v>Phân bón </v>
      </c>
      <c r="Q904" s="30" t="str">
        <f>IFERROR(__xludf.DUMMYFUNCTION("""COMPUTED_VALUE"""),"")</f>
        <v/>
      </c>
      <c r="R904" s="2"/>
      <c r="S904" s="2"/>
      <c r="T904" s="2"/>
      <c r="U904" s="2"/>
      <c r="V904" s="2"/>
      <c r="W904" s="2"/>
      <c r="X904" s="2"/>
      <c r="Y904" s="2"/>
    </row>
    <row r="905">
      <c r="A905" s="30">
        <f>IFERROR(__xludf.DUMMYFUNCTION("""COMPUTED_VALUE"""),902.0)</f>
        <v>902</v>
      </c>
      <c r="B905" s="39" t="str">
        <f>IFERROR(__xludf.DUMMYFUNCTION("""COMPUTED_VALUE"""),"")</f>
        <v/>
      </c>
      <c r="C905" s="30">
        <f>IFERROR(__xludf.DUMMYFUNCTION("""COMPUTED_VALUE"""),0.0)</f>
        <v>0</v>
      </c>
      <c r="D905" s="30"/>
      <c r="E905" s="46" t="str">
        <f>IFERROR(__xludf.DUMMYFUNCTION("""COMPUTED_VALUE"""),"")</f>
        <v/>
      </c>
      <c r="F905" s="2"/>
      <c r="G905" s="2" t="str">
        <f>IFERROR(__xludf.DUMMYFUNCTION("""COMPUTED_VALUE"""),"")</f>
        <v/>
      </c>
      <c r="H905" s="2" t="str">
        <f>IFERROR(__xludf.DUMMYFUNCTION("""COMPUTED_VALUE"""),"")</f>
        <v/>
      </c>
      <c r="I905" s="2" t="str">
        <f>IFERROR(__xludf.DUMMYFUNCTION("""COMPUTED_VALUE"""),"")</f>
        <v/>
      </c>
      <c r="J905" s="2" t="str">
        <f>IFERROR(__xludf.DUMMYFUNCTION("""COMPUTED_VALUE"""),"")</f>
        <v/>
      </c>
      <c r="K905" s="39" t="str">
        <f>IFERROR(__xludf.DUMMYFUNCTION("""COMPUTED_VALUE"""),"")</f>
        <v/>
      </c>
      <c r="L905" s="2" t="str">
        <f>IFERROR(__xludf.DUMMYFUNCTION("""COMPUTED_VALUE"""),"")</f>
        <v/>
      </c>
      <c r="M905" s="2" t="str">
        <f>IFERROR(__xludf.DUMMYFUNCTION("""COMPUTED_VALUE"""),"")</f>
        <v/>
      </c>
      <c r="N905" s="2"/>
      <c r="O905" s="2" t="str">
        <f>IFERROR(__xludf.DUMMYFUNCTION("""COMPUTED_VALUE"""),"")</f>
        <v/>
      </c>
      <c r="P905" s="2" t="str">
        <f>IFERROR(__xludf.DUMMYFUNCTION("""COMPUTED_VALUE"""),"Phân bón ")</f>
        <v>Phân bón </v>
      </c>
      <c r="Q905" s="30" t="str">
        <f>IFERROR(__xludf.DUMMYFUNCTION("""COMPUTED_VALUE"""),"")</f>
        <v/>
      </c>
      <c r="R905" s="2"/>
      <c r="S905" s="2"/>
      <c r="T905" s="2"/>
      <c r="U905" s="2"/>
      <c r="V905" s="2"/>
      <c r="W905" s="2"/>
      <c r="X905" s="2"/>
      <c r="Y905" s="2"/>
    </row>
    <row r="906">
      <c r="A906" s="30">
        <f>IFERROR(__xludf.DUMMYFUNCTION("""COMPUTED_VALUE"""),903.0)</f>
        <v>903</v>
      </c>
      <c r="B906" s="39" t="str">
        <f>IFERROR(__xludf.DUMMYFUNCTION("""COMPUTED_VALUE"""),"")</f>
        <v/>
      </c>
      <c r="C906" s="30">
        <f>IFERROR(__xludf.DUMMYFUNCTION("""COMPUTED_VALUE"""),0.0)</f>
        <v>0</v>
      </c>
      <c r="D906" s="30"/>
      <c r="E906" s="46" t="str">
        <f>IFERROR(__xludf.DUMMYFUNCTION("""COMPUTED_VALUE"""),"")</f>
        <v/>
      </c>
      <c r="F906" s="2"/>
      <c r="G906" s="2" t="str">
        <f>IFERROR(__xludf.DUMMYFUNCTION("""COMPUTED_VALUE"""),"")</f>
        <v/>
      </c>
      <c r="H906" s="2" t="str">
        <f>IFERROR(__xludf.DUMMYFUNCTION("""COMPUTED_VALUE"""),"")</f>
        <v/>
      </c>
      <c r="I906" s="2" t="str">
        <f>IFERROR(__xludf.DUMMYFUNCTION("""COMPUTED_VALUE"""),"")</f>
        <v/>
      </c>
      <c r="J906" s="2" t="str">
        <f>IFERROR(__xludf.DUMMYFUNCTION("""COMPUTED_VALUE"""),"")</f>
        <v/>
      </c>
      <c r="K906" s="39" t="str">
        <f>IFERROR(__xludf.DUMMYFUNCTION("""COMPUTED_VALUE"""),"")</f>
        <v/>
      </c>
      <c r="L906" s="2" t="str">
        <f>IFERROR(__xludf.DUMMYFUNCTION("""COMPUTED_VALUE"""),"")</f>
        <v/>
      </c>
      <c r="M906" s="2" t="str">
        <f>IFERROR(__xludf.DUMMYFUNCTION("""COMPUTED_VALUE"""),"")</f>
        <v/>
      </c>
      <c r="N906" s="2"/>
      <c r="O906" s="2" t="str">
        <f>IFERROR(__xludf.DUMMYFUNCTION("""COMPUTED_VALUE"""),"")</f>
        <v/>
      </c>
      <c r="P906" s="2" t="str">
        <f>IFERROR(__xludf.DUMMYFUNCTION("""COMPUTED_VALUE"""),"Phân bón ")</f>
        <v>Phân bón </v>
      </c>
      <c r="Q906" s="30" t="str">
        <f>IFERROR(__xludf.DUMMYFUNCTION("""COMPUTED_VALUE"""),"")</f>
        <v/>
      </c>
      <c r="R906" s="2"/>
      <c r="S906" s="2"/>
      <c r="T906" s="2"/>
      <c r="U906" s="2"/>
      <c r="V906" s="2"/>
      <c r="W906" s="2"/>
      <c r="X906" s="2"/>
      <c r="Y906" s="2"/>
    </row>
    <row r="907">
      <c r="A907" s="30">
        <f>IFERROR(__xludf.DUMMYFUNCTION("""COMPUTED_VALUE"""),904.0)</f>
        <v>904</v>
      </c>
      <c r="B907" s="39" t="str">
        <f>IFERROR(__xludf.DUMMYFUNCTION("""COMPUTED_VALUE"""),"")</f>
        <v/>
      </c>
      <c r="C907" s="30">
        <f>IFERROR(__xludf.DUMMYFUNCTION("""COMPUTED_VALUE"""),0.0)</f>
        <v>0</v>
      </c>
      <c r="D907" s="30"/>
      <c r="E907" s="46" t="str">
        <f>IFERROR(__xludf.DUMMYFUNCTION("""COMPUTED_VALUE"""),"")</f>
        <v/>
      </c>
      <c r="F907" s="2"/>
      <c r="G907" s="2" t="str">
        <f>IFERROR(__xludf.DUMMYFUNCTION("""COMPUTED_VALUE"""),"")</f>
        <v/>
      </c>
      <c r="H907" s="2" t="str">
        <f>IFERROR(__xludf.DUMMYFUNCTION("""COMPUTED_VALUE"""),"")</f>
        <v/>
      </c>
      <c r="I907" s="2" t="str">
        <f>IFERROR(__xludf.DUMMYFUNCTION("""COMPUTED_VALUE"""),"")</f>
        <v/>
      </c>
      <c r="J907" s="2" t="str">
        <f>IFERROR(__xludf.DUMMYFUNCTION("""COMPUTED_VALUE"""),"")</f>
        <v/>
      </c>
      <c r="K907" s="39" t="str">
        <f>IFERROR(__xludf.DUMMYFUNCTION("""COMPUTED_VALUE"""),"")</f>
        <v/>
      </c>
      <c r="L907" s="2" t="str">
        <f>IFERROR(__xludf.DUMMYFUNCTION("""COMPUTED_VALUE"""),"")</f>
        <v/>
      </c>
      <c r="M907" s="2" t="str">
        <f>IFERROR(__xludf.DUMMYFUNCTION("""COMPUTED_VALUE"""),"")</f>
        <v/>
      </c>
      <c r="N907" s="2"/>
      <c r="O907" s="2" t="str">
        <f>IFERROR(__xludf.DUMMYFUNCTION("""COMPUTED_VALUE"""),"")</f>
        <v/>
      </c>
      <c r="P907" s="2" t="str">
        <f>IFERROR(__xludf.DUMMYFUNCTION("""COMPUTED_VALUE"""),"Phân bón ")</f>
        <v>Phân bón </v>
      </c>
      <c r="Q907" s="30" t="str">
        <f>IFERROR(__xludf.DUMMYFUNCTION("""COMPUTED_VALUE"""),"")</f>
        <v/>
      </c>
      <c r="R907" s="2"/>
      <c r="S907" s="2"/>
      <c r="T907" s="2"/>
      <c r="U907" s="2"/>
      <c r="V907" s="2"/>
      <c r="W907" s="2"/>
      <c r="X907" s="2"/>
      <c r="Y907" s="2"/>
    </row>
    <row r="908">
      <c r="A908" s="30">
        <f>IFERROR(__xludf.DUMMYFUNCTION("""COMPUTED_VALUE"""),905.0)</f>
        <v>905</v>
      </c>
      <c r="B908" s="39" t="str">
        <f>IFERROR(__xludf.DUMMYFUNCTION("""COMPUTED_VALUE"""),"")</f>
        <v/>
      </c>
      <c r="C908" s="30">
        <f>IFERROR(__xludf.DUMMYFUNCTION("""COMPUTED_VALUE"""),0.0)</f>
        <v>0</v>
      </c>
      <c r="D908" s="30"/>
      <c r="E908" s="46" t="str">
        <f>IFERROR(__xludf.DUMMYFUNCTION("""COMPUTED_VALUE"""),"")</f>
        <v/>
      </c>
      <c r="F908" s="2"/>
      <c r="G908" s="2" t="str">
        <f>IFERROR(__xludf.DUMMYFUNCTION("""COMPUTED_VALUE"""),"")</f>
        <v/>
      </c>
      <c r="H908" s="2" t="str">
        <f>IFERROR(__xludf.DUMMYFUNCTION("""COMPUTED_VALUE"""),"")</f>
        <v/>
      </c>
      <c r="I908" s="2" t="str">
        <f>IFERROR(__xludf.DUMMYFUNCTION("""COMPUTED_VALUE"""),"")</f>
        <v/>
      </c>
      <c r="J908" s="2" t="str">
        <f>IFERROR(__xludf.DUMMYFUNCTION("""COMPUTED_VALUE"""),"")</f>
        <v/>
      </c>
      <c r="K908" s="39" t="str">
        <f>IFERROR(__xludf.DUMMYFUNCTION("""COMPUTED_VALUE"""),"")</f>
        <v/>
      </c>
      <c r="L908" s="2" t="str">
        <f>IFERROR(__xludf.DUMMYFUNCTION("""COMPUTED_VALUE"""),"")</f>
        <v/>
      </c>
      <c r="M908" s="2" t="str">
        <f>IFERROR(__xludf.DUMMYFUNCTION("""COMPUTED_VALUE"""),"")</f>
        <v/>
      </c>
      <c r="N908" s="2"/>
      <c r="O908" s="2" t="str">
        <f>IFERROR(__xludf.DUMMYFUNCTION("""COMPUTED_VALUE"""),"")</f>
        <v/>
      </c>
      <c r="P908" s="2" t="str">
        <f>IFERROR(__xludf.DUMMYFUNCTION("""COMPUTED_VALUE"""),"Phân bón ")</f>
        <v>Phân bón </v>
      </c>
      <c r="Q908" s="30" t="str">
        <f>IFERROR(__xludf.DUMMYFUNCTION("""COMPUTED_VALUE"""),"")</f>
        <v/>
      </c>
      <c r="R908" s="2"/>
      <c r="S908" s="2"/>
      <c r="T908" s="2"/>
      <c r="U908" s="2"/>
      <c r="V908" s="2"/>
      <c r="W908" s="2"/>
      <c r="X908" s="2"/>
      <c r="Y908" s="2"/>
    </row>
    <row r="909">
      <c r="A909" s="30">
        <f>IFERROR(__xludf.DUMMYFUNCTION("""COMPUTED_VALUE"""),906.0)</f>
        <v>906</v>
      </c>
      <c r="B909" s="39" t="str">
        <f>IFERROR(__xludf.DUMMYFUNCTION("""COMPUTED_VALUE"""),"")</f>
        <v/>
      </c>
      <c r="C909" s="30">
        <f>IFERROR(__xludf.DUMMYFUNCTION("""COMPUTED_VALUE"""),0.0)</f>
        <v>0</v>
      </c>
      <c r="D909" s="30"/>
      <c r="E909" s="46" t="str">
        <f>IFERROR(__xludf.DUMMYFUNCTION("""COMPUTED_VALUE"""),"")</f>
        <v/>
      </c>
      <c r="F909" s="2"/>
      <c r="G909" s="2" t="str">
        <f>IFERROR(__xludf.DUMMYFUNCTION("""COMPUTED_VALUE"""),"")</f>
        <v/>
      </c>
      <c r="H909" s="2" t="str">
        <f>IFERROR(__xludf.DUMMYFUNCTION("""COMPUTED_VALUE"""),"")</f>
        <v/>
      </c>
      <c r="I909" s="2" t="str">
        <f>IFERROR(__xludf.DUMMYFUNCTION("""COMPUTED_VALUE"""),"")</f>
        <v/>
      </c>
      <c r="J909" s="2" t="str">
        <f>IFERROR(__xludf.DUMMYFUNCTION("""COMPUTED_VALUE"""),"")</f>
        <v/>
      </c>
      <c r="K909" s="39" t="str">
        <f>IFERROR(__xludf.DUMMYFUNCTION("""COMPUTED_VALUE"""),"")</f>
        <v/>
      </c>
      <c r="L909" s="2" t="str">
        <f>IFERROR(__xludf.DUMMYFUNCTION("""COMPUTED_VALUE"""),"")</f>
        <v/>
      </c>
      <c r="M909" s="2" t="str">
        <f>IFERROR(__xludf.DUMMYFUNCTION("""COMPUTED_VALUE"""),"")</f>
        <v/>
      </c>
      <c r="N909" s="2"/>
      <c r="O909" s="2" t="str">
        <f>IFERROR(__xludf.DUMMYFUNCTION("""COMPUTED_VALUE"""),"")</f>
        <v/>
      </c>
      <c r="P909" s="2" t="str">
        <f>IFERROR(__xludf.DUMMYFUNCTION("""COMPUTED_VALUE"""),"Phân bón ")</f>
        <v>Phân bón </v>
      </c>
      <c r="Q909" s="30" t="str">
        <f>IFERROR(__xludf.DUMMYFUNCTION("""COMPUTED_VALUE"""),"")</f>
        <v/>
      </c>
      <c r="R909" s="2"/>
      <c r="S909" s="2"/>
      <c r="T909" s="2"/>
      <c r="U909" s="2"/>
      <c r="V909" s="2"/>
      <c r="W909" s="2"/>
      <c r="X909" s="2"/>
      <c r="Y909" s="2"/>
    </row>
    <row r="910">
      <c r="A910" s="30">
        <f>IFERROR(__xludf.DUMMYFUNCTION("""COMPUTED_VALUE"""),907.0)</f>
        <v>907</v>
      </c>
      <c r="B910" s="39" t="str">
        <f>IFERROR(__xludf.DUMMYFUNCTION("""COMPUTED_VALUE"""),"")</f>
        <v/>
      </c>
      <c r="C910" s="30">
        <f>IFERROR(__xludf.DUMMYFUNCTION("""COMPUTED_VALUE"""),0.0)</f>
        <v>0</v>
      </c>
      <c r="D910" s="30"/>
      <c r="E910" s="46" t="str">
        <f>IFERROR(__xludf.DUMMYFUNCTION("""COMPUTED_VALUE"""),"")</f>
        <v/>
      </c>
      <c r="F910" s="2"/>
      <c r="G910" s="2" t="str">
        <f>IFERROR(__xludf.DUMMYFUNCTION("""COMPUTED_VALUE"""),"")</f>
        <v/>
      </c>
      <c r="H910" s="2" t="str">
        <f>IFERROR(__xludf.DUMMYFUNCTION("""COMPUTED_VALUE"""),"")</f>
        <v/>
      </c>
      <c r="I910" s="2" t="str">
        <f>IFERROR(__xludf.DUMMYFUNCTION("""COMPUTED_VALUE"""),"")</f>
        <v/>
      </c>
      <c r="J910" s="2" t="str">
        <f>IFERROR(__xludf.DUMMYFUNCTION("""COMPUTED_VALUE"""),"")</f>
        <v/>
      </c>
      <c r="K910" s="39" t="str">
        <f>IFERROR(__xludf.DUMMYFUNCTION("""COMPUTED_VALUE"""),"")</f>
        <v/>
      </c>
      <c r="L910" s="2" t="str">
        <f>IFERROR(__xludf.DUMMYFUNCTION("""COMPUTED_VALUE"""),"")</f>
        <v/>
      </c>
      <c r="M910" s="2" t="str">
        <f>IFERROR(__xludf.DUMMYFUNCTION("""COMPUTED_VALUE"""),"")</f>
        <v/>
      </c>
      <c r="N910" s="2"/>
      <c r="O910" s="2" t="str">
        <f>IFERROR(__xludf.DUMMYFUNCTION("""COMPUTED_VALUE"""),"")</f>
        <v/>
      </c>
      <c r="P910" s="2" t="str">
        <f>IFERROR(__xludf.DUMMYFUNCTION("""COMPUTED_VALUE"""),"Phân bón ")</f>
        <v>Phân bón </v>
      </c>
      <c r="Q910" s="30" t="str">
        <f>IFERROR(__xludf.DUMMYFUNCTION("""COMPUTED_VALUE"""),"")</f>
        <v/>
      </c>
      <c r="R910" s="2"/>
      <c r="S910" s="2"/>
      <c r="T910" s="2"/>
      <c r="U910" s="2"/>
      <c r="V910" s="2"/>
      <c r="W910" s="2"/>
      <c r="X910" s="2"/>
      <c r="Y910" s="2"/>
    </row>
    <row r="911">
      <c r="A911" s="30">
        <f>IFERROR(__xludf.DUMMYFUNCTION("""COMPUTED_VALUE"""),908.0)</f>
        <v>908</v>
      </c>
      <c r="B911" s="39" t="str">
        <f>IFERROR(__xludf.DUMMYFUNCTION("""COMPUTED_VALUE"""),"")</f>
        <v/>
      </c>
      <c r="C911" s="30">
        <f>IFERROR(__xludf.DUMMYFUNCTION("""COMPUTED_VALUE"""),0.0)</f>
        <v>0</v>
      </c>
      <c r="D911" s="30"/>
      <c r="E911" s="46" t="str">
        <f>IFERROR(__xludf.DUMMYFUNCTION("""COMPUTED_VALUE"""),"")</f>
        <v/>
      </c>
      <c r="F911" s="2"/>
      <c r="G911" s="2" t="str">
        <f>IFERROR(__xludf.DUMMYFUNCTION("""COMPUTED_VALUE"""),"")</f>
        <v/>
      </c>
      <c r="H911" s="2" t="str">
        <f>IFERROR(__xludf.DUMMYFUNCTION("""COMPUTED_VALUE"""),"")</f>
        <v/>
      </c>
      <c r="I911" s="2" t="str">
        <f>IFERROR(__xludf.DUMMYFUNCTION("""COMPUTED_VALUE"""),"")</f>
        <v/>
      </c>
      <c r="J911" s="2" t="str">
        <f>IFERROR(__xludf.DUMMYFUNCTION("""COMPUTED_VALUE"""),"")</f>
        <v/>
      </c>
      <c r="K911" s="39" t="str">
        <f>IFERROR(__xludf.DUMMYFUNCTION("""COMPUTED_VALUE"""),"")</f>
        <v/>
      </c>
      <c r="L911" s="2" t="str">
        <f>IFERROR(__xludf.DUMMYFUNCTION("""COMPUTED_VALUE"""),"")</f>
        <v/>
      </c>
      <c r="M911" s="2" t="str">
        <f>IFERROR(__xludf.DUMMYFUNCTION("""COMPUTED_VALUE"""),"")</f>
        <v/>
      </c>
      <c r="N911" s="2"/>
      <c r="O911" s="2" t="str">
        <f>IFERROR(__xludf.DUMMYFUNCTION("""COMPUTED_VALUE"""),"")</f>
        <v/>
      </c>
      <c r="P911" s="2" t="str">
        <f>IFERROR(__xludf.DUMMYFUNCTION("""COMPUTED_VALUE"""),"Phân bón ")</f>
        <v>Phân bón </v>
      </c>
      <c r="Q911" s="30" t="str">
        <f>IFERROR(__xludf.DUMMYFUNCTION("""COMPUTED_VALUE"""),"")</f>
        <v/>
      </c>
      <c r="R911" s="2"/>
      <c r="S911" s="2"/>
      <c r="T911" s="2"/>
      <c r="U911" s="2"/>
      <c r="V911" s="2"/>
      <c r="W911" s="2"/>
      <c r="X911" s="2"/>
      <c r="Y911" s="2"/>
    </row>
    <row r="912">
      <c r="A912" s="30">
        <f>IFERROR(__xludf.DUMMYFUNCTION("""COMPUTED_VALUE"""),909.0)</f>
        <v>909</v>
      </c>
      <c r="B912" s="39" t="str">
        <f>IFERROR(__xludf.DUMMYFUNCTION("""COMPUTED_VALUE"""),"")</f>
        <v/>
      </c>
      <c r="C912" s="30">
        <f>IFERROR(__xludf.DUMMYFUNCTION("""COMPUTED_VALUE"""),0.0)</f>
        <v>0</v>
      </c>
      <c r="D912" s="30"/>
      <c r="E912" s="46" t="str">
        <f>IFERROR(__xludf.DUMMYFUNCTION("""COMPUTED_VALUE"""),"")</f>
        <v/>
      </c>
      <c r="F912" s="2"/>
      <c r="G912" s="2" t="str">
        <f>IFERROR(__xludf.DUMMYFUNCTION("""COMPUTED_VALUE"""),"")</f>
        <v/>
      </c>
      <c r="H912" s="2" t="str">
        <f>IFERROR(__xludf.DUMMYFUNCTION("""COMPUTED_VALUE"""),"")</f>
        <v/>
      </c>
      <c r="I912" s="2" t="str">
        <f>IFERROR(__xludf.DUMMYFUNCTION("""COMPUTED_VALUE"""),"")</f>
        <v/>
      </c>
      <c r="J912" s="2" t="str">
        <f>IFERROR(__xludf.DUMMYFUNCTION("""COMPUTED_VALUE"""),"")</f>
        <v/>
      </c>
      <c r="K912" s="39" t="str">
        <f>IFERROR(__xludf.DUMMYFUNCTION("""COMPUTED_VALUE"""),"")</f>
        <v/>
      </c>
      <c r="L912" s="2" t="str">
        <f>IFERROR(__xludf.DUMMYFUNCTION("""COMPUTED_VALUE"""),"")</f>
        <v/>
      </c>
      <c r="M912" s="2" t="str">
        <f>IFERROR(__xludf.DUMMYFUNCTION("""COMPUTED_VALUE"""),"")</f>
        <v/>
      </c>
      <c r="N912" s="2"/>
      <c r="O912" s="2" t="str">
        <f>IFERROR(__xludf.DUMMYFUNCTION("""COMPUTED_VALUE"""),"")</f>
        <v/>
      </c>
      <c r="P912" s="2" t="str">
        <f>IFERROR(__xludf.DUMMYFUNCTION("""COMPUTED_VALUE"""),"Phân bón ")</f>
        <v>Phân bón </v>
      </c>
      <c r="Q912" s="30" t="str">
        <f>IFERROR(__xludf.DUMMYFUNCTION("""COMPUTED_VALUE"""),"")</f>
        <v/>
      </c>
      <c r="R912" s="2"/>
      <c r="S912" s="2"/>
      <c r="T912" s="2"/>
      <c r="U912" s="2"/>
      <c r="V912" s="2"/>
      <c r="W912" s="2"/>
      <c r="X912" s="2"/>
      <c r="Y912" s="2"/>
    </row>
    <row r="913">
      <c r="A913" s="30">
        <f>IFERROR(__xludf.DUMMYFUNCTION("""COMPUTED_VALUE"""),910.0)</f>
        <v>910</v>
      </c>
      <c r="B913" s="39" t="str">
        <f>IFERROR(__xludf.DUMMYFUNCTION("""COMPUTED_VALUE"""),"")</f>
        <v/>
      </c>
      <c r="C913" s="30">
        <f>IFERROR(__xludf.DUMMYFUNCTION("""COMPUTED_VALUE"""),0.0)</f>
        <v>0</v>
      </c>
      <c r="D913" s="30"/>
      <c r="E913" s="46" t="str">
        <f>IFERROR(__xludf.DUMMYFUNCTION("""COMPUTED_VALUE"""),"")</f>
        <v/>
      </c>
      <c r="F913" s="2"/>
      <c r="G913" s="2" t="str">
        <f>IFERROR(__xludf.DUMMYFUNCTION("""COMPUTED_VALUE"""),"")</f>
        <v/>
      </c>
      <c r="H913" s="2" t="str">
        <f>IFERROR(__xludf.DUMMYFUNCTION("""COMPUTED_VALUE"""),"")</f>
        <v/>
      </c>
      <c r="I913" s="2" t="str">
        <f>IFERROR(__xludf.DUMMYFUNCTION("""COMPUTED_VALUE"""),"")</f>
        <v/>
      </c>
      <c r="J913" s="2" t="str">
        <f>IFERROR(__xludf.DUMMYFUNCTION("""COMPUTED_VALUE"""),"")</f>
        <v/>
      </c>
      <c r="K913" s="39" t="str">
        <f>IFERROR(__xludf.DUMMYFUNCTION("""COMPUTED_VALUE"""),"")</f>
        <v/>
      </c>
      <c r="L913" s="2" t="str">
        <f>IFERROR(__xludf.DUMMYFUNCTION("""COMPUTED_VALUE"""),"")</f>
        <v/>
      </c>
      <c r="M913" s="2" t="str">
        <f>IFERROR(__xludf.DUMMYFUNCTION("""COMPUTED_VALUE"""),"")</f>
        <v/>
      </c>
      <c r="N913" s="2"/>
      <c r="O913" s="2" t="str">
        <f>IFERROR(__xludf.DUMMYFUNCTION("""COMPUTED_VALUE"""),"")</f>
        <v/>
      </c>
      <c r="P913" s="2" t="str">
        <f>IFERROR(__xludf.DUMMYFUNCTION("""COMPUTED_VALUE"""),"Phân bón ")</f>
        <v>Phân bón </v>
      </c>
      <c r="Q913" s="30" t="str">
        <f>IFERROR(__xludf.DUMMYFUNCTION("""COMPUTED_VALUE"""),"")</f>
        <v/>
      </c>
      <c r="R913" s="2"/>
      <c r="S913" s="2"/>
      <c r="T913" s="2"/>
      <c r="U913" s="2"/>
      <c r="V913" s="2"/>
      <c r="W913" s="2"/>
      <c r="X913" s="2"/>
      <c r="Y913" s="2"/>
    </row>
    <row r="914">
      <c r="A914" s="30">
        <f>IFERROR(__xludf.DUMMYFUNCTION("""COMPUTED_VALUE"""),911.0)</f>
        <v>911</v>
      </c>
      <c r="B914" s="39" t="str">
        <f>IFERROR(__xludf.DUMMYFUNCTION("""COMPUTED_VALUE"""),"")</f>
        <v/>
      </c>
      <c r="C914" s="30">
        <f>IFERROR(__xludf.DUMMYFUNCTION("""COMPUTED_VALUE"""),0.0)</f>
        <v>0</v>
      </c>
      <c r="D914" s="30"/>
      <c r="E914" s="46" t="str">
        <f>IFERROR(__xludf.DUMMYFUNCTION("""COMPUTED_VALUE"""),"")</f>
        <v/>
      </c>
      <c r="F914" s="2"/>
      <c r="G914" s="2" t="str">
        <f>IFERROR(__xludf.DUMMYFUNCTION("""COMPUTED_VALUE"""),"")</f>
        <v/>
      </c>
      <c r="H914" s="2" t="str">
        <f>IFERROR(__xludf.DUMMYFUNCTION("""COMPUTED_VALUE"""),"")</f>
        <v/>
      </c>
      <c r="I914" s="2" t="str">
        <f>IFERROR(__xludf.DUMMYFUNCTION("""COMPUTED_VALUE"""),"")</f>
        <v/>
      </c>
      <c r="J914" s="2" t="str">
        <f>IFERROR(__xludf.DUMMYFUNCTION("""COMPUTED_VALUE"""),"")</f>
        <v/>
      </c>
      <c r="K914" s="39" t="str">
        <f>IFERROR(__xludf.DUMMYFUNCTION("""COMPUTED_VALUE"""),"")</f>
        <v/>
      </c>
      <c r="L914" s="2" t="str">
        <f>IFERROR(__xludf.DUMMYFUNCTION("""COMPUTED_VALUE"""),"")</f>
        <v/>
      </c>
      <c r="M914" s="2" t="str">
        <f>IFERROR(__xludf.DUMMYFUNCTION("""COMPUTED_VALUE"""),"")</f>
        <v/>
      </c>
      <c r="N914" s="2"/>
      <c r="O914" s="2" t="str">
        <f>IFERROR(__xludf.DUMMYFUNCTION("""COMPUTED_VALUE"""),"")</f>
        <v/>
      </c>
      <c r="P914" s="2" t="str">
        <f>IFERROR(__xludf.DUMMYFUNCTION("""COMPUTED_VALUE"""),"Phân bón ")</f>
        <v>Phân bón </v>
      </c>
      <c r="Q914" s="30" t="str">
        <f>IFERROR(__xludf.DUMMYFUNCTION("""COMPUTED_VALUE"""),"")</f>
        <v/>
      </c>
      <c r="R914" s="2"/>
      <c r="S914" s="2"/>
      <c r="T914" s="2"/>
      <c r="U914" s="2"/>
      <c r="V914" s="2"/>
      <c r="W914" s="2"/>
      <c r="X914" s="2"/>
      <c r="Y914" s="2"/>
    </row>
    <row r="915">
      <c r="A915" s="30">
        <f>IFERROR(__xludf.DUMMYFUNCTION("""COMPUTED_VALUE"""),912.0)</f>
        <v>912</v>
      </c>
      <c r="B915" s="39" t="str">
        <f>IFERROR(__xludf.DUMMYFUNCTION("""COMPUTED_VALUE"""),"")</f>
        <v/>
      </c>
      <c r="C915" s="30">
        <f>IFERROR(__xludf.DUMMYFUNCTION("""COMPUTED_VALUE"""),0.0)</f>
        <v>0</v>
      </c>
      <c r="D915" s="30"/>
      <c r="E915" s="46" t="str">
        <f>IFERROR(__xludf.DUMMYFUNCTION("""COMPUTED_VALUE"""),"")</f>
        <v/>
      </c>
      <c r="F915" s="2"/>
      <c r="G915" s="2" t="str">
        <f>IFERROR(__xludf.DUMMYFUNCTION("""COMPUTED_VALUE"""),"")</f>
        <v/>
      </c>
      <c r="H915" s="2" t="str">
        <f>IFERROR(__xludf.DUMMYFUNCTION("""COMPUTED_VALUE"""),"")</f>
        <v/>
      </c>
      <c r="I915" s="2" t="str">
        <f>IFERROR(__xludf.DUMMYFUNCTION("""COMPUTED_VALUE"""),"")</f>
        <v/>
      </c>
      <c r="J915" s="2" t="str">
        <f>IFERROR(__xludf.DUMMYFUNCTION("""COMPUTED_VALUE"""),"")</f>
        <v/>
      </c>
      <c r="K915" s="39" t="str">
        <f>IFERROR(__xludf.DUMMYFUNCTION("""COMPUTED_VALUE"""),"")</f>
        <v/>
      </c>
      <c r="L915" s="2" t="str">
        <f>IFERROR(__xludf.DUMMYFUNCTION("""COMPUTED_VALUE"""),"")</f>
        <v/>
      </c>
      <c r="M915" s="2" t="str">
        <f>IFERROR(__xludf.DUMMYFUNCTION("""COMPUTED_VALUE"""),"")</f>
        <v/>
      </c>
      <c r="N915" s="2"/>
      <c r="O915" s="2" t="str">
        <f>IFERROR(__xludf.DUMMYFUNCTION("""COMPUTED_VALUE"""),"")</f>
        <v/>
      </c>
      <c r="P915" s="2" t="str">
        <f>IFERROR(__xludf.DUMMYFUNCTION("""COMPUTED_VALUE"""),"Phân bón ")</f>
        <v>Phân bón </v>
      </c>
      <c r="Q915" s="30" t="str">
        <f>IFERROR(__xludf.DUMMYFUNCTION("""COMPUTED_VALUE"""),"")</f>
        <v/>
      </c>
      <c r="R915" s="2"/>
      <c r="S915" s="2"/>
      <c r="T915" s="2"/>
      <c r="U915" s="2"/>
      <c r="V915" s="2"/>
      <c r="W915" s="2"/>
      <c r="X915" s="2"/>
      <c r="Y915" s="2"/>
    </row>
    <row r="916">
      <c r="A916" s="30">
        <f>IFERROR(__xludf.DUMMYFUNCTION("""COMPUTED_VALUE"""),913.0)</f>
        <v>913</v>
      </c>
      <c r="B916" s="39" t="str">
        <f>IFERROR(__xludf.DUMMYFUNCTION("""COMPUTED_VALUE"""),"")</f>
        <v/>
      </c>
      <c r="C916" s="30">
        <f>IFERROR(__xludf.DUMMYFUNCTION("""COMPUTED_VALUE"""),0.0)</f>
        <v>0</v>
      </c>
      <c r="D916" s="30"/>
      <c r="E916" s="46" t="str">
        <f>IFERROR(__xludf.DUMMYFUNCTION("""COMPUTED_VALUE"""),"")</f>
        <v/>
      </c>
      <c r="F916" s="2"/>
      <c r="G916" s="2" t="str">
        <f>IFERROR(__xludf.DUMMYFUNCTION("""COMPUTED_VALUE"""),"")</f>
        <v/>
      </c>
      <c r="H916" s="2" t="str">
        <f>IFERROR(__xludf.DUMMYFUNCTION("""COMPUTED_VALUE"""),"")</f>
        <v/>
      </c>
      <c r="I916" s="2" t="str">
        <f>IFERROR(__xludf.DUMMYFUNCTION("""COMPUTED_VALUE"""),"")</f>
        <v/>
      </c>
      <c r="J916" s="2" t="str">
        <f>IFERROR(__xludf.DUMMYFUNCTION("""COMPUTED_VALUE"""),"")</f>
        <v/>
      </c>
      <c r="K916" s="39" t="str">
        <f>IFERROR(__xludf.DUMMYFUNCTION("""COMPUTED_VALUE"""),"")</f>
        <v/>
      </c>
      <c r="L916" s="2" t="str">
        <f>IFERROR(__xludf.DUMMYFUNCTION("""COMPUTED_VALUE"""),"")</f>
        <v/>
      </c>
      <c r="M916" s="2" t="str">
        <f>IFERROR(__xludf.DUMMYFUNCTION("""COMPUTED_VALUE"""),"")</f>
        <v/>
      </c>
      <c r="N916" s="2"/>
      <c r="O916" s="2" t="str">
        <f>IFERROR(__xludf.DUMMYFUNCTION("""COMPUTED_VALUE"""),"")</f>
        <v/>
      </c>
      <c r="P916" s="2" t="str">
        <f>IFERROR(__xludf.DUMMYFUNCTION("""COMPUTED_VALUE"""),"Phân bón ")</f>
        <v>Phân bón </v>
      </c>
      <c r="Q916" s="30" t="str">
        <f>IFERROR(__xludf.DUMMYFUNCTION("""COMPUTED_VALUE"""),"")</f>
        <v/>
      </c>
      <c r="R916" s="2"/>
      <c r="S916" s="2"/>
      <c r="T916" s="2"/>
      <c r="U916" s="2"/>
      <c r="V916" s="2"/>
      <c r="W916" s="2"/>
      <c r="X916" s="2"/>
      <c r="Y916" s="2"/>
    </row>
    <row r="917">
      <c r="A917" s="30">
        <f>IFERROR(__xludf.DUMMYFUNCTION("""COMPUTED_VALUE"""),914.0)</f>
        <v>914</v>
      </c>
      <c r="B917" s="39" t="str">
        <f>IFERROR(__xludf.DUMMYFUNCTION("""COMPUTED_VALUE"""),"")</f>
        <v/>
      </c>
      <c r="C917" s="30">
        <f>IFERROR(__xludf.DUMMYFUNCTION("""COMPUTED_VALUE"""),0.0)</f>
        <v>0</v>
      </c>
      <c r="D917" s="30"/>
      <c r="E917" s="46" t="str">
        <f>IFERROR(__xludf.DUMMYFUNCTION("""COMPUTED_VALUE"""),"")</f>
        <v/>
      </c>
      <c r="F917" s="2"/>
      <c r="G917" s="2" t="str">
        <f>IFERROR(__xludf.DUMMYFUNCTION("""COMPUTED_VALUE"""),"")</f>
        <v/>
      </c>
      <c r="H917" s="2" t="str">
        <f>IFERROR(__xludf.DUMMYFUNCTION("""COMPUTED_VALUE"""),"")</f>
        <v/>
      </c>
      <c r="I917" s="2" t="str">
        <f>IFERROR(__xludf.DUMMYFUNCTION("""COMPUTED_VALUE"""),"")</f>
        <v/>
      </c>
      <c r="J917" s="2" t="str">
        <f>IFERROR(__xludf.DUMMYFUNCTION("""COMPUTED_VALUE"""),"")</f>
        <v/>
      </c>
      <c r="K917" s="39" t="str">
        <f>IFERROR(__xludf.DUMMYFUNCTION("""COMPUTED_VALUE"""),"")</f>
        <v/>
      </c>
      <c r="L917" s="2" t="str">
        <f>IFERROR(__xludf.DUMMYFUNCTION("""COMPUTED_VALUE"""),"")</f>
        <v/>
      </c>
      <c r="M917" s="2" t="str">
        <f>IFERROR(__xludf.DUMMYFUNCTION("""COMPUTED_VALUE"""),"")</f>
        <v/>
      </c>
      <c r="N917" s="2"/>
      <c r="O917" s="2" t="str">
        <f>IFERROR(__xludf.DUMMYFUNCTION("""COMPUTED_VALUE"""),"")</f>
        <v/>
      </c>
      <c r="P917" s="2" t="str">
        <f>IFERROR(__xludf.DUMMYFUNCTION("""COMPUTED_VALUE"""),"Phân bón ")</f>
        <v>Phân bón </v>
      </c>
      <c r="Q917" s="30" t="str">
        <f>IFERROR(__xludf.DUMMYFUNCTION("""COMPUTED_VALUE"""),"")</f>
        <v/>
      </c>
      <c r="R917" s="2"/>
      <c r="S917" s="2"/>
      <c r="T917" s="2"/>
      <c r="U917" s="2"/>
      <c r="V917" s="2"/>
      <c r="W917" s="2"/>
      <c r="X917" s="2"/>
      <c r="Y917" s="2"/>
    </row>
    <row r="918">
      <c r="A918" s="30">
        <f>IFERROR(__xludf.DUMMYFUNCTION("""COMPUTED_VALUE"""),915.0)</f>
        <v>915</v>
      </c>
      <c r="B918" s="39" t="str">
        <f>IFERROR(__xludf.DUMMYFUNCTION("""COMPUTED_VALUE"""),"")</f>
        <v/>
      </c>
      <c r="C918" s="30">
        <f>IFERROR(__xludf.DUMMYFUNCTION("""COMPUTED_VALUE"""),0.0)</f>
        <v>0</v>
      </c>
      <c r="D918" s="30"/>
      <c r="E918" s="46" t="str">
        <f>IFERROR(__xludf.DUMMYFUNCTION("""COMPUTED_VALUE"""),"")</f>
        <v/>
      </c>
      <c r="F918" s="2"/>
      <c r="G918" s="2" t="str">
        <f>IFERROR(__xludf.DUMMYFUNCTION("""COMPUTED_VALUE"""),"")</f>
        <v/>
      </c>
      <c r="H918" s="2" t="str">
        <f>IFERROR(__xludf.DUMMYFUNCTION("""COMPUTED_VALUE"""),"")</f>
        <v/>
      </c>
      <c r="I918" s="2" t="str">
        <f>IFERROR(__xludf.DUMMYFUNCTION("""COMPUTED_VALUE"""),"")</f>
        <v/>
      </c>
      <c r="J918" s="2" t="str">
        <f>IFERROR(__xludf.DUMMYFUNCTION("""COMPUTED_VALUE"""),"")</f>
        <v/>
      </c>
      <c r="K918" s="39" t="str">
        <f>IFERROR(__xludf.DUMMYFUNCTION("""COMPUTED_VALUE"""),"")</f>
        <v/>
      </c>
      <c r="L918" s="2" t="str">
        <f>IFERROR(__xludf.DUMMYFUNCTION("""COMPUTED_VALUE"""),"")</f>
        <v/>
      </c>
      <c r="M918" s="2" t="str">
        <f>IFERROR(__xludf.DUMMYFUNCTION("""COMPUTED_VALUE"""),"")</f>
        <v/>
      </c>
      <c r="N918" s="2"/>
      <c r="O918" s="2" t="str">
        <f>IFERROR(__xludf.DUMMYFUNCTION("""COMPUTED_VALUE"""),"")</f>
        <v/>
      </c>
      <c r="P918" s="2" t="str">
        <f>IFERROR(__xludf.DUMMYFUNCTION("""COMPUTED_VALUE"""),"Phân bón ")</f>
        <v>Phân bón </v>
      </c>
      <c r="Q918" s="30" t="str">
        <f>IFERROR(__xludf.DUMMYFUNCTION("""COMPUTED_VALUE"""),"")</f>
        <v/>
      </c>
      <c r="R918" s="2"/>
      <c r="S918" s="2"/>
      <c r="T918" s="2"/>
      <c r="U918" s="2"/>
      <c r="V918" s="2"/>
      <c r="W918" s="2"/>
      <c r="X918" s="2"/>
      <c r="Y918" s="2"/>
    </row>
    <row r="919">
      <c r="A919" s="30">
        <f>IFERROR(__xludf.DUMMYFUNCTION("""COMPUTED_VALUE"""),916.0)</f>
        <v>916</v>
      </c>
      <c r="B919" s="39" t="str">
        <f>IFERROR(__xludf.DUMMYFUNCTION("""COMPUTED_VALUE"""),"")</f>
        <v/>
      </c>
      <c r="C919" s="30">
        <f>IFERROR(__xludf.DUMMYFUNCTION("""COMPUTED_VALUE"""),0.0)</f>
        <v>0</v>
      </c>
      <c r="D919" s="30"/>
      <c r="E919" s="46" t="str">
        <f>IFERROR(__xludf.DUMMYFUNCTION("""COMPUTED_VALUE"""),"")</f>
        <v/>
      </c>
      <c r="F919" s="2"/>
      <c r="G919" s="2" t="str">
        <f>IFERROR(__xludf.DUMMYFUNCTION("""COMPUTED_VALUE"""),"")</f>
        <v/>
      </c>
      <c r="H919" s="2" t="str">
        <f>IFERROR(__xludf.DUMMYFUNCTION("""COMPUTED_VALUE"""),"")</f>
        <v/>
      </c>
      <c r="I919" s="2" t="str">
        <f>IFERROR(__xludf.DUMMYFUNCTION("""COMPUTED_VALUE"""),"")</f>
        <v/>
      </c>
      <c r="J919" s="2" t="str">
        <f>IFERROR(__xludf.DUMMYFUNCTION("""COMPUTED_VALUE"""),"")</f>
        <v/>
      </c>
      <c r="K919" s="39" t="str">
        <f>IFERROR(__xludf.DUMMYFUNCTION("""COMPUTED_VALUE"""),"")</f>
        <v/>
      </c>
      <c r="L919" s="2" t="str">
        <f>IFERROR(__xludf.DUMMYFUNCTION("""COMPUTED_VALUE"""),"")</f>
        <v/>
      </c>
      <c r="M919" s="2" t="str">
        <f>IFERROR(__xludf.DUMMYFUNCTION("""COMPUTED_VALUE"""),"")</f>
        <v/>
      </c>
      <c r="N919" s="2"/>
      <c r="O919" s="2" t="str">
        <f>IFERROR(__xludf.DUMMYFUNCTION("""COMPUTED_VALUE"""),"")</f>
        <v/>
      </c>
      <c r="P919" s="2" t="str">
        <f>IFERROR(__xludf.DUMMYFUNCTION("""COMPUTED_VALUE"""),"Phân bón ")</f>
        <v>Phân bón </v>
      </c>
      <c r="Q919" s="30" t="str">
        <f>IFERROR(__xludf.DUMMYFUNCTION("""COMPUTED_VALUE"""),"")</f>
        <v/>
      </c>
      <c r="R919" s="2"/>
      <c r="S919" s="2"/>
      <c r="T919" s="2"/>
      <c r="U919" s="2"/>
      <c r="V919" s="2"/>
      <c r="W919" s="2"/>
      <c r="X919" s="2"/>
      <c r="Y919" s="2"/>
    </row>
    <row r="920">
      <c r="A920" s="30">
        <f>IFERROR(__xludf.DUMMYFUNCTION("""COMPUTED_VALUE"""),917.0)</f>
        <v>917</v>
      </c>
      <c r="B920" s="39" t="str">
        <f>IFERROR(__xludf.DUMMYFUNCTION("""COMPUTED_VALUE"""),"")</f>
        <v/>
      </c>
      <c r="C920" s="30">
        <f>IFERROR(__xludf.DUMMYFUNCTION("""COMPUTED_VALUE"""),0.0)</f>
        <v>0</v>
      </c>
      <c r="D920" s="30"/>
      <c r="E920" s="46" t="str">
        <f>IFERROR(__xludf.DUMMYFUNCTION("""COMPUTED_VALUE"""),"")</f>
        <v/>
      </c>
      <c r="F920" s="2"/>
      <c r="G920" s="2" t="str">
        <f>IFERROR(__xludf.DUMMYFUNCTION("""COMPUTED_VALUE"""),"")</f>
        <v/>
      </c>
      <c r="H920" s="2" t="str">
        <f>IFERROR(__xludf.DUMMYFUNCTION("""COMPUTED_VALUE"""),"")</f>
        <v/>
      </c>
      <c r="I920" s="2" t="str">
        <f>IFERROR(__xludf.DUMMYFUNCTION("""COMPUTED_VALUE"""),"")</f>
        <v/>
      </c>
      <c r="J920" s="2" t="str">
        <f>IFERROR(__xludf.DUMMYFUNCTION("""COMPUTED_VALUE"""),"")</f>
        <v/>
      </c>
      <c r="K920" s="39" t="str">
        <f>IFERROR(__xludf.DUMMYFUNCTION("""COMPUTED_VALUE"""),"")</f>
        <v/>
      </c>
      <c r="L920" s="2" t="str">
        <f>IFERROR(__xludf.DUMMYFUNCTION("""COMPUTED_VALUE"""),"")</f>
        <v/>
      </c>
      <c r="M920" s="2" t="str">
        <f>IFERROR(__xludf.DUMMYFUNCTION("""COMPUTED_VALUE"""),"")</f>
        <v/>
      </c>
      <c r="N920" s="2"/>
      <c r="O920" s="2" t="str">
        <f>IFERROR(__xludf.DUMMYFUNCTION("""COMPUTED_VALUE"""),"")</f>
        <v/>
      </c>
      <c r="P920" s="2" t="str">
        <f>IFERROR(__xludf.DUMMYFUNCTION("""COMPUTED_VALUE"""),"Phân bón ")</f>
        <v>Phân bón </v>
      </c>
      <c r="Q920" s="30" t="str">
        <f>IFERROR(__xludf.DUMMYFUNCTION("""COMPUTED_VALUE"""),"")</f>
        <v/>
      </c>
      <c r="R920" s="2"/>
      <c r="S920" s="2"/>
      <c r="T920" s="2"/>
      <c r="U920" s="2"/>
      <c r="V920" s="2"/>
      <c r="W920" s="2"/>
      <c r="X920" s="2"/>
      <c r="Y920" s="2"/>
    </row>
    <row r="921">
      <c r="A921" s="30">
        <f>IFERROR(__xludf.DUMMYFUNCTION("""COMPUTED_VALUE"""),918.0)</f>
        <v>918</v>
      </c>
      <c r="B921" s="39" t="str">
        <f>IFERROR(__xludf.DUMMYFUNCTION("""COMPUTED_VALUE"""),"")</f>
        <v/>
      </c>
      <c r="C921" s="30">
        <f>IFERROR(__xludf.DUMMYFUNCTION("""COMPUTED_VALUE"""),0.0)</f>
        <v>0</v>
      </c>
      <c r="D921" s="30"/>
      <c r="E921" s="46" t="str">
        <f>IFERROR(__xludf.DUMMYFUNCTION("""COMPUTED_VALUE"""),"")</f>
        <v/>
      </c>
      <c r="F921" s="2"/>
      <c r="G921" s="2" t="str">
        <f>IFERROR(__xludf.DUMMYFUNCTION("""COMPUTED_VALUE"""),"")</f>
        <v/>
      </c>
      <c r="H921" s="2" t="str">
        <f>IFERROR(__xludf.DUMMYFUNCTION("""COMPUTED_VALUE"""),"")</f>
        <v/>
      </c>
      <c r="I921" s="2" t="str">
        <f>IFERROR(__xludf.DUMMYFUNCTION("""COMPUTED_VALUE"""),"")</f>
        <v/>
      </c>
      <c r="J921" s="2" t="str">
        <f>IFERROR(__xludf.DUMMYFUNCTION("""COMPUTED_VALUE"""),"")</f>
        <v/>
      </c>
      <c r="K921" s="39" t="str">
        <f>IFERROR(__xludf.DUMMYFUNCTION("""COMPUTED_VALUE"""),"")</f>
        <v/>
      </c>
      <c r="L921" s="2" t="str">
        <f>IFERROR(__xludf.DUMMYFUNCTION("""COMPUTED_VALUE"""),"")</f>
        <v/>
      </c>
      <c r="M921" s="2" t="str">
        <f>IFERROR(__xludf.DUMMYFUNCTION("""COMPUTED_VALUE"""),"")</f>
        <v/>
      </c>
      <c r="N921" s="2"/>
      <c r="O921" s="2" t="str">
        <f>IFERROR(__xludf.DUMMYFUNCTION("""COMPUTED_VALUE"""),"")</f>
        <v/>
      </c>
      <c r="P921" s="2" t="str">
        <f>IFERROR(__xludf.DUMMYFUNCTION("""COMPUTED_VALUE"""),"Phân bón ")</f>
        <v>Phân bón </v>
      </c>
      <c r="Q921" s="30" t="str">
        <f>IFERROR(__xludf.DUMMYFUNCTION("""COMPUTED_VALUE"""),"")</f>
        <v/>
      </c>
      <c r="R921" s="2"/>
      <c r="S921" s="2"/>
      <c r="T921" s="2"/>
      <c r="U921" s="2"/>
      <c r="V921" s="2"/>
      <c r="W921" s="2"/>
      <c r="X921" s="2"/>
      <c r="Y921" s="2"/>
    </row>
    <row r="922">
      <c r="A922" s="30">
        <f>IFERROR(__xludf.DUMMYFUNCTION("""COMPUTED_VALUE"""),919.0)</f>
        <v>919</v>
      </c>
      <c r="B922" s="39" t="str">
        <f>IFERROR(__xludf.DUMMYFUNCTION("""COMPUTED_VALUE"""),"")</f>
        <v/>
      </c>
      <c r="C922" s="30">
        <f>IFERROR(__xludf.DUMMYFUNCTION("""COMPUTED_VALUE"""),0.0)</f>
        <v>0</v>
      </c>
      <c r="D922" s="30"/>
      <c r="E922" s="46" t="str">
        <f>IFERROR(__xludf.DUMMYFUNCTION("""COMPUTED_VALUE"""),"")</f>
        <v/>
      </c>
      <c r="F922" s="2"/>
      <c r="G922" s="2" t="str">
        <f>IFERROR(__xludf.DUMMYFUNCTION("""COMPUTED_VALUE"""),"")</f>
        <v/>
      </c>
      <c r="H922" s="2" t="str">
        <f>IFERROR(__xludf.DUMMYFUNCTION("""COMPUTED_VALUE"""),"")</f>
        <v/>
      </c>
      <c r="I922" s="2" t="str">
        <f>IFERROR(__xludf.DUMMYFUNCTION("""COMPUTED_VALUE"""),"")</f>
        <v/>
      </c>
      <c r="J922" s="2" t="str">
        <f>IFERROR(__xludf.DUMMYFUNCTION("""COMPUTED_VALUE"""),"")</f>
        <v/>
      </c>
      <c r="K922" s="39" t="str">
        <f>IFERROR(__xludf.DUMMYFUNCTION("""COMPUTED_VALUE"""),"")</f>
        <v/>
      </c>
      <c r="L922" s="2" t="str">
        <f>IFERROR(__xludf.DUMMYFUNCTION("""COMPUTED_VALUE"""),"")</f>
        <v/>
      </c>
      <c r="M922" s="2" t="str">
        <f>IFERROR(__xludf.DUMMYFUNCTION("""COMPUTED_VALUE"""),"")</f>
        <v/>
      </c>
      <c r="N922" s="2"/>
      <c r="O922" s="2" t="str">
        <f>IFERROR(__xludf.DUMMYFUNCTION("""COMPUTED_VALUE"""),"")</f>
        <v/>
      </c>
      <c r="P922" s="2" t="str">
        <f>IFERROR(__xludf.DUMMYFUNCTION("""COMPUTED_VALUE"""),"Phân bón ")</f>
        <v>Phân bón </v>
      </c>
      <c r="Q922" s="30" t="str">
        <f>IFERROR(__xludf.DUMMYFUNCTION("""COMPUTED_VALUE"""),"")</f>
        <v/>
      </c>
      <c r="R922" s="2"/>
      <c r="S922" s="2"/>
      <c r="T922" s="2"/>
      <c r="U922" s="2"/>
      <c r="V922" s="2"/>
      <c r="W922" s="2"/>
      <c r="X922" s="2"/>
      <c r="Y922" s="2"/>
    </row>
    <row r="923">
      <c r="A923" s="30">
        <f>IFERROR(__xludf.DUMMYFUNCTION("""COMPUTED_VALUE"""),920.0)</f>
        <v>920</v>
      </c>
      <c r="B923" s="39" t="str">
        <f>IFERROR(__xludf.DUMMYFUNCTION("""COMPUTED_VALUE"""),"")</f>
        <v/>
      </c>
      <c r="C923" s="30">
        <f>IFERROR(__xludf.DUMMYFUNCTION("""COMPUTED_VALUE"""),0.0)</f>
        <v>0</v>
      </c>
      <c r="D923" s="30"/>
      <c r="E923" s="46" t="str">
        <f>IFERROR(__xludf.DUMMYFUNCTION("""COMPUTED_VALUE"""),"")</f>
        <v/>
      </c>
      <c r="F923" s="2"/>
      <c r="G923" s="2" t="str">
        <f>IFERROR(__xludf.DUMMYFUNCTION("""COMPUTED_VALUE"""),"")</f>
        <v/>
      </c>
      <c r="H923" s="2" t="str">
        <f>IFERROR(__xludf.DUMMYFUNCTION("""COMPUTED_VALUE"""),"")</f>
        <v/>
      </c>
      <c r="I923" s="2" t="str">
        <f>IFERROR(__xludf.DUMMYFUNCTION("""COMPUTED_VALUE"""),"")</f>
        <v/>
      </c>
      <c r="J923" s="2" t="str">
        <f>IFERROR(__xludf.DUMMYFUNCTION("""COMPUTED_VALUE"""),"")</f>
        <v/>
      </c>
      <c r="K923" s="39" t="str">
        <f>IFERROR(__xludf.DUMMYFUNCTION("""COMPUTED_VALUE"""),"")</f>
        <v/>
      </c>
      <c r="L923" s="2" t="str">
        <f>IFERROR(__xludf.DUMMYFUNCTION("""COMPUTED_VALUE"""),"")</f>
        <v/>
      </c>
      <c r="M923" s="2" t="str">
        <f>IFERROR(__xludf.DUMMYFUNCTION("""COMPUTED_VALUE"""),"")</f>
        <v/>
      </c>
      <c r="N923" s="2"/>
      <c r="O923" s="2" t="str">
        <f>IFERROR(__xludf.DUMMYFUNCTION("""COMPUTED_VALUE"""),"")</f>
        <v/>
      </c>
      <c r="P923" s="2" t="str">
        <f>IFERROR(__xludf.DUMMYFUNCTION("""COMPUTED_VALUE"""),"Phân bón ")</f>
        <v>Phân bón </v>
      </c>
      <c r="Q923" s="30" t="str">
        <f>IFERROR(__xludf.DUMMYFUNCTION("""COMPUTED_VALUE"""),"")</f>
        <v/>
      </c>
      <c r="R923" s="2"/>
      <c r="S923" s="2"/>
      <c r="T923" s="2"/>
      <c r="U923" s="2"/>
      <c r="V923" s="2"/>
      <c r="W923" s="2"/>
      <c r="X923" s="2"/>
      <c r="Y923" s="2"/>
    </row>
    <row r="924">
      <c r="A924" s="30">
        <f>IFERROR(__xludf.DUMMYFUNCTION("""COMPUTED_VALUE"""),921.0)</f>
        <v>921</v>
      </c>
      <c r="B924" s="39" t="str">
        <f>IFERROR(__xludf.DUMMYFUNCTION("""COMPUTED_VALUE"""),"")</f>
        <v/>
      </c>
      <c r="C924" s="30">
        <f>IFERROR(__xludf.DUMMYFUNCTION("""COMPUTED_VALUE"""),0.0)</f>
        <v>0</v>
      </c>
      <c r="D924" s="30"/>
      <c r="E924" s="46" t="str">
        <f>IFERROR(__xludf.DUMMYFUNCTION("""COMPUTED_VALUE"""),"")</f>
        <v/>
      </c>
      <c r="F924" s="2"/>
      <c r="G924" s="2" t="str">
        <f>IFERROR(__xludf.DUMMYFUNCTION("""COMPUTED_VALUE"""),"")</f>
        <v/>
      </c>
      <c r="H924" s="2" t="str">
        <f>IFERROR(__xludf.DUMMYFUNCTION("""COMPUTED_VALUE"""),"")</f>
        <v/>
      </c>
      <c r="I924" s="2" t="str">
        <f>IFERROR(__xludf.DUMMYFUNCTION("""COMPUTED_VALUE"""),"")</f>
        <v/>
      </c>
      <c r="J924" s="2" t="str">
        <f>IFERROR(__xludf.DUMMYFUNCTION("""COMPUTED_VALUE"""),"")</f>
        <v/>
      </c>
      <c r="K924" s="39" t="str">
        <f>IFERROR(__xludf.DUMMYFUNCTION("""COMPUTED_VALUE"""),"")</f>
        <v/>
      </c>
      <c r="L924" s="2" t="str">
        <f>IFERROR(__xludf.DUMMYFUNCTION("""COMPUTED_VALUE"""),"")</f>
        <v/>
      </c>
      <c r="M924" s="2" t="str">
        <f>IFERROR(__xludf.DUMMYFUNCTION("""COMPUTED_VALUE"""),"")</f>
        <v/>
      </c>
      <c r="N924" s="2"/>
      <c r="O924" s="2" t="str">
        <f>IFERROR(__xludf.DUMMYFUNCTION("""COMPUTED_VALUE"""),"")</f>
        <v/>
      </c>
      <c r="P924" s="2" t="str">
        <f>IFERROR(__xludf.DUMMYFUNCTION("""COMPUTED_VALUE"""),"Phân bón ")</f>
        <v>Phân bón </v>
      </c>
      <c r="Q924" s="30" t="str">
        <f>IFERROR(__xludf.DUMMYFUNCTION("""COMPUTED_VALUE"""),"")</f>
        <v/>
      </c>
      <c r="R924" s="2"/>
      <c r="S924" s="2"/>
      <c r="T924" s="2"/>
      <c r="U924" s="2"/>
      <c r="V924" s="2"/>
      <c r="W924" s="2"/>
      <c r="X924" s="2"/>
      <c r="Y924" s="2"/>
    </row>
    <row r="925">
      <c r="A925" s="30">
        <f>IFERROR(__xludf.DUMMYFUNCTION("""COMPUTED_VALUE"""),922.0)</f>
        <v>922</v>
      </c>
      <c r="B925" s="39" t="str">
        <f>IFERROR(__xludf.DUMMYFUNCTION("""COMPUTED_VALUE"""),"")</f>
        <v/>
      </c>
      <c r="C925" s="30">
        <f>IFERROR(__xludf.DUMMYFUNCTION("""COMPUTED_VALUE"""),0.0)</f>
        <v>0</v>
      </c>
      <c r="D925" s="30"/>
      <c r="E925" s="46" t="str">
        <f>IFERROR(__xludf.DUMMYFUNCTION("""COMPUTED_VALUE"""),"")</f>
        <v/>
      </c>
      <c r="F925" s="2"/>
      <c r="G925" s="2" t="str">
        <f>IFERROR(__xludf.DUMMYFUNCTION("""COMPUTED_VALUE"""),"")</f>
        <v/>
      </c>
      <c r="H925" s="2" t="str">
        <f>IFERROR(__xludf.DUMMYFUNCTION("""COMPUTED_VALUE"""),"")</f>
        <v/>
      </c>
      <c r="I925" s="2" t="str">
        <f>IFERROR(__xludf.DUMMYFUNCTION("""COMPUTED_VALUE"""),"")</f>
        <v/>
      </c>
      <c r="J925" s="2" t="str">
        <f>IFERROR(__xludf.DUMMYFUNCTION("""COMPUTED_VALUE"""),"")</f>
        <v/>
      </c>
      <c r="K925" s="39" t="str">
        <f>IFERROR(__xludf.DUMMYFUNCTION("""COMPUTED_VALUE"""),"")</f>
        <v/>
      </c>
      <c r="L925" s="2" t="str">
        <f>IFERROR(__xludf.DUMMYFUNCTION("""COMPUTED_VALUE"""),"")</f>
        <v/>
      </c>
      <c r="M925" s="2" t="str">
        <f>IFERROR(__xludf.DUMMYFUNCTION("""COMPUTED_VALUE"""),"")</f>
        <v/>
      </c>
      <c r="N925" s="2"/>
      <c r="O925" s="2" t="str">
        <f>IFERROR(__xludf.DUMMYFUNCTION("""COMPUTED_VALUE"""),"")</f>
        <v/>
      </c>
      <c r="P925" s="2" t="str">
        <f>IFERROR(__xludf.DUMMYFUNCTION("""COMPUTED_VALUE"""),"Phân bón ")</f>
        <v>Phân bón </v>
      </c>
      <c r="Q925" s="30" t="str">
        <f>IFERROR(__xludf.DUMMYFUNCTION("""COMPUTED_VALUE"""),"")</f>
        <v/>
      </c>
      <c r="R925" s="2"/>
      <c r="S925" s="2"/>
      <c r="T925" s="2"/>
      <c r="U925" s="2"/>
      <c r="V925" s="2"/>
      <c r="W925" s="2"/>
      <c r="X925" s="2"/>
      <c r="Y925" s="2"/>
    </row>
    <row r="926">
      <c r="A926" s="30">
        <f>IFERROR(__xludf.DUMMYFUNCTION("""COMPUTED_VALUE"""),923.0)</f>
        <v>923</v>
      </c>
      <c r="B926" s="39" t="str">
        <f>IFERROR(__xludf.DUMMYFUNCTION("""COMPUTED_VALUE"""),"")</f>
        <v/>
      </c>
      <c r="C926" s="30">
        <f>IFERROR(__xludf.DUMMYFUNCTION("""COMPUTED_VALUE"""),0.0)</f>
        <v>0</v>
      </c>
      <c r="D926" s="30"/>
      <c r="E926" s="46" t="str">
        <f>IFERROR(__xludf.DUMMYFUNCTION("""COMPUTED_VALUE"""),"")</f>
        <v/>
      </c>
      <c r="F926" s="2"/>
      <c r="G926" s="2" t="str">
        <f>IFERROR(__xludf.DUMMYFUNCTION("""COMPUTED_VALUE"""),"")</f>
        <v/>
      </c>
      <c r="H926" s="2" t="str">
        <f>IFERROR(__xludf.DUMMYFUNCTION("""COMPUTED_VALUE"""),"")</f>
        <v/>
      </c>
      <c r="I926" s="2" t="str">
        <f>IFERROR(__xludf.DUMMYFUNCTION("""COMPUTED_VALUE"""),"")</f>
        <v/>
      </c>
      <c r="J926" s="2" t="str">
        <f>IFERROR(__xludf.DUMMYFUNCTION("""COMPUTED_VALUE"""),"")</f>
        <v/>
      </c>
      <c r="K926" s="39" t="str">
        <f>IFERROR(__xludf.DUMMYFUNCTION("""COMPUTED_VALUE"""),"")</f>
        <v/>
      </c>
      <c r="L926" s="2" t="str">
        <f>IFERROR(__xludf.DUMMYFUNCTION("""COMPUTED_VALUE"""),"")</f>
        <v/>
      </c>
      <c r="M926" s="2" t="str">
        <f>IFERROR(__xludf.DUMMYFUNCTION("""COMPUTED_VALUE"""),"")</f>
        <v/>
      </c>
      <c r="N926" s="2"/>
      <c r="O926" s="2" t="str">
        <f>IFERROR(__xludf.DUMMYFUNCTION("""COMPUTED_VALUE"""),"")</f>
        <v/>
      </c>
      <c r="P926" s="2" t="str">
        <f>IFERROR(__xludf.DUMMYFUNCTION("""COMPUTED_VALUE"""),"Phân bón ")</f>
        <v>Phân bón </v>
      </c>
      <c r="Q926" s="30" t="str">
        <f>IFERROR(__xludf.DUMMYFUNCTION("""COMPUTED_VALUE"""),"")</f>
        <v/>
      </c>
      <c r="R926" s="2"/>
      <c r="S926" s="2"/>
      <c r="T926" s="2"/>
      <c r="U926" s="2"/>
      <c r="V926" s="2"/>
      <c r="W926" s="2"/>
      <c r="X926" s="2"/>
      <c r="Y926" s="2"/>
    </row>
    <row r="927">
      <c r="A927" s="30">
        <f>IFERROR(__xludf.DUMMYFUNCTION("""COMPUTED_VALUE"""),924.0)</f>
        <v>924</v>
      </c>
      <c r="B927" s="39" t="str">
        <f>IFERROR(__xludf.DUMMYFUNCTION("""COMPUTED_VALUE"""),"")</f>
        <v/>
      </c>
      <c r="C927" s="30">
        <f>IFERROR(__xludf.DUMMYFUNCTION("""COMPUTED_VALUE"""),0.0)</f>
        <v>0</v>
      </c>
      <c r="D927" s="30"/>
      <c r="E927" s="46" t="str">
        <f>IFERROR(__xludf.DUMMYFUNCTION("""COMPUTED_VALUE"""),"")</f>
        <v/>
      </c>
      <c r="F927" s="2"/>
      <c r="G927" s="2" t="str">
        <f>IFERROR(__xludf.DUMMYFUNCTION("""COMPUTED_VALUE"""),"")</f>
        <v/>
      </c>
      <c r="H927" s="2" t="str">
        <f>IFERROR(__xludf.DUMMYFUNCTION("""COMPUTED_VALUE"""),"")</f>
        <v/>
      </c>
      <c r="I927" s="2" t="str">
        <f>IFERROR(__xludf.DUMMYFUNCTION("""COMPUTED_VALUE"""),"")</f>
        <v/>
      </c>
      <c r="J927" s="2" t="str">
        <f>IFERROR(__xludf.DUMMYFUNCTION("""COMPUTED_VALUE"""),"")</f>
        <v/>
      </c>
      <c r="K927" s="39" t="str">
        <f>IFERROR(__xludf.DUMMYFUNCTION("""COMPUTED_VALUE"""),"")</f>
        <v/>
      </c>
      <c r="L927" s="2" t="str">
        <f>IFERROR(__xludf.DUMMYFUNCTION("""COMPUTED_VALUE"""),"")</f>
        <v/>
      </c>
      <c r="M927" s="2" t="str">
        <f>IFERROR(__xludf.DUMMYFUNCTION("""COMPUTED_VALUE"""),"")</f>
        <v/>
      </c>
      <c r="N927" s="2"/>
      <c r="O927" s="2" t="str">
        <f>IFERROR(__xludf.DUMMYFUNCTION("""COMPUTED_VALUE"""),"")</f>
        <v/>
      </c>
      <c r="P927" s="2" t="str">
        <f>IFERROR(__xludf.DUMMYFUNCTION("""COMPUTED_VALUE"""),"Phân bón ")</f>
        <v>Phân bón </v>
      </c>
      <c r="Q927" s="30" t="str">
        <f>IFERROR(__xludf.DUMMYFUNCTION("""COMPUTED_VALUE"""),"")</f>
        <v/>
      </c>
      <c r="R927" s="2"/>
      <c r="S927" s="2"/>
      <c r="T927" s="2"/>
      <c r="U927" s="2"/>
      <c r="V927" s="2"/>
      <c r="W927" s="2"/>
      <c r="X927" s="2"/>
      <c r="Y927" s="2"/>
    </row>
    <row r="928">
      <c r="A928" s="30">
        <f>IFERROR(__xludf.DUMMYFUNCTION("""COMPUTED_VALUE"""),925.0)</f>
        <v>925</v>
      </c>
      <c r="B928" s="39" t="str">
        <f>IFERROR(__xludf.DUMMYFUNCTION("""COMPUTED_VALUE"""),"")</f>
        <v/>
      </c>
      <c r="C928" s="30">
        <f>IFERROR(__xludf.DUMMYFUNCTION("""COMPUTED_VALUE"""),0.0)</f>
        <v>0</v>
      </c>
      <c r="D928" s="30"/>
      <c r="E928" s="46" t="str">
        <f>IFERROR(__xludf.DUMMYFUNCTION("""COMPUTED_VALUE"""),"")</f>
        <v/>
      </c>
      <c r="F928" s="2"/>
      <c r="G928" s="2" t="str">
        <f>IFERROR(__xludf.DUMMYFUNCTION("""COMPUTED_VALUE"""),"")</f>
        <v/>
      </c>
      <c r="H928" s="2" t="str">
        <f>IFERROR(__xludf.DUMMYFUNCTION("""COMPUTED_VALUE"""),"")</f>
        <v/>
      </c>
      <c r="I928" s="2" t="str">
        <f>IFERROR(__xludf.DUMMYFUNCTION("""COMPUTED_VALUE"""),"")</f>
        <v/>
      </c>
      <c r="J928" s="2" t="str">
        <f>IFERROR(__xludf.DUMMYFUNCTION("""COMPUTED_VALUE"""),"")</f>
        <v/>
      </c>
      <c r="K928" s="39" t="str">
        <f>IFERROR(__xludf.DUMMYFUNCTION("""COMPUTED_VALUE"""),"")</f>
        <v/>
      </c>
      <c r="L928" s="2" t="str">
        <f>IFERROR(__xludf.DUMMYFUNCTION("""COMPUTED_VALUE"""),"")</f>
        <v/>
      </c>
      <c r="M928" s="2" t="str">
        <f>IFERROR(__xludf.DUMMYFUNCTION("""COMPUTED_VALUE"""),"")</f>
        <v/>
      </c>
      <c r="N928" s="2"/>
      <c r="O928" s="2" t="str">
        <f>IFERROR(__xludf.DUMMYFUNCTION("""COMPUTED_VALUE"""),"")</f>
        <v/>
      </c>
      <c r="P928" s="2" t="str">
        <f>IFERROR(__xludf.DUMMYFUNCTION("""COMPUTED_VALUE"""),"Phân bón ")</f>
        <v>Phân bón </v>
      </c>
      <c r="Q928" s="30" t="str">
        <f>IFERROR(__xludf.DUMMYFUNCTION("""COMPUTED_VALUE"""),"")</f>
        <v/>
      </c>
      <c r="R928" s="2"/>
      <c r="S928" s="2"/>
      <c r="T928" s="2"/>
      <c r="U928" s="2"/>
      <c r="V928" s="2"/>
      <c r="W928" s="2"/>
      <c r="X928" s="2"/>
      <c r="Y928" s="2"/>
    </row>
    <row r="929">
      <c r="A929" s="30">
        <f>IFERROR(__xludf.DUMMYFUNCTION("""COMPUTED_VALUE"""),926.0)</f>
        <v>926</v>
      </c>
      <c r="B929" s="39" t="str">
        <f>IFERROR(__xludf.DUMMYFUNCTION("""COMPUTED_VALUE"""),"")</f>
        <v/>
      </c>
      <c r="C929" s="30">
        <f>IFERROR(__xludf.DUMMYFUNCTION("""COMPUTED_VALUE"""),0.0)</f>
        <v>0</v>
      </c>
      <c r="D929" s="30"/>
      <c r="E929" s="46" t="str">
        <f>IFERROR(__xludf.DUMMYFUNCTION("""COMPUTED_VALUE"""),"")</f>
        <v/>
      </c>
      <c r="F929" s="2"/>
      <c r="G929" s="2" t="str">
        <f>IFERROR(__xludf.DUMMYFUNCTION("""COMPUTED_VALUE"""),"")</f>
        <v/>
      </c>
      <c r="H929" s="2" t="str">
        <f>IFERROR(__xludf.DUMMYFUNCTION("""COMPUTED_VALUE"""),"")</f>
        <v/>
      </c>
      <c r="I929" s="2" t="str">
        <f>IFERROR(__xludf.DUMMYFUNCTION("""COMPUTED_VALUE"""),"")</f>
        <v/>
      </c>
      <c r="J929" s="2" t="str">
        <f>IFERROR(__xludf.DUMMYFUNCTION("""COMPUTED_VALUE"""),"")</f>
        <v/>
      </c>
      <c r="K929" s="39" t="str">
        <f>IFERROR(__xludf.DUMMYFUNCTION("""COMPUTED_VALUE"""),"")</f>
        <v/>
      </c>
      <c r="L929" s="2" t="str">
        <f>IFERROR(__xludf.DUMMYFUNCTION("""COMPUTED_VALUE"""),"")</f>
        <v/>
      </c>
      <c r="M929" s="2" t="str">
        <f>IFERROR(__xludf.DUMMYFUNCTION("""COMPUTED_VALUE"""),"")</f>
        <v/>
      </c>
      <c r="N929" s="2"/>
      <c r="O929" s="2" t="str">
        <f>IFERROR(__xludf.DUMMYFUNCTION("""COMPUTED_VALUE"""),"")</f>
        <v/>
      </c>
      <c r="P929" s="2" t="str">
        <f>IFERROR(__xludf.DUMMYFUNCTION("""COMPUTED_VALUE"""),"Phân bón ")</f>
        <v>Phân bón </v>
      </c>
      <c r="Q929" s="30" t="str">
        <f>IFERROR(__xludf.DUMMYFUNCTION("""COMPUTED_VALUE"""),"")</f>
        <v/>
      </c>
      <c r="R929" s="2"/>
      <c r="S929" s="2"/>
      <c r="T929" s="2"/>
      <c r="U929" s="2"/>
      <c r="V929" s="2"/>
      <c r="W929" s="2"/>
      <c r="X929" s="2"/>
      <c r="Y929" s="2"/>
    </row>
    <row r="930">
      <c r="A930" s="30">
        <f>IFERROR(__xludf.DUMMYFUNCTION("""COMPUTED_VALUE"""),927.0)</f>
        <v>927</v>
      </c>
      <c r="B930" s="39" t="str">
        <f>IFERROR(__xludf.DUMMYFUNCTION("""COMPUTED_VALUE"""),"")</f>
        <v/>
      </c>
      <c r="C930" s="30">
        <f>IFERROR(__xludf.DUMMYFUNCTION("""COMPUTED_VALUE"""),0.0)</f>
        <v>0</v>
      </c>
      <c r="D930" s="30"/>
      <c r="E930" s="46" t="str">
        <f>IFERROR(__xludf.DUMMYFUNCTION("""COMPUTED_VALUE"""),"")</f>
        <v/>
      </c>
      <c r="F930" s="2"/>
      <c r="G930" s="2" t="str">
        <f>IFERROR(__xludf.DUMMYFUNCTION("""COMPUTED_VALUE"""),"")</f>
        <v/>
      </c>
      <c r="H930" s="2" t="str">
        <f>IFERROR(__xludf.DUMMYFUNCTION("""COMPUTED_VALUE"""),"")</f>
        <v/>
      </c>
      <c r="I930" s="2" t="str">
        <f>IFERROR(__xludf.DUMMYFUNCTION("""COMPUTED_VALUE"""),"")</f>
        <v/>
      </c>
      <c r="J930" s="2" t="str">
        <f>IFERROR(__xludf.DUMMYFUNCTION("""COMPUTED_VALUE"""),"")</f>
        <v/>
      </c>
      <c r="K930" s="39" t="str">
        <f>IFERROR(__xludf.DUMMYFUNCTION("""COMPUTED_VALUE"""),"")</f>
        <v/>
      </c>
      <c r="L930" s="2" t="str">
        <f>IFERROR(__xludf.DUMMYFUNCTION("""COMPUTED_VALUE"""),"")</f>
        <v/>
      </c>
      <c r="M930" s="2" t="str">
        <f>IFERROR(__xludf.DUMMYFUNCTION("""COMPUTED_VALUE"""),"")</f>
        <v/>
      </c>
      <c r="N930" s="2"/>
      <c r="O930" s="2" t="str">
        <f>IFERROR(__xludf.DUMMYFUNCTION("""COMPUTED_VALUE"""),"")</f>
        <v/>
      </c>
      <c r="P930" s="2" t="str">
        <f>IFERROR(__xludf.DUMMYFUNCTION("""COMPUTED_VALUE"""),"Phân bón ")</f>
        <v>Phân bón </v>
      </c>
      <c r="Q930" s="30" t="str">
        <f>IFERROR(__xludf.DUMMYFUNCTION("""COMPUTED_VALUE"""),"")</f>
        <v/>
      </c>
      <c r="R930" s="2"/>
      <c r="S930" s="2"/>
      <c r="T930" s="2"/>
      <c r="U930" s="2"/>
      <c r="V930" s="2"/>
      <c r="W930" s="2"/>
      <c r="X930" s="2"/>
      <c r="Y930" s="2"/>
    </row>
    <row r="931">
      <c r="A931" s="30">
        <f>IFERROR(__xludf.DUMMYFUNCTION("""COMPUTED_VALUE"""),928.0)</f>
        <v>928</v>
      </c>
      <c r="B931" s="39" t="str">
        <f>IFERROR(__xludf.DUMMYFUNCTION("""COMPUTED_VALUE"""),"")</f>
        <v/>
      </c>
      <c r="C931" s="30">
        <f>IFERROR(__xludf.DUMMYFUNCTION("""COMPUTED_VALUE"""),0.0)</f>
        <v>0</v>
      </c>
      <c r="D931" s="30"/>
      <c r="E931" s="46" t="str">
        <f>IFERROR(__xludf.DUMMYFUNCTION("""COMPUTED_VALUE"""),"")</f>
        <v/>
      </c>
      <c r="F931" s="2"/>
      <c r="G931" s="2" t="str">
        <f>IFERROR(__xludf.DUMMYFUNCTION("""COMPUTED_VALUE"""),"")</f>
        <v/>
      </c>
      <c r="H931" s="2" t="str">
        <f>IFERROR(__xludf.DUMMYFUNCTION("""COMPUTED_VALUE"""),"")</f>
        <v/>
      </c>
      <c r="I931" s="2" t="str">
        <f>IFERROR(__xludf.DUMMYFUNCTION("""COMPUTED_VALUE"""),"")</f>
        <v/>
      </c>
      <c r="J931" s="2" t="str">
        <f>IFERROR(__xludf.DUMMYFUNCTION("""COMPUTED_VALUE"""),"")</f>
        <v/>
      </c>
      <c r="K931" s="39" t="str">
        <f>IFERROR(__xludf.DUMMYFUNCTION("""COMPUTED_VALUE"""),"")</f>
        <v/>
      </c>
      <c r="L931" s="2" t="str">
        <f>IFERROR(__xludf.DUMMYFUNCTION("""COMPUTED_VALUE"""),"")</f>
        <v/>
      </c>
      <c r="M931" s="2" t="str">
        <f>IFERROR(__xludf.DUMMYFUNCTION("""COMPUTED_VALUE"""),"")</f>
        <v/>
      </c>
      <c r="N931" s="2"/>
      <c r="O931" s="2" t="str">
        <f>IFERROR(__xludf.DUMMYFUNCTION("""COMPUTED_VALUE"""),"")</f>
        <v/>
      </c>
      <c r="P931" s="2" t="str">
        <f>IFERROR(__xludf.DUMMYFUNCTION("""COMPUTED_VALUE"""),"Phân bón ")</f>
        <v>Phân bón </v>
      </c>
      <c r="Q931" s="30" t="str">
        <f>IFERROR(__xludf.DUMMYFUNCTION("""COMPUTED_VALUE"""),"")</f>
        <v/>
      </c>
      <c r="R931" s="2"/>
      <c r="S931" s="2"/>
      <c r="T931" s="2"/>
      <c r="U931" s="2"/>
      <c r="V931" s="2"/>
      <c r="W931" s="2"/>
      <c r="X931" s="2"/>
      <c r="Y931" s="2"/>
    </row>
    <row r="932">
      <c r="A932" s="30">
        <f>IFERROR(__xludf.DUMMYFUNCTION("""COMPUTED_VALUE"""),929.0)</f>
        <v>929</v>
      </c>
      <c r="B932" s="39" t="str">
        <f>IFERROR(__xludf.DUMMYFUNCTION("""COMPUTED_VALUE"""),"")</f>
        <v/>
      </c>
      <c r="C932" s="30">
        <f>IFERROR(__xludf.DUMMYFUNCTION("""COMPUTED_VALUE"""),0.0)</f>
        <v>0</v>
      </c>
      <c r="D932" s="30"/>
      <c r="E932" s="46" t="str">
        <f>IFERROR(__xludf.DUMMYFUNCTION("""COMPUTED_VALUE"""),"")</f>
        <v/>
      </c>
      <c r="F932" s="2"/>
      <c r="G932" s="2" t="str">
        <f>IFERROR(__xludf.DUMMYFUNCTION("""COMPUTED_VALUE"""),"")</f>
        <v/>
      </c>
      <c r="H932" s="2" t="str">
        <f>IFERROR(__xludf.DUMMYFUNCTION("""COMPUTED_VALUE"""),"")</f>
        <v/>
      </c>
      <c r="I932" s="2" t="str">
        <f>IFERROR(__xludf.DUMMYFUNCTION("""COMPUTED_VALUE"""),"")</f>
        <v/>
      </c>
      <c r="J932" s="2" t="str">
        <f>IFERROR(__xludf.DUMMYFUNCTION("""COMPUTED_VALUE"""),"")</f>
        <v/>
      </c>
      <c r="K932" s="39" t="str">
        <f>IFERROR(__xludf.DUMMYFUNCTION("""COMPUTED_VALUE"""),"")</f>
        <v/>
      </c>
      <c r="L932" s="2" t="str">
        <f>IFERROR(__xludf.DUMMYFUNCTION("""COMPUTED_VALUE"""),"")</f>
        <v/>
      </c>
      <c r="M932" s="2" t="str">
        <f>IFERROR(__xludf.DUMMYFUNCTION("""COMPUTED_VALUE"""),"")</f>
        <v/>
      </c>
      <c r="N932" s="2"/>
      <c r="O932" s="2" t="str">
        <f>IFERROR(__xludf.DUMMYFUNCTION("""COMPUTED_VALUE"""),"")</f>
        <v/>
      </c>
      <c r="P932" s="2" t="str">
        <f>IFERROR(__xludf.DUMMYFUNCTION("""COMPUTED_VALUE"""),"Phân bón ")</f>
        <v>Phân bón </v>
      </c>
      <c r="Q932" s="30" t="str">
        <f>IFERROR(__xludf.DUMMYFUNCTION("""COMPUTED_VALUE"""),"")</f>
        <v/>
      </c>
      <c r="R932" s="2"/>
      <c r="S932" s="2"/>
      <c r="T932" s="2"/>
      <c r="U932" s="2"/>
      <c r="V932" s="2"/>
      <c r="W932" s="2"/>
      <c r="X932" s="2"/>
      <c r="Y932" s="2"/>
    </row>
    <row r="933">
      <c r="A933" s="30">
        <f>IFERROR(__xludf.DUMMYFUNCTION("""COMPUTED_VALUE"""),930.0)</f>
        <v>930</v>
      </c>
      <c r="B933" s="39" t="str">
        <f>IFERROR(__xludf.DUMMYFUNCTION("""COMPUTED_VALUE"""),"")</f>
        <v/>
      </c>
      <c r="C933" s="30">
        <f>IFERROR(__xludf.DUMMYFUNCTION("""COMPUTED_VALUE"""),0.0)</f>
        <v>0</v>
      </c>
      <c r="D933" s="30"/>
      <c r="E933" s="46" t="str">
        <f>IFERROR(__xludf.DUMMYFUNCTION("""COMPUTED_VALUE"""),"")</f>
        <v/>
      </c>
      <c r="F933" s="2"/>
      <c r="G933" s="2" t="str">
        <f>IFERROR(__xludf.DUMMYFUNCTION("""COMPUTED_VALUE"""),"")</f>
        <v/>
      </c>
      <c r="H933" s="2" t="str">
        <f>IFERROR(__xludf.DUMMYFUNCTION("""COMPUTED_VALUE"""),"")</f>
        <v/>
      </c>
      <c r="I933" s="2" t="str">
        <f>IFERROR(__xludf.DUMMYFUNCTION("""COMPUTED_VALUE"""),"")</f>
        <v/>
      </c>
      <c r="J933" s="2" t="str">
        <f>IFERROR(__xludf.DUMMYFUNCTION("""COMPUTED_VALUE"""),"")</f>
        <v/>
      </c>
      <c r="K933" s="39" t="str">
        <f>IFERROR(__xludf.DUMMYFUNCTION("""COMPUTED_VALUE"""),"")</f>
        <v/>
      </c>
      <c r="L933" s="2" t="str">
        <f>IFERROR(__xludf.DUMMYFUNCTION("""COMPUTED_VALUE"""),"")</f>
        <v/>
      </c>
      <c r="M933" s="2" t="str">
        <f>IFERROR(__xludf.DUMMYFUNCTION("""COMPUTED_VALUE"""),"")</f>
        <v/>
      </c>
      <c r="N933" s="2"/>
      <c r="O933" s="2" t="str">
        <f>IFERROR(__xludf.DUMMYFUNCTION("""COMPUTED_VALUE"""),"")</f>
        <v/>
      </c>
      <c r="P933" s="2" t="str">
        <f>IFERROR(__xludf.DUMMYFUNCTION("""COMPUTED_VALUE"""),"Phân bón ")</f>
        <v>Phân bón </v>
      </c>
      <c r="Q933" s="30" t="str">
        <f>IFERROR(__xludf.DUMMYFUNCTION("""COMPUTED_VALUE"""),"")</f>
        <v/>
      </c>
      <c r="R933" s="2"/>
      <c r="S933" s="2"/>
      <c r="T933" s="2"/>
      <c r="U933" s="2"/>
      <c r="V933" s="2"/>
      <c r="W933" s="2"/>
      <c r="X933" s="2"/>
      <c r="Y933" s="2"/>
    </row>
    <row r="934">
      <c r="A934" s="30">
        <f>IFERROR(__xludf.DUMMYFUNCTION("""COMPUTED_VALUE"""),931.0)</f>
        <v>931</v>
      </c>
      <c r="B934" s="39" t="str">
        <f>IFERROR(__xludf.DUMMYFUNCTION("""COMPUTED_VALUE"""),"")</f>
        <v/>
      </c>
      <c r="C934" s="30">
        <f>IFERROR(__xludf.DUMMYFUNCTION("""COMPUTED_VALUE"""),0.0)</f>
        <v>0</v>
      </c>
      <c r="D934" s="30"/>
      <c r="E934" s="46" t="str">
        <f>IFERROR(__xludf.DUMMYFUNCTION("""COMPUTED_VALUE"""),"")</f>
        <v/>
      </c>
      <c r="F934" s="2"/>
      <c r="G934" s="2" t="str">
        <f>IFERROR(__xludf.DUMMYFUNCTION("""COMPUTED_VALUE"""),"")</f>
        <v/>
      </c>
      <c r="H934" s="2" t="str">
        <f>IFERROR(__xludf.DUMMYFUNCTION("""COMPUTED_VALUE"""),"")</f>
        <v/>
      </c>
      <c r="I934" s="2" t="str">
        <f>IFERROR(__xludf.DUMMYFUNCTION("""COMPUTED_VALUE"""),"")</f>
        <v/>
      </c>
      <c r="J934" s="2" t="str">
        <f>IFERROR(__xludf.DUMMYFUNCTION("""COMPUTED_VALUE"""),"")</f>
        <v/>
      </c>
      <c r="K934" s="39" t="str">
        <f>IFERROR(__xludf.DUMMYFUNCTION("""COMPUTED_VALUE"""),"")</f>
        <v/>
      </c>
      <c r="L934" s="2" t="str">
        <f>IFERROR(__xludf.DUMMYFUNCTION("""COMPUTED_VALUE"""),"")</f>
        <v/>
      </c>
      <c r="M934" s="2" t="str">
        <f>IFERROR(__xludf.DUMMYFUNCTION("""COMPUTED_VALUE"""),"")</f>
        <v/>
      </c>
      <c r="N934" s="2"/>
      <c r="O934" s="2" t="str">
        <f>IFERROR(__xludf.DUMMYFUNCTION("""COMPUTED_VALUE"""),"")</f>
        <v/>
      </c>
      <c r="P934" s="2" t="str">
        <f>IFERROR(__xludf.DUMMYFUNCTION("""COMPUTED_VALUE"""),"Phân bón ")</f>
        <v>Phân bón </v>
      </c>
      <c r="Q934" s="30" t="str">
        <f>IFERROR(__xludf.DUMMYFUNCTION("""COMPUTED_VALUE"""),"")</f>
        <v/>
      </c>
      <c r="R934" s="2"/>
      <c r="S934" s="2"/>
      <c r="T934" s="2"/>
      <c r="U934" s="2"/>
      <c r="V934" s="2"/>
      <c r="W934" s="2"/>
      <c r="X934" s="2"/>
      <c r="Y934" s="2"/>
    </row>
    <row r="935">
      <c r="A935" s="30">
        <f>IFERROR(__xludf.DUMMYFUNCTION("""COMPUTED_VALUE"""),932.0)</f>
        <v>932</v>
      </c>
      <c r="B935" s="39" t="str">
        <f>IFERROR(__xludf.DUMMYFUNCTION("""COMPUTED_VALUE"""),"")</f>
        <v/>
      </c>
      <c r="C935" s="30">
        <f>IFERROR(__xludf.DUMMYFUNCTION("""COMPUTED_VALUE"""),0.0)</f>
        <v>0</v>
      </c>
      <c r="D935" s="30"/>
      <c r="E935" s="46" t="str">
        <f>IFERROR(__xludf.DUMMYFUNCTION("""COMPUTED_VALUE"""),"")</f>
        <v/>
      </c>
      <c r="F935" s="2"/>
      <c r="G935" s="2" t="str">
        <f>IFERROR(__xludf.DUMMYFUNCTION("""COMPUTED_VALUE"""),"")</f>
        <v/>
      </c>
      <c r="H935" s="2" t="str">
        <f>IFERROR(__xludf.DUMMYFUNCTION("""COMPUTED_VALUE"""),"")</f>
        <v/>
      </c>
      <c r="I935" s="2" t="str">
        <f>IFERROR(__xludf.DUMMYFUNCTION("""COMPUTED_VALUE"""),"")</f>
        <v/>
      </c>
      <c r="J935" s="2" t="str">
        <f>IFERROR(__xludf.DUMMYFUNCTION("""COMPUTED_VALUE"""),"")</f>
        <v/>
      </c>
      <c r="K935" s="39" t="str">
        <f>IFERROR(__xludf.DUMMYFUNCTION("""COMPUTED_VALUE"""),"")</f>
        <v/>
      </c>
      <c r="L935" s="2" t="str">
        <f>IFERROR(__xludf.DUMMYFUNCTION("""COMPUTED_VALUE"""),"")</f>
        <v/>
      </c>
      <c r="M935" s="2" t="str">
        <f>IFERROR(__xludf.DUMMYFUNCTION("""COMPUTED_VALUE"""),"")</f>
        <v/>
      </c>
      <c r="N935" s="2"/>
      <c r="O935" s="2" t="str">
        <f>IFERROR(__xludf.DUMMYFUNCTION("""COMPUTED_VALUE"""),"")</f>
        <v/>
      </c>
      <c r="P935" s="2" t="str">
        <f>IFERROR(__xludf.DUMMYFUNCTION("""COMPUTED_VALUE"""),"Phân bón ")</f>
        <v>Phân bón </v>
      </c>
      <c r="Q935" s="30" t="str">
        <f>IFERROR(__xludf.DUMMYFUNCTION("""COMPUTED_VALUE"""),"")</f>
        <v/>
      </c>
      <c r="R935" s="2"/>
      <c r="S935" s="2"/>
      <c r="T935" s="2"/>
      <c r="U935" s="2"/>
      <c r="V935" s="2"/>
      <c r="W935" s="2"/>
      <c r="X935" s="2"/>
      <c r="Y935" s="2"/>
    </row>
    <row r="936">
      <c r="A936" s="30">
        <f>IFERROR(__xludf.DUMMYFUNCTION("""COMPUTED_VALUE"""),933.0)</f>
        <v>933</v>
      </c>
      <c r="B936" s="39" t="str">
        <f>IFERROR(__xludf.DUMMYFUNCTION("""COMPUTED_VALUE"""),"")</f>
        <v/>
      </c>
      <c r="C936" s="30">
        <f>IFERROR(__xludf.DUMMYFUNCTION("""COMPUTED_VALUE"""),0.0)</f>
        <v>0</v>
      </c>
      <c r="D936" s="30"/>
      <c r="E936" s="46" t="str">
        <f>IFERROR(__xludf.DUMMYFUNCTION("""COMPUTED_VALUE"""),"")</f>
        <v/>
      </c>
      <c r="F936" s="2"/>
      <c r="G936" s="2" t="str">
        <f>IFERROR(__xludf.DUMMYFUNCTION("""COMPUTED_VALUE"""),"")</f>
        <v/>
      </c>
      <c r="H936" s="2" t="str">
        <f>IFERROR(__xludf.DUMMYFUNCTION("""COMPUTED_VALUE"""),"")</f>
        <v/>
      </c>
      <c r="I936" s="2" t="str">
        <f>IFERROR(__xludf.DUMMYFUNCTION("""COMPUTED_VALUE"""),"")</f>
        <v/>
      </c>
      <c r="J936" s="2" t="str">
        <f>IFERROR(__xludf.DUMMYFUNCTION("""COMPUTED_VALUE"""),"")</f>
        <v/>
      </c>
      <c r="K936" s="39" t="str">
        <f>IFERROR(__xludf.DUMMYFUNCTION("""COMPUTED_VALUE"""),"")</f>
        <v/>
      </c>
      <c r="L936" s="2" t="str">
        <f>IFERROR(__xludf.DUMMYFUNCTION("""COMPUTED_VALUE"""),"")</f>
        <v/>
      </c>
      <c r="M936" s="2" t="str">
        <f>IFERROR(__xludf.DUMMYFUNCTION("""COMPUTED_VALUE"""),"")</f>
        <v/>
      </c>
      <c r="N936" s="2"/>
      <c r="O936" s="2" t="str">
        <f>IFERROR(__xludf.DUMMYFUNCTION("""COMPUTED_VALUE"""),"")</f>
        <v/>
      </c>
      <c r="P936" s="2" t="str">
        <f>IFERROR(__xludf.DUMMYFUNCTION("""COMPUTED_VALUE"""),"Phân bón ")</f>
        <v>Phân bón </v>
      </c>
      <c r="Q936" s="30" t="str">
        <f>IFERROR(__xludf.DUMMYFUNCTION("""COMPUTED_VALUE"""),"")</f>
        <v/>
      </c>
      <c r="R936" s="2"/>
      <c r="S936" s="2"/>
      <c r="T936" s="2"/>
      <c r="U936" s="2"/>
      <c r="V936" s="2"/>
      <c r="W936" s="2"/>
      <c r="X936" s="2"/>
      <c r="Y936" s="2"/>
    </row>
    <row r="937">
      <c r="A937" s="30">
        <f>IFERROR(__xludf.DUMMYFUNCTION("""COMPUTED_VALUE"""),934.0)</f>
        <v>934</v>
      </c>
      <c r="B937" s="39" t="str">
        <f>IFERROR(__xludf.DUMMYFUNCTION("""COMPUTED_VALUE"""),"")</f>
        <v/>
      </c>
      <c r="C937" s="30">
        <f>IFERROR(__xludf.DUMMYFUNCTION("""COMPUTED_VALUE"""),0.0)</f>
        <v>0</v>
      </c>
      <c r="D937" s="30"/>
      <c r="E937" s="46" t="str">
        <f>IFERROR(__xludf.DUMMYFUNCTION("""COMPUTED_VALUE"""),"")</f>
        <v/>
      </c>
      <c r="F937" s="2"/>
      <c r="G937" s="2" t="str">
        <f>IFERROR(__xludf.DUMMYFUNCTION("""COMPUTED_VALUE"""),"")</f>
        <v/>
      </c>
      <c r="H937" s="2" t="str">
        <f>IFERROR(__xludf.DUMMYFUNCTION("""COMPUTED_VALUE"""),"")</f>
        <v/>
      </c>
      <c r="I937" s="2" t="str">
        <f>IFERROR(__xludf.DUMMYFUNCTION("""COMPUTED_VALUE"""),"")</f>
        <v/>
      </c>
      <c r="J937" s="2" t="str">
        <f>IFERROR(__xludf.DUMMYFUNCTION("""COMPUTED_VALUE"""),"")</f>
        <v/>
      </c>
      <c r="K937" s="39" t="str">
        <f>IFERROR(__xludf.DUMMYFUNCTION("""COMPUTED_VALUE"""),"")</f>
        <v/>
      </c>
      <c r="L937" s="2" t="str">
        <f>IFERROR(__xludf.DUMMYFUNCTION("""COMPUTED_VALUE"""),"")</f>
        <v/>
      </c>
      <c r="M937" s="2" t="str">
        <f>IFERROR(__xludf.DUMMYFUNCTION("""COMPUTED_VALUE"""),"")</f>
        <v/>
      </c>
      <c r="N937" s="2"/>
      <c r="O937" s="2" t="str">
        <f>IFERROR(__xludf.DUMMYFUNCTION("""COMPUTED_VALUE"""),"")</f>
        <v/>
      </c>
      <c r="P937" s="2" t="str">
        <f>IFERROR(__xludf.DUMMYFUNCTION("""COMPUTED_VALUE"""),"Phân bón ")</f>
        <v>Phân bón </v>
      </c>
      <c r="Q937" s="30" t="str">
        <f>IFERROR(__xludf.DUMMYFUNCTION("""COMPUTED_VALUE"""),"")</f>
        <v/>
      </c>
      <c r="R937" s="2"/>
      <c r="S937" s="2"/>
      <c r="T937" s="2"/>
      <c r="U937" s="2"/>
      <c r="V937" s="2"/>
      <c r="W937" s="2"/>
      <c r="X937" s="2"/>
      <c r="Y937" s="2"/>
    </row>
    <row r="938">
      <c r="A938" s="30">
        <f>IFERROR(__xludf.DUMMYFUNCTION("""COMPUTED_VALUE"""),935.0)</f>
        <v>935</v>
      </c>
      <c r="B938" s="39" t="str">
        <f>IFERROR(__xludf.DUMMYFUNCTION("""COMPUTED_VALUE"""),"")</f>
        <v/>
      </c>
      <c r="C938" s="30">
        <f>IFERROR(__xludf.DUMMYFUNCTION("""COMPUTED_VALUE"""),0.0)</f>
        <v>0</v>
      </c>
      <c r="D938" s="30"/>
      <c r="E938" s="46" t="str">
        <f>IFERROR(__xludf.DUMMYFUNCTION("""COMPUTED_VALUE"""),"")</f>
        <v/>
      </c>
      <c r="F938" s="2"/>
      <c r="G938" s="2" t="str">
        <f>IFERROR(__xludf.DUMMYFUNCTION("""COMPUTED_VALUE"""),"")</f>
        <v/>
      </c>
      <c r="H938" s="2" t="str">
        <f>IFERROR(__xludf.DUMMYFUNCTION("""COMPUTED_VALUE"""),"")</f>
        <v/>
      </c>
      <c r="I938" s="2" t="str">
        <f>IFERROR(__xludf.DUMMYFUNCTION("""COMPUTED_VALUE"""),"")</f>
        <v/>
      </c>
      <c r="J938" s="2" t="str">
        <f>IFERROR(__xludf.DUMMYFUNCTION("""COMPUTED_VALUE"""),"")</f>
        <v/>
      </c>
      <c r="K938" s="39" t="str">
        <f>IFERROR(__xludf.DUMMYFUNCTION("""COMPUTED_VALUE"""),"")</f>
        <v/>
      </c>
      <c r="L938" s="2" t="str">
        <f>IFERROR(__xludf.DUMMYFUNCTION("""COMPUTED_VALUE"""),"")</f>
        <v/>
      </c>
      <c r="M938" s="2" t="str">
        <f>IFERROR(__xludf.DUMMYFUNCTION("""COMPUTED_VALUE"""),"")</f>
        <v/>
      </c>
      <c r="N938" s="2"/>
      <c r="O938" s="2" t="str">
        <f>IFERROR(__xludf.DUMMYFUNCTION("""COMPUTED_VALUE"""),"")</f>
        <v/>
      </c>
      <c r="P938" s="2" t="str">
        <f>IFERROR(__xludf.DUMMYFUNCTION("""COMPUTED_VALUE"""),"Phân bón ")</f>
        <v>Phân bón </v>
      </c>
      <c r="Q938" s="30" t="str">
        <f>IFERROR(__xludf.DUMMYFUNCTION("""COMPUTED_VALUE"""),"")</f>
        <v/>
      </c>
      <c r="R938" s="2"/>
      <c r="S938" s="2"/>
      <c r="T938" s="2"/>
      <c r="U938" s="2"/>
      <c r="V938" s="2"/>
      <c r="W938" s="2"/>
      <c r="X938" s="2"/>
      <c r="Y938" s="2"/>
    </row>
    <row r="939">
      <c r="A939" s="30">
        <f>IFERROR(__xludf.DUMMYFUNCTION("""COMPUTED_VALUE"""),936.0)</f>
        <v>936</v>
      </c>
      <c r="B939" s="39" t="str">
        <f>IFERROR(__xludf.DUMMYFUNCTION("""COMPUTED_VALUE"""),"")</f>
        <v/>
      </c>
      <c r="C939" s="30">
        <f>IFERROR(__xludf.DUMMYFUNCTION("""COMPUTED_VALUE"""),0.0)</f>
        <v>0</v>
      </c>
      <c r="D939" s="30"/>
      <c r="E939" s="46" t="str">
        <f>IFERROR(__xludf.DUMMYFUNCTION("""COMPUTED_VALUE"""),"")</f>
        <v/>
      </c>
      <c r="F939" s="2"/>
      <c r="G939" s="2" t="str">
        <f>IFERROR(__xludf.DUMMYFUNCTION("""COMPUTED_VALUE"""),"")</f>
        <v/>
      </c>
      <c r="H939" s="2" t="str">
        <f>IFERROR(__xludf.DUMMYFUNCTION("""COMPUTED_VALUE"""),"")</f>
        <v/>
      </c>
      <c r="I939" s="2" t="str">
        <f>IFERROR(__xludf.DUMMYFUNCTION("""COMPUTED_VALUE"""),"")</f>
        <v/>
      </c>
      <c r="J939" s="2" t="str">
        <f>IFERROR(__xludf.DUMMYFUNCTION("""COMPUTED_VALUE"""),"")</f>
        <v/>
      </c>
      <c r="K939" s="39" t="str">
        <f>IFERROR(__xludf.DUMMYFUNCTION("""COMPUTED_VALUE"""),"")</f>
        <v/>
      </c>
      <c r="L939" s="2" t="str">
        <f>IFERROR(__xludf.DUMMYFUNCTION("""COMPUTED_VALUE"""),"")</f>
        <v/>
      </c>
      <c r="M939" s="2" t="str">
        <f>IFERROR(__xludf.DUMMYFUNCTION("""COMPUTED_VALUE"""),"")</f>
        <v/>
      </c>
      <c r="N939" s="2"/>
      <c r="O939" s="2" t="str">
        <f>IFERROR(__xludf.DUMMYFUNCTION("""COMPUTED_VALUE"""),"")</f>
        <v/>
      </c>
      <c r="P939" s="2" t="str">
        <f>IFERROR(__xludf.DUMMYFUNCTION("""COMPUTED_VALUE"""),"Phân bón ")</f>
        <v>Phân bón </v>
      </c>
      <c r="Q939" s="30" t="str">
        <f>IFERROR(__xludf.DUMMYFUNCTION("""COMPUTED_VALUE"""),"")</f>
        <v/>
      </c>
      <c r="R939" s="2"/>
      <c r="S939" s="2"/>
      <c r="T939" s="2"/>
      <c r="U939" s="2"/>
      <c r="V939" s="2"/>
      <c r="W939" s="2"/>
      <c r="X939" s="2"/>
      <c r="Y939" s="2"/>
    </row>
    <row r="940">
      <c r="A940" s="30">
        <f>IFERROR(__xludf.DUMMYFUNCTION("""COMPUTED_VALUE"""),937.0)</f>
        <v>937</v>
      </c>
      <c r="B940" s="39" t="str">
        <f>IFERROR(__xludf.DUMMYFUNCTION("""COMPUTED_VALUE"""),"")</f>
        <v/>
      </c>
      <c r="C940" s="30">
        <f>IFERROR(__xludf.DUMMYFUNCTION("""COMPUTED_VALUE"""),0.0)</f>
        <v>0</v>
      </c>
      <c r="D940" s="30"/>
      <c r="E940" s="46" t="str">
        <f>IFERROR(__xludf.DUMMYFUNCTION("""COMPUTED_VALUE"""),"")</f>
        <v/>
      </c>
      <c r="F940" s="2"/>
      <c r="G940" s="2" t="str">
        <f>IFERROR(__xludf.DUMMYFUNCTION("""COMPUTED_VALUE"""),"")</f>
        <v/>
      </c>
      <c r="H940" s="2" t="str">
        <f>IFERROR(__xludf.DUMMYFUNCTION("""COMPUTED_VALUE"""),"")</f>
        <v/>
      </c>
      <c r="I940" s="2" t="str">
        <f>IFERROR(__xludf.DUMMYFUNCTION("""COMPUTED_VALUE"""),"")</f>
        <v/>
      </c>
      <c r="J940" s="2" t="str">
        <f>IFERROR(__xludf.DUMMYFUNCTION("""COMPUTED_VALUE"""),"")</f>
        <v/>
      </c>
      <c r="K940" s="39" t="str">
        <f>IFERROR(__xludf.DUMMYFUNCTION("""COMPUTED_VALUE"""),"")</f>
        <v/>
      </c>
      <c r="L940" s="2" t="str">
        <f>IFERROR(__xludf.DUMMYFUNCTION("""COMPUTED_VALUE"""),"")</f>
        <v/>
      </c>
      <c r="M940" s="2" t="str">
        <f>IFERROR(__xludf.DUMMYFUNCTION("""COMPUTED_VALUE"""),"")</f>
        <v/>
      </c>
      <c r="N940" s="2"/>
      <c r="O940" s="2" t="str">
        <f>IFERROR(__xludf.DUMMYFUNCTION("""COMPUTED_VALUE"""),"")</f>
        <v/>
      </c>
      <c r="P940" s="2" t="str">
        <f>IFERROR(__xludf.DUMMYFUNCTION("""COMPUTED_VALUE"""),"Phân bón ")</f>
        <v>Phân bón </v>
      </c>
      <c r="Q940" s="30" t="str">
        <f>IFERROR(__xludf.DUMMYFUNCTION("""COMPUTED_VALUE"""),"")</f>
        <v/>
      </c>
      <c r="R940" s="2"/>
      <c r="S940" s="2"/>
      <c r="T940" s="2"/>
      <c r="U940" s="2"/>
      <c r="V940" s="2"/>
      <c r="W940" s="2"/>
      <c r="X940" s="2"/>
      <c r="Y940" s="2"/>
    </row>
    <row r="941">
      <c r="A941" s="30">
        <f>IFERROR(__xludf.DUMMYFUNCTION("""COMPUTED_VALUE"""),938.0)</f>
        <v>938</v>
      </c>
      <c r="B941" s="39" t="str">
        <f>IFERROR(__xludf.DUMMYFUNCTION("""COMPUTED_VALUE"""),"")</f>
        <v/>
      </c>
      <c r="C941" s="30">
        <f>IFERROR(__xludf.DUMMYFUNCTION("""COMPUTED_VALUE"""),0.0)</f>
        <v>0</v>
      </c>
      <c r="D941" s="30"/>
      <c r="E941" s="46" t="str">
        <f>IFERROR(__xludf.DUMMYFUNCTION("""COMPUTED_VALUE"""),"")</f>
        <v/>
      </c>
      <c r="F941" s="2"/>
      <c r="G941" s="2" t="str">
        <f>IFERROR(__xludf.DUMMYFUNCTION("""COMPUTED_VALUE"""),"")</f>
        <v/>
      </c>
      <c r="H941" s="2" t="str">
        <f>IFERROR(__xludf.DUMMYFUNCTION("""COMPUTED_VALUE"""),"")</f>
        <v/>
      </c>
      <c r="I941" s="2" t="str">
        <f>IFERROR(__xludf.DUMMYFUNCTION("""COMPUTED_VALUE"""),"")</f>
        <v/>
      </c>
      <c r="J941" s="2" t="str">
        <f>IFERROR(__xludf.DUMMYFUNCTION("""COMPUTED_VALUE"""),"")</f>
        <v/>
      </c>
      <c r="K941" s="39" t="str">
        <f>IFERROR(__xludf.DUMMYFUNCTION("""COMPUTED_VALUE"""),"")</f>
        <v/>
      </c>
      <c r="L941" s="2" t="str">
        <f>IFERROR(__xludf.DUMMYFUNCTION("""COMPUTED_VALUE"""),"")</f>
        <v/>
      </c>
      <c r="M941" s="2" t="str">
        <f>IFERROR(__xludf.DUMMYFUNCTION("""COMPUTED_VALUE"""),"")</f>
        <v/>
      </c>
      <c r="N941" s="2"/>
      <c r="O941" s="2" t="str">
        <f>IFERROR(__xludf.DUMMYFUNCTION("""COMPUTED_VALUE"""),"")</f>
        <v/>
      </c>
      <c r="P941" s="2" t="str">
        <f>IFERROR(__xludf.DUMMYFUNCTION("""COMPUTED_VALUE"""),"Phân bón ")</f>
        <v>Phân bón </v>
      </c>
      <c r="Q941" s="30" t="str">
        <f>IFERROR(__xludf.DUMMYFUNCTION("""COMPUTED_VALUE"""),"")</f>
        <v/>
      </c>
      <c r="R941" s="2"/>
      <c r="S941" s="2"/>
      <c r="T941" s="2"/>
      <c r="U941" s="2"/>
      <c r="V941" s="2"/>
      <c r="W941" s="2"/>
      <c r="X941" s="2"/>
      <c r="Y941" s="2"/>
    </row>
    <row r="942">
      <c r="A942" s="30">
        <f>IFERROR(__xludf.DUMMYFUNCTION("""COMPUTED_VALUE"""),939.0)</f>
        <v>939</v>
      </c>
      <c r="B942" s="39" t="str">
        <f>IFERROR(__xludf.DUMMYFUNCTION("""COMPUTED_VALUE"""),"")</f>
        <v/>
      </c>
      <c r="C942" s="30">
        <f>IFERROR(__xludf.DUMMYFUNCTION("""COMPUTED_VALUE"""),0.0)</f>
        <v>0</v>
      </c>
      <c r="D942" s="30"/>
      <c r="E942" s="46" t="str">
        <f>IFERROR(__xludf.DUMMYFUNCTION("""COMPUTED_VALUE"""),"")</f>
        <v/>
      </c>
      <c r="F942" s="2"/>
      <c r="G942" s="2" t="str">
        <f>IFERROR(__xludf.DUMMYFUNCTION("""COMPUTED_VALUE"""),"")</f>
        <v/>
      </c>
      <c r="H942" s="2" t="str">
        <f>IFERROR(__xludf.DUMMYFUNCTION("""COMPUTED_VALUE"""),"")</f>
        <v/>
      </c>
      <c r="I942" s="2" t="str">
        <f>IFERROR(__xludf.DUMMYFUNCTION("""COMPUTED_VALUE"""),"")</f>
        <v/>
      </c>
      <c r="J942" s="2" t="str">
        <f>IFERROR(__xludf.DUMMYFUNCTION("""COMPUTED_VALUE"""),"")</f>
        <v/>
      </c>
      <c r="K942" s="39" t="str">
        <f>IFERROR(__xludf.DUMMYFUNCTION("""COMPUTED_VALUE"""),"")</f>
        <v/>
      </c>
      <c r="L942" s="2" t="str">
        <f>IFERROR(__xludf.DUMMYFUNCTION("""COMPUTED_VALUE"""),"")</f>
        <v/>
      </c>
      <c r="M942" s="2" t="str">
        <f>IFERROR(__xludf.DUMMYFUNCTION("""COMPUTED_VALUE"""),"")</f>
        <v/>
      </c>
      <c r="N942" s="2"/>
      <c r="O942" s="2" t="str">
        <f>IFERROR(__xludf.DUMMYFUNCTION("""COMPUTED_VALUE"""),"")</f>
        <v/>
      </c>
      <c r="P942" s="2" t="str">
        <f>IFERROR(__xludf.DUMMYFUNCTION("""COMPUTED_VALUE"""),"Phân bón ")</f>
        <v>Phân bón </v>
      </c>
      <c r="Q942" s="30" t="str">
        <f>IFERROR(__xludf.DUMMYFUNCTION("""COMPUTED_VALUE"""),"")</f>
        <v/>
      </c>
      <c r="R942" s="2"/>
      <c r="S942" s="2"/>
      <c r="T942" s="2"/>
      <c r="U942" s="2"/>
      <c r="V942" s="2"/>
      <c r="W942" s="2"/>
      <c r="X942" s="2"/>
      <c r="Y942" s="2"/>
    </row>
    <row r="943">
      <c r="A943" s="30">
        <f>IFERROR(__xludf.DUMMYFUNCTION("""COMPUTED_VALUE"""),940.0)</f>
        <v>940</v>
      </c>
      <c r="B943" s="39" t="str">
        <f>IFERROR(__xludf.DUMMYFUNCTION("""COMPUTED_VALUE"""),"")</f>
        <v/>
      </c>
      <c r="C943" s="30">
        <f>IFERROR(__xludf.DUMMYFUNCTION("""COMPUTED_VALUE"""),0.0)</f>
        <v>0</v>
      </c>
      <c r="D943" s="30"/>
      <c r="E943" s="46" t="str">
        <f>IFERROR(__xludf.DUMMYFUNCTION("""COMPUTED_VALUE"""),"")</f>
        <v/>
      </c>
      <c r="F943" s="2"/>
      <c r="G943" s="2" t="str">
        <f>IFERROR(__xludf.DUMMYFUNCTION("""COMPUTED_VALUE"""),"")</f>
        <v/>
      </c>
      <c r="H943" s="2" t="str">
        <f>IFERROR(__xludf.DUMMYFUNCTION("""COMPUTED_VALUE"""),"")</f>
        <v/>
      </c>
      <c r="I943" s="2" t="str">
        <f>IFERROR(__xludf.DUMMYFUNCTION("""COMPUTED_VALUE"""),"")</f>
        <v/>
      </c>
      <c r="J943" s="2" t="str">
        <f>IFERROR(__xludf.DUMMYFUNCTION("""COMPUTED_VALUE"""),"")</f>
        <v/>
      </c>
      <c r="K943" s="39" t="str">
        <f>IFERROR(__xludf.DUMMYFUNCTION("""COMPUTED_VALUE"""),"")</f>
        <v/>
      </c>
      <c r="L943" s="2" t="str">
        <f>IFERROR(__xludf.DUMMYFUNCTION("""COMPUTED_VALUE"""),"")</f>
        <v/>
      </c>
      <c r="M943" s="2" t="str">
        <f>IFERROR(__xludf.DUMMYFUNCTION("""COMPUTED_VALUE"""),"")</f>
        <v/>
      </c>
      <c r="N943" s="2"/>
      <c r="O943" s="2" t="str">
        <f>IFERROR(__xludf.DUMMYFUNCTION("""COMPUTED_VALUE"""),"")</f>
        <v/>
      </c>
      <c r="P943" s="2" t="str">
        <f>IFERROR(__xludf.DUMMYFUNCTION("""COMPUTED_VALUE"""),"Phân bón ")</f>
        <v>Phân bón </v>
      </c>
      <c r="Q943" s="30" t="str">
        <f>IFERROR(__xludf.DUMMYFUNCTION("""COMPUTED_VALUE"""),"")</f>
        <v/>
      </c>
      <c r="R943" s="2"/>
      <c r="S943" s="2"/>
      <c r="T943" s="2"/>
      <c r="U943" s="2"/>
      <c r="V943" s="2"/>
      <c r="W943" s="2"/>
      <c r="X943" s="2"/>
      <c r="Y943" s="2"/>
    </row>
    <row r="944">
      <c r="A944" s="30">
        <f>IFERROR(__xludf.DUMMYFUNCTION("""COMPUTED_VALUE"""),941.0)</f>
        <v>941</v>
      </c>
      <c r="B944" s="39" t="str">
        <f>IFERROR(__xludf.DUMMYFUNCTION("""COMPUTED_VALUE"""),"")</f>
        <v/>
      </c>
      <c r="C944" s="30">
        <f>IFERROR(__xludf.DUMMYFUNCTION("""COMPUTED_VALUE"""),0.0)</f>
        <v>0</v>
      </c>
      <c r="D944" s="30"/>
      <c r="E944" s="46" t="str">
        <f>IFERROR(__xludf.DUMMYFUNCTION("""COMPUTED_VALUE"""),"")</f>
        <v/>
      </c>
      <c r="F944" s="2"/>
      <c r="G944" s="2" t="str">
        <f>IFERROR(__xludf.DUMMYFUNCTION("""COMPUTED_VALUE"""),"")</f>
        <v/>
      </c>
      <c r="H944" s="2" t="str">
        <f>IFERROR(__xludf.DUMMYFUNCTION("""COMPUTED_VALUE"""),"")</f>
        <v/>
      </c>
      <c r="I944" s="2" t="str">
        <f>IFERROR(__xludf.DUMMYFUNCTION("""COMPUTED_VALUE"""),"")</f>
        <v/>
      </c>
      <c r="J944" s="2" t="str">
        <f>IFERROR(__xludf.DUMMYFUNCTION("""COMPUTED_VALUE"""),"")</f>
        <v/>
      </c>
      <c r="K944" s="39" t="str">
        <f>IFERROR(__xludf.DUMMYFUNCTION("""COMPUTED_VALUE"""),"")</f>
        <v/>
      </c>
      <c r="L944" s="2" t="str">
        <f>IFERROR(__xludf.DUMMYFUNCTION("""COMPUTED_VALUE"""),"")</f>
        <v/>
      </c>
      <c r="M944" s="2" t="str">
        <f>IFERROR(__xludf.DUMMYFUNCTION("""COMPUTED_VALUE"""),"")</f>
        <v/>
      </c>
      <c r="N944" s="2"/>
      <c r="O944" s="2" t="str">
        <f>IFERROR(__xludf.DUMMYFUNCTION("""COMPUTED_VALUE"""),"")</f>
        <v/>
      </c>
      <c r="P944" s="2" t="str">
        <f>IFERROR(__xludf.DUMMYFUNCTION("""COMPUTED_VALUE"""),"Phân bón ")</f>
        <v>Phân bón </v>
      </c>
      <c r="Q944" s="30" t="str">
        <f>IFERROR(__xludf.DUMMYFUNCTION("""COMPUTED_VALUE"""),"")</f>
        <v/>
      </c>
      <c r="R944" s="2"/>
      <c r="S944" s="2"/>
      <c r="T944" s="2"/>
      <c r="U944" s="2"/>
      <c r="V944" s="2"/>
      <c r="W944" s="2"/>
      <c r="X944" s="2"/>
      <c r="Y944" s="2"/>
    </row>
    <row r="945">
      <c r="A945" s="30">
        <f>IFERROR(__xludf.DUMMYFUNCTION("""COMPUTED_VALUE"""),942.0)</f>
        <v>942</v>
      </c>
      <c r="B945" s="39" t="str">
        <f>IFERROR(__xludf.DUMMYFUNCTION("""COMPUTED_VALUE"""),"")</f>
        <v/>
      </c>
      <c r="C945" s="30">
        <f>IFERROR(__xludf.DUMMYFUNCTION("""COMPUTED_VALUE"""),0.0)</f>
        <v>0</v>
      </c>
      <c r="D945" s="30"/>
      <c r="E945" s="46" t="str">
        <f>IFERROR(__xludf.DUMMYFUNCTION("""COMPUTED_VALUE"""),"")</f>
        <v/>
      </c>
      <c r="F945" s="2"/>
      <c r="G945" s="2" t="str">
        <f>IFERROR(__xludf.DUMMYFUNCTION("""COMPUTED_VALUE"""),"")</f>
        <v/>
      </c>
      <c r="H945" s="2" t="str">
        <f>IFERROR(__xludf.DUMMYFUNCTION("""COMPUTED_VALUE"""),"")</f>
        <v/>
      </c>
      <c r="I945" s="2" t="str">
        <f>IFERROR(__xludf.DUMMYFUNCTION("""COMPUTED_VALUE"""),"")</f>
        <v/>
      </c>
      <c r="J945" s="2" t="str">
        <f>IFERROR(__xludf.DUMMYFUNCTION("""COMPUTED_VALUE"""),"")</f>
        <v/>
      </c>
      <c r="K945" s="39" t="str">
        <f>IFERROR(__xludf.DUMMYFUNCTION("""COMPUTED_VALUE"""),"")</f>
        <v/>
      </c>
      <c r="L945" s="2" t="str">
        <f>IFERROR(__xludf.DUMMYFUNCTION("""COMPUTED_VALUE"""),"")</f>
        <v/>
      </c>
      <c r="M945" s="2" t="str">
        <f>IFERROR(__xludf.DUMMYFUNCTION("""COMPUTED_VALUE"""),"")</f>
        <v/>
      </c>
      <c r="N945" s="2"/>
      <c r="O945" s="2" t="str">
        <f>IFERROR(__xludf.DUMMYFUNCTION("""COMPUTED_VALUE"""),"")</f>
        <v/>
      </c>
      <c r="P945" s="2" t="str">
        <f>IFERROR(__xludf.DUMMYFUNCTION("""COMPUTED_VALUE"""),"Phân bón ")</f>
        <v>Phân bón </v>
      </c>
      <c r="Q945" s="30" t="str">
        <f>IFERROR(__xludf.DUMMYFUNCTION("""COMPUTED_VALUE"""),"")</f>
        <v/>
      </c>
      <c r="R945" s="2"/>
      <c r="S945" s="2"/>
      <c r="T945" s="2"/>
      <c r="U945" s="2"/>
      <c r="V945" s="2"/>
      <c r="W945" s="2"/>
      <c r="X945" s="2"/>
      <c r="Y945" s="2"/>
    </row>
    <row r="946">
      <c r="A946" s="30">
        <f>IFERROR(__xludf.DUMMYFUNCTION("""COMPUTED_VALUE"""),943.0)</f>
        <v>943</v>
      </c>
      <c r="B946" s="39" t="str">
        <f>IFERROR(__xludf.DUMMYFUNCTION("""COMPUTED_VALUE"""),"")</f>
        <v/>
      </c>
      <c r="C946" s="30">
        <f>IFERROR(__xludf.DUMMYFUNCTION("""COMPUTED_VALUE"""),0.0)</f>
        <v>0</v>
      </c>
      <c r="D946" s="30"/>
      <c r="E946" s="46" t="str">
        <f>IFERROR(__xludf.DUMMYFUNCTION("""COMPUTED_VALUE"""),"")</f>
        <v/>
      </c>
      <c r="F946" s="2"/>
      <c r="G946" s="2" t="str">
        <f>IFERROR(__xludf.DUMMYFUNCTION("""COMPUTED_VALUE"""),"")</f>
        <v/>
      </c>
      <c r="H946" s="2" t="str">
        <f>IFERROR(__xludf.DUMMYFUNCTION("""COMPUTED_VALUE"""),"")</f>
        <v/>
      </c>
      <c r="I946" s="2" t="str">
        <f>IFERROR(__xludf.DUMMYFUNCTION("""COMPUTED_VALUE"""),"")</f>
        <v/>
      </c>
      <c r="J946" s="2" t="str">
        <f>IFERROR(__xludf.DUMMYFUNCTION("""COMPUTED_VALUE"""),"")</f>
        <v/>
      </c>
      <c r="K946" s="39" t="str">
        <f>IFERROR(__xludf.DUMMYFUNCTION("""COMPUTED_VALUE"""),"")</f>
        <v/>
      </c>
      <c r="L946" s="2" t="str">
        <f>IFERROR(__xludf.DUMMYFUNCTION("""COMPUTED_VALUE"""),"")</f>
        <v/>
      </c>
      <c r="M946" s="2" t="str">
        <f>IFERROR(__xludf.DUMMYFUNCTION("""COMPUTED_VALUE"""),"")</f>
        <v/>
      </c>
      <c r="N946" s="2"/>
      <c r="O946" s="2" t="str">
        <f>IFERROR(__xludf.DUMMYFUNCTION("""COMPUTED_VALUE"""),"")</f>
        <v/>
      </c>
      <c r="P946" s="2" t="str">
        <f>IFERROR(__xludf.DUMMYFUNCTION("""COMPUTED_VALUE"""),"Phân bón ")</f>
        <v>Phân bón </v>
      </c>
      <c r="Q946" s="30" t="str">
        <f>IFERROR(__xludf.DUMMYFUNCTION("""COMPUTED_VALUE"""),"")</f>
        <v/>
      </c>
      <c r="R946" s="2"/>
      <c r="S946" s="2"/>
      <c r="T946" s="2"/>
      <c r="U946" s="2"/>
      <c r="V946" s="2"/>
      <c r="W946" s="2"/>
      <c r="X946" s="2"/>
      <c r="Y946" s="2"/>
    </row>
    <row r="947">
      <c r="A947" s="30">
        <f>IFERROR(__xludf.DUMMYFUNCTION("""COMPUTED_VALUE"""),944.0)</f>
        <v>944</v>
      </c>
      <c r="B947" s="39" t="str">
        <f>IFERROR(__xludf.DUMMYFUNCTION("""COMPUTED_VALUE"""),"")</f>
        <v/>
      </c>
      <c r="C947" s="30">
        <f>IFERROR(__xludf.DUMMYFUNCTION("""COMPUTED_VALUE"""),0.0)</f>
        <v>0</v>
      </c>
      <c r="D947" s="30"/>
      <c r="E947" s="46" t="str">
        <f>IFERROR(__xludf.DUMMYFUNCTION("""COMPUTED_VALUE"""),"")</f>
        <v/>
      </c>
      <c r="F947" s="2"/>
      <c r="G947" s="2" t="str">
        <f>IFERROR(__xludf.DUMMYFUNCTION("""COMPUTED_VALUE"""),"")</f>
        <v/>
      </c>
      <c r="H947" s="2" t="str">
        <f>IFERROR(__xludf.DUMMYFUNCTION("""COMPUTED_VALUE"""),"")</f>
        <v/>
      </c>
      <c r="I947" s="2" t="str">
        <f>IFERROR(__xludf.DUMMYFUNCTION("""COMPUTED_VALUE"""),"")</f>
        <v/>
      </c>
      <c r="J947" s="2" t="str">
        <f>IFERROR(__xludf.DUMMYFUNCTION("""COMPUTED_VALUE"""),"")</f>
        <v/>
      </c>
      <c r="K947" s="39" t="str">
        <f>IFERROR(__xludf.DUMMYFUNCTION("""COMPUTED_VALUE"""),"")</f>
        <v/>
      </c>
      <c r="L947" s="2" t="str">
        <f>IFERROR(__xludf.DUMMYFUNCTION("""COMPUTED_VALUE"""),"")</f>
        <v/>
      </c>
      <c r="M947" s="2" t="str">
        <f>IFERROR(__xludf.DUMMYFUNCTION("""COMPUTED_VALUE"""),"")</f>
        <v/>
      </c>
      <c r="N947" s="2"/>
      <c r="O947" s="2" t="str">
        <f>IFERROR(__xludf.DUMMYFUNCTION("""COMPUTED_VALUE"""),"")</f>
        <v/>
      </c>
      <c r="P947" s="2" t="str">
        <f>IFERROR(__xludf.DUMMYFUNCTION("""COMPUTED_VALUE"""),"Phân bón ")</f>
        <v>Phân bón </v>
      </c>
      <c r="Q947" s="30" t="str">
        <f>IFERROR(__xludf.DUMMYFUNCTION("""COMPUTED_VALUE"""),"")</f>
        <v/>
      </c>
      <c r="R947" s="2"/>
      <c r="S947" s="2"/>
      <c r="T947" s="2"/>
      <c r="U947" s="2"/>
      <c r="V947" s="2"/>
      <c r="W947" s="2"/>
      <c r="X947" s="2"/>
      <c r="Y947" s="2"/>
    </row>
    <row r="948">
      <c r="A948" s="30">
        <f>IFERROR(__xludf.DUMMYFUNCTION("""COMPUTED_VALUE"""),945.0)</f>
        <v>945</v>
      </c>
      <c r="B948" s="39" t="str">
        <f>IFERROR(__xludf.DUMMYFUNCTION("""COMPUTED_VALUE"""),"")</f>
        <v/>
      </c>
      <c r="C948" s="30">
        <f>IFERROR(__xludf.DUMMYFUNCTION("""COMPUTED_VALUE"""),0.0)</f>
        <v>0</v>
      </c>
      <c r="D948" s="30"/>
      <c r="E948" s="46" t="str">
        <f>IFERROR(__xludf.DUMMYFUNCTION("""COMPUTED_VALUE"""),"")</f>
        <v/>
      </c>
      <c r="F948" s="2"/>
      <c r="G948" s="2" t="str">
        <f>IFERROR(__xludf.DUMMYFUNCTION("""COMPUTED_VALUE"""),"")</f>
        <v/>
      </c>
      <c r="H948" s="2" t="str">
        <f>IFERROR(__xludf.DUMMYFUNCTION("""COMPUTED_VALUE"""),"")</f>
        <v/>
      </c>
      <c r="I948" s="2" t="str">
        <f>IFERROR(__xludf.DUMMYFUNCTION("""COMPUTED_VALUE"""),"")</f>
        <v/>
      </c>
      <c r="J948" s="2" t="str">
        <f>IFERROR(__xludf.DUMMYFUNCTION("""COMPUTED_VALUE"""),"")</f>
        <v/>
      </c>
      <c r="K948" s="39" t="str">
        <f>IFERROR(__xludf.DUMMYFUNCTION("""COMPUTED_VALUE"""),"")</f>
        <v/>
      </c>
      <c r="L948" s="2" t="str">
        <f>IFERROR(__xludf.DUMMYFUNCTION("""COMPUTED_VALUE"""),"")</f>
        <v/>
      </c>
      <c r="M948" s="2" t="str">
        <f>IFERROR(__xludf.DUMMYFUNCTION("""COMPUTED_VALUE"""),"")</f>
        <v/>
      </c>
      <c r="N948" s="2"/>
      <c r="O948" s="2" t="str">
        <f>IFERROR(__xludf.DUMMYFUNCTION("""COMPUTED_VALUE"""),"")</f>
        <v/>
      </c>
      <c r="P948" s="2" t="str">
        <f>IFERROR(__xludf.DUMMYFUNCTION("""COMPUTED_VALUE"""),"Phân bón ")</f>
        <v>Phân bón </v>
      </c>
      <c r="Q948" s="30" t="str">
        <f>IFERROR(__xludf.DUMMYFUNCTION("""COMPUTED_VALUE"""),"")</f>
        <v/>
      </c>
      <c r="R948" s="2"/>
      <c r="S948" s="2"/>
      <c r="T948" s="2"/>
      <c r="U948" s="2"/>
      <c r="V948" s="2"/>
      <c r="W948" s="2"/>
      <c r="X948" s="2"/>
      <c r="Y948" s="2"/>
    </row>
    <row r="949">
      <c r="A949" s="30">
        <f>IFERROR(__xludf.DUMMYFUNCTION("""COMPUTED_VALUE"""),946.0)</f>
        <v>946</v>
      </c>
      <c r="B949" s="39" t="str">
        <f>IFERROR(__xludf.DUMMYFUNCTION("""COMPUTED_VALUE"""),"")</f>
        <v/>
      </c>
      <c r="C949" s="30">
        <f>IFERROR(__xludf.DUMMYFUNCTION("""COMPUTED_VALUE"""),0.0)</f>
        <v>0</v>
      </c>
      <c r="D949" s="30"/>
      <c r="E949" s="46" t="str">
        <f>IFERROR(__xludf.DUMMYFUNCTION("""COMPUTED_VALUE"""),"")</f>
        <v/>
      </c>
      <c r="F949" s="2"/>
      <c r="G949" s="2" t="str">
        <f>IFERROR(__xludf.DUMMYFUNCTION("""COMPUTED_VALUE"""),"")</f>
        <v/>
      </c>
      <c r="H949" s="2" t="str">
        <f>IFERROR(__xludf.DUMMYFUNCTION("""COMPUTED_VALUE"""),"")</f>
        <v/>
      </c>
      <c r="I949" s="2" t="str">
        <f>IFERROR(__xludf.DUMMYFUNCTION("""COMPUTED_VALUE"""),"")</f>
        <v/>
      </c>
      <c r="J949" s="2" t="str">
        <f>IFERROR(__xludf.DUMMYFUNCTION("""COMPUTED_VALUE"""),"")</f>
        <v/>
      </c>
      <c r="K949" s="39" t="str">
        <f>IFERROR(__xludf.DUMMYFUNCTION("""COMPUTED_VALUE"""),"")</f>
        <v/>
      </c>
      <c r="L949" s="2" t="str">
        <f>IFERROR(__xludf.DUMMYFUNCTION("""COMPUTED_VALUE"""),"")</f>
        <v/>
      </c>
      <c r="M949" s="2" t="str">
        <f>IFERROR(__xludf.DUMMYFUNCTION("""COMPUTED_VALUE"""),"")</f>
        <v/>
      </c>
      <c r="N949" s="2"/>
      <c r="O949" s="2" t="str">
        <f>IFERROR(__xludf.DUMMYFUNCTION("""COMPUTED_VALUE"""),"")</f>
        <v/>
      </c>
      <c r="P949" s="2" t="str">
        <f>IFERROR(__xludf.DUMMYFUNCTION("""COMPUTED_VALUE"""),"Phân bón ")</f>
        <v>Phân bón </v>
      </c>
      <c r="Q949" s="30" t="str">
        <f>IFERROR(__xludf.DUMMYFUNCTION("""COMPUTED_VALUE"""),"")</f>
        <v/>
      </c>
      <c r="R949" s="2"/>
      <c r="S949" s="2"/>
      <c r="T949" s="2"/>
      <c r="U949" s="2"/>
      <c r="V949" s="2"/>
      <c r="W949" s="2"/>
      <c r="X949" s="2"/>
      <c r="Y949" s="2"/>
    </row>
    <row r="950">
      <c r="A950" s="30">
        <f>IFERROR(__xludf.DUMMYFUNCTION("""COMPUTED_VALUE"""),947.0)</f>
        <v>947</v>
      </c>
      <c r="B950" s="39" t="str">
        <f>IFERROR(__xludf.DUMMYFUNCTION("""COMPUTED_VALUE"""),"")</f>
        <v/>
      </c>
      <c r="C950" s="30">
        <f>IFERROR(__xludf.DUMMYFUNCTION("""COMPUTED_VALUE"""),0.0)</f>
        <v>0</v>
      </c>
      <c r="D950" s="30"/>
      <c r="E950" s="46" t="str">
        <f>IFERROR(__xludf.DUMMYFUNCTION("""COMPUTED_VALUE"""),"")</f>
        <v/>
      </c>
      <c r="F950" s="2"/>
      <c r="G950" s="2" t="str">
        <f>IFERROR(__xludf.DUMMYFUNCTION("""COMPUTED_VALUE"""),"")</f>
        <v/>
      </c>
      <c r="H950" s="2" t="str">
        <f>IFERROR(__xludf.DUMMYFUNCTION("""COMPUTED_VALUE"""),"")</f>
        <v/>
      </c>
      <c r="I950" s="2" t="str">
        <f>IFERROR(__xludf.DUMMYFUNCTION("""COMPUTED_VALUE"""),"")</f>
        <v/>
      </c>
      <c r="J950" s="2" t="str">
        <f>IFERROR(__xludf.DUMMYFUNCTION("""COMPUTED_VALUE"""),"")</f>
        <v/>
      </c>
      <c r="K950" s="39" t="str">
        <f>IFERROR(__xludf.DUMMYFUNCTION("""COMPUTED_VALUE"""),"")</f>
        <v/>
      </c>
      <c r="L950" s="2" t="str">
        <f>IFERROR(__xludf.DUMMYFUNCTION("""COMPUTED_VALUE"""),"")</f>
        <v/>
      </c>
      <c r="M950" s="2" t="str">
        <f>IFERROR(__xludf.DUMMYFUNCTION("""COMPUTED_VALUE"""),"")</f>
        <v/>
      </c>
      <c r="N950" s="2"/>
      <c r="O950" s="2" t="str">
        <f>IFERROR(__xludf.DUMMYFUNCTION("""COMPUTED_VALUE"""),"")</f>
        <v/>
      </c>
      <c r="P950" s="2" t="str">
        <f>IFERROR(__xludf.DUMMYFUNCTION("""COMPUTED_VALUE"""),"Phân bón ")</f>
        <v>Phân bón </v>
      </c>
      <c r="Q950" s="30" t="str">
        <f>IFERROR(__xludf.DUMMYFUNCTION("""COMPUTED_VALUE"""),"")</f>
        <v/>
      </c>
      <c r="R950" s="2"/>
      <c r="S950" s="2"/>
      <c r="T950" s="2"/>
      <c r="U950" s="2"/>
      <c r="V950" s="2"/>
      <c r="W950" s="2"/>
      <c r="X950" s="2"/>
      <c r="Y950" s="2"/>
    </row>
    <row r="951">
      <c r="A951" s="30">
        <f>IFERROR(__xludf.DUMMYFUNCTION("""COMPUTED_VALUE"""),948.0)</f>
        <v>948</v>
      </c>
      <c r="B951" s="39" t="str">
        <f>IFERROR(__xludf.DUMMYFUNCTION("""COMPUTED_VALUE"""),"")</f>
        <v/>
      </c>
      <c r="C951" s="30">
        <f>IFERROR(__xludf.DUMMYFUNCTION("""COMPUTED_VALUE"""),0.0)</f>
        <v>0</v>
      </c>
      <c r="D951" s="30"/>
      <c r="E951" s="46" t="str">
        <f>IFERROR(__xludf.DUMMYFUNCTION("""COMPUTED_VALUE"""),"")</f>
        <v/>
      </c>
      <c r="F951" s="2"/>
      <c r="G951" s="2" t="str">
        <f>IFERROR(__xludf.DUMMYFUNCTION("""COMPUTED_VALUE"""),"")</f>
        <v/>
      </c>
      <c r="H951" s="2" t="str">
        <f>IFERROR(__xludf.DUMMYFUNCTION("""COMPUTED_VALUE"""),"")</f>
        <v/>
      </c>
      <c r="I951" s="2" t="str">
        <f>IFERROR(__xludf.DUMMYFUNCTION("""COMPUTED_VALUE"""),"")</f>
        <v/>
      </c>
      <c r="J951" s="2" t="str">
        <f>IFERROR(__xludf.DUMMYFUNCTION("""COMPUTED_VALUE"""),"")</f>
        <v/>
      </c>
      <c r="K951" s="39" t="str">
        <f>IFERROR(__xludf.DUMMYFUNCTION("""COMPUTED_VALUE"""),"")</f>
        <v/>
      </c>
      <c r="L951" s="2" t="str">
        <f>IFERROR(__xludf.DUMMYFUNCTION("""COMPUTED_VALUE"""),"")</f>
        <v/>
      </c>
      <c r="M951" s="2" t="str">
        <f>IFERROR(__xludf.DUMMYFUNCTION("""COMPUTED_VALUE"""),"")</f>
        <v/>
      </c>
      <c r="N951" s="2"/>
      <c r="O951" s="2" t="str">
        <f>IFERROR(__xludf.DUMMYFUNCTION("""COMPUTED_VALUE"""),"")</f>
        <v/>
      </c>
      <c r="P951" s="2" t="str">
        <f>IFERROR(__xludf.DUMMYFUNCTION("""COMPUTED_VALUE"""),"Phân bón ")</f>
        <v>Phân bón </v>
      </c>
      <c r="Q951" s="30" t="str">
        <f>IFERROR(__xludf.DUMMYFUNCTION("""COMPUTED_VALUE"""),"")</f>
        <v/>
      </c>
      <c r="R951" s="2"/>
      <c r="S951" s="2"/>
      <c r="T951" s="2"/>
      <c r="U951" s="2"/>
      <c r="V951" s="2"/>
      <c r="W951" s="2"/>
      <c r="X951" s="2"/>
      <c r="Y951" s="2"/>
    </row>
    <row r="952">
      <c r="A952" s="30">
        <f>IFERROR(__xludf.DUMMYFUNCTION("""COMPUTED_VALUE"""),949.0)</f>
        <v>949</v>
      </c>
      <c r="B952" s="39" t="str">
        <f>IFERROR(__xludf.DUMMYFUNCTION("""COMPUTED_VALUE"""),"")</f>
        <v/>
      </c>
      <c r="C952" s="30">
        <f>IFERROR(__xludf.DUMMYFUNCTION("""COMPUTED_VALUE"""),0.0)</f>
        <v>0</v>
      </c>
      <c r="D952" s="30"/>
      <c r="E952" s="46" t="str">
        <f>IFERROR(__xludf.DUMMYFUNCTION("""COMPUTED_VALUE"""),"")</f>
        <v/>
      </c>
      <c r="F952" s="2"/>
      <c r="G952" s="2" t="str">
        <f>IFERROR(__xludf.DUMMYFUNCTION("""COMPUTED_VALUE"""),"")</f>
        <v/>
      </c>
      <c r="H952" s="2" t="str">
        <f>IFERROR(__xludf.DUMMYFUNCTION("""COMPUTED_VALUE"""),"")</f>
        <v/>
      </c>
      <c r="I952" s="2" t="str">
        <f>IFERROR(__xludf.DUMMYFUNCTION("""COMPUTED_VALUE"""),"")</f>
        <v/>
      </c>
      <c r="J952" s="2" t="str">
        <f>IFERROR(__xludf.DUMMYFUNCTION("""COMPUTED_VALUE"""),"")</f>
        <v/>
      </c>
      <c r="K952" s="39" t="str">
        <f>IFERROR(__xludf.DUMMYFUNCTION("""COMPUTED_VALUE"""),"")</f>
        <v/>
      </c>
      <c r="L952" s="2" t="str">
        <f>IFERROR(__xludf.DUMMYFUNCTION("""COMPUTED_VALUE"""),"")</f>
        <v/>
      </c>
      <c r="M952" s="2" t="str">
        <f>IFERROR(__xludf.DUMMYFUNCTION("""COMPUTED_VALUE"""),"")</f>
        <v/>
      </c>
      <c r="N952" s="2"/>
      <c r="O952" s="2" t="str">
        <f>IFERROR(__xludf.DUMMYFUNCTION("""COMPUTED_VALUE"""),"")</f>
        <v/>
      </c>
      <c r="P952" s="2" t="str">
        <f>IFERROR(__xludf.DUMMYFUNCTION("""COMPUTED_VALUE"""),"Phân bón ")</f>
        <v>Phân bón </v>
      </c>
      <c r="Q952" s="30" t="str">
        <f>IFERROR(__xludf.DUMMYFUNCTION("""COMPUTED_VALUE"""),"")</f>
        <v/>
      </c>
      <c r="R952" s="2"/>
      <c r="S952" s="2"/>
      <c r="T952" s="2"/>
      <c r="U952" s="2"/>
      <c r="V952" s="2"/>
      <c r="W952" s="2"/>
      <c r="X952" s="2"/>
      <c r="Y952" s="2"/>
    </row>
    <row r="953">
      <c r="A953" s="30">
        <f>IFERROR(__xludf.DUMMYFUNCTION("""COMPUTED_VALUE"""),950.0)</f>
        <v>950</v>
      </c>
      <c r="B953" s="39" t="str">
        <f>IFERROR(__xludf.DUMMYFUNCTION("""COMPUTED_VALUE"""),"")</f>
        <v/>
      </c>
      <c r="C953" s="30">
        <f>IFERROR(__xludf.DUMMYFUNCTION("""COMPUTED_VALUE"""),0.0)</f>
        <v>0</v>
      </c>
      <c r="D953" s="30"/>
      <c r="E953" s="46" t="str">
        <f>IFERROR(__xludf.DUMMYFUNCTION("""COMPUTED_VALUE"""),"")</f>
        <v/>
      </c>
      <c r="F953" s="2"/>
      <c r="G953" s="2" t="str">
        <f>IFERROR(__xludf.DUMMYFUNCTION("""COMPUTED_VALUE"""),"")</f>
        <v/>
      </c>
      <c r="H953" s="2" t="str">
        <f>IFERROR(__xludf.DUMMYFUNCTION("""COMPUTED_VALUE"""),"")</f>
        <v/>
      </c>
      <c r="I953" s="2" t="str">
        <f>IFERROR(__xludf.DUMMYFUNCTION("""COMPUTED_VALUE"""),"")</f>
        <v/>
      </c>
      <c r="J953" s="2" t="str">
        <f>IFERROR(__xludf.DUMMYFUNCTION("""COMPUTED_VALUE"""),"")</f>
        <v/>
      </c>
      <c r="K953" s="39" t="str">
        <f>IFERROR(__xludf.DUMMYFUNCTION("""COMPUTED_VALUE"""),"")</f>
        <v/>
      </c>
      <c r="L953" s="2" t="str">
        <f>IFERROR(__xludf.DUMMYFUNCTION("""COMPUTED_VALUE"""),"")</f>
        <v/>
      </c>
      <c r="M953" s="2" t="str">
        <f>IFERROR(__xludf.DUMMYFUNCTION("""COMPUTED_VALUE"""),"")</f>
        <v/>
      </c>
      <c r="N953" s="2"/>
      <c r="O953" s="2" t="str">
        <f>IFERROR(__xludf.DUMMYFUNCTION("""COMPUTED_VALUE"""),"")</f>
        <v/>
      </c>
      <c r="P953" s="2" t="str">
        <f>IFERROR(__xludf.DUMMYFUNCTION("""COMPUTED_VALUE"""),"Phân bón ")</f>
        <v>Phân bón </v>
      </c>
      <c r="Q953" s="30" t="str">
        <f>IFERROR(__xludf.DUMMYFUNCTION("""COMPUTED_VALUE"""),"")</f>
        <v/>
      </c>
      <c r="R953" s="2"/>
      <c r="S953" s="2"/>
      <c r="T953" s="2"/>
      <c r="U953" s="2"/>
      <c r="V953" s="2"/>
      <c r="W953" s="2"/>
      <c r="X953" s="2"/>
      <c r="Y953" s="2"/>
    </row>
    <row r="954">
      <c r="A954" s="30">
        <f>IFERROR(__xludf.DUMMYFUNCTION("""COMPUTED_VALUE"""),951.0)</f>
        <v>951</v>
      </c>
      <c r="B954" s="39" t="str">
        <f>IFERROR(__xludf.DUMMYFUNCTION("""COMPUTED_VALUE"""),"")</f>
        <v/>
      </c>
      <c r="C954" s="30">
        <f>IFERROR(__xludf.DUMMYFUNCTION("""COMPUTED_VALUE"""),0.0)</f>
        <v>0</v>
      </c>
      <c r="D954" s="30"/>
      <c r="E954" s="46" t="str">
        <f>IFERROR(__xludf.DUMMYFUNCTION("""COMPUTED_VALUE"""),"")</f>
        <v/>
      </c>
      <c r="F954" s="2"/>
      <c r="G954" s="2" t="str">
        <f>IFERROR(__xludf.DUMMYFUNCTION("""COMPUTED_VALUE"""),"")</f>
        <v/>
      </c>
      <c r="H954" s="2" t="str">
        <f>IFERROR(__xludf.DUMMYFUNCTION("""COMPUTED_VALUE"""),"")</f>
        <v/>
      </c>
      <c r="I954" s="2" t="str">
        <f>IFERROR(__xludf.DUMMYFUNCTION("""COMPUTED_VALUE"""),"")</f>
        <v/>
      </c>
      <c r="J954" s="2" t="str">
        <f>IFERROR(__xludf.DUMMYFUNCTION("""COMPUTED_VALUE"""),"")</f>
        <v/>
      </c>
      <c r="K954" s="39" t="str">
        <f>IFERROR(__xludf.DUMMYFUNCTION("""COMPUTED_VALUE"""),"")</f>
        <v/>
      </c>
      <c r="L954" s="2" t="str">
        <f>IFERROR(__xludf.DUMMYFUNCTION("""COMPUTED_VALUE"""),"")</f>
        <v/>
      </c>
      <c r="M954" s="2" t="str">
        <f>IFERROR(__xludf.DUMMYFUNCTION("""COMPUTED_VALUE"""),"")</f>
        <v/>
      </c>
      <c r="N954" s="2"/>
      <c r="O954" s="2" t="str">
        <f>IFERROR(__xludf.DUMMYFUNCTION("""COMPUTED_VALUE"""),"")</f>
        <v/>
      </c>
      <c r="P954" s="2" t="str">
        <f>IFERROR(__xludf.DUMMYFUNCTION("""COMPUTED_VALUE"""),"Phân bón ")</f>
        <v>Phân bón </v>
      </c>
      <c r="Q954" s="30" t="str">
        <f>IFERROR(__xludf.DUMMYFUNCTION("""COMPUTED_VALUE"""),"")</f>
        <v/>
      </c>
      <c r="R954" s="2"/>
      <c r="S954" s="2"/>
      <c r="T954" s="2"/>
      <c r="U954" s="2"/>
      <c r="V954" s="2"/>
      <c r="W954" s="2"/>
      <c r="X954" s="2"/>
      <c r="Y954" s="2"/>
    </row>
    <row r="955">
      <c r="A955" s="30">
        <f>IFERROR(__xludf.DUMMYFUNCTION("""COMPUTED_VALUE"""),952.0)</f>
        <v>952</v>
      </c>
      <c r="B955" s="39" t="str">
        <f>IFERROR(__xludf.DUMMYFUNCTION("""COMPUTED_VALUE"""),"")</f>
        <v/>
      </c>
      <c r="C955" s="30">
        <f>IFERROR(__xludf.DUMMYFUNCTION("""COMPUTED_VALUE"""),0.0)</f>
        <v>0</v>
      </c>
      <c r="D955" s="30"/>
      <c r="E955" s="46" t="str">
        <f>IFERROR(__xludf.DUMMYFUNCTION("""COMPUTED_VALUE"""),"")</f>
        <v/>
      </c>
      <c r="F955" s="2"/>
      <c r="G955" s="2" t="str">
        <f>IFERROR(__xludf.DUMMYFUNCTION("""COMPUTED_VALUE"""),"")</f>
        <v/>
      </c>
      <c r="H955" s="2" t="str">
        <f>IFERROR(__xludf.DUMMYFUNCTION("""COMPUTED_VALUE"""),"")</f>
        <v/>
      </c>
      <c r="I955" s="2" t="str">
        <f>IFERROR(__xludf.DUMMYFUNCTION("""COMPUTED_VALUE"""),"")</f>
        <v/>
      </c>
      <c r="J955" s="2" t="str">
        <f>IFERROR(__xludf.DUMMYFUNCTION("""COMPUTED_VALUE"""),"")</f>
        <v/>
      </c>
      <c r="K955" s="39" t="str">
        <f>IFERROR(__xludf.DUMMYFUNCTION("""COMPUTED_VALUE"""),"")</f>
        <v/>
      </c>
      <c r="L955" s="2" t="str">
        <f>IFERROR(__xludf.DUMMYFUNCTION("""COMPUTED_VALUE"""),"")</f>
        <v/>
      </c>
      <c r="M955" s="2" t="str">
        <f>IFERROR(__xludf.DUMMYFUNCTION("""COMPUTED_VALUE"""),"")</f>
        <v/>
      </c>
      <c r="N955" s="2"/>
      <c r="O955" s="2" t="str">
        <f>IFERROR(__xludf.DUMMYFUNCTION("""COMPUTED_VALUE"""),"")</f>
        <v/>
      </c>
      <c r="P955" s="2" t="str">
        <f>IFERROR(__xludf.DUMMYFUNCTION("""COMPUTED_VALUE"""),"Phân bón ")</f>
        <v>Phân bón </v>
      </c>
      <c r="Q955" s="30" t="str">
        <f>IFERROR(__xludf.DUMMYFUNCTION("""COMPUTED_VALUE"""),"")</f>
        <v/>
      </c>
      <c r="R955" s="2"/>
      <c r="S955" s="2"/>
      <c r="T955" s="2"/>
      <c r="U955" s="2"/>
      <c r="V955" s="2"/>
      <c r="W955" s="2"/>
      <c r="X955" s="2"/>
      <c r="Y955" s="2"/>
    </row>
    <row r="956">
      <c r="A956" s="30">
        <f>IFERROR(__xludf.DUMMYFUNCTION("""COMPUTED_VALUE"""),953.0)</f>
        <v>953</v>
      </c>
      <c r="B956" s="39" t="str">
        <f>IFERROR(__xludf.DUMMYFUNCTION("""COMPUTED_VALUE"""),"")</f>
        <v/>
      </c>
      <c r="C956" s="30">
        <f>IFERROR(__xludf.DUMMYFUNCTION("""COMPUTED_VALUE"""),0.0)</f>
        <v>0</v>
      </c>
      <c r="D956" s="30"/>
      <c r="E956" s="46" t="str">
        <f>IFERROR(__xludf.DUMMYFUNCTION("""COMPUTED_VALUE"""),"")</f>
        <v/>
      </c>
      <c r="F956" s="2"/>
      <c r="G956" s="2" t="str">
        <f>IFERROR(__xludf.DUMMYFUNCTION("""COMPUTED_VALUE"""),"")</f>
        <v/>
      </c>
      <c r="H956" s="2" t="str">
        <f>IFERROR(__xludf.DUMMYFUNCTION("""COMPUTED_VALUE"""),"")</f>
        <v/>
      </c>
      <c r="I956" s="2" t="str">
        <f>IFERROR(__xludf.DUMMYFUNCTION("""COMPUTED_VALUE"""),"")</f>
        <v/>
      </c>
      <c r="J956" s="2" t="str">
        <f>IFERROR(__xludf.DUMMYFUNCTION("""COMPUTED_VALUE"""),"")</f>
        <v/>
      </c>
      <c r="K956" s="39" t="str">
        <f>IFERROR(__xludf.DUMMYFUNCTION("""COMPUTED_VALUE"""),"")</f>
        <v/>
      </c>
      <c r="L956" s="2" t="str">
        <f>IFERROR(__xludf.DUMMYFUNCTION("""COMPUTED_VALUE"""),"")</f>
        <v/>
      </c>
      <c r="M956" s="2" t="str">
        <f>IFERROR(__xludf.DUMMYFUNCTION("""COMPUTED_VALUE"""),"")</f>
        <v/>
      </c>
      <c r="N956" s="2"/>
      <c r="O956" s="2" t="str">
        <f>IFERROR(__xludf.DUMMYFUNCTION("""COMPUTED_VALUE"""),"")</f>
        <v/>
      </c>
      <c r="P956" s="2" t="str">
        <f>IFERROR(__xludf.DUMMYFUNCTION("""COMPUTED_VALUE"""),"Phân bón ")</f>
        <v>Phân bón </v>
      </c>
      <c r="Q956" s="30" t="str">
        <f>IFERROR(__xludf.DUMMYFUNCTION("""COMPUTED_VALUE"""),"")</f>
        <v/>
      </c>
      <c r="R956" s="2"/>
      <c r="S956" s="2"/>
      <c r="T956" s="2"/>
      <c r="U956" s="2"/>
      <c r="V956" s="2"/>
      <c r="W956" s="2"/>
      <c r="X956" s="2"/>
      <c r="Y956" s="2"/>
    </row>
    <row r="957">
      <c r="A957" s="30">
        <f>IFERROR(__xludf.DUMMYFUNCTION("""COMPUTED_VALUE"""),954.0)</f>
        <v>954</v>
      </c>
      <c r="B957" s="39" t="str">
        <f>IFERROR(__xludf.DUMMYFUNCTION("""COMPUTED_VALUE"""),"")</f>
        <v/>
      </c>
      <c r="C957" s="30">
        <f>IFERROR(__xludf.DUMMYFUNCTION("""COMPUTED_VALUE"""),0.0)</f>
        <v>0</v>
      </c>
      <c r="D957" s="30"/>
      <c r="E957" s="46" t="str">
        <f>IFERROR(__xludf.DUMMYFUNCTION("""COMPUTED_VALUE"""),"")</f>
        <v/>
      </c>
      <c r="F957" s="2"/>
      <c r="G957" s="2" t="str">
        <f>IFERROR(__xludf.DUMMYFUNCTION("""COMPUTED_VALUE"""),"")</f>
        <v/>
      </c>
      <c r="H957" s="2" t="str">
        <f>IFERROR(__xludf.DUMMYFUNCTION("""COMPUTED_VALUE"""),"")</f>
        <v/>
      </c>
      <c r="I957" s="2" t="str">
        <f>IFERROR(__xludf.DUMMYFUNCTION("""COMPUTED_VALUE"""),"")</f>
        <v/>
      </c>
      <c r="J957" s="2" t="str">
        <f>IFERROR(__xludf.DUMMYFUNCTION("""COMPUTED_VALUE"""),"")</f>
        <v/>
      </c>
      <c r="K957" s="39" t="str">
        <f>IFERROR(__xludf.DUMMYFUNCTION("""COMPUTED_VALUE"""),"")</f>
        <v/>
      </c>
      <c r="L957" s="2" t="str">
        <f>IFERROR(__xludf.DUMMYFUNCTION("""COMPUTED_VALUE"""),"")</f>
        <v/>
      </c>
      <c r="M957" s="2" t="str">
        <f>IFERROR(__xludf.DUMMYFUNCTION("""COMPUTED_VALUE"""),"")</f>
        <v/>
      </c>
      <c r="N957" s="2"/>
      <c r="O957" s="2" t="str">
        <f>IFERROR(__xludf.DUMMYFUNCTION("""COMPUTED_VALUE"""),"")</f>
        <v/>
      </c>
      <c r="P957" s="2" t="str">
        <f>IFERROR(__xludf.DUMMYFUNCTION("""COMPUTED_VALUE"""),"Phân bón ")</f>
        <v>Phân bón </v>
      </c>
      <c r="Q957" s="30" t="str">
        <f>IFERROR(__xludf.DUMMYFUNCTION("""COMPUTED_VALUE"""),"")</f>
        <v/>
      </c>
      <c r="R957" s="2"/>
      <c r="S957" s="2"/>
      <c r="T957" s="2"/>
      <c r="U957" s="2"/>
      <c r="V957" s="2"/>
      <c r="W957" s="2"/>
      <c r="X957" s="2"/>
      <c r="Y957" s="2"/>
    </row>
    <row r="958">
      <c r="A958" s="30">
        <f>IFERROR(__xludf.DUMMYFUNCTION("""COMPUTED_VALUE"""),955.0)</f>
        <v>955</v>
      </c>
      <c r="B958" s="39" t="str">
        <f>IFERROR(__xludf.DUMMYFUNCTION("""COMPUTED_VALUE"""),"")</f>
        <v/>
      </c>
      <c r="C958" s="30">
        <f>IFERROR(__xludf.DUMMYFUNCTION("""COMPUTED_VALUE"""),0.0)</f>
        <v>0</v>
      </c>
      <c r="D958" s="30"/>
      <c r="E958" s="46" t="str">
        <f>IFERROR(__xludf.DUMMYFUNCTION("""COMPUTED_VALUE"""),"")</f>
        <v/>
      </c>
      <c r="F958" s="2"/>
      <c r="G958" s="2" t="str">
        <f>IFERROR(__xludf.DUMMYFUNCTION("""COMPUTED_VALUE"""),"")</f>
        <v/>
      </c>
      <c r="H958" s="2" t="str">
        <f>IFERROR(__xludf.DUMMYFUNCTION("""COMPUTED_VALUE"""),"")</f>
        <v/>
      </c>
      <c r="I958" s="2" t="str">
        <f>IFERROR(__xludf.DUMMYFUNCTION("""COMPUTED_VALUE"""),"")</f>
        <v/>
      </c>
      <c r="J958" s="2" t="str">
        <f>IFERROR(__xludf.DUMMYFUNCTION("""COMPUTED_VALUE"""),"")</f>
        <v/>
      </c>
      <c r="K958" s="39" t="str">
        <f>IFERROR(__xludf.DUMMYFUNCTION("""COMPUTED_VALUE"""),"")</f>
        <v/>
      </c>
      <c r="L958" s="2" t="str">
        <f>IFERROR(__xludf.DUMMYFUNCTION("""COMPUTED_VALUE"""),"")</f>
        <v/>
      </c>
      <c r="M958" s="2" t="str">
        <f>IFERROR(__xludf.DUMMYFUNCTION("""COMPUTED_VALUE"""),"")</f>
        <v/>
      </c>
      <c r="N958" s="2"/>
      <c r="O958" s="2" t="str">
        <f>IFERROR(__xludf.DUMMYFUNCTION("""COMPUTED_VALUE"""),"")</f>
        <v/>
      </c>
      <c r="P958" s="2" t="str">
        <f>IFERROR(__xludf.DUMMYFUNCTION("""COMPUTED_VALUE"""),"Phân bón ")</f>
        <v>Phân bón </v>
      </c>
      <c r="Q958" s="30" t="str">
        <f>IFERROR(__xludf.DUMMYFUNCTION("""COMPUTED_VALUE"""),"")</f>
        <v/>
      </c>
      <c r="R958" s="2"/>
      <c r="S958" s="2"/>
      <c r="T958" s="2"/>
      <c r="U958" s="2"/>
      <c r="V958" s="2"/>
      <c r="W958" s="2"/>
      <c r="X958" s="2"/>
      <c r="Y958" s="2"/>
    </row>
    <row r="959">
      <c r="A959" s="30">
        <f>IFERROR(__xludf.DUMMYFUNCTION("""COMPUTED_VALUE"""),956.0)</f>
        <v>956</v>
      </c>
      <c r="B959" s="39" t="str">
        <f>IFERROR(__xludf.DUMMYFUNCTION("""COMPUTED_VALUE"""),"")</f>
        <v/>
      </c>
      <c r="C959" s="30">
        <f>IFERROR(__xludf.DUMMYFUNCTION("""COMPUTED_VALUE"""),0.0)</f>
        <v>0</v>
      </c>
      <c r="D959" s="30"/>
      <c r="E959" s="46" t="str">
        <f>IFERROR(__xludf.DUMMYFUNCTION("""COMPUTED_VALUE"""),"")</f>
        <v/>
      </c>
      <c r="F959" s="2"/>
      <c r="G959" s="2" t="str">
        <f>IFERROR(__xludf.DUMMYFUNCTION("""COMPUTED_VALUE"""),"")</f>
        <v/>
      </c>
      <c r="H959" s="2" t="str">
        <f>IFERROR(__xludf.DUMMYFUNCTION("""COMPUTED_VALUE"""),"")</f>
        <v/>
      </c>
      <c r="I959" s="2" t="str">
        <f>IFERROR(__xludf.DUMMYFUNCTION("""COMPUTED_VALUE"""),"")</f>
        <v/>
      </c>
      <c r="J959" s="2" t="str">
        <f>IFERROR(__xludf.DUMMYFUNCTION("""COMPUTED_VALUE"""),"")</f>
        <v/>
      </c>
      <c r="K959" s="39" t="str">
        <f>IFERROR(__xludf.DUMMYFUNCTION("""COMPUTED_VALUE"""),"")</f>
        <v/>
      </c>
      <c r="L959" s="2" t="str">
        <f>IFERROR(__xludf.DUMMYFUNCTION("""COMPUTED_VALUE"""),"")</f>
        <v/>
      </c>
      <c r="M959" s="2" t="str">
        <f>IFERROR(__xludf.DUMMYFUNCTION("""COMPUTED_VALUE"""),"")</f>
        <v/>
      </c>
      <c r="N959" s="2"/>
      <c r="O959" s="2" t="str">
        <f>IFERROR(__xludf.DUMMYFUNCTION("""COMPUTED_VALUE"""),"")</f>
        <v/>
      </c>
      <c r="P959" s="2" t="str">
        <f>IFERROR(__xludf.DUMMYFUNCTION("""COMPUTED_VALUE"""),"Phân bón ")</f>
        <v>Phân bón </v>
      </c>
      <c r="Q959" s="30" t="str">
        <f>IFERROR(__xludf.DUMMYFUNCTION("""COMPUTED_VALUE"""),"")</f>
        <v/>
      </c>
      <c r="R959" s="2"/>
      <c r="S959" s="2"/>
      <c r="T959" s="2"/>
      <c r="U959" s="2"/>
      <c r="V959" s="2"/>
      <c r="W959" s="2"/>
      <c r="X959" s="2"/>
      <c r="Y959" s="2"/>
    </row>
    <row r="960">
      <c r="A960" s="30">
        <f>IFERROR(__xludf.DUMMYFUNCTION("""COMPUTED_VALUE"""),957.0)</f>
        <v>957</v>
      </c>
      <c r="B960" s="39" t="str">
        <f>IFERROR(__xludf.DUMMYFUNCTION("""COMPUTED_VALUE"""),"")</f>
        <v/>
      </c>
      <c r="C960" s="30">
        <f>IFERROR(__xludf.DUMMYFUNCTION("""COMPUTED_VALUE"""),0.0)</f>
        <v>0</v>
      </c>
      <c r="D960" s="30"/>
      <c r="E960" s="46" t="str">
        <f>IFERROR(__xludf.DUMMYFUNCTION("""COMPUTED_VALUE"""),"")</f>
        <v/>
      </c>
      <c r="F960" s="2"/>
      <c r="G960" s="2" t="str">
        <f>IFERROR(__xludf.DUMMYFUNCTION("""COMPUTED_VALUE"""),"")</f>
        <v/>
      </c>
      <c r="H960" s="2" t="str">
        <f>IFERROR(__xludf.DUMMYFUNCTION("""COMPUTED_VALUE"""),"")</f>
        <v/>
      </c>
      <c r="I960" s="2" t="str">
        <f>IFERROR(__xludf.DUMMYFUNCTION("""COMPUTED_VALUE"""),"")</f>
        <v/>
      </c>
      <c r="J960" s="2" t="str">
        <f>IFERROR(__xludf.DUMMYFUNCTION("""COMPUTED_VALUE"""),"")</f>
        <v/>
      </c>
      <c r="K960" s="39" t="str">
        <f>IFERROR(__xludf.DUMMYFUNCTION("""COMPUTED_VALUE"""),"")</f>
        <v/>
      </c>
      <c r="L960" s="2" t="str">
        <f>IFERROR(__xludf.DUMMYFUNCTION("""COMPUTED_VALUE"""),"")</f>
        <v/>
      </c>
      <c r="M960" s="2" t="str">
        <f>IFERROR(__xludf.DUMMYFUNCTION("""COMPUTED_VALUE"""),"")</f>
        <v/>
      </c>
      <c r="N960" s="2"/>
      <c r="O960" s="2" t="str">
        <f>IFERROR(__xludf.DUMMYFUNCTION("""COMPUTED_VALUE"""),"")</f>
        <v/>
      </c>
      <c r="P960" s="2" t="str">
        <f>IFERROR(__xludf.DUMMYFUNCTION("""COMPUTED_VALUE"""),"Phân bón ")</f>
        <v>Phân bón </v>
      </c>
      <c r="Q960" s="30" t="str">
        <f>IFERROR(__xludf.DUMMYFUNCTION("""COMPUTED_VALUE"""),"")</f>
        <v/>
      </c>
      <c r="R960" s="2"/>
      <c r="S960" s="2"/>
      <c r="T960" s="2"/>
      <c r="U960" s="2"/>
      <c r="V960" s="2"/>
      <c r="W960" s="2"/>
      <c r="X960" s="2"/>
      <c r="Y960" s="2"/>
    </row>
    <row r="961">
      <c r="A961" s="30">
        <f>IFERROR(__xludf.DUMMYFUNCTION("""COMPUTED_VALUE"""),958.0)</f>
        <v>958</v>
      </c>
      <c r="B961" s="39" t="str">
        <f>IFERROR(__xludf.DUMMYFUNCTION("""COMPUTED_VALUE"""),"")</f>
        <v/>
      </c>
      <c r="C961" s="30">
        <f>IFERROR(__xludf.DUMMYFUNCTION("""COMPUTED_VALUE"""),0.0)</f>
        <v>0</v>
      </c>
      <c r="D961" s="30"/>
      <c r="E961" s="46" t="str">
        <f>IFERROR(__xludf.DUMMYFUNCTION("""COMPUTED_VALUE"""),"")</f>
        <v/>
      </c>
      <c r="F961" s="2"/>
      <c r="G961" s="2" t="str">
        <f>IFERROR(__xludf.DUMMYFUNCTION("""COMPUTED_VALUE"""),"")</f>
        <v/>
      </c>
      <c r="H961" s="2" t="str">
        <f>IFERROR(__xludf.DUMMYFUNCTION("""COMPUTED_VALUE"""),"")</f>
        <v/>
      </c>
      <c r="I961" s="2" t="str">
        <f>IFERROR(__xludf.DUMMYFUNCTION("""COMPUTED_VALUE"""),"")</f>
        <v/>
      </c>
      <c r="J961" s="2" t="str">
        <f>IFERROR(__xludf.DUMMYFUNCTION("""COMPUTED_VALUE"""),"")</f>
        <v/>
      </c>
      <c r="K961" s="39" t="str">
        <f>IFERROR(__xludf.DUMMYFUNCTION("""COMPUTED_VALUE"""),"")</f>
        <v/>
      </c>
      <c r="L961" s="2" t="str">
        <f>IFERROR(__xludf.DUMMYFUNCTION("""COMPUTED_VALUE"""),"")</f>
        <v/>
      </c>
      <c r="M961" s="2" t="str">
        <f>IFERROR(__xludf.DUMMYFUNCTION("""COMPUTED_VALUE"""),"")</f>
        <v/>
      </c>
      <c r="N961" s="2"/>
      <c r="O961" s="2" t="str">
        <f>IFERROR(__xludf.DUMMYFUNCTION("""COMPUTED_VALUE"""),"")</f>
        <v/>
      </c>
      <c r="P961" s="2" t="str">
        <f>IFERROR(__xludf.DUMMYFUNCTION("""COMPUTED_VALUE"""),"Phân bón ")</f>
        <v>Phân bón </v>
      </c>
      <c r="Q961" s="30" t="str">
        <f>IFERROR(__xludf.DUMMYFUNCTION("""COMPUTED_VALUE"""),"")</f>
        <v/>
      </c>
      <c r="R961" s="2"/>
      <c r="S961" s="2"/>
      <c r="T961" s="2"/>
      <c r="U961" s="2"/>
      <c r="V961" s="2"/>
      <c r="W961" s="2"/>
      <c r="X961" s="2"/>
      <c r="Y961" s="2"/>
    </row>
    <row r="962">
      <c r="A962" s="30">
        <f>IFERROR(__xludf.DUMMYFUNCTION("""COMPUTED_VALUE"""),959.0)</f>
        <v>959</v>
      </c>
      <c r="B962" s="39" t="str">
        <f>IFERROR(__xludf.DUMMYFUNCTION("""COMPUTED_VALUE"""),"")</f>
        <v/>
      </c>
      <c r="C962" s="30">
        <f>IFERROR(__xludf.DUMMYFUNCTION("""COMPUTED_VALUE"""),0.0)</f>
        <v>0</v>
      </c>
      <c r="D962" s="30"/>
      <c r="E962" s="46" t="str">
        <f>IFERROR(__xludf.DUMMYFUNCTION("""COMPUTED_VALUE"""),"")</f>
        <v/>
      </c>
      <c r="F962" s="2"/>
      <c r="G962" s="2" t="str">
        <f>IFERROR(__xludf.DUMMYFUNCTION("""COMPUTED_VALUE"""),"")</f>
        <v/>
      </c>
      <c r="H962" s="2" t="str">
        <f>IFERROR(__xludf.DUMMYFUNCTION("""COMPUTED_VALUE"""),"")</f>
        <v/>
      </c>
      <c r="I962" s="2" t="str">
        <f>IFERROR(__xludf.DUMMYFUNCTION("""COMPUTED_VALUE"""),"")</f>
        <v/>
      </c>
      <c r="J962" s="2" t="str">
        <f>IFERROR(__xludf.DUMMYFUNCTION("""COMPUTED_VALUE"""),"")</f>
        <v/>
      </c>
      <c r="K962" s="39" t="str">
        <f>IFERROR(__xludf.DUMMYFUNCTION("""COMPUTED_VALUE"""),"")</f>
        <v/>
      </c>
      <c r="L962" s="2" t="str">
        <f>IFERROR(__xludf.DUMMYFUNCTION("""COMPUTED_VALUE"""),"")</f>
        <v/>
      </c>
      <c r="M962" s="2" t="str">
        <f>IFERROR(__xludf.DUMMYFUNCTION("""COMPUTED_VALUE"""),"")</f>
        <v/>
      </c>
      <c r="N962" s="2"/>
      <c r="O962" s="2" t="str">
        <f>IFERROR(__xludf.DUMMYFUNCTION("""COMPUTED_VALUE"""),"")</f>
        <v/>
      </c>
      <c r="P962" s="2" t="str">
        <f>IFERROR(__xludf.DUMMYFUNCTION("""COMPUTED_VALUE"""),"Phân bón ")</f>
        <v>Phân bón </v>
      </c>
      <c r="Q962" s="30" t="str">
        <f>IFERROR(__xludf.DUMMYFUNCTION("""COMPUTED_VALUE"""),"")</f>
        <v/>
      </c>
      <c r="R962" s="2"/>
      <c r="S962" s="2"/>
      <c r="T962" s="2"/>
      <c r="U962" s="2"/>
      <c r="V962" s="2"/>
      <c r="W962" s="2"/>
      <c r="X962" s="2"/>
      <c r="Y962" s="2"/>
    </row>
    <row r="963">
      <c r="A963" s="30">
        <f>IFERROR(__xludf.DUMMYFUNCTION("""COMPUTED_VALUE"""),960.0)</f>
        <v>960</v>
      </c>
      <c r="B963" s="39" t="str">
        <f>IFERROR(__xludf.DUMMYFUNCTION("""COMPUTED_VALUE"""),"")</f>
        <v/>
      </c>
      <c r="C963" s="30">
        <f>IFERROR(__xludf.DUMMYFUNCTION("""COMPUTED_VALUE"""),0.0)</f>
        <v>0</v>
      </c>
      <c r="D963" s="30"/>
      <c r="E963" s="46" t="str">
        <f>IFERROR(__xludf.DUMMYFUNCTION("""COMPUTED_VALUE"""),"")</f>
        <v/>
      </c>
      <c r="F963" s="2"/>
      <c r="G963" s="2" t="str">
        <f>IFERROR(__xludf.DUMMYFUNCTION("""COMPUTED_VALUE"""),"")</f>
        <v/>
      </c>
      <c r="H963" s="2" t="str">
        <f>IFERROR(__xludf.DUMMYFUNCTION("""COMPUTED_VALUE"""),"")</f>
        <v/>
      </c>
      <c r="I963" s="2" t="str">
        <f>IFERROR(__xludf.DUMMYFUNCTION("""COMPUTED_VALUE"""),"")</f>
        <v/>
      </c>
      <c r="J963" s="2" t="str">
        <f>IFERROR(__xludf.DUMMYFUNCTION("""COMPUTED_VALUE"""),"")</f>
        <v/>
      </c>
      <c r="K963" s="39" t="str">
        <f>IFERROR(__xludf.DUMMYFUNCTION("""COMPUTED_VALUE"""),"")</f>
        <v/>
      </c>
      <c r="L963" s="2" t="str">
        <f>IFERROR(__xludf.DUMMYFUNCTION("""COMPUTED_VALUE"""),"")</f>
        <v/>
      </c>
      <c r="M963" s="2" t="str">
        <f>IFERROR(__xludf.DUMMYFUNCTION("""COMPUTED_VALUE"""),"")</f>
        <v/>
      </c>
      <c r="N963" s="2"/>
      <c r="O963" s="2" t="str">
        <f>IFERROR(__xludf.DUMMYFUNCTION("""COMPUTED_VALUE"""),"")</f>
        <v/>
      </c>
      <c r="P963" s="2" t="str">
        <f>IFERROR(__xludf.DUMMYFUNCTION("""COMPUTED_VALUE"""),"Phân bón ")</f>
        <v>Phân bón </v>
      </c>
      <c r="Q963" s="30" t="str">
        <f>IFERROR(__xludf.DUMMYFUNCTION("""COMPUTED_VALUE"""),"")</f>
        <v/>
      </c>
      <c r="R963" s="2"/>
      <c r="S963" s="2"/>
      <c r="T963" s="2"/>
      <c r="U963" s="2"/>
      <c r="V963" s="2"/>
      <c r="W963" s="2"/>
      <c r="X963" s="2"/>
      <c r="Y963" s="2"/>
    </row>
    <row r="964">
      <c r="A964" s="30">
        <f>IFERROR(__xludf.DUMMYFUNCTION("""COMPUTED_VALUE"""),961.0)</f>
        <v>961</v>
      </c>
      <c r="B964" s="39" t="str">
        <f>IFERROR(__xludf.DUMMYFUNCTION("""COMPUTED_VALUE"""),"")</f>
        <v/>
      </c>
      <c r="C964" s="30">
        <f>IFERROR(__xludf.DUMMYFUNCTION("""COMPUTED_VALUE"""),0.0)</f>
        <v>0</v>
      </c>
      <c r="D964" s="30"/>
      <c r="E964" s="46" t="str">
        <f>IFERROR(__xludf.DUMMYFUNCTION("""COMPUTED_VALUE"""),"")</f>
        <v/>
      </c>
      <c r="F964" s="2"/>
      <c r="G964" s="2" t="str">
        <f>IFERROR(__xludf.DUMMYFUNCTION("""COMPUTED_VALUE"""),"")</f>
        <v/>
      </c>
      <c r="H964" s="2" t="str">
        <f>IFERROR(__xludf.DUMMYFUNCTION("""COMPUTED_VALUE"""),"")</f>
        <v/>
      </c>
      <c r="I964" s="2" t="str">
        <f>IFERROR(__xludf.DUMMYFUNCTION("""COMPUTED_VALUE"""),"")</f>
        <v/>
      </c>
      <c r="J964" s="2" t="str">
        <f>IFERROR(__xludf.DUMMYFUNCTION("""COMPUTED_VALUE"""),"")</f>
        <v/>
      </c>
      <c r="K964" s="39" t="str">
        <f>IFERROR(__xludf.DUMMYFUNCTION("""COMPUTED_VALUE"""),"")</f>
        <v/>
      </c>
      <c r="L964" s="2" t="str">
        <f>IFERROR(__xludf.DUMMYFUNCTION("""COMPUTED_VALUE"""),"")</f>
        <v/>
      </c>
      <c r="M964" s="2" t="str">
        <f>IFERROR(__xludf.DUMMYFUNCTION("""COMPUTED_VALUE"""),"")</f>
        <v/>
      </c>
      <c r="N964" s="2"/>
      <c r="O964" s="2" t="str">
        <f>IFERROR(__xludf.DUMMYFUNCTION("""COMPUTED_VALUE"""),"")</f>
        <v/>
      </c>
      <c r="P964" s="2" t="str">
        <f>IFERROR(__xludf.DUMMYFUNCTION("""COMPUTED_VALUE"""),"Phân bón ")</f>
        <v>Phân bón </v>
      </c>
      <c r="Q964" s="30" t="str">
        <f>IFERROR(__xludf.DUMMYFUNCTION("""COMPUTED_VALUE"""),"")</f>
        <v/>
      </c>
      <c r="R964" s="2"/>
      <c r="S964" s="2"/>
      <c r="T964" s="2"/>
      <c r="U964" s="2"/>
      <c r="V964" s="2"/>
      <c r="W964" s="2"/>
      <c r="X964" s="2"/>
      <c r="Y964" s="2"/>
    </row>
    <row r="965">
      <c r="A965" s="30">
        <f>IFERROR(__xludf.DUMMYFUNCTION("""COMPUTED_VALUE"""),962.0)</f>
        <v>962</v>
      </c>
      <c r="B965" s="39" t="str">
        <f>IFERROR(__xludf.DUMMYFUNCTION("""COMPUTED_VALUE"""),"")</f>
        <v/>
      </c>
      <c r="C965" s="30">
        <f>IFERROR(__xludf.DUMMYFUNCTION("""COMPUTED_VALUE"""),0.0)</f>
        <v>0</v>
      </c>
      <c r="D965" s="30"/>
      <c r="E965" s="46" t="str">
        <f>IFERROR(__xludf.DUMMYFUNCTION("""COMPUTED_VALUE"""),"")</f>
        <v/>
      </c>
      <c r="F965" s="2"/>
      <c r="G965" s="2" t="str">
        <f>IFERROR(__xludf.DUMMYFUNCTION("""COMPUTED_VALUE"""),"")</f>
        <v/>
      </c>
      <c r="H965" s="2" t="str">
        <f>IFERROR(__xludf.DUMMYFUNCTION("""COMPUTED_VALUE"""),"")</f>
        <v/>
      </c>
      <c r="I965" s="2" t="str">
        <f>IFERROR(__xludf.DUMMYFUNCTION("""COMPUTED_VALUE"""),"")</f>
        <v/>
      </c>
      <c r="J965" s="2" t="str">
        <f>IFERROR(__xludf.DUMMYFUNCTION("""COMPUTED_VALUE"""),"")</f>
        <v/>
      </c>
      <c r="K965" s="39" t="str">
        <f>IFERROR(__xludf.DUMMYFUNCTION("""COMPUTED_VALUE"""),"")</f>
        <v/>
      </c>
      <c r="L965" s="2" t="str">
        <f>IFERROR(__xludf.DUMMYFUNCTION("""COMPUTED_VALUE"""),"")</f>
        <v/>
      </c>
      <c r="M965" s="2" t="str">
        <f>IFERROR(__xludf.DUMMYFUNCTION("""COMPUTED_VALUE"""),"")</f>
        <v/>
      </c>
      <c r="N965" s="2"/>
      <c r="O965" s="2" t="str">
        <f>IFERROR(__xludf.DUMMYFUNCTION("""COMPUTED_VALUE"""),"")</f>
        <v/>
      </c>
      <c r="P965" s="2" t="str">
        <f>IFERROR(__xludf.DUMMYFUNCTION("""COMPUTED_VALUE"""),"Phân bón ")</f>
        <v>Phân bón </v>
      </c>
      <c r="Q965" s="30" t="str">
        <f>IFERROR(__xludf.DUMMYFUNCTION("""COMPUTED_VALUE"""),"")</f>
        <v/>
      </c>
      <c r="R965" s="2"/>
      <c r="S965" s="2"/>
      <c r="T965" s="2"/>
      <c r="U965" s="2"/>
      <c r="V965" s="2"/>
      <c r="W965" s="2"/>
      <c r="X965" s="2"/>
      <c r="Y965" s="2"/>
    </row>
    <row r="966">
      <c r="A966" s="30">
        <f>IFERROR(__xludf.DUMMYFUNCTION("""COMPUTED_VALUE"""),963.0)</f>
        <v>963</v>
      </c>
      <c r="B966" s="39" t="str">
        <f>IFERROR(__xludf.DUMMYFUNCTION("""COMPUTED_VALUE"""),"")</f>
        <v/>
      </c>
      <c r="C966" s="30">
        <f>IFERROR(__xludf.DUMMYFUNCTION("""COMPUTED_VALUE"""),0.0)</f>
        <v>0</v>
      </c>
      <c r="D966" s="30"/>
      <c r="E966" s="46" t="str">
        <f>IFERROR(__xludf.DUMMYFUNCTION("""COMPUTED_VALUE"""),"")</f>
        <v/>
      </c>
      <c r="F966" s="2"/>
      <c r="G966" s="2" t="str">
        <f>IFERROR(__xludf.DUMMYFUNCTION("""COMPUTED_VALUE"""),"")</f>
        <v/>
      </c>
      <c r="H966" s="2" t="str">
        <f>IFERROR(__xludf.DUMMYFUNCTION("""COMPUTED_VALUE"""),"")</f>
        <v/>
      </c>
      <c r="I966" s="2" t="str">
        <f>IFERROR(__xludf.DUMMYFUNCTION("""COMPUTED_VALUE"""),"")</f>
        <v/>
      </c>
      <c r="J966" s="2" t="str">
        <f>IFERROR(__xludf.DUMMYFUNCTION("""COMPUTED_VALUE"""),"")</f>
        <v/>
      </c>
      <c r="K966" s="39" t="str">
        <f>IFERROR(__xludf.DUMMYFUNCTION("""COMPUTED_VALUE"""),"")</f>
        <v/>
      </c>
      <c r="L966" s="2" t="str">
        <f>IFERROR(__xludf.DUMMYFUNCTION("""COMPUTED_VALUE"""),"")</f>
        <v/>
      </c>
      <c r="M966" s="2" t="str">
        <f>IFERROR(__xludf.DUMMYFUNCTION("""COMPUTED_VALUE"""),"")</f>
        <v/>
      </c>
      <c r="N966" s="2"/>
      <c r="O966" s="2" t="str">
        <f>IFERROR(__xludf.DUMMYFUNCTION("""COMPUTED_VALUE"""),"")</f>
        <v/>
      </c>
      <c r="P966" s="2" t="str">
        <f>IFERROR(__xludf.DUMMYFUNCTION("""COMPUTED_VALUE"""),"Phân bón ")</f>
        <v>Phân bón </v>
      </c>
      <c r="Q966" s="30" t="str">
        <f>IFERROR(__xludf.DUMMYFUNCTION("""COMPUTED_VALUE"""),"")</f>
        <v/>
      </c>
      <c r="R966" s="2"/>
      <c r="S966" s="2"/>
      <c r="T966" s="2"/>
      <c r="U966" s="2"/>
      <c r="V966" s="2"/>
      <c r="W966" s="2"/>
      <c r="X966" s="2"/>
      <c r="Y966" s="2"/>
    </row>
    <row r="967">
      <c r="A967" s="30">
        <f>IFERROR(__xludf.DUMMYFUNCTION("""COMPUTED_VALUE"""),964.0)</f>
        <v>964</v>
      </c>
      <c r="B967" s="39" t="str">
        <f>IFERROR(__xludf.DUMMYFUNCTION("""COMPUTED_VALUE"""),"")</f>
        <v/>
      </c>
      <c r="C967" s="30">
        <f>IFERROR(__xludf.DUMMYFUNCTION("""COMPUTED_VALUE"""),0.0)</f>
        <v>0</v>
      </c>
      <c r="D967" s="30"/>
      <c r="E967" s="46" t="str">
        <f>IFERROR(__xludf.DUMMYFUNCTION("""COMPUTED_VALUE"""),"")</f>
        <v/>
      </c>
      <c r="F967" s="2"/>
      <c r="G967" s="2" t="str">
        <f>IFERROR(__xludf.DUMMYFUNCTION("""COMPUTED_VALUE"""),"")</f>
        <v/>
      </c>
      <c r="H967" s="2" t="str">
        <f>IFERROR(__xludf.DUMMYFUNCTION("""COMPUTED_VALUE"""),"")</f>
        <v/>
      </c>
      <c r="I967" s="2" t="str">
        <f>IFERROR(__xludf.DUMMYFUNCTION("""COMPUTED_VALUE"""),"")</f>
        <v/>
      </c>
      <c r="J967" s="2" t="str">
        <f>IFERROR(__xludf.DUMMYFUNCTION("""COMPUTED_VALUE"""),"")</f>
        <v/>
      </c>
      <c r="K967" s="39" t="str">
        <f>IFERROR(__xludf.DUMMYFUNCTION("""COMPUTED_VALUE"""),"")</f>
        <v/>
      </c>
      <c r="L967" s="2" t="str">
        <f>IFERROR(__xludf.DUMMYFUNCTION("""COMPUTED_VALUE"""),"")</f>
        <v/>
      </c>
      <c r="M967" s="2" t="str">
        <f>IFERROR(__xludf.DUMMYFUNCTION("""COMPUTED_VALUE"""),"")</f>
        <v/>
      </c>
      <c r="N967" s="2"/>
      <c r="O967" s="2" t="str">
        <f>IFERROR(__xludf.DUMMYFUNCTION("""COMPUTED_VALUE"""),"")</f>
        <v/>
      </c>
      <c r="P967" s="2" t="str">
        <f>IFERROR(__xludf.DUMMYFUNCTION("""COMPUTED_VALUE"""),"Phân bón ")</f>
        <v>Phân bón </v>
      </c>
      <c r="Q967" s="30" t="str">
        <f>IFERROR(__xludf.DUMMYFUNCTION("""COMPUTED_VALUE"""),"")</f>
        <v/>
      </c>
      <c r="R967" s="2"/>
      <c r="S967" s="2"/>
      <c r="T967" s="2"/>
      <c r="U967" s="2"/>
      <c r="V967" s="2"/>
      <c r="W967" s="2"/>
      <c r="X967" s="2"/>
      <c r="Y967" s="2"/>
    </row>
    <row r="968">
      <c r="A968" s="30">
        <f>IFERROR(__xludf.DUMMYFUNCTION("""COMPUTED_VALUE"""),965.0)</f>
        <v>965</v>
      </c>
      <c r="B968" s="39" t="str">
        <f>IFERROR(__xludf.DUMMYFUNCTION("""COMPUTED_VALUE"""),"")</f>
        <v/>
      </c>
      <c r="C968" s="30">
        <f>IFERROR(__xludf.DUMMYFUNCTION("""COMPUTED_VALUE"""),0.0)</f>
        <v>0</v>
      </c>
      <c r="D968" s="30"/>
      <c r="E968" s="46" t="str">
        <f>IFERROR(__xludf.DUMMYFUNCTION("""COMPUTED_VALUE"""),"")</f>
        <v/>
      </c>
      <c r="F968" s="2"/>
      <c r="G968" s="2" t="str">
        <f>IFERROR(__xludf.DUMMYFUNCTION("""COMPUTED_VALUE"""),"")</f>
        <v/>
      </c>
      <c r="H968" s="2" t="str">
        <f>IFERROR(__xludf.DUMMYFUNCTION("""COMPUTED_VALUE"""),"")</f>
        <v/>
      </c>
      <c r="I968" s="2" t="str">
        <f>IFERROR(__xludf.DUMMYFUNCTION("""COMPUTED_VALUE"""),"")</f>
        <v/>
      </c>
      <c r="J968" s="2" t="str">
        <f>IFERROR(__xludf.DUMMYFUNCTION("""COMPUTED_VALUE"""),"")</f>
        <v/>
      </c>
      <c r="K968" s="39" t="str">
        <f>IFERROR(__xludf.DUMMYFUNCTION("""COMPUTED_VALUE"""),"")</f>
        <v/>
      </c>
      <c r="L968" s="2" t="str">
        <f>IFERROR(__xludf.DUMMYFUNCTION("""COMPUTED_VALUE"""),"")</f>
        <v/>
      </c>
      <c r="M968" s="2" t="str">
        <f>IFERROR(__xludf.DUMMYFUNCTION("""COMPUTED_VALUE"""),"")</f>
        <v/>
      </c>
      <c r="N968" s="2"/>
      <c r="O968" s="2" t="str">
        <f>IFERROR(__xludf.DUMMYFUNCTION("""COMPUTED_VALUE"""),"")</f>
        <v/>
      </c>
      <c r="P968" s="2" t="str">
        <f>IFERROR(__xludf.DUMMYFUNCTION("""COMPUTED_VALUE"""),"Phân bón ")</f>
        <v>Phân bón </v>
      </c>
      <c r="Q968" s="30" t="str">
        <f>IFERROR(__xludf.DUMMYFUNCTION("""COMPUTED_VALUE"""),"")</f>
        <v/>
      </c>
      <c r="R968" s="2"/>
      <c r="S968" s="2"/>
      <c r="T968" s="2"/>
      <c r="U968" s="2"/>
      <c r="V968" s="2"/>
      <c r="W968" s="2"/>
      <c r="X968" s="2"/>
      <c r="Y968" s="2"/>
    </row>
    <row r="969">
      <c r="A969" s="30">
        <f>IFERROR(__xludf.DUMMYFUNCTION("""COMPUTED_VALUE"""),966.0)</f>
        <v>966</v>
      </c>
      <c r="B969" s="39" t="str">
        <f>IFERROR(__xludf.DUMMYFUNCTION("""COMPUTED_VALUE"""),"")</f>
        <v/>
      </c>
      <c r="C969" s="30">
        <f>IFERROR(__xludf.DUMMYFUNCTION("""COMPUTED_VALUE"""),0.0)</f>
        <v>0</v>
      </c>
      <c r="D969" s="30"/>
      <c r="E969" s="46" t="str">
        <f>IFERROR(__xludf.DUMMYFUNCTION("""COMPUTED_VALUE"""),"")</f>
        <v/>
      </c>
      <c r="F969" s="2"/>
      <c r="G969" s="2" t="str">
        <f>IFERROR(__xludf.DUMMYFUNCTION("""COMPUTED_VALUE"""),"")</f>
        <v/>
      </c>
      <c r="H969" s="2" t="str">
        <f>IFERROR(__xludf.DUMMYFUNCTION("""COMPUTED_VALUE"""),"")</f>
        <v/>
      </c>
      <c r="I969" s="2" t="str">
        <f>IFERROR(__xludf.DUMMYFUNCTION("""COMPUTED_VALUE"""),"")</f>
        <v/>
      </c>
      <c r="J969" s="2" t="str">
        <f>IFERROR(__xludf.DUMMYFUNCTION("""COMPUTED_VALUE"""),"")</f>
        <v/>
      </c>
      <c r="K969" s="39" t="str">
        <f>IFERROR(__xludf.DUMMYFUNCTION("""COMPUTED_VALUE"""),"")</f>
        <v/>
      </c>
      <c r="L969" s="2" t="str">
        <f>IFERROR(__xludf.DUMMYFUNCTION("""COMPUTED_VALUE"""),"")</f>
        <v/>
      </c>
      <c r="M969" s="2" t="str">
        <f>IFERROR(__xludf.DUMMYFUNCTION("""COMPUTED_VALUE"""),"")</f>
        <v/>
      </c>
      <c r="N969" s="2"/>
      <c r="O969" s="2" t="str">
        <f>IFERROR(__xludf.DUMMYFUNCTION("""COMPUTED_VALUE"""),"")</f>
        <v/>
      </c>
      <c r="P969" s="2" t="str">
        <f>IFERROR(__xludf.DUMMYFUNCTION("""COMPUTED_VALUE"""),"Phân bón ")</f>
        <v>Phân bón </v>
      </c>
      <c r="Q969" s="30" t="str">
        <f>IFERROR(__xludf.DUMMYFUNCTION("""COMPUTED_VALUE"""),"")</f>
        <v/>
      </c>
      <c r="R969" s="2"/>
      <c r="S969" s="2"/>
      <c r="T969" s="2"/>
      <c r="U969" s="2"/>
      <c r="V969" s="2"/>
      <c r="W969" s="2"/>
      <c r="X969" s="2"/>
      <c r="Y969" s="2"/>
    </row>
    <row r="970">
      <c r="A970" s="30">
        <f>IFERROR(__xludf.DUMMYFUNCTION("""COMPUTED_VALUE"""),967.0)</f>
        <v>967</v>
      </c>
      <c r="B970" s="39" t="str">
        <f>IFERROR(__xludf.DUMMYFUNCTION("""COMPUTED_VALUE"""),"")</f>
        <v/>
      </c>
      <c r="C970" s="30">
        <f>IFERROR(__xludf.DUMMYFUNCTION("""COMPUTED_VALUE"""),0.0)</f>
        <v>0</v>
      </c>
      <c r="D970" s="30"/>
      <c r="E970" s="46" t="str">
        <f>IFERROR(__xludf.DUMMYFUNCTION("""COMPUTED_VALUE"""),"")</f>
        <v/>
      </c>
      <c r="F970" s="2"/>
      <c r="G970" s="2" t="str">
        <f>IFERROR(__xludf.DUMMYFUNCTION("""COMPUTED_VALUE"""),"")</f>
        <v/>
      </c>
      <c r="H970" s="2" t="str">
        <f>IFERROR(__xludf.DUMMYFUNCTION("""COMPUTED_VALUE"""),"")</f>
        <v/>
      </c>
      <c r="I970" s="2" t="str">
        <f>IFERROR(__xludf.DUMMYFUNCTION("""COMPUTED_VALUE"""),"")</f>
        <v/>
      </c>
      <c r="J970" s="2" t="str">
        <f>IFERROR(__xludf.DUMMYFUNCTION("""COMPUTED_VALUE"""),"")</f>
        <v/>
      </c>
      <c r="K970" s="39" t="str">
        <f>IFERROR(__xludf.DUMMYFUNCTION("""COMPUTED_VALUE"""),"")</f>
        <v/>
      </c>
      <c r="L970" s="2" t="str">
        <f>IFERROR(__xludf.DUMMYFUNCTION("""COMPUTED_VALUE"""),"")</f>
        <v/>
      </c>
      <c r="M970" s="2" t="str">
        <f>IFERROR(__xludf.DUMMYFUNCTION("""COMPUTED_VALUE"""),"")</f>
        <v/>
      </c>
      <c r="N970" s="2"/>
      <c r="O970" s="2" t="str">
        <f>IFERROR(__xludf.DUMMYFUNCTION("""COMPUTED_VALUE"""),"")</f>
        <v/>
      </c>
      <c r="P970" s="2" t="str">
        <f>IFERROR(__xludf.DUMMYFUNCTION("""COMPUTED_VALUE"""),"Phân bón ")</f>
        <v>Phân bón </v>
      </c>
      <c r="Q970" s="30" t="str">
        <f>IFERROR(__xludf.DUMMYFUNCTION("""COMPUTED_VALUE"""),"")</f>
        <v/>
      </c>
      <c r="R970" s="2"/>
      <c r="S970" s="2"/>
      <c r="T970" s="2"/>
      <c r="U970" s="2"/>
      <c r="V970" s="2"/>
      <c r="W970" s="2"/>
      <c r="X970" s="2"/>
      <c r="Y970" s="2"/>
    </row>
    <row r="971">
      <c r="A971" s="30">
        <f>IFERROR(__xludf.DUMMYFUNCTION("""COMPUTED_VALUE"""),968.0)</f>
        <v>968</v>
      </c>
      <c r="B971" s="39" t="str">
        <f>IFERROR(__xludf.DUMMYFUNCTION("""COMPUTED_VALUE"""),"")</f>
        <v/>
      </c>
      <c r="C971" s="30">
        <f>IFERROR(__xludf.DUMMYFUNCTION("""COMPUTED_VALUE"""),0.0)</f>
        <v>0</v>
      </c>
      <c r="D971" s="30"/>
      <c r="E971" s="46" t="str">
        <f>IFERROR(__xludf.DUMMYFUNCTION("""COMPUTED_VALUE"""),"")</f>
        <v/>
      </c>
      <c r="F971" s="2"/>
      <c r="G971" s="2" t="str">
        <f>IFERROR(__xludf.DUMMYFUNCTION("""COMPUTED_VALUE"""),"")</f>
        <v/>
      </c>
      <c r="H971" s="2" t="str">
        <f>IFERROR(__xludf.DUMMYFUNCTION("""COMPUTED_VALUE"""),"")</f>
        <v/>
      </c>
      <c r="I971" s="2" t="str">
        <f>IFERROR(__xludf.DUMMYFUNCTION("""COMPUTED_VALUE"""),"")</f>
        <v/>
      </c>
      <c r="J971" s="2" t="str">
        <f>IFERROR(__xludf.DUMMYFUNCTION("""COMPUTED_VALUE"""),"")</f>
        <v/>
      </c>
      <c r="K971" s="39" t="str">
        <f>IFERROR(__xludf.DUMMYFUNCTION("""COMPUTED_VALUE"""),"")</f>
        <v/>
      </c>
      <c r="L971" s="2" t="str">
        <f>IFERROR(__xludf.DUMMYFUNCTION("""COMPUTED_VALUE"""),"")</f>
        <v/>
      </c>
      <c r="M971" s="2" t="str">
        <f>IFERROR(__xludf.DUMMYFUNCTION("""COMPUTED_VALUE"""),"")</f>
        <v/>
      </c>
      <c r="N971" s="2"/>
      <c r="O971" s="2" t="str">
        <f>IFERROR(__xludf.DUMMYFUNCTION("""COMPUTED_VALUE"""),"")</f>
        <v/>
      </c>
      <c r="P971" s="2" t="str">
        <f>IFERROR(__xludf.DUMMYFUNCTION("""COMPUTED_VALUE"""),"Phân bón ")</f>
        <v>Phân bón </v>
      </c>
      <c r="Q971" s="30" t="str">
        <f>IFERROR(__xludf.DUMMYFUNCTION("""COMPUTED_VALUE"""),"")</f>
        <v/>
      </c>
      <c r="R971" s="2"/>
      <c r="S971" s="2"/>
      <c r="T971" s="2"/>
      <c r="U971" s="2"/>
      <c r="V971" s="2"/>
      <c r="W971" s="2"/>
      <c r="X971" s="2"/>
      <c r="Y971" s="2"/>
    </row>
    <row r="972">
      <c r="A972" s="30">
        <f>IFERROR(__xludf.DUMMYFUNCTION("""COMPUTED_VALUE"""),969.0)</f>
        <v>969</v>
      </c>
      <c r="B972" s="39" t="str">
        <f>IFERROR(__xludf.DUMMYFUNCTION("""COMPUTED_VALUE"""),"")</f>
        <v/>
      </c>
      <c r="C972" s="30">
        <f>IFERROR(__xludf.DUMMYFUNCTION("""COMPUTED_VALUE"""),0.0)</f>
        <v>0</v>
      </c>
      <c r="D972" s="30"/>
      <c r="E972" s="46" t="str">
        <f>IFERROR(__xludf.DUMMYFUNCTION("""COMPUTED_VALUE"""),"")</f>
        <v/>
      </c>
      <c r="F972" s="2"/>
      <c r="G972" s="2" t="str">
        <f>IFERROR(__xludf.DUMMYFUNCTION("""COMPUTED_VALUE"""),"")</f>
        <v/>
      </c>
      <c r="H972" s="2" t="str">
        <f>IFERROR(__xludf.DUMMYFUNCTION("""COMPUTED_VALUE"""),"")</f>
        <v/>
      </c>
      <c r="I972" s="2" t="str">
        <f>IFERROR(__xludf.DUMMYFUNCTION("""COMPUTED_VALUE"""),"")</f>
        <v/>
      </c>
      <c r="J972" s="2" t="str">
        <f>IFERROR(__xludf.DUMMYFUNCTION("""COMPUTED_VALUE"""),"")</f>
        <v/>
      </c>
      <c r="K972" s="39" t="str">
        <f>IFERROR(__xludf.DUMMYFUNCTION("""COMPUTED_VALUE"""),"")</f>
        <v/>
      </c>
      <c r="L972" s="2" t="str">
        <f>IFERROR(__xludf.DUMMYFUNCTION("""COMPUTED_VALUE"""),"")</f>
        <v/>
      </c>
      <c r="M972" s="2" t="str">
        <f>IFERROR(__xludf.DUMMYFUNCTION("""COMPUTED_VALUE"""),"")</f>
        <v/>
      </c>
      <c r="N972" s="2"/>
      <c r="O972" s="2" t="str">
        <f>IFERROR(__xludf.DUMMYFUNCTION("""COMPUTED_VALUE"""),"")</f>
        <v/>
      </c>
      <c r="P972" s="2" t="str">
        <f>IFERROR(__xludf.DUMMYFUNCTION("""COMPUTED_VALUE"""),"Phân bón ")</f>
        <v>Phân bón </v>
      </c>
      <c r="Q972" s="30" t="str">
        <f>IFERROR(__xludf.DUMMYFUNCTION("""COMPUTED_VALUE"""),"")</f>
        <v/>
      </c>
      <c r="R972" s="2"/>
      <c r="S972" s="2"/>
      <c r="T972" s="2"/>
      <c r="U972" s="2"/>
      <c r="V972" s="2"/>
      <c r="W972" s="2"/>
      <c r="X972" s="2"/>
      <c r="Y972" s="2"/>
    </row>
    <row r="973">
      <c r="A973" s="30">
        <f>IFERROR(__xludf.DUMMYFUNCTION("""COMPUTED_VALUE"""),970.0)</f>
        <v>970</v>
      </c>
      <c r="B973" s="39" t="str">
        <f>IFERROR(__xludf.DUMMYFUNCTION("""COMPUTED_VALUE"""),"")</f>
        <v/>
      </c>
      <c r="C973" s="30">
        <f>IFERROR(__xludf.DUMMYFUNCTION("""COMPUTED_VALUE"""),0.0)</f>
        <v>0</v>
      </c>
      <c r="D973" s="30"/>
      <c r="E973" s="46" t="str">
        <f>IFERROR(__xludf.DUMMYFUNCTION("""COMPUTED_VALUE"""),"")</f>
        <v/>
      </c>
      <c r="F973" s="2"/>
      <c r="G973" s="2" t="str">
        <f>IFERROR(__xludf.DUMMYFUNCTION("""COMPUTED_VALUE"""),"")</f>
        <v/>
      </c>
      <c r="H973" s="2" t="str">
        <f>IFERROR(__xludf.DUMMYFUNCTION("""COMPUTED_VALUE"""),"")</f>
        <v/>
      </c>
      <c r="I973" s="2" t="str">
        <f>IFERROR(__xludf.DUMMYFUNCTION("""COMPUTED_VALUE"""),"")</f>
        <v/>
      </c>
      <c r="J973" s="2" t="str">
        <f>IFERROR(__xludf.DUMMYFUNCTION("""COMPUTED_VALUE"""),"")</f>
        <v/>
      </c>
      <c r="K973" s="39" t="str">
        <f>IFERROR(__xludf.DUMMYFUNCTION("""COMPUTED_VALUE"""),"")</f>
        <v/>
      </c>
      <c r="L973" s="2" t="str">
        <f>IFERROR(__xludf.DUMMYFUNCTION("""COMPUTED_VALUE"""),"")</f>
        <v/>
      </c>
      <c r="M973" s="2" t="str">
        <f>IFERROR(__xludf.DUMMYFUNCTION("""COMPUTED_VALUE"""),"")</f>
        <v/>
      </c>
      <c r="N973" s="2"/>
      <c r="O973" s="2" t="str">
        <f>IFERROR(__xludf.DUMMYFUNCTION("""COMPUTED_VALUE"""),"")</f>
        <v/>
      </c>
      <c r="P973" s="2" t="str">
        <f>IFERROR(__xludf.DUMMYFUNCTION("""COMPUTED_VALUE"""),"Phân bón ")</f>
        <v>Phân bón </v>
      </c>
      <c r="Q973" s="30" t="str">
        <f>IFERROR(__xludf.DUMMYFUNCTION("""COMPUTED_VALUE"""),"")</f>
        <v/>
      </c>
      <c r="R973" s="2"/>
      <c r="S973" s="2"/>
      <c r="T973" s="2"/>
      <c r="U973" s="2"/>
      <c r="V973" s="2"/>
      <c r="W973" s="2"/>
      <c r="X973" s="2"/>
      <c r="Y973" s="2"/>
    </row>
    <row r="974">
      <c r="A974" s="30">
        <f>IFERROR(__xludf.DUMMYFUNCTION("""COMPUTED_VALUE"""),971.0)</f>
        <v>971</v>
      </c>
      <c r="B974" s="39" t="str">
        <f>IFERROR(__xludf.DUMMYFUNCTION("""COMPUTED_VALUE"""),"")</f>
        <v/>
      </c>
      <c r="C974" s="30">
        <f>IFERROR(__xludf.DUMMYFUNCTION("""COMPUTED_VALUE"""),0.0)</f>
        <v>0</v>
      </c>
      <c r="D974" s="30"/>
      <c r="E974" s="46" t="str">
        <f>IFERROR(__xludf.DUMMYFUNCTION("""COMPUTED_VALUE"""),"")</f>
        <v/>
      </c>
      <c r="F974" s="2"/>
      <c r="G974" s="2" t="str">
        <f>IFERROR(__xludf.DUMMYFUNCTION("""COMPUTED_VALUE"""),"")</f>
        <v/>
      </c>
      <c r="H974" s="2" t="str">
        <f>IFERROR(__xludf.DUMMYFUNCTION("""COMPUTED_VALUE"""),"")</f>
        <v/>
      </c>
      <c r="I974" s="2" t="str">
        <f>IFERROR(__xludf.DUMMYFUNCTION("""COMPUTED_VALUE"""),"")</f>
        <v/>
      </c>
      <c r="J974" s="2" t="str">
        <f>IFERROR(__xludf.DUMMYFUNCTION("""COMPUTED_VALUE"""),"")</f>
        <v/>
      </c>
      <c r="K974" s="39" t="str">
        <f>IFERROR(__xludf.DUMMYFUNCTION("""COMPUTED_VALUE"""),"")</f>
        <v/>
      </c>
      <c r="L974" s="2" t="str">
        <f>IFERROR(__xludf.DUMMYFUNCTION("""COMPUTED_VALUE"""),"")</f>
        <v/>
      </c>
      <c r="M974" s="2" t="str">
        <f>IFERROR(__xludf.DUMMYFUNCTION("""COMPUTED_VALUE"""),"")</f>
        <v/>
      </c>
      <c r="N974" s="2"/>
      <c r="O974" s="2" t="str">
        <f>IFERROR(__xludf.DUMMYFUNCTION("""COMPUTED_VALUE"""),"")</f>
        <v/>
      </c>
      <c r="P974" s="2" t="str">
        <f>IFERROR(__xludf.DUMMYFUNCTION("""COMPUTED_VALUE"""),"Phân bón ")</f>
        <v>Phân bón </v>
      </c>
      <c r="Q974" s="30" t="str">
        <f>IFERROR(__xludf.DUMMYFUNCTION("""COMPUTED_VALUE"""),"")</f>
        <v/>
      </c>
      <c r="R974" s="2"/>
      <c r="S974" s="2"/>
      <c r="T974" s="2"/>
      <c r="U974" s="2"/>
      <c r="V974" s="2"/>
      <c r="W974" s="2"/>
      <c r="X974" s="2"/>
      <c r="Y974" s="2"/>
    </row>
    <row r="975">
      <c r="A975" s="30">
        <f>IFERROR(__xludf.DUMMYFUNCTION("""COMPUTED_VALUE"""),972.0)</f>
        <v>972</v>
      </c>
      <c r="B975" s="39" t="str">
        <f>IFERROR(__xludf.DUMMYFUNCTION("""COMPUTED_VALUE"""),"")</f>
        <v/>
      </c>
      <c r="C975" s="30">
        <f>IFERROR(__xludf.DUMMYFUNCTION("""COMPUTED_VALUE"""),0.0)</f>
        <v>0</v>
      </c>
      <c r="D975" s="30"/>
      <c r="E975" s="46" t="str">
        <f>IFERROR(__xludf.DUMMYFUNCTION("""COMPUTED_VALUE"""),"")</f>
        <v/>
      </c>
      <c r="F975" s="2"/>
      <c r="G975" s="2" t="str">
        <f>IFERROR(__xludf.DUMMYFUNCTION("""COMPUTED_VALUE"""),"")</f>
        <v/>
      </c>
      <c r="H975" s="2" t="str">
        <f>IFERROR(__xludf.DUMMYFUNCTION("""COMPUTED_VALUE"""),"")</f>
        <v/>
      </c>
      <c r="I975" s="2" t="str">
        <f>IFERROR(__xludf.DUMMYFUNCTION("""COMPUTED_VALUE"""),"")</f>
        <v/>
      </c>
      <c r="J975" s="2" t="str">
        <f>IFERROR(__xludf.DUMMYFUNCTION("""COMPUTED_VALUE"""),"")</f>
        <v/>
      </c>
      <c r="K975" s="39" t="str">
        <f>IFERROR(__xludf.DUMMYFUNCTION("""COMPUTED_VALUE"""),"")</f>
        <v/>
      </c>
      <c r="L975" s="2" t="str">
        <f>IFERROR(__xludf.DUMMYFUNCTION("""COMPUTED_VALUE"""),"")</f>
        <v/>
      </c>
      <c r="M975" s="2" t="str">
        <f>IFERROR(__xludf.DUMMYFUNCTION("""COMPUTED_VALUE"""),"")</f>
        <v/>
      </c>
      <c r="N975" s="2"/>
      <c r="O975" s="2" t="str">
        <f>IFERROR(__xludf.DUMMYFUNCTION("""COMPUTED_VALUE"""),"")</f>
        <v/>
      </c>
      <c r="P975" s="2" t="str">
        <f>IFERROR(__xludf.DUMMYFUNCTION("""COMPUTED_VALUE"""),"Phân bón ")</f>
        <v>Phân bón </v>
      </c>
      <c r="Q975" s="30" t="str">
        <f>IFERROR(__xludf.DUMMYFUNCTION("""COMPUTED_VALUE"""),"")</f>
        <v/>
      </c>
      <c r="R975" s="2"/>
      <c r="S975" s="2"/>
      <c r="T975" s="2"/>
      <c r="U975" s="2"/>
      <c r="V975" s="2"/>
      <c r="W975" s="2"/>
      <c r="X975" s="2"/>
      <c r="Y975" s="2"/>
    </row>
    <row r="976">
      <c r="A976" s="30">
        <f>IFERROR(__xludf.DUMMYFUNCTION("""COMPUTED_VALUE"""),973.0)</f>
        <v>973</v>
      </c>
      <c r="B976" s="39" t="str">
        <f>IFERROR(__xludf.DUMMYFUNCTION("""COMPUTED_VALUE"""),"")</f>
        <v/>
      </c>
      <c r="C976" s="30">
        <f>IFERROR(__xludf.DUMMYFUNCTION("""COMPUTED_VALUE"""),0.0)</f>
        <v>0</v>
      </c>
      <c r="D976" s="30"/>
      <c r="E976" s="46" t="str">
        <f>IFERROR(__xludf.DUMMYFUNCTION("""COMPUTED_VALUE"""),"")</f>
        <v/>
      </c>
      <c r="F976" s="2"/>
      <c r="G976" s="2" t="str">
        <f>IFERROR(__xludf.DUMMYFUNCTION("""COMPUTED_VALUE"""),"")</f>
        <v/>
      </c>
      <c r="H976" s="2" t="str">
        <f>IFERROR(__xludf.DUMMYFUNCTION("""COMPUTED_VALUE"""),"")</f>
        <v/>
      </c>
      <c r="I976" s="2" t="str">
        <f>IFERROR(__xludf.DUMMYFUNCTION("""COMPUTED_VALUE"""),"")</f>
        <v/>
      </c>
      <c r="J976" s="2" t="str">
        <f>IFERROR(__xludf.DUMMYFUNCTION("""COMPUTED_VALUE"""),"")</f>
        <v/>
      </c>
      <c r="K976" s="39" t="str">
        <f>IFERROR(__xludf.DUMMYFUNCTION("""COMPUTED_VALUE"""),"")</f>
        <v/>
      </c>
      <c r="L976" s="2" t="str">
        <f>IFERROR(__xludf.DUMMYFUNCTION("""COMPUTED_VALUE"""),"")</f>
        <v/>
      </c>
      <c r="M976" s="2" t="str">
        <f>IFERROR(__xludf.DUMMYFUNCTION("""COMPUTED_VALUE"""),"")</f>
        <v/>
      </c>
      <c r="N976" s="2"/>
      <c r="O976" s="2" t="str">
        <f>IFERROR(__xludf.DUMMYFUNCTION("""COMPUTED_VALUE"""),"")</f>
        <v/>
      </c>
      <c r="P976" s="2" t="str">
        <f>IFERROR(__xludf.DUMMYFUNCTION("""COMPUTED_VALUE"""),"Phân bón ")</f>
        <v>Phân bón </v>
      </c>
      <c r="Q976" s="30" t="str">
        <f>IFERROR(__xludf.DUMMYFUNCTION("""COMPUTED_VALUE"""),"")</f>
        <v/>
      </c>
      <c r="R976" s="2"/>
      <c r="S976" s="2"/>
      <c r="T976" s="2"/>
      <c r="U976" s="2"/>
      <c r="V976" s="2"/>
      <c r="W976" s="2"/>
      <c r="X976" s="2"/>
      <c r="Y976" s="2"/>
    </row>
    <row r="977">
      <c r="A977" s="30">
        <f>IFERROR(__xludf.DUMMYFUNCTION("""COMPUTED_VALUE"""),974.0)</f>
        <v>974</v>
      </c>
      <c r="B977" s="39" t="str">
        <f>IFERROR(__xludf.DUMMYFUNCTION("""COMPUTED_VALUE"""),"")</f>
        <v/>
      </c>
      <c r="C977" s="30">
        <f>IFERROR(__xludf.DUMMYFUNCTION("""COMPUTED_VALUE"""),0.0)</f>
        <v>0</v>
      </c>
      <c r="D977" s="30"/>
      <c r="E977" s="46" t="str">
        <f>IFERROR(__xludf.DUMMYFUNCTION("""COMPUTED_VALUE"""),"")</f>
        <v/>
      </c>
      <c r="F977" s="2"/>
      <c r="G977" s="2" t="str">
        <f>IFERROR(__xludf.DUMMYFUNCTION("""COMPUTED_VALUE"""),"")</f>
        <v/>
      </c>
      <c r="H977" s="2" t="str">
        <f>IFERROR(__xludf.DUMMYFUNCTION("""COMPUTED_VALUE"""),"")</f>
        <v/>
      </c>
      <c r="I977" s="2" t="str">
        <f>IFERROR(__xludf.DUMMYFUNCTION("""COMPUTED_VALUE"""),"")</f>
        <v/>
      </c>
      <c r="J977" s="2" t="str">
        <f>IFERROR(__xludf.DUMMYFUNCTION("""COMPUTED_VALUE"""),"")</f>
        <v/>
      </c>
      <c r="K977" s="39" t="str">
        <f>IFERROR(__xludf.DUMMYFUNCTION("""COMPUTED_VALUE"""),"")</f>
        <v/>
      </c>
      <c r="L977" s="2" t="str">
        <f>IFERROR(__xludf.DUMMYFUNCTION("""COMPUTED_VALUE"""),"")</f>
        <v/>
      </c>
      <c r="M977" s="2" t="str">
        <f>IFERROR(__xludf.DUMMYFUNCTION("""COMPUTED_VALUE"""),"")</f>
        <v/>
      </c>
      <c r="N977" s="2"/>
      <c r="O977" s="2" t="str">
        <f>IFERROR(__xludf.DUMMYFUNCTION("""COMPUTED_VALUE"""),"")</f>
        <v/>
      </c>
      <c r="P977" s="2" t="str">
        <f>IFERROR(__xludf.DUMMYFUNCTION("""COMPUTED_VALUE"""),"Phân bón ")</f>
        <v>Phân bón </v>
      </c>
      <c r="Q977" s="30" t="str">
        <f>IFERROR(__xludf.DUMMYFUNCTION("""COMPUTED_VALUE"""),"")</f>
        <v/>
      </c>
      <c r="R977" s="2"/>
      <c r="S977" s="2"/>
      <c r="T977" s="2"/>
      <c r="U977" s="2"/>
      <c r="V977" s="2"/>
      <c r="W977" s="2"/>
      <c r="X977" s="2"/>
      <c r="Y977" s="2"/>
    </row>
    <row r="978">
      <c r="A978" s="30">
        <f>IFERROR(__xludf.DUMMYFUNCTION("""COMPUTED_VALUE"""),975.0)</f>
        <v>975</v>
      </c>
      <c r="B978" s="39" t="str">
        <f>IFERROR(__xludf.DUMMYFUNCTION("""COMPUTED_VALUE"""),"")</f>
        <v/>
      </c>
      <c r="C978" s="30">
        <f>IFERROR(__xludf.DUMMYFUNCTION("""COMPUTED_VALUE"""),0.0)</f>
        <v>0</v>
      </c>
      <c r="D978" s="30"/>
      <c r="E978" s="46" t="str">
        <f>IFERROR(__xludf.DUMMYFUNCTION("""COMPUTED_VALUE"""),"")</f>
        <v/>
      </c>
      <c r="F978" s="2"/>
      <c r="G978" s="2" t="str">
        <f>IFERROR(__xludf.DUMMYFUNCTION("""COMPUTED_VALUE"""),"")</f>
        <v/>
      </c>
      <c r="H978" s="2" t="str">
        <f>IFERROR(__xludf.DUMMYFUNCTION("""COMPUTED_VALUE"""),"")</f>
        <v/>
      </c>
      <c r="I978" s="2" t="str">
        <f>IFERROR(__xludf.DUMMYFUNCTION("""COMPUTED_VALUE"""),"")</f>
        <v/>
      </c>
      <c r="J978" s="2" t="str">
        <f>IFERROR(__xludf.DUMMYFUNCTION("""COMPUTED_VALUE"""),"")</f>
        <v/>
      </c>
      <c r="K978" s="39" t="str">
        <f>IFERROR(__xludf.DUMMYFUNCTION("""COMPUTED_VALUE"""),"")</f>
        <v/>
      </c>
      <c r="L978" s="2" t="str">
        <f>IFERROR(__xludf.DUMMYFUNCTION("""COMPUTED_VALUE"""),"")</f>
        <v/>
      </c>
      <c r="M978" s="2" t="str">
        <f>IFERROR(__xludf.DUMMYFUNCTION("""COMPUTED_VALUE"""),"")</f>
        <v/>
      </c>
      <c r="N978" s="2"/>
      <c r="O978" s="2" t="str">
        <f>IFERROR(__xludf.DUMMYFUNCTION("""COMPUTED_VALUE"""),"")</f>
        <v/>
      </c>
      <c r="P978" s="2" t="str">
        <f>IFERROR(__xludf.DUMMYFUNCTION("""COMPUTED_VALUE"""),"Phân bón ")</f>
        <v>Phân bón </v>
      </c>
      <c r="Q978" s="30" t="str">
        <f>IFERROR(__xludf.DUMMYFUNCTION("""COMPUTED_VALUE"""),"")</f>
        <v/>
      </c>
      <c r="R978" s="2"/>
      <c r="S978" s="2"/>
      <c r="T978" s="2"/>
      <c r="U978" s="2"/>
      <c r="V978" s="2"/>
      <c r="W978" s="2"/>
      <c r="X978" s="2"/>
      <c r="Y978" s="2"/>
    </row>
    <row r="979">
      <c r="A979" s="30">
        <f>IFERROR(__xludf.DUMMYFUNCTION("""COMPUTED_VALUE"""),976.0)</f>
        <v>976</v>
      </c>
      <c r="B979" s="39" t="str">
        <f>IFERROR(__xludf.DUMMYFUNCTION("""COMPUTED_VALUE"""),"")</f>
        <v/>
      </c>
      <c r="C979" s="30">
        <f>IFERROR(__xludf.DUMMYFUNCTION("""COMPUTED_VALUE"""),0.0)</f>
        <v>0</v>
      </c>
      <c r="D979" s="30"/>
      <c r="E979" s="46" t="str">
        <f>IFERROR(__xludf.DUMMYFUNCTION("""COMPUTED_VALUE"""),"")</f>
        <v/>
      </c>
      <c r="F979" s="2"/>
      <c r="G979" s="2" t="str">
        <f>IFERROR(__xludf.DUMMYFUNCTION("""COMPUTED_VALUE"""),"")</f>
        <v/>
      </c>
      <c r="H979" s="2" t="str">
        <f>IFERROR(__xludf.DUMMYFUNCTION("""COMPUTED_VALUE"""),"")</f>
        <v/>
      </c>
      <c r="I979" s="2" t="str">
        <f>IFERROR(__xludf.DUMMYFUNCTION("""COMPUTED_VALUE"""),"")</f>
        <v/>
      </c>
      <c r="J979" s="2" t="str">
        <f>IFERROR(__xludf.DUMMYFUNCTION("""COMPUTED_VALUE"""),"")</f>
        <v/>
      </c>
      <c r="K979" s="39" t="str">
        <f>IFERROR(__xludf.DUMMYFUNCTION("""COMPUTED_VALUE"""),"")</f>
        <v/>
      </c>
      <c r="L979" s="2" t="str">
        <f>IFERROR(__xludf.DUMMYFUNCTION("""COMPUTED_VALUE"""),"")</f>
        <v/>
      </c>
      <c r="M979" s="2" t="str">
        <f>IFERROR(__xludf.DUMMYFUNCTION("""COMPUTED_VALUE"""),"")</f>
        <v/>
      </c>
      <c r="N979" s="2"/>
      <c r="O979" s="2" t="str">
        <f>IFERROR(__xludf.DUMMYFUNCTION("""COMPUTED_VALUE"""),"")</f>
        <v/>
      </c>
      <c r="P979" s="2" t="str">
        <f>IFERROR(__xludf.DUMMYFUNCTION("""COMPUTED_VALUE"""),"Phân bón ")</f>
        <v>Phân bón </v>
      </c>
      <c r="Q979" s="30" t="str">
        <f>IFERROR(__xludf.DUMMYFUNCTION("""COMPUTED_VALUE"""),"")</f>
        <v/>
      </c>
      <c r="R979" s="2"/>
      <c r="S979" s="2"/>
      <c r="T979" s="2"/>
      <c r="U979" s="2"/>
      <c r="V979" s="2"/>
      <c r="W979" s="2"/>
      <c r="X979" s="2"/>
      <c r="Y979" s="2"/>
    </row>
    <row r="980">
      <c r="A980" s="30">
        <f>IFERROR(__xludf.DUMMYFUNCTION("""COMPUTED_VALUE"""),977.0)</f>
        <v>977</v>
      </c>
      <c r="B980" s="39" t="str">
        <f>IFERROR(__xludf.DUMMYFUNCTION("""COMPUTED_VALUE"""),"")</f>
        <v/>
      </c>
      <c r="C980" s="30">
        <f>IFERROR(__xludf.DUMMYFUNCTION("""COMPUTED_VALUE"""),0.0)</f>
        <v>0</v>
      </c>
      <c r="D980" s="30"/>
      <c r="E980" s="46" t="str">
        <f>IFERROR(__xludf.DUMMYFUNCTION("""COMPUTED_VALUE"""),"")</f>
        <v/>
      </c>
      <c r="F980" s="2"/>
      <c r="G980" s="2" t="str">
        <f>IFERROR(__xludf.DUMMYFUNCTION("""COMPUTED_VALUE"""),"")</f>
        <v/>
      </c>
      <c r="H980" s="2" t="str">
        <f>IFERROR(__xludf.DUMMYFUNCTION("""COMPUTED_VALUE"""),"")</f>
        <v/>
      </c>
      <c r="I980" s="2" t="str">
        <f>IFERROR(__xludf.DUMMYFUNCTION("""COMPUTED_VALUE"""),"")</f>
        <v/>
      </c>
      <c r="J980" s="2" t="str">
        <f>IFERROR(__xludf.DUMMYFUNCTION("""COMPUTED_VALUE"""),"")</f>
        <v/>
      </c>
      <c r="K980" s="39" t="str">
        <f>IFERROR(__xludf.DUMMYFUNCTION("""COMPUTED_VALUE"""),"")</f>
        <v/>
      </c>
      <c r="L980" s="2" t="str">
        <f>IFERROR(__xludf.DUMMYFUNCTION("""COMPUTED_VALUE"""),"")</f>
        <v/>
      </c>
      <c r="M980" s="2" t="str">
        <f>IFERROR(__xludf.DUMMYFUNCTION("""COMPUTED_VALUE"""),"")</f>
        <v/>
      </c>
      <c r="N980" s="2"/>
      <c r="O980" s="2" t="str">
        <f>IFERROR(__xludf.DUMMYFUNCTION("""COMPUTED_VALUE"""),"")</f>
        <v/>
      </c>
      <c r="P980" s="2" t="str">
        <f>IFERROR(__xludf.DUMMYFUNCTION("""COMPUTED_VALUE"""),"Phân bón ")</f>
        <v>Phân bón </v>
      </c>
      <c r="Q980" s="30" t="str">
        <f>IFERROR(__xludf.DUMMYFUNCTION("""COMPUTED_VALUE"""),"")</f>
        <v/>
      </c>
      <c r="R980" s="2"/>
      <c r="S980" s="2"/>
      <c r="T980" s="2"/>
      <c r="U980" s="2"/>
      <c r="V980" s="2"/>
      <c r="W980" s="2"/>
      <c r="X980" s="2"/>
      <c r="Y980" s="2"/>
    </row>
    <row r="981">
      <c r="A981" s="30">
        <f>IFERROR(__xludf.DUMMYFUNCTION("""COMPUTED_VALUE"""),978.0)</f>
        <v>978</v>
      </c>
      <c r="B981" s="39" t="str">
        <f>IFERROR(__xludf.DUMMYFUNCTION("""COMPUTED_VALUE"""),"")</f>
        <v/>
      </c>
      <c r="C981" s="30">
        <f>IFERROR(__xludf.DUMMYFUNCTION("""COMPUTED_VALUE"""),0.0)</f>
        <v>0</v>
      </c>
      <c r="D981" s="30"/>
      <c r="E981" s="46" t="str">
        <f>IFERROR(__xludf.DUMMYFUNCTION("""COMPUTED_VALUE"""),"")</f>
        <v/>
      </c>
      <c r="F981" s="2"/>
      <c r="G981" s="2" t="str">
        <f>IFERROR(__xludf.DUMMYFUNCTION("""COMPUTED_VALUE"""),"")</f>
        <v/>
      </c>
      <c r="H981" s="2" t="str">
        <f>IFERROR(__xludf.DUMMYFUNCTION("""COMPUTED_VALUE"""),"")</f>
        <v/>
      </c>
      <c r="I981" s="2" t="str">
        <f>IFERROR(__xludf.DUMMYFUNCTION("""COMPUTED_VALUE"""),"")</f>
        <v/>
      </c>
      <c r="J981" s="2" t="str">
        <f>IFERROR(__xludf.DUMMYFUNCTION("""COMPUTED_VALUE"""),"")</f>
        <v/>
      </c>
      <c r="K981" s="39" t="str">
        <f>IFERROR(__xludf.DUMMYFUNCTION("""COMPUTED_VALUE"""),"")</f>
        <v/>
      </c>
      <c r="L981" s="2" t="str">
        <f>IFERROR(__xludf.DUMMYFUNCTION("""COMPUTED_VALUE"""),"")</f>
        <v/>
      </c>
      <c r="M981" s="2" t="str">
        <f>IFERROR(__xludf.DUMMYFUNCTION("""COMPUTED_VALUE"""),"")</f>
        <v/>
      </c>
      <c r="N981" s="2"/>
      <c r="O981" s="2" t="str">
        <f>IFERROR(__xludf.DUMMYFUNCTION("""COMPUTED_VALUE"""),"")</f>
        <v/>
      </c>
      <c r="P981" s="2" t="str">
        <f>IFERROR(__xludf.DUMMYFUNCTION("""COMPUTED_VALUE"""),"Phân bón ")</f>
        <v>Phân bón </v>
      </c>
      <c r="Q981" s="30" t="str">
        <f>IFERROR(__xludf.DUMMYFUNCTION("""COMPUTED_VALUE"""),"")</f>
        <v/>
      </c>
      <c r="R981" s="2"/>
      <c r="S981" s="2"/>
      <c r="T981" s="2"/>
      <c r="U981" s="2"/>
      <c r="V981" s="2"/>
      <c r="W981" s="2"/>
      <c r="X981" s="2"/>
      <c r="Y981" s="2"/>
    </row>
    <row r="982">
      <c r="A982" s="30">
        <f>IFERROR(__xludf.DUMMYFUNCTION("""COMPUTED_VALUE"""),979.0)</f>
        <v>979</v>
      </c>
      <c r="B982" s="39" t="str">
        <f>IFERROR(__xludf.DUMMYFUNCTION("""COMPUTED_VALUE"""),"")</f>
        <v/>
      </c>
      <c r="C982" s="30">
        <f>IFERROR(__xludf.DUMMYFUNCTION("""COMPUTED_VALUE"""),0.0)</f>
        <v>0</v>
      </c>
      <c r="D982" s="30"/>
      <c r="E982" s="46" t="str">
        <f>IFERROR(__xludf.DUMMYFUNCTION("""COMPUTED_VALUE"""),"")</f>
        <v/>
      </c>
      <c r="F982" s="2"/>
      <c r="G982" s="2" t="str">
        <f>IFERROR(__xludf.DUMMYFUNCTION("""COMPUTED_VALUE"""),"")</f>
        <v/>
      </c>
      <c r="H982" s="2" t="str">
        <f>IFERROR(__xludf.DUMMYFUNCTION("""COMPUTED_VALUE"""),"")</f>
        <v/>
      </c>
      <c r="I982" s="2" t="str">
        <f>IFERROR(__xludf.DUMMYFUNCTION("""COMPUTED_VALUE"""),"")</f>
        <v/>
      </c>
      <c r="J982" s="2" t="str">
        <f>IFERROR(__xludf.DUMMYFUNCTION("""COMPUTED_VALUE"""),"")</f>
        <v/>
      </c>
      <c r="K982" s="39" t="str">
        <f>IFERROR(__xludf.DUMMYFUNCTION("""COMPUTED_VALUE"""),"")</f>
        <v/>
      </c>
      <c r="L982" s="2" t="str">
        <f>IFERROR(__xludf.DUMMYFUNCTION("""COMPUTED_VALUE"""),"")</f>
        <v/>
      </c>
      <c r="M982" s="2" t="str">
        <f>IFERROR(__xludf.DUMMYFUNCTION("""COMPUTED_VALUE"""),"")</f>
        <v/>
      </c>
      <c r="N982" s="2"/>
      <c r="O982" s="2" t="str">
        <f>IFERROR(__xludf.DUMMYFUNCTION("""COMPUTED_VALUE"""),"")</f>
        <v/>
      </c>
      <c r="P982" s="2" t="str">
        <f>IFERROR(__xludf.DUMMYFUNCTION("""COMPUTED_VALUE"""),"Phân bón ")</f>
        <v>Phân bón </v>
      </c>
      <c r="Q982" s="30" t="str">
        <f>IFERROR(__xludf.DUMMYFUNCTION("""COMPUTED_VALUE"""),"")</f>
        <v/>
      </c>
      <c r="R982" s="2"/>
      <c r="S982" s="2"/>
      <c r="T982" s="2"/>
      <c r="U982" s="2"/>
      <c r="V982" s="2"/>
      <c r="W982" s="2"/>
      <c r="X982" s="2"/>
      <c r="Y982" s="2"/>
    </row>
    <row r="983">
      <c r="A983" s="30">
        <f>IFERROR(__xludf.DUMMYFUNCTION("""COMPUTED_VALUE"""),980.0)</f>
        <v>980</v>
      </c>
      <c r="B983" s="39" t="str">
        <f>IFERROR(__xludf.DUMMYFUNCTION("""COMPUTED_VALUE"""),"")</f>
        <v/>
      </c>
      <c r="C983" s="30">
        <f>IFERROR(__xludf.DUMMYFUNCTION("""COMPUTED_VALUE"""),0.0)</f>
        <v>0</v>
      </c>
      <c r="D983" s="30"/>
      <c r="E983" s="46" t="str">
        <f>IFERROR(__xludf.DUMMYFUNCTION("""COMPUTED_VALUE"""),"")</f>
        <v/>
      </c>
      <c r="F983" s="2"/>
      <c r="G983" s="2" t="str">
        <f>IFERROR(__xludf.DUMMYFUNCTION("""COMPUTED_VALUE"""),"")</f>
        <v/>
      </c>
      <c r="H983" s="2" t="str">
        <f>IFERROR(__xludf.DUMMYFUNCTION("""COMPUTED_VALUE"""),"")</f>
        <v/>
      </c>
      <c r="I983" s="2" t="str">
        <f>IFERROR(__xludf.DUMMYFUNCTION("""COMPUTED_VALUE"""),"")</f>
        <v/>
      </c>
      <c r="J983" s="2" t="str">
        <f>IFERROR(__xludf.DUMMYFUNCTION("""COMPUTED_VALUE"""),"")</f>
        <v/>
      </c>
      <c r="K983" s="39" t="str">
        <f>IFERROR(__xludf.DUMMYFUNCTION("""COMPUTED_VALUE"""),"")</f>
        <v/>
      </c>
      <c r="L983" s="2" t="str">
        <f>IFERROR(__xludf.DUMMYFUNCTION("""COMPUTED_VALUE"""),"")</f>
        <v/>
      </c>
      <c r="M983" s="2" t="str">
        <f>IFERROR(__xludf.DUMMYFUNCTION("""COMPUTED_VALUE"""),"")</f>
        <v/>
      </c>
      <c r="N983" s="2"/>
      <c r="O983" s="2" t="str">
        <f>IFERROR(__xludf.DUMMYFUNCTION("""COMPUTED_VALUE"""),"")</f>
        <v/>
      </c>
      <c r="P983" s="2" t="str">
        <f>IFERROR(__xludf.DUMMYFUNCTION("""COMPUTED_VALUE"""),"Phân bón ")</f>
        <v>Phân bón </v>
      </c>
      <c r="Q983" s="30" t="str">
        <f>IFERROR(__xludf.DUMMYFUNCTION("""COMPUTED_VALUE"""),"")</f>
        <v/>
      </c>
      <c r="R983" s="2"/>
      <c r="S983" s="2"/>
      <c r="T983" s="2"/>
      <c r="U983" s="2"/>
      <c r="V983" s="2"/>
      <c r="W983" s="2"/>
      <c r="X983" s="2"/>
      <c r="Y983" s="2"/>
    </row>
    <row r="984">
      <c r="A984" s="30">
        <f>IFERROR(__xludf.DUMMYFUNCTION("""COMPUTED_VALUE"""),981.0)</f>
        <v>981</v>
      </c>
      <c r="B984" s="39" t="str">
        <f>IFERROR(__xludf.DUMMYFUNCTION("""COMPUTED_VALUE"""),"")</f>
        <v/>
      </c>
      <c r="C984" s="30">
        <f>IFERROR(__xludf.DUMMYFUNCTION("""COMPUTED_VALUE"""),0.0)</f>
        <v>0</v>
      </c>
      <c r="D984" s="30"/>
      <c r="E984" s="46" t="str">
        <f>IFERROR(__xludf.DUMMYFUNCTION("""COMPUTED_VALUE"""),"")</f>
        <v/>
      </c>
      <c r="F984" s="2"/>
      <c r="G984" s="2" t="str">
        <f>IFERROR(__xludf.DUMMYFUNCTION("""COMPUTED_VALUE"""),"")</f>
        <v/>
      </c>
      <c r="H984" s="2" t="str">
        <f>IFERROR(__xludf.DUMMYFUNCTION("""COMPUTED_VALUE"""),"")</f>
        <v/>
      </c>
      <c r="I984" s="2" t="str">
        <f>IFERROR(__xludf.DUMMYFUNCTION("""COMPUTED_VALUE"""),"")</f>
        <v/>
      </c>
      <c r="J984" s="2" t="str">
        <f>IFERROR(__xludf.DUMMYFUNCTION("""COMPUTED_VALUE"""),"")</f>
        <v/>
      </c>
      <c r="K984" s="39" t="str">
        <f>IFERROR(__xludf.DUMMYFUNCTION("""COMPUTED_VALUE"""),"")</f>
        <v/>
      </c>
      <c r="L984" s="2" t="str">
        <f>IFERROR(__xludf.DUMMYFUNCTION("""COMPUTED_VALUE"""),"")</f>
        <v/>
      </c>
      <c r="M984" s="2" t="str">
        <f>IFERROR(__xludf.DUMMYFUNCTION("""COMPUTED_VALUE"""),"")</f>
        <v/>
      </c>
      <c r="N984" s="2"/>
      <c r="O984" s="2" t="str">
        <f>IFERROR(__xludf.DUMMYFUNCTION("""COMPUTED_VALUE"""),"")</f>
        <v/>
      </c>
      <c r="P984" s="2" t="str">
        <f>IFERROR(__xludf.DUMMYFUNCTION("""COMPUTED_VALUE"""),"Phân bón ")</f>
        <v>Phân bón </v>
      </c>
      <c r="Q984" s="30" t="str">
        <f>IFERROR(__xludf.DUMMYFUNCTION("""COMPUTED_VALUE"""),"")</f>
        <v/>
      </c>
      <c r="R984" s="2"/>
      <c r="S984" s="2"/>
      <c r="T984" s="2"/>
      <c r="U984" s="2"/>
      <c r="V984" s="2"/>
      <c r="W984" s="2"/>
      <c r="X984" s="2"/>
      <c r="Y984" s="2"/>
    </row>
    <row r="985">
      <c r="A985" s="30">
        <f>IFERROR(__xludf.DUMMYFUNCTION("""COMPUTED_VALUE"""),982.0)</f>
        <v>982</v>
      </c>
      <c r="B985" s="39" t="str">
        <f>IFERROR(__xludf.DUMMYFUNCTION("""COMPUTED_VALUE"""),"")</f>
        <v/>
      </c>
      <c r="C985" s="30">
        <f>IFERROR(__xludf.DUMMYFUNCTION("""COMPUTED_VALUE"""),0.0)</f>
        <v>0</v>
      </c>
      <c r="D985" s="30"/>
      <c r="E985" s="46" t="str">
        <f>IFERROR(__xludf.DUMMYFUNCTION("""COMPUTED_VALUE"""),"")</f>
        <v/>
      </c>
      <c r="F985" s="2"/>
      <c r="G985" s="2" t="str">
        <f>IFERROR(__xludf.DUMMYFUNCTION("""COMPUTED_VALUE"""),"")</f>
        <v/>
      </c>
      <c r="H985" s="2" t="str">
        <f>IFERROR(__xludf.DUMMYFUNCTION("""COMPUTED_VALUE"""),"")</f>
        <v/>
      </c>
      <c r="I985" s="2" t="str">
        <f>IFERROR(__xludf.DUMMYFUNCTION("""COMPUTED_VALUE"""),"")</f>
        <v/>
      </c>
      <c r="J985" s="2" t="str">
        <f>IFERROR(__xludf.DUMMYFUNCTION("""COMPUTED_VALUE"""),"")</f>
        <v/>
      </c>
      <c r="K985" s="39" t="str">
        <f>IFERROR(__xludf.DUMMYFUNCTION("""COMPUTED_VALUE"""),"")</f>
        <v/>
      </c>
      <c r="L985" s="2" t="str">
        <f>IFERROR(__xludf.DUMMYFUNCTION("""COMPUTED_VALUE"""),"")</f>
        <v/>
      </c>
      <c r="M985" s="2" t="str">
        <f>IFERROR(__xludf.DUMMYFUNCTION("""COMPUTED_VALUE"""),"")</f>
        <v/>
      </c>
      <c r="N985" s="2"/>
      <c r="O985" s="2" t="str">
        <f>IFERROR(__xludf.DUMMYFUNCTION("""COMPUTED_VALUE"""),"")</f>
        <v/>
      </c>
      <c r="P985" s="2" t="str">
        <f>IFERROR(__xludf.DUMMYFUNCTION("""COMPUTED_VALUE"""),"Phân bón ")</f>
        <v>Phân bón </v>
      </c>
      <c r="Q985" s="30" t="str">
        <f>IFERROR(__xludf.DUMMYFUNCTION("""COMPUTED_VALUE"""),"")</f>
        <v/>
      </c>
      <c r="R985" s="2"/>
      <c r="S985" s="2"/>
      <c r="T985" s="2"/>
      <c r="U985" s="2"/>
      <c r="V985" s="2"/>
      <c r="W985" s="2"/>
      <c r="X985" s="2"/>
      <c r="Y985" s="2"/>
    </row>
    <row r="986">
      <c r="A986" s="30">
        <f>IFERROR(__xludf.DUMMYFUNCTION("""COMPUTED_VALUE"""),983.0)</f>
        <v>983</v>
      </c>
      <c r="B986" s="39" t="str">
        <f>IFERROR(__xludf.DUMMYFUNCTION("""COMPUTED_VALUE"""),"")</f>
        <v/>
      </c>
      <c r="C986" s="30">
        <f>IFERROR(__xludf.DUMMYFUNCTION("""COMPUTED_VALUE"""),0.0)</f>
        <v>0</v>
      </c>
      <c r="D986" s="30"/>
      <c r="E986" s="46" t="str">
        <f>IFERROR(__xludf.DUMMYFUNCTION("""COMPUTED_VALUE"""),"")</f>
        <v/>
      </c>
      <c r="F986" s="2"/>
      <c r="G986" s="2" t="str">
        <f>IFERROR(__xludf.DUMMYFUNCTION("""COMPUTED_VALUE"""),"")</f>
        <v/>
      </c>
      <c r="H986" s="2" t="str">
        <f>IFERROR(__xludf.DUMMYFUNCTION("""COMPUTED_VALUE"""),"")</f>
        <v/>
      </c>
      <c r="I986" s="2" t="str">
        <f>IFERROR(__xludf.DUMMYFUNCTION("""COMPUTED_VALUE"""),"")</f>
        <v/>
      </c>
      <c r="J986" s="2" t="str">
        <f>IFERROR(__xludf.DUMMYFUNCTION("""COMPUTED_VALUE"""),"")</f>
        <v/>
      </c>
      <c r="K986" s="39" t="str">
        <f>IFERROR(__xludf.DUMMYFUNCTION("""COMPUTED_VALUE"""),"")</f>
        <v/>
      </c>
      <c r="L986" s="2" t="str">
        <f>IFERROR(__xludf.DUMMYFUNCTION("""COMPUTED_VALUE"""),"")</f>
        <v/>
      </c>
      <c r="M986" s="2" t="str">
        <f>IFERROR(__xludf.DUMMYFUNCTION("""COMPUTED_VALUE"""),"")</f>
        <v/>
      </c>
      <c r="N986" s="2"/>
      <c r="O986" s="2" t="str">
        <f>IFERROR(__xludf.DUMMYFUNCTION("""COMPUTED_VALUE"""),"")</f>
        <v/>
      </c>
      <c r="P986" s="2" t="str">
        <f>IFERROR(__xludf.DUMMYFUNCTION("""COMPUTED_VALUE"""),"Phân bón ")</f>
        <v>Phân bón </v>
      </c>
      <c r="Q986" s="30" t="str">
        <f>IFERROR(__xludf.DUMMYFUNCTION("""COMPUTED_VALUE"""),"")</f>
        <v/>
      </c>
      <c r="R986" s="2"/>
      <c r="S986" s="2"/>
      <c r="T986" s="2"/>
      <c r="U986" s="2"/>
      <c r="V986" s="2"/>
      <c r="W986" s="2"/>
      <c r="X986" s="2"/>
      <c r="Y986" s="2"/>
    </row>
    <row r="987">
      <c r="A987" s="30">
        <f>IFERROR(__xludf.DUMMYFUNCTION("""COMPUTED_VALUE"""),984.0)</f>
        <v>984</v>
      </c>
      <c r="B987" s="39" t="str">
        <f>IFERROR(__xludf.DUMMYFUNCTION("""COMPUTED_VALUE"""),"")</f>
        <v/>
      </c>
      <c r="C987" s="30">
        <f>IFERROR(__xludf.DUMMYFUNCTION("""COMPUTED_VALUE"""),0.0)</f>
        <v>0</v>
      </c>
      <c r="D987" s="30"/>
      <c r="E987" s="46" t="str">
        <f>IFERROR(__xludf.DUMMYFUNCTION("""COMPUTED_VALUE"""),"")</f>
        <v/>
      </c>
      <c r="F987" s="2"/>
      <c r="G987" s="2" t="str">
        <f>IFERROR(__xludf.DUMMYFUNCTION("""COMPUTED_VALUE"""),"")</f>
        <v/>
      </c>
      <c r="H987" s="2" t="str">
        <f>IFERROR(__xludf.DUMMYFUNCTION("""COMPUTED_VALUE"""),"")</f>
        <v/>
      </c>
      <c r="I987" s="2" t="str">
        <f>IFERROR(__xludf.DUMMYFUNCTION("""COMPUTED_VALUE"""),"")</f>
        <v/>
      </c>
      <c r="J987" s="2" t="str">
        <f>IFERROR(__xludf.DUMMYFUNCTION("""COMPUTED_VALUE"""),"")</f>
        <v/>
      </c>
      <c r="K987" s="39" t="str">
        <f>IFERROR(__xludf.DUMMYFUNCTION("""COMPUTED_VALUE"""),"")</f>
        <v/>
      </c>
      <c r="L987" s="2" t="str">
        <f>IFERROR(__xludf.DUMMYFUNCTION("""COMPUTED_VALUE"""),"")</f>
        <v/>
      </c>
      <c r="M987" s="2" t="str">
        <f>IFERROR(__xludf.DUMMYFUNCTION("""COMPUTED_VALUE"""),"")</f>
        <v/>
      </c>
      <c r="N987" s="2"/>
      <c r="O987" s="2" t="str">
        <f>IFERROR(__xludf.DUMMYFUNCTION("""COMPUTED_VALUE"""),"")</f>
        <v/>
      </c>
      <c r="P987" s="2" t="str">
        <f>IFERROR(__xludf.DUMMYFUNCTION("""COMPUTED_VALUE"""),"Phân bón ")</f>
        <v>Phân bón </v>
      </c>
      <c r="Q987" s="30" t="str">
        <f>IFERROR(__xludf.DUMMYFUNCTION("""COMPUTED_VALUE"""),"")</f>
        <v/>
      </c>
      <c r="R987" s="2"/>
      <c r="S987" s="2"/>
      <c r="T987" s="2"/>
      <c r="U987" s="2"/>
      <c r="V987" s="2"/>
      <c r="W987" s="2"/>
      <c r="X987" s="2"/>
      <c r="Y987" s="2"/>
    </row>
    <row r="988">
      <c r="A988" s="30">
        <f>IFERROR(__xludf.DUMMYFUNCTION("""COMPUTED_VALUE"""),985.0)</f>
        <v>985</v>
      </c>
      <c r="B988" s="39" t="str">
        <f>IFERROR(__xludf.DUMMYFUNCTION("""COMPUTED_VALUE"""),"")</f>
        <v/>
      </c>
      <c r="C988" s="30">
        <f>IFERROR(__xludf.DUMMYFUNCTION("""COMPUTED_VALUE"""),0.0)</f>
        <v>0</v>
      </c>
      <c r="D988" s="30"/>
      <c r="E988" s="46" t="str">
        <f>IFERROR(__xludf.DUMMYFUNCTION("""COMPUTED_VALUE"""),"")</f>
        <v/>
      </c>
      <c r="F988" s="2"/>
      <c r="G988" s="2" t="str">
        <f>IFERROR(__xludf.DUMMYFUNCTION("""COMPUTED_VALUE"""),"")</f>
        <v/>
      </c>
      <c r="H988" s="2" t="str">
        <f>IFERROR(__xludf.DUMMYFUNCTION("""COMPUTED_VALUE"""),"")</f>
        <v/>
      </c>
      <c r="I988" s="2" t="str">
        <f>IFERROR(__xludf.DUMMYFUNCTION("""COMPUTED_VALUE"""),"")</f>
        <v/>
      </c>
      <c r="J988" s="2" t="str">
        <f>IFERROR(__xludf.DUMMYFUNCTION("""COMPUTED_VALUE"""),"")</f>
        <v/>
      </c>
      <c r="K988" s="39" t="str">
        <f>IFERROR(__xludf.DUMMYFUNCTION("""COMPUTED_VALUE"""),"")</f>
        <v/>
      </c>
      <c r="L988" s="2" t="str">
        <f>IFERROR(__xludf.DUMMYFUNCTION("""COMPUTED_VALUE"""),"")</f>
        <v/>
      </c>
      <c r="M988" s="2" t="str">
        <f>IFERROR(__xludf.DUMMYFUNCTION("""COMPUTED_VALUE"""),"")</f>
        <v/>
      </c>
      <c r="N988" s="2"/>
      <c r="O988" s="2" t="str">
        <f>IFERROR(__xludf.DUMMYFUNCTION("""COMPUTED_VALUE"""),"")</f>
        <v/>
      </c>
      <c r="P988" s="2" t="str">
        <f>IFERROR(__xludf.DUMMYFUNCTION("""COMPUTED_VALUE"""),"Phân bón ")</f>
        <v>Phân bón </v>
      </c>
      <c r="Q988" s="30" t="str">
        <f>IFERROR(__xludf.DUMMYFUNCTION("""COMPUTED_VALUE"""),"")</f>
        <v/>
      </c>
      <c r="R988" s="2"/>
      <c r="S988" s="2"/>
      <c r="T988" s="2"/>
      <c r="U988" s="2"/>
      <c r="V988" s="2"/>
      <c r="W988" s="2"/>
      <c r="X988" s="2"/>
      <c r="Y988" s="2"/>
    </row>
    <row r="989">
      <c r="A989" s="30">
        <f>IFERROR(__xludf.DUMMYFUNCTION("""COMPUTED_VALUE"""),986.0)</f>
        <v>986</v>
      </c>
      <c r="B989" s="39" t="str">
        <f>IFERROR(__xludf.DUMMYFUNCTION("""COMPUTED_VALUE"""),"")</f>
        <v/>
      </c>
      <c r="C989" s="30">
        <f>IFERROR(__xludf.DUMMYFUNCTION("""COMPUTED_VALUE"""),0.0)</f>
        <v>0</v>
      </c>
      <c r="D989" s="30"/>
      <c r="E989" s="46" t="str">
        <f>IFERROR(__xludf.DUMMYFUNCTION("""COMPUTED_VALUE"""),"")</f>
        <v/>
      </c>
      <c r="F989" s="2"/>
      <c r="G989" s="2" t="str">
        <f>IFERROR(__xludf.DUMMYFUNCTION("""COMPUTED_VALUE"""),"")</f>
        <v/>
      </c>
      <c r="H989" s="2" t="str">
        <f>IFERROR(__xludf.DUMMYFUNCTION("""COMPUTED_VALUE"""),"")</f>
        <v/>
      </c>
      <c r="I989" s="2" t="str">
        <f>IFERROR(__xludf.DUMMYFUNCTION("""COMPUTED_VALUE"""),"")</f>
        <v/>
      </c>
      <c r="J989" s="2" t="str">
        <f>IFERROR(__xludf.DUMMYFUNCTION("""COMPUTED_VALUE"""),"")</f>
        <v/>
      </c>
      <c r="K989" s="39" t="str">
        <f>IFERROR(__xludf.DUMMYFUNCTION("""COMPUTED_VALUE"""),"")</f>
        <v/>
      </c>
      <c r="L989" s="2" t="str">
        <f>IFERROR(__xludf.DUMMYFUNCTION("""COMPUTED_VALUE"""),"")</f>
        <v/>
      </c>
      <c r="M989" s="2" t="str">
        <f>IFERROR(__xludf.DUMMYFUNCTION("""COMPUTED_VALUE"""),"")</f>
        <v/>
      </c>
      <c r="N989" s="2"/>
      <c r="O989" s="2" t="str">
        <f>IFERROR(__xludf.DUMMYFUNCTION("""COMPUTED_VALUE"""),"")</f>
        <v/>
      </c>
      <c r="P989" s="2" t="str">
        <f>IFERROR(__xludf.DUMMYFUNCTION("""COMPUTED_VALUE"""),"Phân bón ")</f>
        <v>Phân bón </v>
      </c>
      <c r="Q989" s="30" t="str">
        <f>IFERROR(__xludf.DUMMYFUNCTION("""COMPUTED_VALUE"""),"")</f>
        <v/>
      </c>
      <c r="R989" s="2"/>
      <c r="S989" s="2"/>
      <c r="T989" s="2"/>
      <c r="U989" s="2"/>
      <c r="V989" s="2"/>
      <c r="W989" s="2"/>
      <c r="X989" s="2"/>
      <c r="Y989" s="2"/>
    </row>
    <row r="990">
      <c r="A990" s="30">
        <f>IFERROR(__xludf.DUMMYFUNCTION("""COMPUTED_VALUE"""),987.0)</f>
        <v>987</v>
      </c>
      <c r="B990" s="39" t="str">
        <f>IFERROR(__xludf.DUMMYFUNCTION("""COMPUTED_VALUE"""),"")</f>
        <v/>
      </c>
      <c r="C990" s="30">
        <f>IFERROR(__xludf.DUMMYFUNCTION("""COMPUTED_VALUE"""),0.0)</f>
        <v>0</v>
      </c>
      <c r="D990" s="30"/>
      <c r="E990" s="46" t="str">
        <f>IFERROR(__xludf.DUMMYFUNCTION("""COMPUTED_VALUE"""),"")</f>
        <v/>
      </c>
      <c r="F990" s="2"/>
      <c r="G990" s="2" t="str">
        <f>IFERROR(__xludf.DUMMYFUNCTION("""COMPUTED_VALUE"""),"")</f>
        <v/>
      </c>
      <c r="H990" s="2" t="str">
        <f>IFERROR(__xludf.DUMMYFUNCTION("""COMPUTED_VALUE"""),"")</f>
        <v/>
      </c>
      <c r="I990" s="2" t="str">
        <f>IFERROR(__xludf.DUMMYFUNCTION("""COMPUTED_VALUE"""),"")</f>
        <v/>
      </c>
      <c r="J990" s="2" t="str">
        <f>IFERROR(__xludf.DUMMYFUNCTION("""COMPUTED_VALUE"""),"")</f>
        <v/>
      </c>
      <c r="K990" s="39" t="str">
        <f>IFERROR(__xludf.DUMMYFUNCTION("""COMPUTED_VALUE"""),"")</f>
        <v/>
      </c>
      <c r="L990" s="2" t="str">
        <f>IFERROR(__xludf.DUMMYFUNCTION("""COMPUTED_VALUE"""),"")</f>
        <v/>
      </c>
      <c r="M990" s="2" t="str">
        <f>IFERROR(__xludf.DUMMYFUNCTION("""COMPUTED_VALUE"""),"")</f>
        <v/>
      </c>
      <c r="N990" s="2"/>
      <c r="O990" s="2" t="str">
        <f>IFERROR(__xludf.DUMMYFUNCTION("""COMPUTED_VALUE"""),"")</f>
        <v/>
      </c>
      <c r="P990" s="2" t="str">
        <f>IFERROR(__xludf.DUMMYFUNCTION("""COMPUTED_VALUE"""),"Phân bón ")</f>
        <v>Phân bón </v>
      </c>
      <c r="Q990" s="30" t="str">
        <f>IFERROR(__xludf.DUMMYFUNCTION("""COMPUTED_VALUE"""),"")</f>
        <v/>
      </c>
      <c r="R990" s="2"/>
      <c r="S990" s="2"/>
      <c r="T990" s="2"/>
      <c r="U990" s="2"/>
      <c r="V990" s="2"/>
      <c r="W990" s="2"/>
      <c r="X990" s="2"/>
      <c r="Y990" s="2"/>
    </row>
    <row r="991">
      <c r="A991" s="30">
        <f>IFERROR(__xludf.DUMMYFUNCTION("""COMPUTED_VALUE"""),988.0)</f>
        <v>988</v>
      </c>
      <c r="B991" s="39" t="str">
        <f>IFERROR(__xludf.DUMMYFUNCTION("""COMPUTED_VALUE"""),"")</f>
        <v/>
      </c>
      <c r="C991" s="30">
        <f>IFERROR(__xludf.DUMMYFUNCTION("""COMPUTED_VALUE"""),0.0)</f>
        <v>0</v>
      </c>
      <c r="D991" s="30"/>
      <c r="E991" s="46" t="str">
        <f>IFERROR(__xludf.DUMMYFUNCTION("""COMPUTED_VALUE"""),"")</f>
        <v/>
      </c>
      <c r="F991" s="2"/>
      <c r="G991" s="2" t="str">
        <f>IFERROR(__xludf.DUMMYFUNCTION("""COMPUTED_VALUE"""),"")</f>
        <v/>
      </c>
      <c r="H991" s="2" t="str">
        <f>IFERROR(__xludf.DUMMYFUNCTION("""COMPUTED_VALUE"""),"")</f>
        <v/>
      </c>
      <c r="I991" s="2" t="str">
        <f>IFERROR(__xludf.DUMMYFUNCTION("""COMPUTED_VALUE"""),"")</f>
        <v/>
      </c>
      <c r="J991" s="2" t="str">
        <f>IFERROR(__xludf.DUMMYFUNCTION("""COMPUTED_VALUE"""),"")</f>
        <v/>
      </c>
      <c r="K991" s="39" t="str">
        <f>IFERROR(__xludf.DUMMYFUNCTION("""COMPUTED_VALUE"""),"")</f>
        <v/>
      </c>
      <c r="L991" s="2" t="str">
        <f>IFERROR(__xludf.DUMMYFUNCTION("""COMPUTED_VALUE"""),"")</f>
        <v/>
      </c>
      <c r="M991" s="2" t="str">
        <f>IFERROR(__xludf.DUMMYFUNCTION("""COMPUTED_VALUE"""),"")</f>
        <v/>
      </c>
      <c r="N991" s="2"/>
      <c r="O991" s="2" t="str">
        <f>IFERROR(__xludf.DUMMYFUNCTION("""COMPUTED_VALUE"""),"")</f>
        <v/>
      </c>
      <c r="P991" s="2" t="str">
        <f>IFERROR(__xludf.DUMMYFUNCTION("""COMPUTED_VALUE"""),"Phân bón ")</f>
        <v>Phân bón </v>
      </c>
      <c r="Q991" s="30" t="str">
        <f>IFERROR(__xludf.DUMMYFUNCTION("""COMPUTED_VALUE"""),"")</f>
        <v/>
      </c>
      <c r="R991" s="2"/>
      <c r="S991" s="2"/>
      <c r="T991" s="2"/>
      <c r="U991" s="2"/>
      <c r="V991" s="2"/>
      <c r="W991" s="2"/>
      <c r="X991" s="2"/>
      <c r="Y991" s="2"/>
    </row>
    <row r="992">
      <c r="A992" s="30"/>
      <c r="B992" s="2"/>
      <c r="C992" s="30"/>
      <c r="D992" s="30"/>
      <c r="E992" s="30"/>
      <c r="F992" s="2"/>
      <c r="G992" s="2"/>
      <c r="H992" s="2"/>
      <c r="I992" s="2"/>
      <c r="J992" s="2"/>
      <c r="K992" s="2"/>
      <c r="L992" s="2"/>
      <c r="M992" s="2"/>
      <c r="N992" s="2"/>
      <c r="O992" s="2"/>
      <c r="P992" s="2"/>
      <c r="Q992" s="30"/>
      <c r="R992" s="2"/>
      <c r="S992" s="2"/>
      <c r="T992" s="2"/>
      <c r="U992" s="2"/>
      <c r="V992" s="2"/>
      <c r="W992" s="2"/>
      <c r="X992" s="2"/>
      <c r="Y992" s="2"/>
    </row>
    <row r="993">
      <c r="A993" s="30"/>
      <c r="B993" s="2"/>
      <c r="C993" s="30"/>
      <c r="D993" s="30"/>
      <c r="E993" s="30"/>
      <c r="F993" s="2"/>
      <c r="G993" s="2"/>
      <c r="H993" s="2"/>
      <c r="I993" s="2"/>
      <c r="J993" s="2"/>
      <c r="K993" s="2"/>
      <c r="L993" s="2"/>
      <c r="M993" s="2"/>
      <c r="N993" s="2"/>
      <c r="O993" s="2"/>
      <c r="P993" s="2"/>
      <c r="Q993" s="30"/>
      <c r="R993" s="2"/>
      <c r="S993" s="2"/>
      <c r="T993" s="2"/>
      <c r="U993" s="2"/>
      <c r="V993" s="2"/>
      <c r="W993" s="2"/>
      <c r="X993" s="2"/>
      <c r="Y993" s="2"/>
    </row>
    <row r="994">
      <c r="A994" s="30"/>
      <c r="B994" s="2"/>
      <c r="C994" s="30"/>
      <c r="D994" s="30"/>
      <c r="E994" s="30"/>
      <c r="F994" s="2"/>
      <c r="G994" s="2"/>
      <c r="H994" s="2"/>
      <c r="I994" s="2"/>
      <c r="J994" s="2"/>
      <c r="K994" s="2"/>
      <c r="L994" s="2"/>
      <c r="M994" s="2"/>
      <c r="N994" s="2"/>
      <c r="O994" s="2"/>
      <c r="P994" s="2"/>
      <c r="Q994" s="30"/>
      <c r="R994" s="2"/>
      <c r="S994" s="2"/>
      <c r="T994" s="2"/>
      <c r="U994" s="2"/>
      <c r="V994" s="2"/>
      <c r="W994" s="2"/>
      <c r="X994" s="2"/>
      <c r="Y994" s="2"/>
    </row>
    <row r="995">
      <c r="A995" s="30"/>
      <c r="B995" s="2"/>
      <c r="C995" s="30"/>
      <c r="D995" s="30"/>
      <c r="E995" s="30"/>
      <c r="F995" s="2"/>
      <c r="G995" s="2"/>
      <c r="H995" s="2"/>
      <c r="I995" s="2"/>
      <c r="J995" s="2"/>
      <c r="K995" s="2"/>
      <c r="L995" s="2"/>
      <c r="M995" s="2"/>
      <c r="N995" s="2"/>
      <c r="O995" s="2"/>
      <c r="P995" s="2"/>
      <c r="Q995" s="30"/>
      <c r="R995" s="2"/>
      <c r="S995" s="2"/>
      <c r="T995" s="2"/>
      <c r="U995" s="2"/>
      <c r="V995" s="2"/>
      <c r="W995" s="2"/>
      <c r="X995" s="2"/>
      <c r="Y995" s="2"/>
    </row>
    <row r="996">
      <c r="A996" s="30"/>
      <c r="B996" s="2"/>
      <c r="C996" s="30"/>
      <c r="D996" s="30"/>
      <c r="E996" s="30"/>
      <c r="F996" s="2"/>
      <c r="G996" s="2"/>
      <c r="H996" s="2"/>
      <c r="I996" s="2"/>
      <c r="J996" s="2"/>
      <c r="K996" s="2"/>
      <c r="L996" s="2"/>
      <c r="M996" s="2"/>
      <c r="N996" s="2"/>
      <c r="O996" s="2"/>
      <c r="P996" s="2"/>
      <c r="Q996" s="30"/>
      <c r="R996" s="2"/>
      <c r="S996" s="2"/>
      <c r="T996" s="2"/>
      <c r="U996" s="2"/>
      <c r="V996" s="2"/>
      <c r="W996" s="2"/>
      <c r="X996" s="2"/>
      <c r="Y996" s="2"/>
    </row>
    <row r="997">
      <c r="A997" s="30"/>
      <c r="B997" s="2"/>
      <c r="C997" s="30"/>
      <c r="D997" s="30"/>
      <c r="E997" s="30"/>
      <c r="F997" s="2"/>
      <c r="G997" s="2"/>
      <c r="H997" s="2"/>
      <c r="I997" s="2"/>
      <c r="J997" s="2"/>
      <c r="K997" s="2"/>
      <c r="L997" s="2"/>
      <c r="M997" s="2"/>
      <c r="N997" s="2"/>
      <c r="O997" s="2"/>
      <c r="P997" s="2"/>
      <c r="Q997" s="30"/>
      <c r="R997" s="2"/>
      <c r="S997" s="2"/>
      <c r="T997" s="2"/>
      <c r="U997" s="2"/>
      <c r="V997" s="2"/>
      <c r="W997" s="2"/>
      <c r="X997" s="2"/>
      <c r="Y997" s="2"/>
    </row>
    <row r="998">
      <c r="A998" s="30"/>
      <c r="B998" s="2"/>
      <c r="C998" s="30"/>
      <c r="D998" s="30"/>
      <c r="E998" s="30"/>
      <c r="F998" s="2"/>
      <c r="G998" s="2"/>
      <c r="H998" s="2"/>
      <c r="I998" s="2"/>
      <c r="J998" s="2"/>
      <c r="K998" s="2"/>
      <c r="L998" s="2"/>
      <c r="M998" s="2"/>
      <c r="N998" s="2"/>
      <c r="O998" s="2"/>
      <c r="P998" s="2"/>
      <c r="Q998" s="30"/>
      <c r="R998" s="2"/>
      <c r="S998" s="2"/>
      <c r="T998" s="2"/>
      <c r="U998" s="2"/>
      <c r="V998" s="2"/>
      <c r="W998" s="2"/>
      <c r="X998" s="2"/>
      <c r="Y998" s="2"/>
    </row>
    <row r="999">
      <c r="A999" s="30"/>
      <c r="B999" s="2"/>
      <c r="C999" s="30"/>
      <c r="D999" s="30"/>
      <c r="E999" s="30"/>
      <c r="F999" s="2"/>
      <c r="G999" s="2"/>
      <c r="H999" s="2"/>
      <c r="I999" s="2"/>
      <c r="J999" s="2"/>
      <c r="K999" s="2"/>
      <c r="L999" s="2"/>
      <c r="M999" s="2"/>
      <c r="N999" s="2"/>
      <c r="O999" s="2"/>
      <c r="P999" s="2"/>
      <c r="Q999" s="30"/>
      <c r="R999" s="2"/>
      <c r="S999" s="2"/>
      <c r="T999" s="2"/>
      <c r="U999" s="2"/>
      <c r="V999" s="2"/>
      <c r="W999" s="2"/>
      <c r="X999" s="2"/>
      <c r="Y999" s="2"/>
    </row>
    <row r="1000">
      <c r="A1000" s="30"/>
      <c r="B1000" s="2"/>
      <c r="C1000" s="30"/>
      <c r="D1000" s="30"/>
      <c r="E1000" s="30"/>
      <c r="F1000" s="2"/>
      <c r="G1000" s="2"/>
      <c r="H1000" s="2"/>
      <c r="I1000" s="2"/>
      <c r="J1000" s="2"/>
      <c r="K1000" s="2"/>
      <c r="L1000" s="2"/>
      <c r="M1000" s="2"/>
      <c r="N1000" s="2"/>
      <c r="O1000" s="2"/>
      <c r="P1000" s="2"/>
      <c r="Q1000" s="30"/>
      <c r="R1000" s="2"/>
      <c r="S1000" s="2"/>
      <c r="T1000" s="2"/>
      <c r="U1000" s="2"/>
      <c r="V1000" s="2"/>
      <c r="W1000" s="2"/>
      <c r="X1000" s="2"/>
      <c r="Y1000" s="2"/>
    </row>
  </sheetData>
  <autoFilter ref="$A$3:$Y$994"/>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75"/>
  <cols>
    <col customWidth="1" min="1" max="1" width="6.38"/>
    <col customWidth="1" min="2" max="2" width="11.88"/>
    <col customWidth="1" min="3" max="3" width="13.63"/>
    <col customWidth="1" min="4" max="4" width="10.25"/>
    <col customWidth="1" min="5" max="5" width="9.5"/>
    <col customWidth="1" min="6" max="6" width="12.0"/>
    <col customWidth="1" min="7" max="7" width="10.38"/>
    <col customWidth="1" min="8" max="8" width="28.5"/>
    <col hidden="1" min="9" max="9" width="12.63"/>
    <col customWidth="1" min="10" max="10" width="22.38"/>
    <col customWidth="1" min="11" max="11" width="14.0"/>
    <col customWidth="1" min="13" max="13" width="8.75"/>
    <col customWidth="1" min="14" max="15" width="7.0"/>
    <col customWidth="1" min="16" max="16" width="10.75"/>
    <col customWidth="1" min="17" max="17" width="13.63"/>
    <col customWidth="1" min="18" max="18" width="23.0"/>
    <col customWidth="1" min="19" max="19" width="14.5"/>
    <col customWidth="1" min="20" max="20" width="17.75"/>
    <col customWidth="1" min="21" max="23" width="14.88"/>
  </cols>
  <sheetData>
    <row r="1">
      <c r="A1" s="47"/>
      <c r="B1" s="48"/>
      <c r="C1" s="49"/>
      <c r="D1" s="47"/>
      <c r="E1" s="47"/>
      <c r="F1" s="50"/>
      <c r="G1" s="51"/>
      <c r="H1" s="47"/>
      <c r="I1" s="47"/>
      <c r="J1" s="47"/>
      <c r="K1" s="47"/>
      <c r="L1" s="47"/>
      <c r="M1" s="47"/>
      <c r="N1" s="50"/>
      <c r="O1" s="50"/>
      <c r="P1" s="50"/>
      <c r="Q1" s="52"/>
      <c r="R1" s="53"/>
      <c r="S1" s="54"/>
      <c r="T1" s="50"/>
      <c r="U1" s="47"/>
      <c r="V1" s="47"/>
      <c r="W1" s="55"/>
    </row>
    <row r="2">
      <c r="A2" s="56" t="s">
        <v>3</v>
      </c>
      <c r="B2" s="56" t="s">
        <v>48</v>
      </c>
      <c r="C2" s="56" t="s">
        <v>49</v>
      </c>
      <c r="D2" s="57" t="s">
        <v>50</v>
      </c>
      <c r="E2" s="56" t="s">
        <v>51</v>
      </c>
      <c r="F2" s="56" t="s">
        <v>52</v>
      </c>
      <c r="G2" s="56" t="s">
        <v>53</v>
      </c>
      <c r="H2" s="56" t="s">
        <v>54</v>
      </c>
      <c r="I2" s="56" t="s">
        <v>55</v>
      </c>
      <c r="J2" s="56" t="s">
        <v>56</v>
      </c>
      <c r="K2" s="56" t="s">
        <v>57</v>
      </c>
      <c r="L2" s="56" t="s">
        <v>58</v>
      </c>
      <c r="M2" s="56" t="s">
        <v>59</v>
      </c>
      <c r="N2" s="58" t="s">
        <v>60</v>
      </c>
      <c r="O2" s="59" t="s">
        <v>61</v>
      </c>
      <c r="P2" s="58" t="s">
        <v>62</v>
      </c>
      <c r="Q2" s="58" t="s">
        <v>63</v>
      </c>
      <c r="R2" s="60" t="s">
        <v>64</v>
      </c>
      <c r="S2" s="61" t="s">
        <v>65</v>
      </c>
      <c r="T2" s="62" t="s">
        <v>9</v>
      </c>
      <c r="U2" s="62" t="s">
        <v>66</v>
      </c>
      <c r="V2" s="62" t="s">
        <v>67</v>
      </c>
      <c r="W2" s="63" t="s">
        <v>68</v>
      </c>
    </row>
    <row r="3" hidden="1">
      <c r="A3" s="64">
        <f t="shared" ref="A3:A659" si="1">COUNTIF($S$3:S3,S3)</f>
        <v>1</v>
      </c>
      <c r="B3" s="65" t="s">
        <v>69</v>
      </c>
      <c r="C3" s="66" t="s">
        <v>70</v>
      </c>
      <c r="D3" s="67">
        <v>46028.0</v>
      </c>
      <c r="E3" s="15" t="s">
        <v>71</v>
      </c>
      <c r="F3" s="68" t="s">
        <v>72</v>
      </c>
      <c r="G3" s="69" t="s">
        <v>73</v>
      </c>
      <c r="H3" s="15" t="s">
        <v>74</v>
      </c>
      <c r="I3" s="15" t="s">
        <v>75</v>
      </c>
      <c r="J3" s="15" t="s">
        <v>76</v>
      </c>
      <c r="K3" s="15" t="s">
        <v>77</v>
      </c>
      <c r="L3" s="15" t="s">
        <v>78</v>
      </c>
      <c r="M3" s="15" t="s">
        <v>79</v>
      </c>
      <c r="N3" s="68">
        <v>100.0</v>
      </c>
      <c r="O3" s="68">
        <v>10.0</v>
      </c>
      <c r="P3" s="70">
        <v>1000.0</v>
      </c>
      <c r="Q3" s="71">
        <v>46039.0</v>
      </c>
      <c r="R3" s="72" t="s">
        <v>80</v>
      </c>
      <c r="S3" s="73">
        <v>46028.0</v>
      </c>
      <c r="T3" s="68" t="s">
        <v>81</v>
      </c>
      <c r="U3" s="74" t="str">
        <f t="array" ref="U3">IFERROR(index('3. Công thức lab theo từng mã h'!J:J,MATCH(C3,'3. Công thức lab theo từng mã h'!L:L,0)),"")</f>
        <v/>
      </c>
      <c r="V3" s="74"/>
      <c r="W3" s="75"/>
    </row>
    <row r="4" hidden="1">
      <c r="A4" s="76">
        <f t="shared" si="1"/>
        <v>2</v>
      </c>
      <c r="B4" s="77" t="s">
        <v>69</v>
      </c>
      <c r="C4" s="78" t="s">
        <v>82</v>
      </c>
      <c r="D4" s="79">
        <v>46028.0</v>
      </c>
      <c r="E4" s="80" t="s">
        <v>71</v>
      </c>
      <c r="F4" s="81" t="s">
        <v>72</v>
      </c>
      <c r="G4" s="82" t="s">
        <v>83</v>
      </c>
      <c r="H4" s="80" t="s">
        <v>84</v>
      </c>
      <c r="I4" s="80" t="s">
        <v>75</v>
      </c>
      <c r="J4" s="80" t="s">
        <v>76</v>
      </c>
      <c r="K4" s="80" t="s">
        <v>77</v>
      </c>
      <c r="L4" s="80" t="s">
        <v>78</v>
      </c>
      <c r="M4" s="80" t="s">
        <v>79</v>
      </c>
      <c r="N4" s="81">
        <v>40.0</v>
      </c>
      <c r="O4" s="81">
        <v>10.0</v>
      </c>
      <c r="P4" s="81">
        <v>400.0</v>
      </c>
      <c r="Q4" s="71">
        <v>46039.0</v>
      </c>
      <c r="R4" s="83" t="s">
        <v>80</v>
      </c>
      <c r="S4" s="84">
        <v>46028.0</v>
      </c>
      <c r="T4" s="81" t="s">
        <v>81</v>
      </c>
      <c r="U4" s="85" t="str">
        <f t="array" ref="U4">IFERROR(index('3. Công thức lab theo từng mã h'!J:J,MATCH(C4,'3. Công thức lab theo từng mã h'!L:L,0)),"")</f>
        <v/>
      </c>
      <c r="V4" s="85"/>
      <c r="W4" s="75"/>
    </row>
    <row r="5" hidden="1">
      <c r="A5" s="64">
        <f t="shared" si="1"/>
        <v>1</v>
      </c>
      <c r="B5" s="65" t="s">
        <v>69</v>
      </c>
      <c r="C5" s="66" t="s">
        <v>85</v>
      </c>
      <c r="D5" s="67">
        <v>46030.0</v>
      </c>
      <c r="E5" s="15" t="s">
        <v>71</v>
      </c>
      <c r="F5" s="68" t="s">
        <v>72</v>
      </c>
      <c r="G5" s="69" t="s">
        <v>86</v>
      </c>
      <c r="H5" s="15" t="s">
        <v>87</v>
      </c>
      <c r="I5" s="15" t="s">
        <v>75</v>
      </c>
      <c r="J5" s="15" t="s">
        <v>88</v>
      </c>
      <c r="K5" s="15" t="s">
        <v>89</v>
      </c>
      <c r="L5" s="15" t="s">
        <v>90</v>
      </c>
      <c r="M5" s="15" t="s">
        <v>79</v>
      </c>
      <c r="N5" s="68">
        <v>40.0</v>
      </c>
      <c r="O5" s="68">
        <v>20.0</v>
      </c>
      <c r="P5" s="68">
        <v>800.0</v>
      </c>
      <c r="Q5" s="71">
        <v>46039.0</v>
      </c>
      <c r="R5" s="72" t="s">
        <v>91</v>
      </c>
      <c r="S5" s="73">
        <v>46030.0</v>
      </c>
      <c r="T5" s="68" t="s">
        <v>81</v>
      </c>
      <c r="U5" s="74" t="str">
        <f t="array" ref="U5">IFERROR(index('3. Công thức lab theo từng mã h'!J:J,MATCH(C5,'3. Công thức lab theo từng mã h'!L:L,0)),"")</f>
        <v/>
      </c>
      <c r="V5" s="74"/>
      <c r="W5" s="75"/>
    </row>
    <row r="6" hidden="1">
      <c r="A6" s="76">
        <f t="shared" si="1"/>
        <v>2</v>
      </c>
      <c r="B6" s="77" t="s">
        <v>69</v>
      </c>
      <c r="C6" s="78" t="s">
        <v>92</v>
      </c>
      <c r="D6" s="79">
        <v>46030.0</v>
      </c>
      <c r="E6" s="86"/>
      <c r="F6" s="81" t="s">
        <v>93</v>
      </c>
      <c r="G6" s="82" t="s">
        <v>94</v>
      </c>
      <c r="H6" s="80" t="s">
        <v>95</v>
      </c>
      <c r="I6" s="80" t="s">
        <v>75</v>
      </c>
      <c r="J6" s="80" t="s">
        <v>96</v>
      </c>
      <c r="K6" s="80" t="s">
        <v>97</v>
      </c>
      <c r="L6" s="80" t="s">
        <v>98</v>
      </c>
      <c r="M6" s="80" t="s">
        <v>79</v>
      </c>
      <c r="N6" s="81">
        <v>40.0</v>
      </c>
      <c r="O6" s="81">
        <v>10.0</v>
      </c>
      <c r="P6" s="81">
        <v>400.0</v>
      </c>
      <c r="Q6" s="71">
        <v>46037.0</v>
      </c>
      <c r="R6" s="83" t="s">
        <v>99</v>
      </c>
      <c r="S6" s="84">
        <v>46030.0</v>
      </c>
      <c r="T6" s="81" t="s">
        <v>81</v>
      </c>
      <c r="U6" s="85" t="str">
        <f t="array" ref="U6">IFERROR(index('3. Công thức lab theo từng mã h'!J:J,MATCH(C6,'3. Công thức lab theo từng mã h'!L:L,0)),"")</f>
        <v/>
      </c>
      <c r="V6" s="85"/>
      <c r="W6" s="75"/>
    </row>
    <row r="7" hidden="1">
      <c r="A7" s="64">
        <f t="shared" si="1"/>
        <v>3</v>
      </c>
      <c r="B7" s="65" t="s">
        <v>69</v>
      </c>
      <c r="C7" s="66" t="s">
        <v>100</v>
      </c>
      <c r="D7" s="67">
        <v>46030.0</v>
      </c>
      <c r="E7" s="16"/>
      <c r="F7" s="68" t="s">
        <v>93</v>
      </c>
      <c r="G7" s="69" t="s">
        <v>101</v>
      </c>
      <c r="H7" s="15" t="s">
        <v>102</v>
      </c>
      <c r="I7" s="15" t="s">
        <v>75</v>
      </c>
      <c r="J7" s="15" t="s">
        <v>103</v>
      </c>
      <c r="K7" s="15" t="s">
        <v>104</v>
      </c>
      <c r="L7" s="15" t="s">
        <v>105</v>
      </c>
      <c r="M7" s="15" t="s">
        <v>79</v>
      </c>
      <c r="N7" s="68">
        <v>40.0</v>
      </c>
      <c r="O7" s="68">
        <v>25.0</v>
      </c>
      <c r="P7" s="70">
        <v>1000.0</v>
      </c>
      <c r="Q7" s="71">
        <v>46050.0</v>
      </c>
      <c r="R7" s="72" t="s">
        <v>106</v>
      </c>
      <c r="S7" s="73">
        <v>46030.0</v>
      </c>
      <c r="T7" s="68" t="s">
        <v>81</v>
      </c>
      <c r="U7" s="74" t="str">
        <f t="array" ref="U7">IFERROR(index('3. Công thức lab theo từng mã h'!J:J,MATCH(C7,'3. Công thức lab theo từng mã h'!L:L,0)),"")</f>
        <v/>
      </c>
      <c r="V7" s="74"/>
      <c r="W7" s="75"/>
    </row>
    <row r="8" hidden="1">
      <c r="A8" s="76">
        <f t="shared" si="1"/>
        <v>1</v>
      </c>
      <c r="B8" s="77" t="s">
        <v>69</v>
      </c>
      <c r="C8" s="78" t="s">
        <v>107</v>
      </c>
      <c r="D8" s="79">
        <v>46031.0</v>
      </c>
      <c r="E8" s="86"/>
      <c r="F8" s="81" t="s">
        <v>108</v>
      </c>
      <c r="G8" s="82" t="s">
        <v>109</v>
      </c>
      <c r="H8" s="80" t="s">
        <v>110</v>
      </c>
      <c r="I8" s="86"/>
      <c r="J8" s="80" t="s">
        <v>111</v>
      </c>
      <c r="K8" s="80" t="s">
        <v>112</v>
      </c>
      <c r="L8" s="80" t="s">
        <v>113</v>
      </c>
      <c r="M8" s="80" t="s">
        <v>114</v>
      </c>
      <c r="N8" s="81">
        <v>40.0</v>
      </c>
      <c r="O8" s="81">
        <v>75.0</v>
      </c>
      <c r="P8" s="87">
        <v>3000.0</v>
      </c>
      <c r="Q8" s="71">
        <v>46042.0</v>
      </c>
      <c r="R8" s="83" t="s">
        <v>115</v>
      </c>
      <c r="S8" s="84">
        <v>46031.0</v>
      </c>
      <c r="T8" s="81" t="s">
        <v>81</v>
      </c>
      <c r="U8" s="85" t="str">
        <f t="array" ref="U8">IFERROR(index('3. Công thức lab theo từng mã h'!J:J,MATCH(C8,'3. Công thức lab theo từng mã h'!L:L,0)),"")</f>
        <v/>
      </c>
      <c r="V8" s="85"/>
      <c r="W8" s="75"/>
    </row>
    <row r="9" hidden="1">
      <c r="A9" s="64">
        <f t="shared" si="1"/>
        <v>2</v>
      </c>
      <c r="B9" s="65" t="s">
        <v>69</v>
      </c>
      <c r="C9" s="66" t="s">
        <v>116</v>
      </c>
      <c r="D9" s="67">
        <v>46031.0</v>
      </c>
      <c r="E9" s="16"/>
      <c r="F9" s="68" t="s">
        <v>108</v>
      </c>
      <c r="G9" s="69" t="s">
        <v>117</v>
      </c>
      <c r="H9" s="15" t="s">
        <v>118</v>
      </c>
      <c r="I9" s="16"/>
      <c r="J9" s="15" t="s">
        <v>111</v>
      </c>
      <c r="K9" s="15" t="s">
        <v>112</v>
      </c>
      <c r="L9" s="15" t="s">
        <v>113</v>
      </c>
      <c r="M9" s="15" t="s">
        <v>114</v>
      </c>
      <c r="N9" s="68">
        <v>40.0</v>
      </c>
      <c r="O9" s="68">
        <v>50.0</v>
      </c>
      <c r="P9" s="70">
        <v>2000.0</v>
      </c>
      <c r="Q9" s="71">
        <v>46042.0</v>
      </c>
      <c r="R9" s="72" t="s">
        <v>119</v>
      </c>
      <c r="S9" s="73">
        <v>46031.0</v>
      </c>
      <c r="T9" s="68" t="s">
        <v>81</v>
      </c>
      <c r="U9" s="74" t="str">
        <f t="array" ref="U9">IFERROR(index('3. Công thức lab theo từng mã h'!J:J,MATCH(C9,'3. Công thức lab theo từng mã h'!L:L,0)),"")</f>
        <v/>
      </c>
      <c r="V9" s="74"/>
      <c r="W9" s="75"/>
    </row>
    <row r="10" hidden="1">
      <c r="A10" s="76">
        <f t="shared" si="1"/>
        <v>0</v>
      </c>
      <c r="B10" s="88" t="s">
        <v>69</v>
      </c>
      <c r="C10" s="76" t="s">
        <v>120</v>
      </c>
      <c r="D10" s="89">
        <v>46128.0</v>
      </c>
      <c r="E10" s="86" t="s">
        <v>71</v>
      </c>
      <c r="F10" s="90" t="s">
        <v>72</v>
      </c>
      <c r="G10" s="91" t="s">
        <v>121</v>
      </c>
      <c r="H10" s="86" t="s">
        <v>122</v>
      </c>
      <c r="I10" s="86" t="s">
        <v>75</v>
      </c>
      <c r="J10" s="92" t="s">
        <v>123</v>
      </c>
      <c r="K10" s="86" t="s">
        <v>124</v>
      </c>
      <c r="L10" s="86" t="s">
        <v>125</v>
      </c>
      <c r="M10" s="86" t="s">
        <v>79</v>
      </c>
      <c r="N10" s="93">
        <v>40.0</v>
      </c>
      <c r="O10" s="93">
        <v>10.0</v>
      </c>
      <c r="P10" s="93">
        <v>400.0</v>
      </c>
      <c r="Q10" s="94">
        <v>46137.0</v>
      </c>
      <c r="R10" s="95"/>
      <c r="S10" s="96"/>
      <c r="T10" s="97"/>
      <c r="U10" s="85" t="str">
        <f t="array" ref="U10">IFERROR(index('3. Công thức lab theo từng mã h'!J:J,MATCH(C10,'3. Công thức lab theo từng mã h'!L:L,0)),"")</f>
        <v/>
      </c>
      <c r="V10" s="85"/>
      <c r="W10" s="75"/>
    </row>
    <row r="11">
      <c r="A11" s="64">
        <f t="shared" si="1"/>
        <v>0</v>
      </c>
      <c r="B11" s="98" t="s">
        <v>69</v>
      </c>
      <c r="C11" s="64" t="s">
        <v>126</v>
      </c>
      <c r="D11" s="99">
        <v>46147.0</v>
      </c>
      <c r="E11" s="16" t="s">
        <v>71</v>
      </c>
      <c r="F11" s="100" t="s">
        <v>72</v>
      </c>
      <c r="G11" s="101" t="s">
        <v>127</v>
      </c>
      <c r="H11" s="16" t="s">
        <v>128</v>
      </c>
      <c r="I11" s="16" t="s">
        <v>75</v>
      </c>
      <c r="J11" s="102" t="s">
        <v>129</v>
      </c>
      <c r="K11" s="16" t="s">
        <v>130</v>
      </c>
      <c r="L11" s="16" t="s">
        <v>131</v>
      </c>
      <c r="M11" s="16" t="s">
        <v>132</v>
      </c>
      <c r="N11" s="103">
        <v>300.0</v>
      </c>
      <c r="O11" s="103">
        <v>15.0</v>
      </c>
      <c r="P11" s="103">
        <v>4500.0</v>
      </c>
      <c r="Q11" s="94">
        <v>46158.0</v>
      </c>
      <c r="R11" s="72" t="s">
        <v>133</v>
      </c>
      <c r="S11" s="104"/>
      <c r="T11" s="68" t="s">
        <v>134</v>
      </c>
      <c r="U11" s="16" t="s">
        <v>133</v>
      </c>
      <c r="V11" s="105">
        <v>46147.0</v>
      </c>
      <c r="W11" s="75"/>
    </row>
    <row r="12">
      <c r="A12" s="76">
        <f t="shared" si="1"/>
        <v>0</v>
      </c>
      <c r="B12" s="88"/>
      <c r="C12" s="76"/>
      <c r="D12" s="86"/>
      <c r="E12" s="86"/>
      <c r="F12" s="90"/>
      <c r="G12" s="91"/>
      <c r="H12" s="86"/>
      <c r="I12" s="86"/>
      <c r="J12" s="86"/>
      <c r="K12" s="86"/>
      <c r="L12" s="86"/>
      <c r="M12" s="86"/>
      <c r="N12" s="90"/>
      <c r="O12" s="90"/>
      <c r="P12" s="90"/>
      <c r="Q12" s="106"/>
      <c r="R12" s="95"/>
      <c r="S12" s="96"/>
      <c r="T12" s="97"/>
      <c r="U12" s="85" t="str">
        <f t="array" ref="U12">IFERROR(index('3. Công thức lab theo từng mã h'!J:J,MATCH(C12,'3. Công thức lab theo từng mã h'!L:L,0)),"")</f>
        <v/>
      </c>
      <c r="V12" s="85"/>
      <c r="W12" s="75"/>
    </row>
    <row r="13">
      <c r="A13" s="64">
        <f t="shared" si="1"/>
        <v>0</v>
      </c>
      <c r="B13" s="98"/>
      <c r="C13" s="64"/>
      <c r="D13" s="16"/>
      <c r="E13" s="16"/>
      <c r="F13" s="100"/>
      <c r="G13" s="101"/>
      <c r="H13" s="16"/>
      <c r="I13" s="16"/>
      <c r="J13" s="16"/>
      <c r="K13" s="16"/>
      <c r="L13" s="16"/>
      <c r="M13" s="16"/>
      <c r="N13" s="100"/>
      <c r="O13" s="100"/>
      <c r="P13" s="100"/>
      <c r="Q13" s="106"/>
      <c r="R13" s="107"/>
      <c r="S13" s="104"/>
      <c r="T13" s="108"/>
      <c r="U13" s="74" t="str">
        <f t="array" ref="U13">IFERROR(index('3. Công thức lab theo từng mã h'!J:J,MATCH(C13,'3. Công thức lab theo từng mã h'!L:L,0)),"")</f>
        <v/>
      </c>
      <c r="V13" s="74"/>
      <c r="W13" s="75"/>
    </row>
    <row r="14">
      <c r="A14" s="76">
        <f t="shared" si="1"/>
        <v>0</v>
      </c>
      <c r="B14" s="88"/>
      <c r="C14" s="76"/>
      <c r="D14" s="86"/>
      <c r="E14" s="86"/>
      <c r="F14" s="90"/>
      <c r="G14" s="91"/>
      <c r="H14" s="86"/>
      <c r="I14" s="86"/>
      <c r="J14" s="86"/>
      <c r="K14" s="86"/>
      <c r="L14" s="86"/>
      <c r="M14" s="86"/>
      <c r="N14" s="90"/>
      <c r="O14" s="90"/>
      <c r="P14" s="90"/>
      <c r="Q14" s="106"/>
      <c r="R14" s="95"/>
      <c r="S14" s="96"/>
      <c r="T14" s="97"/>
      <c r="U14" s="85" t="str">
        <f t="array" ref="U14">IFERROR(index('3. Công thức lab theo từng mã h'!J:J,MATCH(C14,'3. Công thức lab theo từng mã h'!L:L,0)),"")</f>
        <v/>
      </c>
      <c r="V14" s="85"/>
      <c r="W14" s="75"/>
    </row>
    <row r="15">
      <c r="A15" s="64">
        <f t="shared" si="1"/>
        <v>0</v>
      </c>
      <c r="B15" s="98"/>
      <c r="C15" s="64"/>
      <c r="D15" s="16"/>
      <c r="E15" s="16"/>
      <c r="F15" s="100"/>
      <c r="G15" s="101"/>
      <c r="H15" s="16"/>
      <c r="I15" s="16"/>
      <c r="J15" s="16"/>
      <c r="K15" s="16"/>
      <c r="L15" s="16"/>
      <c r="M15" s="16"/>
      <c r="N15" s="100"/>
      <c r="O15" s="100"/>
      <c r="P15" s="100"/>
      <c r="Q15" s="106"/>
      <c r="R15" s="107"/>
      <c r="S15" s="104"/>
      <c r="T15" s="108"/>
      <c r="U15" s="74" t="str">
        <f t="array" ref="U15">IFERROR(index('3. Công thức lab theo từng mã h'!J:J,MATCH(C15,'3. Công thức lab theo từng mã h'!L:L,0)),"")</f>
        <v/>
      </c>
      <c r="V15" s="74"/>
      <c r="W15" s="75"/>
    </row>
    <row r="16">
      <c r="A16" s="76">
        <f t="shared" si="1"/>
        <v>0</v>
      </c>
      <c r="B16" s="88"/>
      <c r="C16" s="76"/>
      <c r="D16" s="86"/>
      <c r="E16" s="86"/>
      <c r="F16" s="90"/>
      <c r="G16" s="91"/>
      <c r="H16" s="86"/>
      <c r="I16" s="86"/>
      <c r="J16" s="86"/>
      <c r="K16" s="86"/>
      <c r="L16" s="86"/>
      <c r="M16" s="86"/>
      <c r="N16" s="90"/>
      <c r="O16" s="90"/>
      <c r="P16" s="90"/>
      <c r="Q16" s="106"/>
      <c r="R16" s="95"/>
      <c r="S16" s="96"/>
      <c r="T16" s="97"/>
      <c r="U16" s="85" t="str">
        <f t="array" ref="U16">IFERROR(index('3. Công thức lab theo từng mã h'!J:J,MATCH(C16,'3. Công thức lab theo từng mã h'!L:L,0)),"")</f>
        <v/>
      </c>
      <c r="V16" s="85"/>
      <c r="W16" s="75"/>
    </row>
    <row r="17">
      <c r="A17" s="64">
        <f t="shared" si="1"/>
        <v>0</v>
      </c>
      <c r="B17" s="98"/>
      <c r="C17" s="64"/>
      <c r="D17" s="16"/>
      <c r="E17" s="16"/>
      <c r="F17" s="100"/>
      <c r="G17" s="101"/>
      <c r="H17" s="16"/>
      <c r="I17" s="16"/>
      <c r="J17" s="16"/>
      <c r="K17" s="16"/>
      <c r="L17" s="16"/>
      <c r="M17" s="16"/>
      <c r="N17" s="100"/>
      <c r="O17" s="100"/>
      <c r="P17" s="100"/>
      <c r="Q17" s="106"/>
      <c r="R17" s="107"/>
      <c r="S17" s="104"/>
      <c r="T17" s="108"/>
      <c r="U17" s="74" t="str">
        <f t="array" ref="U17">IFERROR(index('3. Công thức lab theo từng mã h'!J:J,MATCH(C17,'3. Công thức lab theo từng mã h'!L:L,0)),"")</f>
        <v/>
      </c>
      <c r="V17" s="74"/>
      <c r="W17" s="75"/>
    </row>
    <row r="18">
      <c r="A18" s="76">
        <f t="shared" si="1"/>
        <v>0</v>
      </c>
      <c r="B18" s="88"/>
      <c r="C18" s="76"/>
      <c r="D18" s="86"/>
      <c r="E18" s="86"/>
      <c r="F18" s="90"/>
      <c r="G18" s="91"/>
      <c r="H18" s="86"/>
      <c r="I18" s="86"/>
      <c r="J18" s="86"/>
      <c r="K18" s="86"/>
      <c r="L18" s="86"/>
      <c r="M18" s="86"/>
      <c r="N18" s="90"/>
      <c r="O18" s="90"/>
      <c r="P18" s="90"/>
      <c r="Q18" s="106"/>
      <c r="R18" s="95"/>
      <c r="S18" s="96"/>
      <c r="T18" s="97"/>
      <c r="U18" s="85" t="str">
        <f t="array" ref="U18">IFERROR(index('3. Công thức lab theo từng mã h'!J:J,MATCH(C18,'3. Công thức lab theo từng mã h'!L:L,0)),"")</f>
        <v/>
      </c>
      <c r="V18" s="85"/>
      <c r="W18" s="75"/>
    </row>
    <row r="19">
      <c r="A19" s="64">
        <f t="shared" si="1"/>
        <v>0</v>
      </c>
      <c r="B19" s="98"/>
      <c r="C19" s="64"/>
      <c r="D19" s="16"/>
      <c r="E19" s="16"/>
      <c r="F19" s="100"/>
      <c r="G19" s="101"/>
      <c r="H19" s="16"/>
      <c r="I19" s="16"/>
      <c r="J19" s="16"/>
      <c r="K19" s="16"/>
      <c r="L19" s="16"/>
      <c r="M19" s="16"/>
      <c r="N19" s="100"/>
      <c r="O19" s="100"/>
      <c r="P19" s="100"/>
      <c r="Q19" s="106"/>
      <c r="R19" s="107"/>
      <c r="S19" s="104"/>
      <c r="T19" s="108"/>
      <c r="U19" s="74" t="str">
        <f t="array" ref="U19">IFERROR(index('3. Công thức lab theo từng mã h'!J:J,MATCH(C19,'3. Công thức lab theo từng mã h'!L:L,0)),"")</f>
        <v/>
      </c>
      <c r="V19" s="74"/>
      <c r="W19" s="75"/>
    </row>
    <row r="20">
      <c r="A20" s="76">
        <f t="shared" si="1"/>
        <v>0</v>
      </c>
      <c r="B20" s="88"/>
      <c r="C20" s="76"/>
      <c r="D20" s="86"/>
      <c r="E20" s="86"/>
      <c r="F20" s="90"/>
      <c r="G20" s="91"/>
      <c r="H20" s="86"/>
      <c r="I20" s="86"/>
      <c r="J20" s="86"/>
      <c r="K20" s="86"/>
      <c r="L20" s="86"/>
      <c r="M20" s="86"/>
      <c r="N20" s="90"/>
      <c r="O20" s="90"/>
      <c r="P20" s="90"/>
      <c r="Q20" s="106"/>
      <c r="R20" s="95"/>
      <c r="S20" s="96"/>
      <c r="T20" s="97"/>
      <c r="U20" s="85" t="str">
        <f t="array" ref="U20">IFERROR(index('3. Công thức lab theo từng mã h'!J:J,MATCH(C20,'3. Công thức lab theo từng mã h'!L:L,0)),"")</f>
        <v/>
      </c>
      <c r="V20" s="85"/>
      <c r="W20" s="75"/>
    </row>
    <row r="21">
      <c r="A21" s="64">
        <f t="shared" si="1"/>
        <v>0</v>
      </c>
      <c r="B21" s="98"/>
      <c r="C21" s="64"/>
      <c r="D21" s="16"/>
      <c r="E21" s="16"/>
      <c r="F21" s="100"/>
      <c r="G21" s="101"/>
      <c r="H21" s="16"/>
      <c r="I21" s="16"/>
      <c r="J21" s="16"/>
      <c r="K21" s="16"/>
      <c r="L21" s="16"/>
      <c r="M21" s="16"/>
      <c r="N21" s="100"/>
      <c r="O21" s="100"/>
      <c r="P21" s="100"/>
      <c r="Q21" s="106"/>
      <c r="R21" s="107"/>
      <c r="S21" s="104"/>
      <c r="T21" s="108"/>
      <c r="U21" s="74" t="str">
        <f t="array" ref="U21">IFERROR(index('3. Công thức lab theo từng mã h'!J:J,MATCH(C21,'3. Công thức lab theo từng mã h'!L:L,0)),"")</f>
        <v/>
      </c>
      <c r="V21" s="74"/>
      <c r="W21" s="75"/>
    </row>
    <row r="22">
      <c r="A22" s="76">
        <f t="shared" si="1"/>
        <v>0</v>
      </c>
      <c r="B22" s="88"/>
      <c r="C22" s="76"/>
      <c r="D22" s="86"/>
      <c r="E22" s="86"/>
      <c r="F22" s="90"/>
      <c r="G22" s="91"/>
      <c r="H22" s="86"/>
      <c r="I22" s="86"/>
      <c r="J22" s="86"/>
      <c r="K22" s="86"/>
      <c r="L22" s="86"/>
      <c r="M22" s="86"/>
      <c r="N22" s="90"/>
      <c r="O22" s="90"/>
      <c r="P22" s="90"/>
      <c r="Q22" s="106"/>
      <c r="R22" s="95"/>
      <c r="S22" s="96"/>
      <c r="T22" s="97"/>
      <c r="U22" s="85" t="str">
        <f t="array" ref="U22">IFERROR(index('3. Công thức lab theo từng mã h'!J:J,MATCH(C22,'3. Công thức lab theo từng mã h'!L:L,0)),"")</f>
        <v/>
      </c>
      <c r="V22" s="85"/>
      <c r="W22" s="75"/>
    </row>
    <row r="23">
      <c r="A23" s="64">
        <f t="shared" si="1"/>
        <v>0</v>
      </c>
      <c r="B23" s="98"/>
      <c r="C23" s="64"/>
      <c r="D23" s="16"/>
      <c r="E23" s="16"/>
      <c r="F23" s="100"/>
      <c r="G23" s="101"/>
      <c r="H23" s="16"/>
      <c r="I23" s="16"/>
      <c r="J23" s="16"/>
      <c r="K23" s="16"/>
      <c r="L23" s="16"/>
      <c r="M23" s="16"/>
      <c r="N23" s="100"/>
      <c r="O23" s="100"/>
      <c r="P23" s="100"/>
      <c r="Q23" s="106"/>
      <c r="R23" s="107"/>
      <c r="S23" s="104"/>
      <c r="T23" s="108"/>
      <c r="U23" s="74" t="str">
        <f t="array" ref="U23">IFERROR(index('3. Công thức lab theo từng mã h'!J:J,MATCH(C23,'3. Công thức lab theo từng mã h'!L:L,0)),"")</f>
        <v/>
      </c>
      <c r="V23" s="74"/>
      <c r="W23" s="75"/>
    </row>
    <row r="24">
      <c r="A24" s="76">
        <f t="shared" si="1"/>
        <v>0</v>
      </c>
      <c r="B24" s="88"/>
      <c r="C24" s="76"/>
      <c r="D24" s="86"/>
      <c r="E24" s="86"/>
      <c r="F24" s="90"/>
      <c r="G24" s="91"/>
      <c r="H24" s="86"/>
      <c r="I24" s="86"/>
      <c r="J24" s="86"/>
      <c r="K24" s="86"/>
      <c r="L24" s="86"/>
      <c r="M24" s="86"/>
      <c r="N24" s="90"/>
      <c r="O24" s="90"/>
      <c r="P24" s="90"/>
      <c r="Q24" s="106"/>
      <c r="R24" s="95"/>
      <c r="S24" s="96"/>
      <c r="T24" s="97"/>
      <c r="U24" s="85" t="str">
        <f t="array" ref="U24">IFERROR(index('3. Công thức lab theo từng mã h'!J:J,MATCH(C24,'3. Công thức lab theo từng mã h'!L:L,0)),"")</f>
        <v/>
      </c>
      <c r="V24" s="85"/>
      <c r="W24" s="75"/>
    </row>
    <row r="25">
      <c r="A25" s="64">
        <f t="shared" si="1"/>
        <v>0</v>
      </c>
      <c r="B25" s="98"/>
      <c r="C25" s="64"/>
      <c r="D25" s="16"/>
      <c r="E25" s="16"/>
      <c r="F25" s="100"/>
      <c r="G25" s="101"/>
      <c r="H25" s="16"/>
      <c r="I25" s="16"/>
      <c r="J25" s="16"/>
      <c r="K25" s="16"/>
      <c r="L25" s="16"/>
      <c r="M25" s="16"/>
      <c r="N25" s="100"/>
      <c r="O25" s="100"/>
      <c r="P25" s="100"/>
      <c r="Q25" s="106"/>
      <c r="R25" s="107"/>
      <c r="S25" s="104"/>
      <c r="T25" s="108"/>
      <c r="U25" s="74" t="str">
        <f t="array" ref="U25">IFERROR(index('3. Công thức lab theo từng mã h'!J:J,MATCH(C25,'3. Công thức lab theo từng mã h'!L:L,0)),"")</f>
        <v/>
      </c>
      <c r="V25" s="74"/>
      <c r="W25" s="75"/>
    </row>
    <row r="26">
      <c r="A26" s="76">
        <f t="shared" si="1"/>
        <v>0</v>
      </c>
      <c r="B26" s="88"/>
      <c r="C26" s="76"/>
      <c r="D26" s="86"/>
      <c r="E26" s="86"/>
      <c r="F26" s="90"/>
      <c r="G26" s="91"/>
      <c r="H26" s="86"/>
      <c r="I26" s="86"/>
      <c r="J26" s="86"/>
      <c r="K26" s="86"/>
      <c r="L26" s="86"/>
      <c r="M26" s="86"/>
      <c r="N26" s="90"/>
      <c r="O26" s="90"/>
      <c r="P26" s="90"/>
      <c r="Q26" s="106"/>
      <c r="R26" s="95"/>
      <c r="S26" s="96"/>
      <c r="T26" s="97"/>
      <c r="U26" s="85" t="str">
        <f t="array" ref="U26">IFERROR(index('3. Công thức lab theo từng mã h'!J:J,MATCH(C26,'3. Công thức lab theo từng mã h'!L:L,0)),"")</f>
        <v/>
      </c>
      <c r="V26" s="85"/>
      <c r="W26" s="75"/>
    </row>
    <row r="27">
      <c r="A27" s="64">
        <f t="shared" si="1"/>
        <v>0</v>
      </c>
      <c r="B27" s="98"/>
      <c r="C27" s="64"/>
      <c r="D27" s="16"/>
      <c r="E27" s="16"/>
      <c r="F27" s="100"/>
      <c r="G27" s="101"/>
      <c r="H27" s="16"/>
      <c r="I27" s="16"/>
      <c r="J27" s="16"/>
      <c r="K27" s="16"/>
      <c r="L27" s="16"/>
      <c r="M27" s="16"/>
      <c r="N27" s="100"/>
      <c r="O27" s="100"/>
      <c r="P27" s="100"/>
      <c r="Q27" s="106"/>
      <c r="R27" s="107"/>
      <c r="S27" s="104"/>
      <c r="T27" s="108"/>
      <c r="U27" s="74" t="str">
        <f t="array" ref="U27">IFERROR(index('3. Công thức lab theo từng mã h'!J:J,MATCH(C27,'3. Công thức lab theo từng mã h'!L:L,0)),"")</f>
        <v/>
      </c>
      <c r="V27" s="74"/>
      <c r="W27" s="75"/>
    </row>
    <row r="28">
      <c r="A28" s="76">
        <f t="shared" si="1"/>
        <v>0</v>
      </c>
      <c r="B28" s="88"/>
      <c r="C28" s="76"/>
      <c r="D28" s="86"/>
      <c r="E28" s="86"/>
      <c r="F28" s="90"/>
      <c r="G28" s="91"/>
      <c r="H28" s="86"/>
      <c r="I28" s="86"/>
      <c r="J28" s="86"/>
      <c r="K28" s="86"/>
      <c r="L28" s="86"/>
      <c r="M28" s="86"/>
      <c r="N28" s="90"/>
      <c r="O28" s="90"/>
      <c r="P28" s="90"/>
      <c r="Q28" s="106"/>
      <c r="R28" s="95"/>
      <c r="S28" s="96"/>
      <c r="T28" s="97"/>
      <c r="U28" s="85" t="str">
        <f t="array" ref="U28">IFERROR(index('3. Công thức lab theo từng mã h'!J:J,MATCH(C28,'3. Công thức lab theo từng mã h'!L:L,0)),"")</f>
        <v/>
      </c>
      <c r="V28" s="85"/>
      <c r="W28" s="75"/>
    </row>
    <row r="29">
      <c r="A29" s="64">
        <f t="shared" si="1"/>
        <v>0</v>
      </c>
      <c r="B29" s="98"/>
      <c r="C29" s="64"/>
      <c r="D29" s="16"/>
      <c r="E29" s="16"/>
      <c r="F29" s="100"/>
      <c r="G29" s="101"/>
      <c r="H29" s="16"/>
      <c r="I29" s="16"/>
      <c r="J29" s="16"/>
      <c r="K29" s="16"/>
      <c r="L29" s="16"/>
      <c r="M29" s="16"/>
      <c r="N29" s="100"/>
      <c r="O29" s="100"/>
      <c r="P29" s="100"/>
      <c r="Q29" s="106"/>
      <c r="R29" s="107"/>
      <c r="S29" s="104"/>
      <c r="T29" s="108"/>
      <c r="U29" s="74" t="str">
        <f t="array" ref="U29">IFERROR(index('3. Công thức lab theo từng mã h'!J:J,MATCH(C29,'3. Công thức lab theo từng mã h'!L:L,0)),"")</f>
        <v/>
      </c>
      <c r="V29" s="74"/>
      <c r="W29" s="75"/>
    </row>
    <row r="30">
      <c r="A30" s="76">
        <f t="shared" si="1"/>
        <v>0</v>
      </c>
      <c r="B30" s="88"/>
      <c r="C30" s="76"/>
      <c r="D30" s="86"/>
      <c r="E30" s="86"/>
      <c r="F30" s="90"/>
      <c r="G30" s="91"/>
      <c r="H30" s="86"/>
      <c r="I30" s="86"/>
      <c r="J30" s="86"/>
      <c r="K30" s="86"/>
      <c r="L30" s="86"/>
      <c r="M30" s="86"/>
      <c r="N30" s="90"/>
      <c r="O30" s="90"/>
      <c r="P30" s="90"/>
      <c r="Q30" s="106"/>
      <c r="R30" s="95"/>
      <c r="S30" s="96"/>
      <c r="T30" s="97"/>
      <c r="U30" s="85" t="str">
        <f t="array" ref="U30">IFERROR(index('3. Công thức lab theo từng mã h'!J:J,MATCH(C30,'3. Công thức lab theo từng mã h'!L:L,0)),"")</f>
        <v/>
      </c>
      <c r="V30" s="85"/>
      <c r="W30" s="75"/>
    </row>
    <row r="31">
      <c r="A31" s="64">
        <f t="shared" si="1"/>
        <v>0</v>
      </c>
      <c r="B31" s="98"/>
      <c r="C31" s="64"/>
      <c r="D31" s="16"/>
      <c r="E31" s="16"/>
      <c r="F31" s="100"/>
      <c r="G31" s="101"/>
      <c r="H31" s="16"/>
      <c r="I31" s="16"/>
      <c r="J31" s="16"/>
      <c r="K31" s="16"/>
      <c r="L31" s="16"/>
      <c r="M31" s="16"/>
      <c r="N31" s="100"/>
      <c r="O31" s="100"/>
      <c r="P31" s="100"/>
      <c r="Q31" s="106"/>
      <c r="R31" s="107"/>
      <c r="S31" s="104"/>
      <c r="T31" s="108"/>
      <c r="U31" s="74" t="str">
        <f t="array" ref="U31">IFERROR(index('3. Công thức lab theo từng mã h'!J:J,MATCH(C31,'3. Công thức lab theo từng mã h'!L:L,0)),"")</f>
        <v/>
      </c>
      <c r="V31" s="74"/>
      <c r="W31" s="75"/>
    </row>
    <row r="32">
      <c r="A32" s="76">
        <f t="shared" si="1"/>
        <v>0</v>
      </c>
      <c r="B32" s="88"/>
      <c r="C32" s="76"/>
      <c r="D32" s="86"/>
      <c r="E32" s="86"/>
      <c r="F32" s="90"/>
      <c r="G32" s="91"/>
      <c r="H32" s="86"/>
      <c r="I32" s="86"/>
      <c r="J32" s="86"/>
      <c r="K32" s="86"/>
      <c r="L32" s="86"/>
      <c r="M32" s="86"/>
      <c r="N32" s="90"/>
      <c r="O32" s="90"/>
      <c r="P32" s="90"/>
      <c r="Q32" s="106"/>
      <c r="R32" s="95"/>
      <c r="S32" s="96"/>
      <c r="T32" s="97"/>
      <c r="U32" s="85" t="str">
        <f t="array" ref="U32">IFERROR(index('3. Công thức lab theo từng mã h'!J:J,MATCH(C32,'3. Công thức lab theo từng mã h'!L:L,0)),"")</f>
        <v/>
      </c>
      <c r="V32" s="85"/>
      <c r="W32" s="75"/>
    </row>
    <row r="33">
      <c r="A33" s="64">
        <f t="shared" si="1"/>
        <v>0</v>
      </c>
      <c r="B33" s="98"/>
      <c r="C33" s="64"/>
      <c r="D33" s="16"/>
      <c r="E33" s="16"/>
      <c r="F33" s="100"/>
      <c r="G33" s="101"/>
      <c r="H33" s="16"/>
      <c r="I33" s="16"/>
      <c r="J33" s="16"/>
      <c r="K33" s="16"/>
      <c r="L33" s="16"/>
      <c r="M33" s="16"/>
      <c r="N33" s="100"/>
      <c r="O33" s="100"/>
      <c r="P33" s="100"/>
      <c r="Q33" s="106"/>
      <c r="R33" s="107"/>
      <c r="S33" s="104"/>
      <c r="T33" s="108"/>
      <c r="U33" s="74" t="str">
        <f t="array" ref="U33">IFERROR(index('3. Công thức lab theo từng mã h'!J:J,MATCH(C33,'3. Công thức lab theo từng mã h'!L:L,0)),"")</f>
        <v/>
      </c>
      <c r="V33" s="74"/>
      <c r="W33" s="75"/>
    </row>
    <row r="34">
      <c r="A34" s="76">
        <f t="shared" si="1"/>
        <v>0</v>
      </c>
      <c r="B34" s="88"/>
      <c r="C34" s="76"/>
      <c r="D34" s="86"/>
      <c r="E34" s="86"/>
      <c r="F34" s="90"/>
      <c r="G34" s="91"/>
      <c r="H34" s="86"/>
      <c r="I34" s="86"/>
      <c r="J34" s="86"/>
      <c r="K34" s="86"/>
      <c r="L34" s="86"/>
      <c r="M34" s="86"/>
      <c r="N34" s="90"/>
      <c r="O34" s="90"/>
      <c r="P34" s="90"/>
      <c r="Q34" s="106"/>
      <c r="R34" s="95"/>
      <c r="S34" s="96"/>
      <c r="T34" s="97"/>
      <c r="U34" s="85" t="str">
        <f t="array" ref="U34">IFERROR(index('3. Công thức lab theo từng mã h'!J:J,MATCH(C34,'3. Công thức lab theo từng mã h'!L:L,0)),"")</f>
        <v/>
      </c>
      <c r="V34" s="85"/>
      <c r="W34" s="75"/>
    </row>
    <row r="35">
      <c r="A35" s="64">
        <f t="shared" si="1"/>
        <v>0</v>
      </c>
      <c r="B35" s="98"/>
      <c r="C35" s="64"/>
      <c r="D35" s="16"/>
      <c r="E35" s="16"/>
      <c r="F35" s="100"/>
      <c r="G35" s="101"/>
      <c r="H35" s="16"/>
      <c r="I35" s="16"/>
      <c r="J35" s="16"/>
      <c r="K35" s="16"/>
      <c r="L35" s="16"/>
      <c r="M35" s="16"/>
      <c r="N35" s="100"/>
      <c r="O35" s="100"/>
      <c r="P35" s="100"/>
      <c r="Q35" s="106"/>
      <c r="R35" s="107"/>
      <c r="S35" s="104"/>
      <c r="T35" s="108"/>
      <c r="U35" s="74" t="str">
        <f t="array" ref="U35">IFERROR(index('3. Công thức lab theo từng mã h'!J:J,MATCH(C35,'3. Công thức lab theo từng mã h'!L:L,0)),"")</f>
        <v/>
      </c>
      <c r="V35" s="74"/>
      <c r="W35" s="75"/>
    </row>
    <row r="36">
      <c r="A36" s="76">
        <f t="shared" si="1"/>
        <v>0</v>
      </c>
      <c r="B36" s="88"/>
      <c r="C36" s="76"/>
      <c r="D36" s="86"/>
      <c r="E36" s="86"/>
      <c r="F36" s="90"/>
      <c r="G36" s="91"/>
      <c r="H36" s="86"/>
      <c r="I36" s="86"/>
      <c r="J36" s="86"/>
      <c r="K36" s="86"/>
      <c r="L36" s="86"/>
      <c r="M36" s="86"/>
      <c r="N36" s="90"/>
      <c r="O36" s="90"/>
      <c r="P36" s="90"/>
      <c r="Q36" s="106"/>
      <c r="R36" s="95"/>
      <c r="S36" s="96"/>
      <c r="T36" s="97"/>
      <c r="U36" s="85" t="str">
        <f t="array" ref="U36">IFERROR(index('3. Công thức lab theo từng mã h'!J:J,MATCH(C36,'3. Công thức lab theo từng mã h'!L:L,0)),"")</f>
        <v/>
      </c>
      <c r="V36" s="85"/>
      <c r="W36" s="75"/>
    </row>
    <row r="37">
      <c r="A37" s="64">
        <f t="shared" si="1"/>
        <v>0</v>
      </c>
      <c r="B37" s="98"/>
      <c r="C37" s="64"/>
      <c r="D37" s="16"/>
      <c r="E37" s="16"/>
      <c r="F37" s="100"/>
      <c r="G37" s="101"/>
      <c r="H37" s="16"/>
      <c r="I37" s="16"/>
      <c r="J37" s="16"/>
      <c r="K37" s="16"/>
      <c r="L37" s="16"/>
      <c r="M37" s="16"/>
      <c r="N37" s="100"/>
      <c r="O37" s="100"/>
      <c r="P37" s="100"/>
      <c r="Q37" s="106"/>
      <c r="R37" s="107"/>
      <c r="S37" s="104"/>
      <c r="T37" s="108"/>
      <c r="U37" s="74" t="str">
        <f t="array" ref="U37">IFERROR(index('3. Công thức lab theo từng mã h'!J:J,MATCH(C37,'3. Công thức lab theo từng mã h'!L:L,0)),"")</f>
        <v/>
      </c>
      <c r="V37" s="74"/>
      <c r="W37" s="75"/>
    </row>
    <row r="38">
      <c r="A38" s="76">
        <f t="shared" si="1"/>
        <v>0</v>
      </c>
      <c r="B38" s="88"/>
      <c r="C38" s="76"/>
      <c r="D38" s="86"/>
      <c r="E38" s="86"/>
      <c r="F38" s="90"/>
      <c r="G38" s="91"/>
      <c r="H38" s="86"/>
      <c r="I38" s="86"/>
      <c r="J38" s="86"/>
      <c r="K38" s="86"/>
      <c r="L38" s="86"/>
      <c r="M38" s="86"/>
      <c r="N38" s="90"/>
      <c r="O38" s="90"/>
      <c r="P38" s="90"/>
      <c r="Q38" s="106"/>
      <c r="R38" s="95"/>
      <c r="S38" s="96"/>
      <c r="T38" s="97"/>
      <c r="U38" s="85" t="str">
        <f t="array" ref="U38">IFERROR(index('3. Công thức lab theo từng mã h'!J:J,MATCH(C38,'3. Công thức lab theo từng mã h'!L:L,0)),"")</f>
        <v/>
      </c>
      <c r="V38" s="85"/>
      <c r="W38" s="75"/>
    </row>
    <row r="39">
      <c r="A39" s="64">
        <f t="shared" si="1"/>
        <v>0</v>
      </c>
      <c r="B39" s="98"/>
      <c r="C39" s="64"/>
      <c r="D39" s="16"/>
      <c r="E39" s="16"/>
      <c r="F39" s="100"/>
      <c r="G39" s="101"/>
      <c r="H39" s="16"/>
      <c r="I39" s="16"/>
      <c r="J39" s="16"/>
      <c r="K39" s="16"/>
      <c r="L39" s="16"/>
      <c r="M39" s="16"/>
      <c r="N39" s="100"/>
      <c r="O39" s="100"/>
      <c r="P39" s="100"/>
      <c r="Q39" s="106"/>
      <c r="R39" s="107"/>
      <c r="S39" s="104"/>
      <c r="T39" s="108"/>
      <c r="U39" s="74" t="str">
        <f t="array" ref="U39">IFERROR(index('3. Công thức lab theo từng mã h'!J:J,MATCH(C39,'3. Công thức lab theo từng mã h'!L:L,0)),"")</f>
        <v/>
      </c>
      <c r="V39" s="74"/>
      <c r="W39" s="75"/>
    </row>
    <row r="40">
      <c r="A40" s="76">
        <f t="shared" si="1"/>
        <v>0</v>
      </c>
      <c r="B40" s="88"/>
      <c r="C40" s="76"/>
      <c r="D40" s="86"/>
      <c r="E40" s="86"/>
      <c r="F40" s="90"/>
      <c r="G40" s="91"/>
      <c r="H40" s="86"/>
      <c r="I40" s="86"/>
      <c r="J40" s="86"/>
      <c r="K40" s="86"/>
      <c r="L40" s="86"/>
      <c r="M40" s="86"/>
      <c r="N40" s="90"/>
      <c r="O40" s="90"/>
      <c r="P40" s="90"/>
      <c r="Q40" s="106"/>
      <c r="R40" s="95"/>
      <c r="S40" s="96"/>
      <c r="T40" s="97"/>
      <c r="U40" s="85" t="str">
        <f t="array" ref="U40">IFERROR(index('3. Công thức lab theo từng mã h'!J:J,MATCH(C40,'3. Công thức lab theo từng mã h'!L:L,0)),"")</f>
        <v/>
      </c>
      <c r="V40" s="85"/>
      <c r="W40" s="75"/>
    </row>
    <row r="41">
      <c r="A41" s="64">
        <f t="shared" si="1"/>
        <v>0</v>
      </c>
      <c r="B41" s="98"/>
      <c r="C41" s="64"/>
      <c r="D41" s="16"/>
      <c r="E41" s="16"/>
      <c r="F41" s="100"/>
      <c r="G41" s="101"/>
      <c r="H41" s="16"/>
      <c r="I41" s="16"/>
      <c r="J41" s="16"/>
      <c r="K41" s="16"/>
      <c r="L41" s="16"/>
      <c r="M41" s="16"/>
      <c r="N41" s="100"/>
      <c r="O41" s="100"/>
      <c r="P41" s="100"/>
      <c r="Q41" s="106"/>
      <c r="R41" s="107"/>
      <c r="S41" s="104"/>
      <c r="T41" s="108"/>
      <c r="U41" s="74" t="str">
        <f t="array" ref="U41">IFERROR(index('3. Công thức lab theo từng mã h'!J:J,MATCH(C41,'3. Công thức lab theo từng mã h'!L:L,0)),"")</f>
        <v/>
      </c>
      <c r="V41" s="74"/>
      <c r="W41" s="75"/>
    </row>
    <row r="42">
      <c r="A42" s="76">
        <f t="shared" si="1"/>
        <v>0</v>
      </c>
      <c r="B42" s="88"/>
      <c r="C42" s="76"/>
      <c r="D42" s="86"/>
      <c r="E42" s="86"/>
      <c r="F42" s="90"/>
      <c r="G42" s="91"/>
      <c r="H42" s="86"/>
      <c r="I42" s="86"/>
      <c r="J42" s="86"/>
      <c r="K42" s="86"/>
      <c r="L42" s="86"/>
      <c r="M42" s="86"/>
      <c r="N42" s="90"/>
      <c r="O42" s="90"/>
      <c r="P42" s="90"/>
      <c r="Q42" s="106"/>
      <c r="R42" s="95"/>
      <c r="S42" s="96"/>
      <c r="T42" s="97"/>
      <c r="U42" s="85" t="str">
        <f t="array" ref="U42">IFERROR(index('3. Công thức lab theo từng mã h'!J:J,MATCH(C42,'3. Công thức lab theo từng mã h'!L:L,0)),"")</f>
        <v/>
      </c>
      <c r="V42" s="85"/>
      <c r="W42" s="75"/>
    </row>
    <row r="43">
      <c r="A43" s="64">
        <f t="shared" si="1"/>
        <v>0</v>
      </c>
      <c r="B43" s="98"/>
      <c r="C43" s="64"/>
      <c r="D43" s="16"/>
      <c r="E43" s="16"/>
      <c r="F43" s="100"/>
      <c r="G43" s="101"/>
      <c r="H43" s="16"/>
      <c r="I43" s="16"/>
      <c r="J43" s="16"/>
      <c r="K43" s="16"/>
      <c r="L43" s="16"/>
      <c r="M43" s="16"/>
      <c r="N43" s="100"/>
      <c r="O43" s="100"/>
      <c r="P43" s="100"/>
      <c r="Q43" s="106"/>
      <c r="R43" s="107"/>
      <c r="S43" s="104"/>
      <c r="T43" s="108"/>
      <c r="U43" s="74" t="str">
        <f t="array" ref="U43">IFERROR(index('3. Công thức lab theo từng mã h'!J:J,MATCH(C43,'3. Công thức lab theo từng mã h'!L:L,0)),"")</f>
        <v/>
      </c>
      <c r="V43" s="74"/>
      <c r="W43" s="75"/>
    </row>
    <row r="44">
      <c r="A44" s="76">
        <f t="shared" si="1"/>
        <v>0</v>
      </c>
      <c r="B44" s="88"/>
      <c r="C44" s="76"/>
      <c r="D44" s="86"/>
      <c r="E44" s="86"/>
      <c r="F44" s="90"/>
      <c r="G44" s="91"/>
      <c r="H44" s="86"/>
      <c r="I44" s="86"/>
      <c r="J44" s="86"/>
      <c r="K44" s="86"/>
      <c r="L44" s="86"/>
      <c r="M44" s="86"/>
      <c r="N44" s="90"/>
      <c r="O44" s="90"/>
      <c r="P44" s="90"/>
      <c r="Q44" s="106"/>
      <c r="R44" s="95"/>
      <c r="S44" s="96"/>
      <c r="T44" s="97"/>
      <c r="U44" s="85" t="str">
        <f t="array" ref="U44">IFERROR(index('3. Công thức lab theo từng mã h'!J:J,MATCH(C44,'3. Công thức lab theo từng mã h'!L:L,0)),"")</f>
        <v/>
      </c>
      <c r="V44" s="85"/>
      <c r="W44" s="75"/>
    </row>
    <row r="45">
      <c r="A45" s="64">
        <f t="shared" si="1"/>
        <v>0</v>
      </c>
      <c r="B45" s="98"/>
      <c r="C45" s="64"/>
      <c r="D45" s="16"/>
      <c r="E45" s="16"/>
      <c r="F45" s="100"/>
      <c r="G45" s="101"/>
      <c r="H45" s="16"/>
      <c r="I45" s="16"/>
      <c r="J45" s="16"/>
      <c r="K45" s="16"/>
      <c r="L45" s="16"/>
      <c r="M45" s="16"/>
      <c r="N45" s="100"/>
      <c r="O45" s="100"/>
      <c r="P45" s="100"/>
      <c r="Q45" s="106"/>
      <c r="R45" s="107"/>
      <c r="S45" s="104"/>
      <c r="T45" s="108"/>
      <c r="U45" s="74" t="str">
        <f t="array" ref="U45">IFERROR(index('3. Công thức lab theo từng mã h'!J:J,MATCH(C45,'3. Công thức lab theo từng mã h'!L:L,0)),"")</f>
        <v/>
      </c>
      <c r="V45" s="74"/>
      <c r="W45" s="75"/>
    </row>
    <row r="46">
      <c r="A46" s="76">
        <f t="shared" si="1"/>
        <v>0</v>
      </c>
      <c r="B46" s="88"/>
      <c r="C46" s="76"/>
      <c r="D46" s="86"/>
      <c r="E46" s="86"/>
      <c r="F46" s="90"/>
      <c r="G46" s="91"/>
      <c r="H46" s="86"/>
      <c r="I46" s="86"/>
      <c r="J46" s="86"/>
      <c r="K46" s="86"/>
      <c r="L46" s="86"/>
      <c r="M46" s="86"/>
      <c r="N46" s="90"/>
      <c r="O46" s="90"/>
      <c r="P46" s="90"/>
      <c r="Q46" s="106"/>
      <c r="R46" s="95"/>
      <c r="S46" s="96"/>
      <c r="T46" s="97"/>
      <c r="U46" s="85" t="str">
        <f t="array" ref="U46">IFERROR(index('3. Công thức lab theo từng mã h'!J:J,MATCH(C46,'3. Công thức lab theo từng mã h'!L:L,0)),"")</f>
        <v/>
      </c>
      <c r="V46" s="85"/>
      <c r="W46" s="75"/>
    </row>
    <row r="47">
      <c r="A47" s="64">
        <f t="shared" si="1"/>
        <v>0</v>
      </c>
      <c r="B47" s="98"/>
      <c r="C47" s="64"/>
      <c r="D47" s="16"/>
      <c r="E47" s="16"/>
      <c r="F47" s="100"/>
      <c r="G47" s="101"/>
      <c r="H47" s="16"/>
      <c r="I47" s="16"/>
      <c r="J47" s="16"/>
      <c r="K47" s="16"/>
      <c r="L47" s="16"/>
      <c r="M47" s="16"/>
      <c r="N47" s="100"/>
      <c r="O47" s="100"/>
      <c r="P47" s="100"/>
      <c r="Q47" s="106"/>
      <c r="R47" s="107"/>
      <c r="S47" s="104"/>
      <c r="T47" s="108"/>
      <c r="U47" s="74" t="str">
        <f t="array" ref="U47">IFERROR(index('3. Công thức lab theo từng mã h'!J:J,MATCH(C47,'3. Công thức lab theo từng mã h'!L:L,0)),"")</f>
        <v/>
      </c>
      <c r="V47" s="74"/>
      <c r="W47" s="75"/>
    </row>
    <row r="48">
      <c r="A48" s="76">
        <f t="shared" si="1"/>
        <v>0</v>
      </c>
      <c r="B48" s="88"/>
      <c r="C48" s="76"/>
      <c r="D48" s="86"/>
      <c r="E48" s="86"/>
      <c r="F48" s="90"/>
      <c r="G48" s="91"/>
      <c r="H48" s="86"/>
      <c r="I48" s="86"/>
      <c r="J48" s="86"/>
      <c r="K48" s="86"/>
      <c r="L48" s="86"/>
      <c r="M48" s="86"/>
      <c r="N48" s="90"/>
      <c r="O48" s="90"/>
      <c r="P48" s="90"/>
      <c r="Q48" s="106"/>
      <c r="R48" s="95"/>
      <c r="S48" s="96"/>
      <c r="T48" s="97"/>
      <c r="U48" s="85" t="str">
        <f t="array" ref="U48">IFERROR(index('3. Công thức lab theo từng mã h'!J:J,MATCH(C48,'3. Công thức lab theo từng mã h'!L:L,0)),"")</f>
        <v/>
      </c>
      <c r="V48" s="85"/>
      <c r="W48" s="75"/>
    </row>
    <row r="49">
      <c r="A49" s="64">
        <f t="shared" si="1"/>
        <v>0</v>
      </c>
      <c r="B49" s="98"/>
      <c r="C49" s="64"/>
      <c r="D49" s="16"/>
      <c r="E49" s="16"/>
      <c r="F49" s="100"/>
      <c r="G49" s="101"/>
      <c r="H49" s="16"/>
      <c r="I49" s="16"/>
      <c r="J49" s="16"/>
      <c r="K49" s="16"/>
      <c r="L49" s="16"/>
      <c r="M49" s="16"/>
      <c r="N49" s="100"/>
      <c r="O49" s="100"/>
      <c r="P49" s="100"/>
      <c r="Q49" s="106"/>
      <c r="R49" s="107"/>
      <c r="S49" s="104"/>
      <c r="T49" s="108"/>
      <c r="U49" s="74" t="str">
        <f t="array" ref="U49">IFERROR(index('3. Công thức lab theo từng mã h'!J:J,MATCH(C49,'3. Công thức lab theo từng mã h'!L:L,0)),"")</f>
        <v/>
      </c>
      <c r="V49" s="74"/>
      <c r="W49" s="75"/>
    </row>
    <row r="50">
      <c r="A50" s="76">
        <f t="shared" si="1"/>
        <v>0</v>
      </c>
      <c r="B50" s="88"/>
      <c r="C50" s="76"/>
      <c r="D50" s="86"/>
      <c r="E50" s="86"/>
      <c r="F50" s="90"/>
      <c r="G50" s="91"/>
      <c r="H50" s="86"/>
      <c r="I50" s="86"/>
      <c r="J50" s="86"/>
      <c r="K50" s="86"/>
      <c r="L50" s="86"/>
      <c r="M50" s="86"/>
      <c r="N50" s="90"/>
      <c r="O50" s="90"/>
      <c r="P50" s="90"/>
      <c r="Q50" s="106"/>
      <c r="R50" s="95"/>
      <c r="S50" s="96"/>
      <c r="T50" s="97"/>
      <c r="U50" s="85" t="str">
        <f t="array" ref="U50">IFERROR(index('3. Công thức lab theo từng mã h'!J:J,MATCH(C50,'3. Công thức lab theo từng mã h'!L:L,0)),"")</f>
        <v/>
      </c>
      <c r="V50" s="85"/>
      <c r="W50" s="75"/>
    </row>
    <row r="51">
      <c r="A51" s="64">
        <f t="shared" si="1"/>
        <v>0</v>
      </c>
      <c r="B51" s="98"/>
      <c r="C51" s="64"/>
      <c r="D51" s="16"/>
      <c r="E51" s="16"/>
      <c r="F51" s="100"/>
      <c r="G51" s="101"/>
      <c r="H51" s="16"/>
      <c r="I51" s="16"/>
      <c r="J51" s="16"/>
      <c r="K51" s="16"/>
      <c r="L51" s="16"/>
      <c r="M51" s="16"/>
      <c r="N51" s="100"/>
      <c r="O51" s="100"/>
      <c r="P51" s="100"/>
      <c r="Q51" s="106"/>
      <c r="R51" s="107"/>
      <c r="S51" s="104"/>
      <c r="T51" s="108"/>
      <c r="U51" s="74" t="str">
        <f t="array" ref="U51">IFERROR(index('3. Công thức lab theo từng mã h'!J:J,MATCH(C51,'3. Công thức lab theo từng mã h'!L:L,0)),"")</f>
        <v/>
      </c>
      <c r="V51" s="74"/>
      <c r="W51" s="75"/>
    </row>
    <row r="52">
      <c r="A52" s="76">
        <f t="shared" si="1"/>
        <v>0</v>
      </c>
      <c r="B52" s="88"/>
      <c r="C52" s="76"/>
      <c r="D52" s="86"/>
      <c r="E52" s="86"/>
      <c r="F52" s="90"/>
      <c r="G52" s="91"/>
      <c r="H52" s="86"/>
      <c r="I52" s="86"/>
      <c r="J52" s="86"/>
      <c r="K52" s="86"/>
      <c r="L52" s="86"/>
      <c r="M52" s="86"/>
      <c r="N52" s="90"/>
      <c r="O52" s="90"/>
      <c r="P52" s="90"/>
      <c r="Q52" s="106"/>
      <c r="R52" s="95"/>
      <c r="S52" s="96"/>
      <c r="T52" s="97"/>
      <c r="U52" s="85" t="str">
        <f t="array" ref="U52">IFERROR(index('3. Công thức lab theo từng mã h'!J:J,MATCH(C52,'3. Công thức lab theo từng mã h'!L:L,0)),"")</f>
        <v/>
      </c>
      <c r="V52" s="85"/>
      <c r="W52" s="75"/>
    </row>
    <row r="53">
      <c r="A53" s="64">
        <f t="shared" si="1"/>
        <v>0</v>
      </c>
      <c r="B53" s="98"/>
      <c r="C53" s="64"/>
      <c r="D53" s="16"/>
      <c r="E53" s="16"/>
      <c r="F53" s="100"/>
      <c r="G53" s="101"/>
      <c r="H53" s="16"/>
      <c r="I53" s="16"/>
      <c r="J53" s="16"/>
      <c r="K53" s="16"/>
      <c r="L53" s="16"/>
      <c r="M53" s="16"/>
      <c r="N53" s="100"/>
      <c r="O53" s="100"/>
      <c r="P53" s="100"/>
      <c r="Q53" s="106"/>
      <c r="R53" s="107"/>
      <c r="S53" s="104"/>
      <c r="T53" s="108"/>
      <c r="U53" s="74" t="str">
        <f t="array" ref="U53">IFERROR(index('3. Công thức lab theo từng mã h'!J:J,MATCH(C53,'3. Công thức lab theo từng mã h'!L:L,0)),"")</f>
        <v/>
      </c>
      <c r="V53" s="74"/>
      <c r="W53" s="75"/>
    </row>
    <row r="54">
      <c r="A54" s="76">
        <f t="shared" si="1"/>
        <v>0</v>
      </c>
      <c r="B54" s="88"/>
      <c r="C54" s="76"/>
      <c r="D54" s="86"/>
      <c r="E54" s="86"/>
      <c r="F54" s="90"/>
      <c r="G54" s="91"/>
      <c r="H54" s="86"/>
      <c r="I54" s="86"/>
      <c r="J54" s="86"/>
      <c r="K54" s="86"/>
      <c r="L54" s="86"/>
      <c r="M54" s="86"/>
      <c r="N54" s="90"/>
      <c r="O54" s="90"/>
      <c r="P54" s="90"/>
      <c r="Q54" s="106"/>
      <c r="R54" s="95"/>
      <c r="S54" s="96"/>
      <c r="T54" s="97"/>
      <c r="U54" s="85" t="str">
        <f t="array" ref="U54">IFERROR(index('3. Công thức lab theo từng mã h'!J:J,MATCH(C54,'3. Công thức lab theo từng mã h'!L:L,0)),"")</f>
        <v/>
      </c>
      <c r="V54" s="85"/>
      <c r="W54" s="75"/>
    </row>
    <row r="55">
      <c r="A55" s="64">
        <f t="shared" si="1"/>
        <v>0</v>
      </c>
      <c r="B55" s="98"/>
      <c r="C55" s="64"/>
      <c r="D55" s="16"/>
      <c r="E55" s="16"/>
      <c r="F55" s="100"/>
      <c r="G55" s="101"/>
      <c r="H55" s="16"/>
      <c r="I55" s="16"/>
      <c r="J55" s="16"/>
      <c r="K55" s="16"/>
      <c r="L55" s="16"/>
      <c r="M55" s="16"/>
      <c r="N55" s="100"/>
      <c r="O55" s="100"/>
      <c r="P55" s="100"/>
      <c r="Q55" s="106"/>
      <c r="R55" s="107"/>
      <c r="S55" s="104"/>
      <c r="T55" s="108"/>
      <c r="U55" s="74" t="str">
        <f t="array" ref="U55">IFERROR(index('3. Công thức lab theo từng mã h'!J:J,MATCH(C55,'3. Công thức lab theo từng mã h'!L:L,0)),"")</f>
        <v/>
      </c>
      <c r="V55" s="74"/>
      <c r="W55" s="75"/>
    </row>
    <row r="56">
      <c r="A56" s="76">
        <f t="shared" si="1"/>
        <v>0</v>
      </c>
      <c r="B56" s="88"/>
      <c r="C56" s="76"/>
      <c r="D56" s="86"/>
      <c r="E56" s="86"/>
      <c r="F56" s="90"/>
      <c r="G56" s="91"/>
      <c r="H56" s="86"/>
      <c r="I56" s="86"/>
      <c r="J56" s="86"/>
      <c r="K56" s="86"/>
      <c r="L56" s="86"/>
      <c r="M56" s="86"/>
      <c r="N56" s="90"/>
      <c r="O56" s="90"/>
      <c r="P56" s="90"/>
      <c r="Q56" s="106"/>
      <c r="R56" s="95"/>
      <c r="S56" s="96"/>
      <c r="T56" s="97"/>
      <c r="U56" s="85" t="str">
        <f t="array" ref="U56">IFERROR(index('3. Công thức lab theo từng mã h'!J:J,MATCH(C56,'3. Công thức lab theo từng mã h'!L:L,0)),"")</f>
        <v/>
      </c>
      <c r="V56" s="85"/>
      <c r="W56" s="75"/>
    </row>
    <row r="57">
      <c r="A57" s="64">
        <f t="shared" si="1"/>
        <v>0</v>
      </c>
      <c r="B57" s="98"/>
      <c r="C57" s="64"/>
      <c r="D57" s="16"/>
      <c r="E57" s="16"/>
      <c r="F57" s="100"/>
      <c r="G57" s="101"/>
      <c r="H57" s="16"/>
      <c r="I57" s="16"/>
      <c r="J57" s="16"/>
      <c r="K57" s="16"/>
      <c r="L57" s="16"/>
      <c r="M57" s="16"/>
      <c r="N57" s="100"/>
      <c r="O57" s="100"/>
      <c r="P57" s="100"/>
      <c r="Q57" s="106"/>
      <c r="R57" s="107"/>
      <c r="S57" s="104"/>
      <c r="T57" s="108"/>
      <c r="U57" s="74" t="str">
        <f t="array" ref="U57">IFERROR(index('3. Công thức lab theo từng mã h'!J:J,MATCH(C57,'3. Công thức lab theo từng mã h'!L:L,0)),"")</f>
        <v/>
      </c>
      <c r="V57" s="74"/>
      <c r="W57" s="75"/>
    </row>
    <row r="58">
      <c r="A58" s="76">
        <f t="shared" si="1"/>
        <v>0</v>
      </c>
      <c r="B58" s="88"/>
      <c r="C58" s="76"/>
      <c r="D58" s="86"/>
      <c r="E58" s="86"/>
      <c r="F58" s="90"/>
      <c r="G58" s="91"/>
      <c r="H58" s="86"/>
      <c r="I58" s="86"/>
      <c r="J58" s="86"/>
      <c r="K58" s="86"/>
      <c r="L58" s="86"/>
      <c r="M58" s="86"/>
      <c r="N58" s="90"/>
      <c r="O58" s="90"/>
      <c r="P58" s="90"/>
      <c r="Q58" s="106"/>
      <c r="R58" s="95"/>
      <c r="S58" s="96"/>
      <c r="T58" s="97"/>
      <c r="U58" s="85" t="str">
        <f t="array" ref="U58">IFERROR(index('3. Công thức lab theo từng mã h'!J:J,MATCH(C58,'3. Công thức lab theo từng mã h'!L:L,0)),"")</f>
        <v/>
      </c>
      <c r="V58" s="85"/>
      <c r="W58" s="75"/>
    </row>
    <row r="59">
      <c r="A59" s="64">
        <f t="shared" si="1"/>
        <v>0</v>
      </c>
      <c r="B59" s="98"/>
      <c r="C59" s="64"/>
      <c r="D59" s="16"/>
      <c r="E59" s="16"/>
      <c r="F59" s="100"/>
      <c r="G59" s="101"/>
      <c r="H59" s="16"/>
      <c r="I59" s="16"/>
      <c r="J59" s="16"/>
      <c r="K59" s="16"/>
      <c r="L59" s="16"/>
      <c r="M59" s="16"/>
      <c r="N59" s="100"/>
      <c r="O59" s="100"/>
      <c r="P59" s="100"/>
      <c r="Q59" s="106"/>
      <c r="R59" s="107"/>
      <c r="S59" s="104"/>
      <c r="T59" s="108"/>
      <c r="U59" s="74" t="str">
        <f t="array" ref="U59">IFERROR(index('3. Công thức lab theo từng mã h'!J:J,MATCH(C59,'3. Công thức lab theo từng mã h'!L:L,0)),"")</f>
        <v/>
      </c>
      <c r="V59" s="74"/>
      <c r="W59" s="75"/>
    </row>
    <row r="60">
      <c r="A60" s="76">
        <f t="shared" si="1"/>
        <v>0</v>
      </c>
      <c r="B60" s="88"/>
      <c r="C60" s="76"/>
      <c r="D60" s="86"/>
      <c r="E60" s="86"/>
      <c r="F60" s="90"/>
      <c r="G60" s="91"/>
      <c r="H60" s="86"/>
      <c r="I60" s="86"/>
      <c r="J60" s="86"/>
      <c r="K60" s="86"/>
      <c r="L60" s="86"/>
      <c r="M60" s="86"/>
      <c r="N60" s="90"/>
      <c r="O60" s="90"/>
      <c r="P60" s="90"/>
      <c r="Q60" s="106"/>
      <c r="R60" s="95"/>
      <c r="S60" s="96"/>
      <c r="T60" s="97"/>
      <c r="U60" s="85" t="str">
        <f t="array" ref="U60">IFERROR(index('3. Công thức lab theo từng mã h'!J:J,MATCH(C60,'3. Công thức lab theo từng mã h'!L:L,0)),"")</f>
        <v/>
      </c>
      <c r="V60" s="85"/>
      <c r="W60" s="75"/>
    </row>
    <row r="61">
      <c r="A61" s="64">
        <f t="shared" si="1"/>
        <v>0</v>
      </c>
      <c r="B61" s="98"/>
      <c r="C61" s="64"/>
      <c r="D61" s="16"/>
      <c r="E61" s="16"/>
      <c r="F61" s="100"/>
      <c r="G61" s="101"/>
      <c r="H61" s="16"/>
      <c r="I61" s="16"/>
      <c r="J61" s="16"/>
      <c r="K61" s="16"/>
      <c r="L61" s="16"/>
      <c r="M61" s="16"/>
      <c r="N61" s="100"/>
      <c r="O61" s="100"/>
      <c r="P61" s="100"/>
      <c r="Q61" s="106"/>
      <c r="R61" s="107"/>
      <c r="S61" s="104"/>
      <c r="T61" s="108"/>
      <c r="U61" s="74" t="str">
        <f t="array" ref="U61">IFERROR(index('3. Công thức lab theo từng mã h'!J:J,MATCH(C61,'3. Công thức lab theo từng mã h'!L:L,0)),"")</f>
        <v/>
      </c>
      <c r="V61" s="74"/>
      <c r="W61" s="75"/>
    </row>
    <row r="62">
      <c r="A62" s="76">
        <f t="shared" si="1"/>
        <v>0</v>
      </c>
      <c r="B62" s="88"/>
      <c r="C62" s="76"/>
      <c r="D62" s="86"/>
      <c r="E62" s="86"/>
      <c r="F62" s="90"/>
      <c r="G62" s="91"/>
      <c r="H62" s="86"/>
      <c r="I62" s="86"/>
      <c r="J62" s="86"/>
      <c r="K62" s="86"/>
      <c r="L62" s="86"/>
      <c r="M62" s="86"/>
      <c r="N62" s="90"/>
      <c r="O62" s="90"/>
      <c r="P62" s="90"/>
      <c r="Q62" s="106"/>
      <c r="R62" s="95"/>
      <c r="S62" s="96"/>
      <c r="T62" s="97"/>
      <c r="U62" s="85" t="str">
        <f t="array" ref="U62">IFERROR(index('3. Công thức lab theo từng mã h'!J:J,MATCH(C62,'3. Công thức lab theo từng mã h'!L:L,0)),"")</f>
        <v/>
      </c>
      <c r="V62" s="85"/>
      <c r="W62" s="75"/>
    </row>
    <row r="63">
      <c r="A63" s="64">
        <f t="shared" si="1"/>
        <v>0</v>
      </c>
      <c r="B63" s="98"/>
      <c r="C63" s="64"/>
      <c r="D63" s="16"/>
      <c r="E63" s="16"/>
      <c r="F63" s="100"/>
      <c r="G63" s="101"/>
      <c r="H63" s="16"/>
      <c r="I63" s="16"/>
      <c r="J63" s="16"/>
      <c r="K63" s="16"/>
      <c r="L63" s="16"/>
      <c r="M63" s="16"/>
      <c r="N63" s="100"/>
      <c r="O63" s="100"/>
      <c r="P63" s="100"/>
      <c r="Q63" s="106"/>
      <c r="R63" s="107"/>
      <c r="S63" s="104"/>
      <c r="T63" s="108"/>
      <c r="U63" s="74" t="str">
        <f t="array" ref="U63">IFERROR(index('3. Công thức lab theo từng mã h'!J:J,MATCH(C63,'3. Công thức lab theo từng mã h'!L:L,0)),"")</f>
        <v/>
      </c>
      <c r="V63" s="74"/>
      <c r="W63" s="75"/>
    </row>
    <row r="64">
      <c r="A64" s="76">
        <f t="shared" si="1"/>
        <v>0</v>
      </c>
      <c r="B64" s="88"/>
      <c r="C64" s="76"/>
      <c r="D64" s="86"/>
      <c r="E64" s="86"/>
      <c r="F64" s="90"/>
      <c r="G64" s="91"/>
      <c r="H64" s="86"/>
      <c r="I64" s="86"/>
      <c r="J64" s="86"/>
      <c r="K64" s="86"/>
      <c r="L64" s="86"/>
      <c r="M64" s="86"/>
      <c r="N64" s="90"/>
      <c r="O64" s="90"/>
      <c r="P64" s="90"/>
      <c r="Q64" s="106"/>
      <c r="R64" s="95"/>
      <c r="S64" s="96"/>
      <c r="T64" s="97"/>
      <c r="U64" s="85" t="str">
        <f t="array" ref="U64">IFERROR(index('3. Công thức lab theo từng mã h'!J:J,MATCH(C64,'3. Công thức lab theo từng mã h'!L:L,0)),"")</f>
        <v/>
      </c>
      <c r="V64" s="85"/>
      <c r="W64" s="75"/>
    </row>
    <row r="65">
      <c r="A65" s="64">
        <f t="shared" si="1"/>
        <v>0</v>
      </c>
      <c r="B65" s="98"/>
      <c r="C65" s="64"/>
      <c r="D65" s="16"/>
      <c r="E65" s="16"/>
      <c r="F65" s="100"/>
      <c r="G65" s="101"/>
      <c r="H65" s="16"/>
      <c r="I65" s="16"/>
      <c r="J65" s="16"/>
      <c r="K65" s="16"/>
      <c r="L65" s="16"/>
      <c r="M65" s="16"/>
      <c r="N65" s="100"/>
      <c r="O65" s="100"/>
      <c r="P65" s="100"/>
      <c r="Q65" s="106"/>
      <c r="R65" s="107"/>
      <c r="S65" s="104"/>
      <c r="T65" s="108"/>
      <c r="U65" s="74" t="str">
        <f t="array" ref="U65">IFERROR(index('3. Công thức lab theo từng mã h'!J:J,MATCH(C65,'3. Công thức lab theo từng mã h'!L:L,0)),"")</f>
        <v/>
      </c>
      <c r="V65" s="74"/>
      <c r="W65" s="75"/>
    </row>
    <row r="66">
      <c r="A66" s="76">
        <f t="shared" si="1"/>
        <v>0</v>
      </c>
      <c r="B66" s="88"/>
      <c r="C66" s="76"/>
      <c r="D66" s="86"/>
      <c r="E66" s="86"/>
      <c r="F66" s="90"/>
      <c r="G66" s="91"/>
      <c r="H66" s="86"/>
      <c r="I66" s="86"/>
      <c r="J66" s="86"/>
      <c r="K66" s="86"/>
      <c r="L66" s="86"/>
      <c r="M66" s="86"/>
      <c r="N66" s="90"/>
      <c r="O66" s="90"/>
      <c r="P66" s="90"/>
      <c r="Q66" s="106"/>
      <c r="R66" s="95"/>
      <c r="S66" s="96"/>
      <c r="T66" s="97"/>
      <c r="U66" s="85" t="str">
        <f t="array" ref="U66">IFERROR(index('3. Công thức lab theo từng mã h'!J:J,MATCH(C66,'3. Công thức lab theo từng mã h'!L:L,0)),"")</f>
        <v/>
      </c>
      <c r="V66" s="85"/>
      <c r="W66" s="75"/>
    </row>
    <row r="67">
      <c r="A67" s="64">
        <f t="shared" si="1"/>
        <v>0</v>
      </c>
      <c r="B67" s="98"/>
      <c r="C67" s="64"/>
      <c r="D67" s="16"/>
      <c r="E67" s="16"/>
      <c r="F67" s="100"/>
      <c r="G67" s="101"/>
      <c r="H67" s="16"/>
      <c r="I67" s="16"/>
      <c r="J67" s="16"/>
      <c r="K67" s="16"/>
      <c r="L67" s="16"/>
      <c r="M67" s="16"/>
      <c r="N67" s="100"/>
      <c r="O67" s="100"/>
      <c r="P67" s="100"/>
      <c r="Q67" s="106"/>
      <c r="R67" s="107"/>
      <c r="S67" s="104"/>
      <c r="T67" s="108"/>
      <c r="U67" s="74" t="str">
        <f t="array" ref="U67">IFERROR(index('3. Công thức lab theo từng mã h'!J:J,MATCH(C67,'3. Công thức lab theo từng mã h'!L:L,0)),"")</f>
        <v/>
      </c>
      <c r="V67" s="74"/>
      <c r="W67" s="75"/>
    </row>
    <row r="68">
      <c r="A68" s="76">
        <f t="shared" si="1"/>
        <v>0</v>
      </c>
      <c r="B68" s="88"/>
      <c r="C68" s="76"/>
      <c r="D68" s="86"/>
      <c r="E68" s="86"/>
      <c r="F68" s="90"/>
      <c r="G68" s="91"/>
      <c r="H68" s="86"/>
      <c r="I68" s="86"/>
      <c r="J68" s="86"/>
      <c r="K68" s="86"/>
      <c r="L68" s="86"/>
      <c r="M68" s="86"/>
      <c r="N68" s="90"/>
      <c r="O68" s="90"/>
      <c r="P68" s="90"/>
      <c r="Q68" s="106"/>
      <c r="R68" s="95"/>
      <c r="S68" s="96"/>
      <c r="T68" s="97"/>
      <c r="U68" s="85" t="str">
        <f t="array" ref="U68">IFERROR(index('3. Công thức lab theo từng mã h'!J:J,MATCH(C68,'3. Công thức lab theo từng mã h'!L:L,0)),"")</f>
        <v/>
      </c>
      <c r="V68" s="85"/>
      <c r="W68" s="75"/>
    </row>
    <row r="69">
      <c r="A69" s="64">
        <f t="shared" si="1"/>
        <v>0</v>
      </c>
      <c r="B69" s="98"/>
      <c r="C69" s="64"/>
      <c r="D69" s="16"/>
      <c r="E69" s="16"/>
      <c r="F69" s="100"/>
      <c r="G69" s="101"/>
      <c r="H69" s="16"/>
      <c r="I69" s="16"/>
      <c r="J69" s="16"/>
      <c r="K69" s="16"/>
      <c r="L69" s="16"/>
      <c r="M69" s="16"/>
      <c r="N69" s="100"/>
      <c r="O69" s="100"/>
      <c r="P69" s="100"/>
      <c r="Q69" s="106"/>
      <c r="R69" s="107"/>
      <c r="S69" s="104"/>
      <c r="T69" s="108"/>
      <c r="U69" s="74" t="str">
        <f t="array" ref="U69">IFERROR(index('3. Công thức lab theo từng mã h'!J:J,MATCH(C69,'3. Công thức lab theo từng mã h'!L:L,0)),"")</f>
        <v/>
      </c>
      <c r="V69" s="74"/>
      <c r="W69" s="75"/>
    </row>
    <row r="70">
      <c r="A70" s="76">
        <f t="shared" si="1"/>
        <v>0</v>
      </c>
      <c r="B70" s="88"/>
      <c r="C70" s="76"/>
      <c r="D70" s="86"/>
      <c r="E70" s="86"/>
      <c r="F70" s="90"/>
      <c r="G70" s="91"/>
      <c r="H70" s="86"/>
      <c r="I70" s="86"/>
      <c r="J70" s="86"/>
      <c r="K70" s="86"/>
      <c r="L70" s="86"/>
      <c r="M70" s="86"/>
      <c r="N70" s="90"/>
      <c r="O70" s="90"/>
      <c r="P70" s="90"/>
      <c r="Q70" s="106"/>
      <c r="R70" s="95"/>
      <c r="S70" s="96"/>
      <c r="T70" s="97"/>
      <c r="U70" s="85" t="str">
        <f t="array" ref="U70">IFERROR(index('3. Công thức lab theo từng mã h'!J:J,MATCH(C70,'3. Công thức lab theo từng mã h'!L:L,0)),"")</f>
        <v/>
      </c>
      <c r="V70" s="85"/>
      <c r="W70" s="75"/>
    </row>
    <row r="71">
      <c r="A71" s="64">
        <f t="shared" si="1"/>
        <v>0</v>
      </c>
      <c r="B71" s="98"/>
      <c r="C71" s="64"/>
      <c r="D71" s="16"/>
      <c r="E71" s="16"/>
      <c r="F71" s="100"/>
      <c r="G71" s="101"/>
      <c r="H71" s="16"/>
      <c r="I71" s="16"/>
      <c r="J71" s="16"/>
      <c r="K71" s="16"/>
      <c r="L71" s="16"/>
      <c r="M71" s="16"/>
      <c r="N71" s="100"/>
      <c r="O71" s="100"/>
      <c r="P71" s="100"/>
      <c r="Q71" s="106"/>
      <c r="R71" s="107"/>
      <c r="S71" s="104"/>
      <c r="T71" s="108"/>
      <c r="U71" s="74" t="str">
        <f t="array" ref="U71">IFERROR(index('3. Công thức lab theo từng mã h'!J:J,MATCH(C71,'3. Công thức lab theo từng mã h'!L:L,0)),"")</f>
        <v/>
      </c>
      <c r="V71" s="74"/>
      <c r="W71" s="75"/>
    </row>
    <row r="72">
      <c r="A72" s="76">
        <f t="shared" si="1"/>
        <v>0</v>
      </c>
      <c r="B72" s="88"/>
      <c r="C72" s="76"/>
      <c r="D72" s="86"/>
      <c r="E72" s="86"/>
      <c r="F72" s="90"/>
      <c r="G72" s="91"/>
      <c r="H72" s="86"/>
      <c r="I72" s="86"/>
      <c r="J72" s="86"/>
      <c r="K72" s="86"/>
      <c r="L72" s="86"/>
      <c r="M72" s="86"/>
      <c r="N72" s="90"/>
      <c r="O72" s="90"/>
      <c r="P72" s="90"/>
      <c r="Q72" s="106"/>
      <c r="R72" s="95"/>
      <c r="S72" s="96"/>
      <c r="T72" s="97"/>
      <c r="U72" s="85" t="str">
        <f t="array" ref="U72">IFERROR(index('3. Công thức lab theo từng mã h'!J:J,MATCH(C72,'3. Công thức lab theo từng mã h'!L:L,0)),"")</f>
        <v/>
      </c>
      <c r="V72" s="85"/>
      <c r="W72" s="75"/>
    </row>
    <row r="73">
      <c r="A73" s="64">
        <f t="shared" si="1"/>
        <v>0</v>
      </c>
      <c r="B73" s="98"/>
      <c r="C73" s="64"/>
      <c r="D73" s="16"/>
      <c r="E73" s="16"/>
      <c r="F73" s="100"/>
      <c r="G73" s="101"/>
      <c r="H73" s="16"/>
      <c r="I73" s="16"/>
      <c r="J73" s="16"/>
      <c r="K73" s="16"/>
      <c r="L73" s="16"/>
      <c r="M73" s="16"/>
      <c r="N73" s="100"/>
      <c r="O73" s="100"/>
      <c r="P73" s="100"/>
      <c r="Q73" s="106"/>
      <c r="R73" s="107"/>
      <c r="S73" s="104"/>
      <c r="T73" s="108"/>
      <c r="U73" s="74" t="str">
        <f t="array" ref="U73">IFERROR(index('3. Công thức lab theo từng mã h'!J:J,MATCH(C73,'3. Công thức lab theo từng mã h'!L:L,0)),"")</f>
        <v/>
      </c>
      <c r="V73" s="74"/>
      <c r="W73" s="75"/>
    </row>
    <row r="74">
      <c r="A74" s="76">
        <f t="shared" si="1"/>
        <v>0</v>
      </c>
      <c r="B74" s="88"/>
      <c r="C74" s="76"/>
      <c r="D74" s="86"/>
      <c r="E74" s="86"/>
      <c r="F74" s="90"/>
      <c r="G74" s="91"/>
      <c r="H74" s="86"/>
      <c r="I74" s="86"/>
      <c r="J74" s="86"/>
      <c r="K74" s="86"/>
      <c r="L74" s="86"/>
      <c r="M74" s="86"/>
      <c r="N74" s="90"/>
      <c r="O74" s="90"/>
      <c r="P74" s="90"/>
      <c r="Q74" s="106"/>
      <c r="R74" s="95"/>
      <c r="S74" s="96"/>
      <c r="T74" s="97"/>
      <c r="U74" s="85" t="str">
        <f t="array" ref="U74">IFERROR(index('3. Công thức lab theo từng mã h'!J:J,MATCH(C74,'3. Công thức lab theo từng mã h'!L:L,0)),"")</f>
        <v/>
      </c>
      <c r="V74" s="85"/>
      <c r="W74" s="75"/>
    </row>
    <row r="75">
      <c r="A75" s="64">
        <f t="shared" si="1"/>
        <v>0</v>
      </c>
      <c r="B75" s="98"/>
      <c r="C75" s="64"/>
      <c r="D75" s="16"/>
      <c r="E75" s="16"/>
      <c r="F75" s="100"/>
      <c r="G75" s="101"/>
      <c r="H75" s="16"/>
      <c r="I75" s="16"/>
      <c r="J75" s="16"/>
      <c r="K75" s="16"/>
      <c r="L75" s="16"/>
      <c r="M75" s="16"/>
      <c r="N75" s="100"/>
      <c r="O75" s="100"/>
      <c r="P75" s="100"/>
      <c r="Q75" s="106"/>
      <c r="R75" s="107"/>
      <c r="S75" s="104"/>
      <c r="T75" s="108"/>
      <c r="U75" s="74" t="str">
        <f t="array" ref="U75">IFERROR(index('3. Công thức lab theo từng mã h'!J:J,MATCH(C75,'3. Công thức lab theo từng mã h'!L:L,0)),"")</f>
        <v/>
      </c>
      <c r="V75" s="74"/>
      <c r="W75" s="75"/>
    </row>
    <row r="76">
      <c r="A76" s="76">
        <f t="shared" si="1"/>
        <v>0</v>
      </c>
      <c r="B76" s="88"/>
      <c r="C76" s="76"/>
      <c r="D76" s="86"/>
      <c r="E76" s="86"/>
      <c r="F76" s="90"/>
      <c r="G76" s="91"/>
      <c r="H76" s="86"/>
      <c r="I76" s="86"/>
      <c r="J76" s="86"/>
      <c r="K76" s="86"/>
      <c r="L76" s="86"/>
      <c r="M76" s="86"/>
      <c r="N76" s="90"/>
      <c r="O76" s="90"/>
      <c r="P76" s="90"/>
      <c r="Q76" s="106"/>
      <c r="R76" s="95"/>
      <c r="S76" s="96"/>
      <c r="T76" s="97"/>
      <c r="U76" s="85" t="str">
        <f t="array" ref="U76">IFERROR(index('3. Công thức lab theo từng mã h'!J:J,MATCH(C76,'3. Công thức lab theo từng mã h'!L:L,0)),"")</f>
        <v/>
      </c>
      <c r="V76" s="85"/>
      <c r="W76" s="75"/>
    </row>
    <row r="77">
      <c r="A77" s="64">
        <f t="shared" si="1"/>
        <v>0</v>
      </c>
      <c r="B77" s="98"/>
      <c r="C77" s="64"/>
      <c r="D77" s="16"/>
      <c r="E77" s="16"/>
      <c r="F77" s="100"/>
      <c r="G77" s="101"/>
      <c r="H77" s="16"/>
      <c r="I77" s="16"/>
      <c r="J77" s="16"/>
      <c r="K77" s="16"/>
      <c r="L77" s="16"/>
      <c r="M77" s="16"/>
      <c r="N77" s="100"/>
      <c r="O77" s="100"/>
      <c r="P77" s="100"/>
      <c r="Q77" s="106"/>
      <c r="R77" s="107"/>
      <c r="S77" s="104"/>
      <c r="T77" s="108"/>
      <c r="U77" s="74" t="str">
        <f t="array" ref="U77">IFERROR(index('3. Công thức lab theo từng mã h'!J:J,MATCH(C77,'3. Công thức lab theo từng mã h'!L:L,0)),"")</f>
        <v/>
      </c>
      <c r="V77" s="74"/>
      <c r="W77" s="75"/>
    </row>
    <row r="78">
      <c r="A78" s="76">
        <f t="shared" si="1"/>
        <v>0</v>
      </c>
      <c r="B78" s="88"/>
      <c r="C78" s="76"/>
      <c r="D78" s="86"/>
      <c r="E78" s="86"/>
      <c r="F78" s="90"/>
      <c r="G78" s="91"/>
      <c r="H78" s="86"/>
      <c r="I78" s="86"/>
      <c r="J78" s="86"/>
      <c r="K78" s="86"/>
      <c r="L78" s="86"/>
      <c r="M78" s="86"/>
      <c r="N78" s="90"/>
      <c r="O78" s="90"/>
      <c r="P78" s="90"/>
      <c r="Q78" s="106"/>
      <c r="R78" s="95"/>
      <c r="S78" s="96"/>
      <c r="T78" s="97"/>
      <c r="U78" s="85" t="str">
        <f t="array" ref="U78">IFERROR(index('3. Công thức lab theo từng mã h'!J:J,MATCH(C78,'3. Công thức lab theo từng mã h'!L:L,0)),"")</f>
        <v/>
      </c>
      <c r="V78" s="85"/>
      <c r="W78" s="75"/>
    </row>
    <row r="79">
      <c r="A79" s="64">
        <f t="shared" si="1"/>
        <v>0</v>
      </c>
      <c r="B79" s="98"/>
      <c r="C79" s="64"/>
      <c r="D79" s="16"/>
      <c r="E79" s="16"/>
      <c r="F79" s="100"/>
      <c r="G79" s="101"/>
      <c r="H79" s="16"/>
      <c r="I79" s="16"/>
      <c r="J79" s="16"/>
      <c r="K79" s="16"/>
      <c r="L79" s="16"/>
      <c r="M79" s="16"/>
      <c r="N79" s="100"/>
      <c r="O79" s="100"/>
      <c r="P79" s="100"/>
      <c r="Q79" s="106"/>
      <c r="R79" s="107"/>
      <c r="S79" s="104"/>
      <c r="T79" s="108"/>
      <c r="U79" s="74" t="str">
        <f t="array" ref="U79">IFERROR(index('3. Công thức lab theo từng mã h'!J:J,MATCH(C79,'3. Công thức lab theo từng mã h'!L:L,0)),"")</f>
        <v/>
      </c>
      <c r="V79" s="74"/>
      <c r="W79" s="75"/>
    </row>
    <row r="80">
      <c r="A80" s="76">
        <f t="shared" si="1"/>
        <v>0</v>
      </c>
      <c r="B80" s="88"/>
      <c r="C80" s="76"/>
      <c r="D80" s="86"/>
      <c r="E80" s="86"/>
      <c r="F80" s="90"/>
      <c r="G80" s="91"/>
      <c r="H80" s="86"/>
      <c r="I80" s="86"/>
      <c r="J80" s="86"/>
      <c r="K80" s="86"/>
      <c r="L80" s="86"/>
      <c r="M80" s="86"/>
      <c r="N80" s="90"/>
      <c r="O80" s="90"/>
      <c r="P80" s="90"/>
      <c r="Q80" s="106"/>
      <c r="R80" s="95"/>
      <c r="S80" s="96"/>
      <c r="T80" s="97"/>
      <c r="U80" s="85" t="str">
        <f t="array" ref="U80">IFERROR(index('3. Công thức lab theo từng mã h'!J:J,MATCH(C80,'3. Công thức lab theo từng mã h'!L:L,0)),"")</f>
        <v/>
      </c>
      <c r="V80" s="85"/>
      <c r="W80" s="75"/>
    </row>
    <row r="81">
      <c r="A81" s="64">
        <f t="shared" si="1"/>
        <v>0</v>
      </c>
      <c r="B81" s="98"/>
      <c r="C81" s="64"/>
      <c r="D81" s="16"/>
      <c r="E81" s="16"/>
      <c r="F81" s="100"/>
      <c r="G81" s="101"/>
      <c r="H81" s="16"/>
      <c r="I81" s="16"/>
      <c r="J81" s="16"/>
      <c r="K81" s="16"/>
      <c r="L81" s="16"/>
      <c r="M81" s="16"/>
      <c r="N81" s="100"/>
      <c r="O81" s="100"/>
      <c r="P81" s="100"/>
      <c r="Q81" s="106"/>
      <c r="R81" s="107"/>
      <c r="S81" s="104"/>
      <c r="T81" s="108"/>
      <c r="U81" s="74" t="str">
        <f t="array" ref="U81">IFERROR(index('3. Công thức lab theo từng mã h'!J:J,MATCH(C81,'3. Công thức lab theo từng mã h'!L:L,0)),"")</f>
        <v/>
      </c>
      <c r="V81" s="74"/>
      <c r="W81" s="75"/>
    </row>
    <row r="82">
      <c r="A82" s="76">
        <f t="shared" si="1"/>
        <v>0</v>
      </c>
      <c r="B82" s="88"/>
      <c r="C82" s="76"/>
      <c r="D82" s="86"/>
      <c r="E82" s="86"/>
      <c r="F82" s="90"/>
      <c r="G82" s="91"/>
      <c r="H82" s="86"/>
      <c r="I82" s="86"/>
      <c r="J82" s="86"/>
      <c r="K82" s="86"/>
      <c r="L82" s="86"/>
      <c r="M82" s="86"/>
      <c r="N82" s="90"/>
      <c r="O82" s="90"/>
      <c r="P82" s="90"/>
      <c r="Q82" s="106"/>
      <c r="R82" s="95"/>
      <c r="S82" s="96"/>
      <c r="T82" s="97"/>
      <c r="U82" s="85" t="str">
        <f t="array" ref="U82">IFERROR(index('3. Công thức lab theo từng mã h'!J:J,MATCH(C82,'3. Công thức lab theo từng mã h'!L:L,0)),"")</f>
        <v/>
      </c>
      <c r="V82" s="85"/>
      <c r="W82" s="75"/>
    </row>
    <row r="83">
      <c r="A83" s="64">
        <f t="shared" si="1"/>
        <v>0</v>
      </c>
      <c r="B83" s="98"/>
      <c r="C83" s="64"/>
      <c r="D83" s="16"/>
      <c r="E83" s="16"/>
      <c r="F83" s="100"/>
      <c r="G83" s="101"/>
      <c r="H83" s="16"/>
      <c r="I83" s="16"/>
      <c r="J83" s="16"/>
      <c r="K83" s="16"/>
      <c r="L83" s="16"/>
      <c r="M83" s="16"/>
      <c r="N83" s="100"/>
      <c r="O83" s="100"/>
      <c r="P83" s="100"/>
      <c r="Q83" s="106"/>
      <c r="R83" s="107"/>
      <c r="S83" s="104"/>
      <c r="T83" s="108"/>
      <c r="U83" s="74" t="str">
        <f t="array" ref="U83">IFERROR(index('3. Công thức lab theo từng mã h'!J:J,MATCH(C83,'3. Công thức lab theo từng mã h'!L:L,0)),"")</f>
        <v/>
      </c>
      <c r="V83" s="74"/>
      <c r="W83" s="75"/>
    </row>
    <row r="84">
      <c r="A84" s="76">
        <f t="shared" si="1"/>
        <v>0</v>
      </c>
      <c r="B84" s="88"/>
      <c r="C84" s="76"/>
      <c r="D84" s="86"/>
      <c r="E84" s="86"/>
      <c r="F84" s="90"/>
      <c r="G84" s="91"/>
      <c r="H84" s="86"/>
      <c r="I84" s="86"/>
      <c r="J84" s="86"/>
      <c r="K84" s="86"/>
      <c r="L84" s="86"/>
      <c r="M84" s="86"/>
      <c r="N84" s="90"/>
      <c r="O84" s="90"/>
      <c r="P84" s="90"/>
      <c r="Q84" s="106"/>
      <c r="R84" s="95"/>
      <c r="S84" s="96"/>
      <c r="T84" s="97"/>
      <c r="U84" s="85" t="str">
        <f t="array" ref="U84">IFERROR(index('3. Công thức lab theo từng mã h'!J:J,MATCH(C84,'3. Công thức lab theo từng mã h'!L:L,0)),"")</f>
        <v/>
      </c>
      <c r="V84" s="85"/>
      <c r="W84" s="75"/>
    </row>
    <row r="85">
      <c r="A85" s="64">
        <f t="shared" si="1"/>
        <v>0</v>
      </c>
      <c r="B85" s="98"/>
      <c r="C85" s="64"/>
      <c r="D85" s="16"/>
      <c r="E85" s="16"/>
      <c r="F85" s="100"/>
      <c r="G85" s="101"/>
      <c r="H85" s="16"/>
      <c r="I85" s="16"/>
      <c r="J85" s="16"/>
      <c r="K85" s="16"/>
      <c r="L85" s="16"/>
      <c r="M85" s="16"/>
      <c r="N85" s="100"/>
      <c r="O85" s="100"/>
      <c r="P85" s="100"/>
      <c r="Q85" s="106"/>
      <c r="R85" s="107"/>
      <c r="S85" s="104"/>
      <c r="T85" s="108"/>
      <c r="U85" s="74" t="str">
        <f t="array" ref="U85">IFERROR(index('3. Công thức lab theo từng mã h'!J:J,MATCH(C85,'3. Công thức lab theo từng mã h'!L:L,0)),"")</f>
        <v/>
      </c>
      <c r="V85" s="74"/>
      <c r="W85" s="75"/>
    </row>
    <row r="86">
      <c r="A86" s="76">
        <f t="shared" si="1"/>
        <v>0</v>
      </c>
      <c r="B86" s="88"/>
      <c r="C86" s="76"/>
      <c r="D86" s="86"/>
      <c r="E86" s="86"/>
      <c r="F86" s="90"/>
      <c r="G86" s="91"/>
      <c r="H86" s="86"/>
      <c r="I86" s="86"/>
      <c r="J86" s="86"/>
      <c r="K86" s="86"/>
      <c r="L86" s="86"/>
      <c r="M86" s="86"/>
      <c r="N86" s="90"/>
      <c r="O86" s="90"/>
      <c r="P86" s="90"/>
      <c r="Q86" s="106"/>
      <c r="R86" s="95"/>
      <c r="S86" s="96"/>
      <c r="T86" s="97"/>
      <c r="U86" s="85" t="str">
        <f t="array" ref="U86">IFERROR(index('3. Công thức lab theo từng mã h'!J:J,MATCH(C86,'3. Công thức lab theo từng mã h'!L:L,0)),"")</f>
        <v/>
      </c>
      <c r="V86" s="85"/>
      <c r="W86" s="75"/>
    </row>
    <row r="87">
      <c r="A87" s="64">
        <f t="shared" si="1"/>
        <v>0</v>
      </c>
      <c r="B87" s="98"/>
      <c r="C87" s="64"/>
      <c r="D87" s="16"/>
      <c r="E87" s="16"/>
      <c r="F87" s="100"/>
      <c r="G87" s="101"/>
      <c r="H87" s="16"/>
      <c r="I87" s="16"/>
      <c r="J87" s="16"/>
      <c r="K87" s="16"/>
      <c r="L87" s="16"/>
      <c r="M87" s="16"/>
      <c r="N87" s="100"/>
      <c r="O87" s="100"/>
      <c r="P87" s="100"/>
      <c r="Q87" s="106"/>
      <c r="R87" s="107"/>
      <c r="S87" s="104"/>
      <c r="T87" s="108"/>
      <c r="U87" s="74" t="str">
        <f t="array" ref="U87">IFERROR(index('3. Công thức lab theo từng mã h'!J:J,MATCH(C87,'3. Công thức lab theo từng mã h'!L:L,0)),"")</f>
        <v/>
      </c>
      <c r="V87" s="74"/>
      <c r="W87" s="75"/>
    </row>
    <row r="88">
      <c r="A88" s="76">
        <f t="shared" si="1"/>
        <v>0</v>
      </c>
      <c r="B88" s="88"/>
      <c r="C88" s="76"/>
      <c r="D88" s="86"/>
      <c r="E88" s="86"/>
      <c r="F88" s="90"/>
      <c r="G88" s="91"/>
      <c r="H88" s="86"/>
      <c r="I88" s="86"/>
      <c r="J88" s="86"/>
      <c r="K88" s="86"/>
      <c r="L88" s="86"/>
      <c r="M88" s="86"/>
      <c r="N88" s="90"/>
      <c r="O88" s="90"/>
      <c r="P88" s="90"/>
      <c r="Q88" s="106"/>
      <c r="R88" s="95"/>
      <c r="S88" s="96"/>
      <c r="T88" s="97"/>
      <c r="U88" s="85" t="str">
        <f t="array" ref="U88">IFERROR(index('3. Công thức lab theo từng mã h'!J:J,MATCH(C88,'3. Công thức lab theo từng mã h'!L:L,0)),"")</f>
        <v/>
      </c>
      <c r="V88" s="85"/>
      <c r="W88" s="75"/>
    </row>
    <row r="89">
      <c r="A89" s="64">
        <f t="shared" si="1"/>
        <v>0</v>
      </c>
      <c r="B89" s="98"/>
      <c r="C89" s="64"/>
      <c r="D89" s="16"/>
      <c r="E89" s="16"/>
      <c r="F89" s="100"/>
      <c r="G89" s="101"/>
      <c r="H89" s="16"/>
      <c r="I89" s="16"/>
      <c r="J89" s="16"/>
      <c r="K89" s="16"/>
      <c r="L89" s="16"/>
      <c r="M89" s="16"/>
      <c r="N89" s="100"/>
      <c r="O89" s="100"/>
      <c r="P89" s="100"/>
      <c r="Q89" s="106"/>
      <c r="R89" s="107"/>
      <c r="S89" s="104"/>
      <c r="T89" s="108"/>
      <c r="U89" s="74" t="str">
        <f t="array" ref="U89">IFERROR(index('3. Công thức lab theo từng mã h'!J:J,MATCH(C89,'3. Công thức lab theo từng mã h'!L:L,0)),"")</f>
        <v/>
      </c>
      <c r="V89" s="74"/>
      <c r="W89" s="75"/>
    </row>
    <row r="90">
      <c r="A90" s="76">
        <f t="shared" si="1"/>
        <v>0</v>
      </c>
      <c r="B90" s="88"/>
      <c r="C90" s="76"/>
      <c r="D90" s="86"/>
      <c r="E90" s="86"/>
      <c r="F90" s="90"/>
      <c r="G90" s="91"/>
      <c r="H90" s="86"/>
      <c r="I90" s="86"/>
      <c r="J90" s="86"/>
      <c r="K90" s="86"/>
      <c r="L90" s="86"/>
      <c r="M90" s="86"/>
      <c r="N90" s="90"/>
      <c r="O90" s="90"/>
      <c r="P90" s="90"/>
      <c r="Q90" s="106"/>
      <c r="R90" s="95"/>
      <c r="S90" s="96"/>
      <c r="T90" s="97"/>
      <c r="U90" s="85" t="str">
        <f t="array" ref="U90">IFERROR(index('3. Công thức lab theo từng mã h'!J:J,MATCH(C90,'3. Công thức lab theo từng mã h'!L:L,0)),"")</f>
        <v/>
      </c>
      <c r="V90" s="85"/>
      <c r="W90" s="75"/>
    </row>
    <row r="91">
      <c r="A91" s="64">
        <f t="shared" si="1"/>
        <v>0</v>
      </c>
      <c r="B91" s="98"/>
      <c r="C91" s="64"/>
      <c r="D91" s="16"/>
      <c r="E91" s="16"/>
      <c r="F91" s="100"/>
      <c r="G91" s="101"/>
      <c r="H91" s="16"/>
      <c r="I91" s="16"/>
      <c r="J91" s="16"/>
      <c r="K91" s="16"/>
      <c r="L91" s="16"/>
      <c r="M91" s="16"/>
      <c r="N91" s="100"/>
      <c r="O91" s="100"/>
      <c r="P91" s="100"/>
      <c r="Q91" s="106"/>
      <c r="R91" s="107"/>
      <c r="S91" s="104"/>
      <c r="T91" s="108"/>
      <c r="U91" s="74" t="str">
        <f t="array" ref="U91">IFERROR(index('3. Công thức lab theo từng mã h'!J:J,MATCH(C91,'3. Công thức lab theo từng mã h'!L:L,0)),"")</f>
        <v/>
      </c>
      <c r="V91" s="74"/>
      <c r="W91" s="75"/>
    </row>
    <row r="92">
      <c r="A92" s="76">
        <f t="shared" si="1"/>
        <v>0</v>
      </c>
      <c r="B92" s="88"/>
      <c r="C92" s="76"/>
      <c r="D92" s="86"/>
      <c r="E92" s="86"/>
      <c r="F92" s="90"/>
      <c r="G92" s="91"/>
      <c r="H92" s="86"/>
      <c r="I92" s="86"/>
      <c r="J92" s="86"/>
      <c r="K92" s="86"/>
      <c r="L92" s="86"/>
      <c r="M92" s="86"/>
      <c r="N92" s="90"/>
      <c r="O92" s="90"/>
      <c r="P92" s="90"/>
      <c r="Q92" s="106"/>
      <c r="R92" s="95"/>
      <c r="S92" s="96"/>
      <c r="T92" s="97"/>
      <c r="U92" s="85" t="str">
        <f t="array" ref="U92">IFERROR(index('3. Công thức lab theo từng mã h'!J:J,MATCH(C92,'3. Công thức lab theo từng mã h'!L:L,0)),"")</f>
        <v/>
      </c>
      <c r="V92" s="85"/>
      <c r="W92" s="75"/>
    </row>
    <row r="93">
      <c r="A93" s="64">
        <f t="shared" si="1"/>
        <v>0</v>
      </c>
      <c r="B93" s="98"/>
      <c r="C93" s="64"/>
      <c r="D93" s="16"/>
      <c r="E93" s="16"/>
      <c r="F93" s="100"/>
      <c r="G93" s="101"/>
      <c r="H93" s="16"/>
      <c r="I93" s="16"/>
      <c r="J93" s="16"/>
      <c r="K93" s="16"/>
      <c r="L93" s="16"/>
      <c r="M93" s="16"/>
      <c r="N93" s="100"/>
      <c r="O93" s="100"/>
      <c r="P93" s="100"/>
      <c r="Q93" s="106"/>
      <c r="R93" s="107"/>
      <c r="S93" s="104"/>
      <c r="T93" s="108"/>
      <c r="U93" s="74" t="str">
        <f t="array" ref="U93">IFERROR(index('3. Công thức lab theo từng mã h'!J:J,MATCH(C93,'3. Công thức lab theo từng mã h'!L:L,0)),"")</f>
        <v/>
      </c>
      <c r="V93" s="74"/>
      <c r="W93" s="75"/>
    </row>
    <row r="94">
      <c r="A94" s="76">
        <f t="shared" si="1"/>
        <v>0</v>
      </c>
      <c r="B94" s="88"/>
      <c r="C94" s="76"/>
      <c r="D94" s="86"/>
      <c r="E94" s="86"/>
      <c r="F94" s="90"/>
      <c r="G94" s="91"/>
      <c r="H94" s="86"/>
      <c r="I94" s="86"/>
      <c r="J94" s="86"/>
      <c r="K94" s="86"/>
      <c r="L94" s="86"/>
      <c r="M94" s="86"/>
      <c r="N94" s="90"/>
      <c r="O94" s="90"/>
      <c r="P94" s="90"/>
      <c r="Q94" s="106"/>
      <c r="R94" s="95"/>
      <c r="S94" s="96"/>
      <c r="T94" s="97"/>
      <c r="U94" s="85" t="str">
        <f t="array" ref="U94">IFERROR(index('3. Công thức lab theo từng mã h'!J:J,MATCH(C94,'3. Công thức lab theo từng mã h'!L:L,0)),"")</f>
        <v/>
      </c>
      <c r="V94" s="85"/>
      <c r="W94" s="75"/>
    </row>
    <row r="95">
      <c r="A95" s="64">
        <f t="shared" si="1"/>
        <v>0</v>
      </c>
      <c r="B95" s="98"/>
      <c r="C95" s="64"/>
      <c r="D95" s="16"/>
      <c r="E95" s="16"/>
      <c r="F95" s="100"/>
      <c r="G95" s="101"/>
      <c r="H95" s="16"/>
      <c r="I95" s="16"/>
      <c r="J95" s="16"/>
      <c r="K95" s="16"/>
      <c r="L95" s="16"/>
      <c r="M95" s="16"/>
      <c r="N95" s="100"/>
      <c r="O95" s="100"/>
      <c r="P95" s="100"/>
      <c r="Q95" s="106"/>
      <c r="R95" s="107"/>
      <c r="S95" s="104"/>
      <c r="T95" s="108"/>
      <c r="U95" s="74" t="str">
        <f t="array" ref="U95">IFERROR(index('3. Công thức lab theo từng mã h'!J:J,MATCH(C95,'3. Công thức lab theo từng mã h'!L:L,0)),"")</f>
        <v/>
      </c>
      <c r="V95" s="74"/>
      <c r="W95" s="75"/>
    </row>
    <row r="96">
      <c r="A96" s="76">
        <f t="shared" si="1"/>
        <v>0</v>
      </c>
      <c r="B96" s="88"/>
      <c r="C96" s="76"/>
      <c r="D96" s="86"/>
      <c r="E96" s="86"/>
      <c r="F96" s="90"/>
      <c r="G96" s="91"/>
      <c r="H96" s="86"/>
      <c r="I96" s="86"/>
      <c r="J96" s="86"/>
      <c r="K96" s="86"/>
      <c r="L96" s="86"/>
      <c r="M96" s="86"/>
      <c r="N96" s="90"/>
      <c r="O96" s="90"/>
      <c r="P96" s="90"/>
      <c r="Q96" s="106"/>
      <c r="R96" s="95"/>
      <c r="S96" s="96"/>
      <c r="T96" s="97"/>
      <c r="U96" s="85" t="str">
        <f t="array" ref="U96">IFERROR(index('3. Công thức lab theo từng mã h'!J:J,MATCH(C96,'3. Công thức lab theo từng mã h'!L:L,0)),"")</f>
        <v/>
      </c>
      <c r="V96" s="85"/>
      <c r="W96" s="75"/>
    </row>
    <row r="97">
      <c r="A97" s="64">
        <f t="shared" si="1"/>
        <v>0</v>
      </c>
      <c r="B97" s="98"/>
      <c r="C97" s="64"/>
      <c r="D97" s="16"/>
      <c r="E97" s="16"/>
      <c r="F97" s="100"/>
      <c r="G97" s="101"/>
      <c r="H97" s="16"/>
      <c r="I97" s="16"/>
      <c r="J97" s="16"/>
      <c r="K97" s="16"/>
      <c r="L97" s="16"/>
      <c r="M97" s="16"/>
      <c r="N97" s="100"/>
      <c r="O97" s="100"/>
      <c r="P97" s="100"/>
      <c r="Q97" s="106"/>
      <c r="R97" s="107"/>
      <c r="S97" s="104"/>
      <c r="T97" s="108"/>
      <c r="U97" s="74" t="str">
        <f t="array" ref="U97">IFERROR(index('3. Công thức lab theo từng mã h'!J:J,MATCH(C97,'3. Công thức lab theo từng mã h'!L:L,0)),"")</f>
        <v/>
      </c>
      <c r="V97" s="74"/>
      <c r="W97" s="75"/>
    </row>
    <row r="98">
      <c r="A98" s="76">
        <f t="shared" si="1"/>
        <v>0</v>
      </c>
      <c r="B98" s="88"/>
      <c r="C98" s="76"/>
      <c r="D98" s="86"/>
      <c r="E98" s="86"/>
      <c r="F98" s="90"/>
      <c r="G98" s="91"/>
      <c r="H98" s="86"/>
      <c r="I98" s="86"/>
      <c r="J98" s="86"/>
      <c r="K98" s="86"/>
      <c r="L98" s="86"/>
      <c r="M98" s="86"/>
      <c r="N98" s="90"/>
      <c r="O98" s="90"/>
      <c r="P98" s="90"/>
      <c r="Q98" s="106"/>
      <c r="R98" s="95"/>
      <c r="S98" s="96"/>
      <c r="T98" s="97"/>
      <c r="U98" s="85" t="str">
        <f t="array" ref="U98">IFERROR(index('3. Công thức lab theo từng mã h'!J:J,MATCH(C98,'3. Công thức lab theo từng mã h'!L:L,0)),"")</f>
        <v/>
      </c>
      <c r="V98" s="85"/>
      <c r="W98" s="75"/>
    </row>
    <row r="99">
      <c r="A99" s="64">
        <f t="shared" si="1"/>
        <v>0</v>
      </c>
      <c r="B99" s="98"/>
      <c r="C99" s="64"/>
      <c r="D99" s="16"/>
      <c r="E99" s="16"/>
      <c r="F99" s="100"/>
      <c r="G99" s="101"/>
      <c r="H99" s="16"/>
      <c r="I99" s="16"/>
      <c r="J99" s="16"/>
      <c r="K99" s="16"/>
      <c r="L99" s="16"/>
      <c r="M99" s="16"/>
      <c r="N99" s="100"/>
      <c r="O99" s="100"/>
      <c r="P99" s="100"/>
      <c r="Q99" s="106"/>
      <c r="R99" s="107"/>
      <c r="S99" s="104"/>
      <c r="T99" s="108"/>
      <c r="U99" s="74" t="str">
        <f t="array" ref="U99">IFERROR(index('3. Công thức lab theo từng mã h'!J:J,MATCH(C99,'3. Công thức lab theo từng mã h'!L:L,0)),"")</f>
        <v/>
      </c>
      <c r="V99" s="74"/>
      <c r="W99" s="75"/>
    </row>
    <row r="100">
      <c r="A100" s="76">
        <f t="shared" si="1"/>
        <v>0</v>
      </c>
      <c r="B100" s="88"/>
      <c r="C100" s="76"/>
      <c r="D100" s="86"/>
      <c r="E100" s="86"/>
      <c r="F100" s="90"/>
      <c r="G100" s="91"/>
      <c r="H100" s="86"/>
      <c r="I100" s="86"/>
      <c r="J100" s="86"/>
      <c r="K100" s="86"/>
      <c r="L100" s="86"/>
      <c r="M100" s="86"/>
      <c r="N100" s="90"/>
      <c r="O100" s="90"/>
      <c r="P100" s="90"/>
      <c r="Q100" s="106"/>
      <c r="R100" s="95"/>
      <c r="S100" s="96"/>
      <c r="T100" s="97"/>
      <c r="U100" s="85" t="str">
        <f t="array" ref="U100">IFERROR(index('3. Công thức lab theo từng mã h'!J:J,MATCH(C100,'3. Công thức lab theo từng mã h'!L:L,0)),"")</f>
        <v/>
      </c>
      <c r="V100" s="85"/>
      <c r="W100" s="75"/>
    </row>
    <row r="101">
      <c r="A101" s="64">
        <f t="shared" si="1"/>
        <v>0</v>
      </c>
      <c r="B101" s="98"/>
      <c r="C101" s="64"/>
      <c r="D101" s="16"/>
      <c r="E101" s="16"/>
      <c r="F101" s="100"/>
      <c r="G101" s="101"/>
      <c r="H101" s="16"/>
      <c r="I101" s="16"/>
      <c r="J101" s="16"/>
      <c r="K101" s="16"/>
      <c r="L101" s="16"/>
      <c r="M101" s="16"/>
      <c r="N101" s="100"/>
      <c r="O101" s="100"/>
      <c r="P101" s="100"/>
      <c r="Q101" s="106"/>
      <c r="R101" s="107"/>
      <c r="S101" s="104"/>
      <c r="T101" s="108"/>
      <c r="U101" s="74" t="str">
        <f t="array" ref="U101">IFERROR(index('3. Công thức lab theo từng mã h'!J:J,MATCH(C101,'3. Công thức lab theo từng mã h'!L:L,0)),"")</f>
        <v/>
      </c>
      <c r="V101" s="74"/>
      <c r="W101" s="75"/>
    </row>
    <row r="102">
      <c r="A102" s="76">
        <f t="shared" si="1"/>
        <v>0</v>
      </c>
      <c r="B102" s="88"/>
      <c r="C102" s="76"/>
      <c r="D102" s="86"/>
      <c r="E102" s="86"/>
      <c r="F102" s="90"/>
      <c r="G102" s="91"/>
      <c r="H102" s="86"/>
      <c r="I102" s="86"/>
      <c r="J102" s="86"/>
      <c r="K102" s="86"/>
      <c r="L102" s="86"/>
      <c r="M102" s="86"/>
      <c r="N102" s="90"/>
      <c r="O102" s="90"/>
      <c r="P102" s="90"/>
      <c r="Q102" s="106"/>
      <c r="R102" s="95"/>
      <c r="S102" s="96"/>
      <c r="T102" s="97"/>
      <c r="U102" s="85" t="str">
        <f t="array" ref="U102">IFERROR(index('3. Công thức lab theo từng mã h'!J:J,MATCH(C102,'3. Công thức lab theo từng mã h'!L:L,0)),"")</f>
        <v/>
      </c>
      <c r="V102" s="85"/>
      <c r="W102" s="75"/>
    </row>
    <row r="103">
      <c r="A103" s="64">
        <f t="shared" si="1"/>
        <v>0</v>
      </c>
      <c r="B103" s="98"/>
      <c r="C103" s="64"/>
      <c r="D103" s="16"/>
      <c r="E103" s="16"/>
      <c r="F103" s="100"/>
      <c r="G103" s="101"/>
      <c r="H103" s="16"/>
      <c r="I103" s="16"/>
      <c r="J103" s="16"/>
      <c r="K103" s="16"/>
      <c r="L103" s="16"/>
      <c r="M103" s="16"/>
      <c r="N103" s="100"/>
      <c r="O103" s="100"/>
      <c r="P103" s="100"/>
      <c r="Q103" s="106"/>
      <c r="R103" s="107"/>
      <c r="S103" s="104"/>
      <c r="T103" s="108"/>
      <c r="U103" s="74" t="str">
        <f t="array" ref="U103">IFERROR(index('3. Công thức lab theo từng mã h'!J:J,MATCH(C103,'3. Công thức lab theo từng mã h'!L:L,0)),"")</f>
        <v/>
      </c>
      <c r="V103" s="74"/>
      <c r="W103" s="75"/>
    </row>
    <row r="104">
      <c r="A104" s="76">
        <f t="shared" si="1"/>
        <v>0</v>
      </c>
      <c r="B104" s="88"/>
      <c r="C104" s="76"/>
      <c r="D104" s="86"/>
      <c r="E104" s="86"/>
      <c r="F104" s="90"/>
      <c r="G104" s="91"/>
      <c r="H104" s="86"/>
      <c r="I104" s="86"/>
      <c r="J104" s="86"/>
      <c r="K104" s="86"/>
      <c r="L104" s="86"/>
      <c r="M104" s="86"/>
      <c r="N104" s="90"/>
      <c r="O104" s="90"/>
      <c r="P104" s="90"/>
      <c r="Q104" s="106"/>
      <c r="R104" s="95"/>
      <c r="S104" s="96"/>
      <c r="T104" s="97"/>
      <c r="U104" s="85" t="str">
        <f t="array" ref="U104">IFERROR(index('3. Công thức lab theo từng mã h'!J:J,MATCH(C104,'3. Công thức lab theo từng mã h'!L:L,0)),"")</f>
        <v/>
      </c>
      <c r="V104" s="85"/>
      <c r="W104" s="75"/>
    </row>
    <row r="105">
      <c r="A105" s="64">
        <f t="shared" si="1"/>
        <v>0</v>
      </c>
      <c r="B105" s="98"/>
      <c r="C105" s="64"/>
      <c r="D105" s="16"/>
      <c r="E105" s="16"/>
      <c r="F105" s="100"/>
      <c r="G105" s="101"/>
      <c r="H105" s="16"/>
      <c r="I105" s="16"/>
      <c r="J105" s="16"/>
      <c r="K105" s="16"/>
      <c r="L105" s="16"/>
      <c r="M105" s="16"/>
      <c r="N105" s="100"/>
      <c r="O105" s="100"/>
      <c r="P105" s="100"/>
      <c r="Q105" s="106"/>
      <c r="R105" s="107"/>
      <c r="S105" s="104"/>
      <c r="T105" s="108"/>
      <c r="U105" s="74" t="str">
        <f t="array" ref="U105">IFERROR(index('3. Công thức lab theo từng mã h'!J:J,MATCH(C105,'3. Công thức lab theo từng mã h'!L:L,0)),"")</f>
        <v/>
      </c>
      <c r="V105" s="74"/>
      <c r="W105" s="75"/>
    </row>
    <row r="106">
      <c r="A106" s="76">
        <f t="shared" si="1"/>
        <v>0</v>
      </c>
      <c r="B106" s="88"/>
      <c r="C106" s="76"/>
      <c r="D106" s="86"/>
      <c r="E106" s="86"/>
      <c r="F106" s="90"/>
      <c r="G106" s="91"/>
      <c r="H106" s="86"/>
      <c r="I106" s="86"/>
      <c r="J106" s="86"/>
      <c r="K106" s="86"/>
      <c r="L106" s="86"/>
      <c r="M106" s="86"/>
      <c r="N106" s="90"/>
      <c r="O106" s="90"/>
      <c r="P106" s="90"/>
      <c r="Q106" s="106"/>
      <c r="R106" s="95"/>
      <c r="S106" s="96"/>
      <c r="T106" s="97"/>
      <c r="U106" s="85" t="str">
        <f t="array" ref="U106">IFERROR(index('3. Công thức lab theo từng mã h'!J:J,MATCH(C106,'3. Công thức lab theo từng mã h'!L:L,0)),"")</f>
        <v/>
      </c>
      <c r="V106" s="85"/>
      <c r="W106" s="75"/>
    </row>
    <row r="107">
      <c r="A107" s="64">
        <f t="shared" si="1"/>
        <v>0</v>
      </c>
      <c r="B107" s="98"/>
      <c r="C107" s="64"/>
      <c r="D107" s="16"/>
      <c r="E107" s="16"/>
      <c r="F107" s="100"/>
      <c r="G107" s="101"/>
      <c r="H107" s="16"/>
      <c r="I107" s="16"/>
      <c r="J107" s="16"/>
      <c r="K107" s="16"/>
      <c r="L107" s="16"/>
      <c r="M107" s="16"/>
      <c r="N107" s="100"/>
      <c r="O107" s="100"/>
      <c r="P107" s="100"/>
      <c r="Q107" s="106"/>
      <c r="R107" s="107"/>
      <c r="S107" s="104"/>
      <c r="T107" s="108"/>
      <c r="U107" s="74" t="str">
        <f t="array" ref="U107">IFERROR(index('3. Công thức lab theo từng mã h'!J:J,MATCH(C107,'3. Công thức lab theo từng mã h'!L:L,0)),"")</f>
        <v/>
      </c>
      <c r="V107" s="74"/>
      <c r="W107" s="75"/>
    </row>
    <row r="108">
      <c r="A108" s="76">
        <f t="shared" si="1"/>
        <v>0</v>
      </c>
      <c r="B108" s="88"/>
      <c r="C108" s="76"/>
      <c r="D108" s="86"/>
      <c r="E108" s="86"/>
      <c r="F108" s="90"/>
      <c r="G108" s="91"/>
      <c r="H108" s="86"/>
      <c r="I108" s="86"/>
      <c r="J108" s="86"/>
      <c r="K108" s="86"/>
      <c r="L108" s="86"/>
      <c r="M108" s="86"/>
      <c r="N108" s="90"/>
      <c r="O108" s="90"/>
      <c r="P108" s="90"/>
      <c r="Q108" s="106"/>
      <c r="R108" s="95"/>
      <c r="S108" s="96"/>
      <c r="T108" s="97"/>
      <c r="U108" s="85" t="str">
        <f t="array" ref="U108">IFERROR(index('3. Công thức lab theo từng mã h'!J:J,MATCH(C108,'3. Công thức lab theo từng mã h'!L:L,0)),"")</f>
        <v/>
      </c>
      <c r="V108" s="85"/>
      <c r="W108" s="75"/>
    </row>
    <row r="109">
      <c r="A109" s="64">
        <f t="shared" si="1"/>
        <v>0</v>
      </c>
      <c r="B109" s="98"/>
      <c r="C109" s="64"/>
      <c r="D109" s="16"/>
      <c r="E109" s="16"/>
      <c r="F109" s="100"/>
      <c r="G109" s="101"/>
      <c r="H109" s="16"/>
      <c r="I109" s="16"/>
      <c r="J109" s="16"/>
      <c r="K109" s="16"/>
      <c r="L109" s="16"/>
      <c r="M109" s="16"/>
      <c r="N109" s="100"/>
      <c r="O109" s="100"/>
      <c r="P109" s="100"/>
      <c r="Q109" s="106"/>
      <c r="R109" s="107"/>
      <c r="S109" s="104"/>
      <c r="T109" s="108"/>
      <c r="U109" s="74" t="str">
        <f t="array" ref="U109">IFERROR(index('3. Công thức lab theo từng mã h'!J:J,MATCH(C109,'3. Công thức lab theo từng mã h'!L:L,0)),"")</f>
        <v/>
      </c>
      <c r="V109" s="74"/>
      <c r="W109" s="75"/>
    </row>
    <row r="110">
      <c r="A110" s="76">
        <f t="shared" si="1"/>
        <v>0</v>
      </c>
      <c r="B110" s="88"/>
      <c r="C110" s="76"/>
      <c r="D110" s="86"/>
      <c r="E110" s="86"/>
      <c r="F110" s="90"/>
      <c r="G110" s="91"/>
      <c r="H110" s="86"/>
      <c r="I110" s="86"/>
      <c r="J110" s="86"/>
      <c r="K110" s="86"/>
      <c r="L110" s="86"/>
      <c r="M110" s="86"/>
      <c r="N110" s="90"/>
      <c r="O110" s="90"/>
      <c r="P110" s="90"/>
      <c r="Q110" s="106"/>
      <c r="R110" s="95"/>
      <c r="S110" s="96"/>
      <c r="T110" s="97"/>
      <c r="U110" s="85" t="str">
        <f t="array" ref="U110">IFERROR(index('3. Công thức lab theo từng mã h'!J:J,MATCH(C110,'3. Công thức lab theo từng mã h'!L:L,0)),"")</f>
        <v/>
      </c>
      <c r="V110" s="85"/>
      <c r="W110" s="75"/>
    </row>
    <row r="111">
      <c r="A111" s="64">
        <f t="shared" si="1"/>
        <v>0</v>
      </c>
      <c r="B111" s="98"/>
      <c r="C111" s="64"/>
      <c r="D111" s="16"/>
      <c r="E111" s="16"/>
      <c r="F111" s="100"/>
      <c r="G111" s="101"/>
      <c r="H111" s="16"/>
      <c r="I111" s="16"/>
      <c r="J111" s="16"/>
      <c r="K111" s="16"/>
      <c r="L111" s="16"/>
      <c r="M111" s="16"/>
      <c r="N111" s="100"/>
      <c r="O111" s="100"/>
      <c r="P111" s="100"/>
      <c r="Q111" s="106"/>
      <c r="R111" s="107"/>
      <c r="S111" s="104"/>
      <c r="T111" s="108"/>
      <c r="U111" s="74" t="str">
        <f t="array" ref="U111">IFERROR(index('3. Công thức lab theo từng mã h'!J:J,MATCH(C111,'3. Công thức lab theo từng mã h'!L:L,0)),"")</f>
        <v/>
      </c>
      <c r="V111" s="74"/>
      <c r="W111" s="75"/>
    </row>
    <row r="112">
      <c r="A112" s="76">
        <f t="shared" si="1"/>
        <v>0</v>
      </c>
      <c r="B112" s="88"/>
      <c r="C112" s="76"/>
      <c r="D112" s="86"/>
      <c r="E112" s="86"/>
      <c r="F112" s="90"/>
      <c r="G112" s="91"/>
      <c r="H112" s="86"/>
      <c r="I112" s="86"/>
      <c r="J112" s="86"/>
      <c r="K112" s="86"/>
      <c r="L112" s="86"/>
      <c r="M112" s="86"/>
      <c r="N112" s="90"/>
      <c r="O112" s="90"/>
      <c r="P112" s="90"/>
      <c r="Q112" s="106"/>
      <c r="R112" s="95"/>
      <c r="S112" s="96"/>
      <c r="T112" s="97"/>
      <c r="U112" s="85" t="str">
        <f t="array" ref="U112">IFERROR(index('3. Công thức lab theo từng mã h'!J:J,MATCH(C112,'3. Công thức lab theo từng mã h'!L:L,0)),"")</f>
        <v/>
      </c>
      <c r="V112" s="85"/>
      <c r="W112" s="75"/>
    </row>
    <row r="113">
      <c r="A113" s="64">
        <f t="shared" si="1"/>
        <v>0</v>
      </c>
      <c r="B113" s="98"/>
      <c r="C113" s="64"/>
      <c r="D113" s="16"/>
      <c r="E113" s="16"/>
      <c r="F113" s="100"/>
      <c r="G113" s="101"/>
      <c r="H113" s="16"/>
      <c r="I113" s="16"/>
      <c r="J113" s="16"/>
      <c r="K113" s="16"/>
      <c r="L113" s="16"/>
      <c r="M113" s="16"/>
      <c r="N113" s="100"/>
      <c r="O113" s="100"/>
      <c r="P113" s="100"/>
      <c r="Q113" s="106"/>
      <c r="R113" s="107"/>
      <c r="S113" s="104"/>
      <c r="T113" s="108"/>
      <c r="U113" s="74" t="str">
        <f t="array" ref="U113">IFERROR(index('3. Công thức lab theo từng mã h'!J:J,MATCH(C113,'3. Công thức lab theo từng mã h'!L:L,0)),"")</f>
        <v/>
      </c>
      <c r="V113" s="74"/>
      <c r="W113" s="75"/>
    </row>
    <row r="114">
      <c r="A114" s="76">
        <f t="shared" si="1"/>
        <v>0</v>
      </c>
      <c r="B114" s="88"/>
      <c r="C114" s="76"/>
      <c r="D114" s="86"/>
      <c r="E114" s="86"/>
      <c r="F114" s="90"/>
      <c r="G114" s="91"/>
      <c r="H114" s="86"/>
      <c r="I114" s="86"/>
      <c r="J114" s="86"/>
      <c r="K114" s="86"/>
      <c r="L114" s="86"/>
      <c r="M114" s="86"/>
      <c r="N114" s="90"/>
      <c r="O114" s="90"/>
      <c r="P114" s="90"/>
      <c r="Q114" s="106"/>
      <c r="R114" s="95"/>
      <c r="S114" s="96"/>
      <c r="T114" s="97"/>
      <c r="U114" s="85" t="str">
        <f t="array" ref="U114">IFERROR(index('3. Công thức lab theo từng mã h'!J:J,MATCH(C114,'3. Công thức lab theo từng mã h'!L:L,0)),"")</f>
        <v/>
      </c>
      <c r="V114" s="85"/>
      <c r="W114" s="75"/>
    </row>
    <row r="115">
      <c r="A115" s="64">
        <f t="shared" si="1"/>
        <v>0</v>
      </c>
      <c r="B115" s="98"/>
      <c r="C115" s="64"/>
      <c r="D115" s="16"/>
      <c r="E115" s="16"/>
      <c r="F115" s="100"/>
      <c r="G115" s="101"/>
      <c r="H115" s="16"/>
      <c r="I115" s="16"/>
      <c r="J115" s="16"/>
      <c r="K115" s="16"/>
      <c r="L115" s="16"/>
      <c r="M115" s="16"/>
      <c r="N115" s="100"/>
      <c r="O115" s="100"/>
      <c r="P115" s="100"/>
      <c r="Q115" s="106"/>
      <c r="R115" s="107"/>
      <c r="S115" s="104"/>
      <c r="T115" s="108"/>
      <c r="U115" s="74" t="str">
        <f t="array" ref="U115">IFERROR(index('3. Công thức lab theo từng mã h'!J:J,MATCH(C115,'3. Công thức lab theo từng mã h'!L:L,0)),"")</f>
        <v/>
      </c>
      <c r="V115" s="74"/>
      <c r="W115" s="75"/>
    </row>
    <row r="116">
      <c r="A116" s="76">
        <f t="shared" si="1"/>
        <v>0</v>
      </c>
      <c r="B116" s="88"/>
      <c r="C116" s="76"/>
      <c r="D116" s="86"/>
      <c r="E116" s="86"/>
      <c r="F116" s="90"/>
      <c r="G116" s="91"/>
      <c r="H116" s="86"/>
      <c r="I116" s="86"/>
      <c r="J116" s="86"/>
      <c r="K116" s="86"/>
      <c r="L116" s="86"/>
      <c r="M116" s="86"/>
      <c r="N116" s="90"/>
      <c r="O116" s="90"/>
      <c r="P116" s="90"/>
      <c r="Q116" s="106"/>
      <c r="R116" s="95"/>
      <c r="S116" s="96"/>
      <c r="T116" s="97"/>
      <c r="U116" s="85" t="str">
        <f t="array" ref="U116">IFERROR(index('3. Công thức lab theo từng mã h'!J:J,MATCH(C116,'3. Công thức lab theo từng mã h'!L:L,0)),"")</f>
        <v/>
      </c>
      <c r="V116" s="85"/>
      <c r="W116" s="75"/>
    </row>
    <row r="117">
      <c r="A117" s="64">
        <f t="shared" si="1"/>
        <v>0</v>
      </c>
      <c r="B117" s="98"/>
      <c r="C117" s="64"/>
      <c r="D117" s="16"/>
      <c r="E117" s="16"/>
      <c r="F117" s="100"/>
      <c r="G117" s="101"/>
      <c r="H117" s="16"/>
      <c r="I117" s="16"/>
      <c r="J117" s="16"/>
      <c r="K117" s="16"/>
      <c r="L117" s="16"/>
      <c r="M117" s="16"/>
      <c r="N117" s="100"/>
      <c r="O117" s="100"/>
      <c r="P117" s="100"/>
      <c r="Q117" s="106"/>
      <c r="R117" s="107"/>
      <c r="S117" s="104"/>
      <c r="T117" s="108"/>
      <c r="U117" s="74" t="str">
        <f t="array" ref="U117">IFERROR(index('3. Công thức lab theo từng mã h'!J:J,MATCH(C117,'3. Công thức lab theo từng mã h'!L:L,0)),"")</f>
        <v/>
      </c>
      <c r="V117" s="74"/>
      <c r="W117" s="75"/>
    </row>
    <row r="118">
      <c r="A118" s="76">
        <f t="shared" si="1"/>
        <v>0</v>
      </c>
      <c r="B118" s="88"/>
      <c r="C118" s="76"/>
      <c r="D118" s="86"/>
      <c r="E118" s="86"/>
      <c r="F118" s="90"/>
      <c r="G118" s="91"/>
      <c r="H118" s="86"/>
      <c r="I118" s="86"/>
      <c r="J118" s="86"/>
      <c r="K118" s="86"/>
      <c r="L118" s="86"/>
      <c r="M118" s="86"/>
      <c r="N118" s="90"/>
      <c r="O118" s="90"/>
      <c r="P118" s="90"/>
      <c r="Q118" s="106"/>
      <c r="R118" s="95"/>
      <c r="S118" s="96"/>
      <c r="T118" s="97"/>
      <c r="U118" s="85" t="str">
        <f t="array" ref="U118">IFERROR(index('3. Công thức lab theo từng mã h'!J:J,MATCH(C118,'3. Công thức lab theo từng mã h'!L:L,0)),"")</f>
        <v/>
      </c>
      <c r="V118" s="85"/>
      <c r="W118" s="75"/>
    </row>
    <row r="119">
      <c r="A119" s="64">
        <f t="shared" si="1"/>
        <v>0</v>
      </c>
      <c r="B119" s="98"/>
      <c r="C119" s="64"/>
      <c r="D119" s="16"/>
      <c r="E119" s="16"/>
      <c r="F119" s="100"/>
      <c r="G119" s="101"/>
      <c r="H119" s="16"/>
      <c r="I119" s="16"/>
      <c r="J119" s="16"/>
      <c r="K119" s="16"/>
      <c r="L119" s="16"/>
      <c r="M119" s="16"/>
      <c r="N119" s="100"/>
      <c r="O119" s="100"/>
      <c r="P119" s="100"/>
      <c r="Q119" s="106"/>
      <c r="R119" s="107"/>
      <c r="S119" s="104"/>
      <c r="T119" s="108"/>
      <c r="U119" s="74" t="str">
        <f t="array" ref="U119">IFERROR(index('3. Công thức lab theo từng mã h'!J:J,MATCH(C119,'3. Công thức lab theo từng mã h'!L:L,0)),"")</f>
        <v/>
      </c>
      <c r="V119" s="74"/>
      <c r="W119" s="75"/>
    </row>
    <row r="120">
      <c r="A120" s="76">
        <f t="shared" si="1"/>
        <v>0</v>
      </c>
      <c r="B120" s="88"/>
      <c r="C120" s="76"/>
      <c r="D120" s="86"/>
      <c r="E120" s="86"/>
      <c r="F120" s="90"/>
      <c r="G120" s="91"/>
      <c r="H120" s="86"/>
      <c r="I120" s="86"/>
      <c r="J120" s="86"/>
      <c r="K120" s="86"/>
      <c r="L120" s="86"/>
      <c r="M120" s="86"/>
      <c r="N120" s="90"/>
      <c r="O120" s="90"/>
      <c r="P120" s="90"/>
      <c r="Q120" s="106"/>
      <c r="R120" s="95"/>
      <c r="S120" s="96"/>
      <c r="T120" s="97"/>
      <c r="U120" s="85" t="str">
        <f t="array" ref="U120">IFERROR(index('3. Công thức lab theo từng mã h'!J:J,MATCH(C120,'3. Công thức lab theo từng mã h'!L:L,0)),"")</f>
        <v/>
      </c>
      <c r="V120" s="85"/>
      <c r="W120" s="75"/>
    </row>
    <row r="121">
      <c r="A121" s="64">
        <f t="shared" si="1"/>
        <v>0</v>
      </c>
      <c r="B121" s="98"/>
      <c r="C121" s="64"/>
      <c r="D121" s="16"/>
      <c r="E121" s="16"/>
      <c r="F121" s="100"/>
      <c r="G121" s="101"/>
      <c r="H121" s="16"/>
      <c r="I121" s="16"/>
      <c r="J121" s="16"/>
      <c r="K121" s="16"/>
      <c r="L121" s="16"/>
      <c r="M121" s="16"/>
      <c r="N121" s="100"/>
      <c r="O121" s="100"/>
      <c r="P121" s="100"/>
      <c r="Q121" s="106"/>
      <c r="R121" s="107"/>
      <c r="S121" s="104"/>
      <c r="T121" s="108"/>
      <c r="U121" s="74" t="str">
        <f t="array" ref="U121">IFERROR(index('3. Công thức lab theo từng mã h'!J:J,MATCH(C121,'3. Công thức lab theo từng mã h'!L:L,0)),"")</f>
        <v/>
      </c>
      <c r="V121" s="74"/>
      <c r="W121" s="75"/>
    </row>
    <row r="122">
      <c r="A122" s="76">
        <f t="shared" si="1"/>
        <v>0</v>
      </c>
      <c r="B122" s="88"/>
      <c r="C122" s="76"/>
      <c r="D122" s="86"/>
      <c r="E122" s="86"/>
      <c r="F122" s="90"/>
      <c r="G122" s="91"/>
      <c r="H122" s="86"/>
      <c r="I122" s="86"/>
      <c r="J122" s="86"/>
      <c r="K122" s="86"/>
      <c r="L122" s="86"/>
      <c r="M122" s="86"/>
      <c r="N122" s="90"/>
      <c r="O122" s="90"/>
      <c r="P122" s="90"/>
      <c r="Q122" s="106"/>
      <c r="R122" s="95"/>
      <c r="S122" s="96"/>
      <c r="T122" s="97"/>
      <c r="U122" s="85" t="str">
        <f t="array" ref="U122">IFERROR(index('3. Công thức lab theo từng mã h'!J:J,MATCH(C122,'3. Công thức lab theo từng mã h'!L:L,0)),"")</f>
        <v/>
      </c>
      <c r="V122" s="85"/>
      <c r="W122" s="75"/>
    </row>
    <row r="123">
      <c r="A123" s="64">
        <f t="shared" si="1"/>
        <v>0</v>
      </c>
      <c r="B123" s="98"/>
      <c r="C123" s="64"/>
      <c r="D123" s="16"/>
      <c r="E123" s="16"/>
      <c r="F123" s="100"/>
      <c r="G123" s="101"/>
      <c r="H123" s="16"/>
      <c r="I123" s="16"/>
      <c r="J123" s="16"/>
      <c r="K123" s="16"/>
      <c r="L123" s="16"/>
      <c r="M123" s="16"/>
      <c r="N123" s="100"/>
      <c r="O123" s="100"/>
      <c r="P123" s="100"/>
      <c r="Q123" s="106"/>
      <c r="R123" s="107"/>
      <c r="S123" s="104"/>
      <c r="T123" s="108"/>
      <c r="U123" s="74" t="str">
        <f t="array" ref="U123">IFERROR(index('3. Công thức lab theo từng mã h'!J:J,MATCH(C123,'3. Công thức lab theo từng mã h'!L:L,0)),"")</f>
        <v/>
      </c>
      <c r="V123" s="74"/>
      <c r="W123" s="75"/>
    </row>
    <row r="124">
      <c r="A124" s="76">
        <f t="shared" si="1"/>
        <v>0</v>
      </c>
      <c r="B124" s="88"/>
      <c r="C124" s="76"/>
      <c r="D124" s="86"/>
      <c r="E124" s="86"/>
      <c r="F124" s="90"/>
      <c r="G124" s="91"/>
      <c r="H124" s="86"/>
      <c r="I124" s="86"/>
      <c r="J124" s="86"/>
      <c r="K124" s="86"/>
      <c r="L124" s="86"/>
      <c r="M124" s="86"/>
      <c r="N124" s="90"/>
      <c r="O124" s="90"/>
      <c r="P124" s="90"/>
      <c r="Q124" s="106"/>
      <c r="R124" s="95"/>
      <c r="S124" s="96"/>
      <c r="T124" s="97"/>
      <c r="U124" s="85" t="str">
        <f t="array" ref="U124">IFERROR(index('3. Công thức lab theo từng mã h'!J:J,MATCH(C124,'3. Công thức lab theo từng mã h'!L:L,0)),"")</f>
        <v/>
      </c>
      <c r="V124" s="85"/>
      <c r="W124" s="75"/>
    </row>
    <row r="125">
      <c r="A125" s="64">
        <f t="shared" si="1"/>
        <v>0</v>
      </c>
      <c r="B125" s="98"/>
      <c r="C125" s="64"/>
      <c r="D125" s="16"/>
      <c r="E125" s="16"/>
      <c r="F125" s="100"/>
      <c r="G125" s="101"/>
      <c r="H125" s="16"/>
      <c r="I125" s="16"/>
      <c r="J125" s="16"/>
      <c r="K125" s="16"/>
      <c r="L125" s="16"/>
      <c r="M125" s="16"/>
      <c r="N125" s="100"/>
      <c r="O125" s="100"/>
      <c r="P125" s="100"/>
      <c r="Q125" s="106"/>
      <c r="R125" s="107"/>
      <c r="S125" s="104"/>
      <c r="T125" s="108"/>
      <c r="U125" s="74" t="str">
        <f t="array" ref="U125">IFERROR(index('3. Công thức lab theo từng mã h'!J:J,MATCH(C125,'3. Công thức lab theo từng mã h'!L:L,0)),"")</f>
        <v/>
      </c>
      <c r="V125" s="74"/>
      <c r="W125" s="75"/>
    </row>
    <row r="126">
      <c r="A126" s="76">
        <f t="shared" si="1"/>
        <v>0</v>
      </c>
      <c r="B126" s="88"/>
      <c r="C126" s="76"/>
      <c r="D126" s="86"/>
      <c r="E126" s="86"/>
      <c r="F126" s="90"/>
      <c r="G126" s="91"/>
      <c r="H126" s="86"/>
      <c r="I126" s="86"/>
      <c r="J126" s="86"/>
      <c r="K126" s="86"/>
      <c r="L126" s="86"/>
      <c r="M126" s="86"/>
      <c r="N126" s="90"/>
      <c r="O126" s="90"/>
      <c r="P126" s="90"/>
      <c r="Q126" s="106"/>
      <c r="R126" s="95"/>
      <c r="S126" s="96"/>
      <c r="T126" s="97"/>
      <c r="U126" s="85" t="str">
        <f t="array" ref="U126">IFERROR(index('3. Công thức lab theo từng mã h'!J:J,MATCH(C126,'3. Công thức lab theo từng mã h'!L:L,0)),"")</f>
        <v/>
      </c>
      <c r="V126" s="85"/>
      <c r="W126" s="75"/>
    </row>
    <row r="127">
      <c r="A127" s="64">
        <f t="shared" si="1"/>
        <v>0</v>
      </c>
      <c r="B127" s="98"/>
      <c r="C127" s="64"/>
      <c r="D127" s="16"/>
      <c r="E127" s="16"/>
      <c r="F127" s="100"/>
      <c r="G127" s="101"/>
      <c r="H127" s="16"/>
      <c r="I127" s="16"/>
      <c r="J127" s="16"/>
      <c r="K127" s="16"/>
      <c r="L127" s="16"/>
      <c r="M127" s="16"/>
      <c r="N127" s="100"/>
      <c r="O127" s="100"/>
      <c r="P127" s="100"/>
      <c r="Q127" s="106"/>
      <c r="R127" s="107"/>
      <c r="S127" s="104"/>
      <c r="T127" s="108"/>
      <c r="U127" s="74" t="str">
        <f t="array" ref="U127">IFERROR(index('3. Công thức lab theo từng mã h'!J:J,MATCH(C127,'3. Công thức lab theo từng mã h'!L:L,0)),"")</f>
        <v/>
      </c>
      <c r="V127" s="74"/>
      <c r="W127" s="75"/>
    </row>
    <row r="128">
      <c r="A128" s="76">
        <f t="shared" si="1"/>
        <v>0</v>
      </c>
      <c r="B128" s="88"/>
      <c r="C128" s="76"/>
      <c r="D128" s="86"/>
      <c r="E128" s="86"/>
      <c r="F128" s="90"/>
      <c r="G128" s="91"/>
      <c r="H128" s="86"/>
      <c r="I128" s="86"/>
      <c r="J128" s="86"/>
      <c r="K128" s="86"/>
      <c r="L128" s="86"/>
      <c r="M128" s="86"/>
      <c r="N128" s="90"/>
      <c r="O128" s="90"/>
      <c r="P128" s="90"/>
      <c r="Q128" s="106"/>
      <c r="R128" s="95"/>
      <c r="S128" s="96"/>
      <c r="T128" s="97"/>
      <c r="U128" s="85" t="str">
        <f t="array" ref="U128">IFERROR(index('3. Công thức lab theo từng mã h'!J:J,MATCH(C128,'3. Công thức lab theo từng mã h'!L:L,0)),"")</f>
        <v/>
      </c>
      <c r="V128" s="85"/>
      <c r="W128" s="75"/>
    </row>
    <row r="129">
      <c r="A129" s="64">
        <f t="shared" si="1"/>
        <v>0</v>
      </c>
      <c r="B129" s="98"/>
      <c r="C129" s="64"/>
      <c r="D129" s="16"/>
      <c r="E129" s="16"/>
      <c r="F129" s="100"/>
      <c r="G129" s="101"/>
      <c r="H129" s="16"/>
      <c r="I129" s="16"/>
      <c r="J129" s="16"/>
      <c r="K129" s="16"/>
      <c r="L129" s="16"/>
      <c r="M129" s="16"/>
      <c r="N129" s="100"/>
      <c r="O129" s="100"/>
      <c r="P129" s="100"/>
      <c r="Q129" s="106"/>
      <c r="R129" s="107"/>
      <c r="S129" s="104"/>
      <c r="T129" s="108"/>
      <c r="U129" s="74" t="str">
        <f t="array" ref="U129">IFERROR(index('3. Công thức lab theo từng mã h'!J:J,MATCH(C129,'3. Công thức lab theo từng mã h'!L:L,0)),"")</f>
        <v/>
      </c>
      <c r="V129" s="74"/>
      <c r="W129" s="75"/>
    </row>
    <row r="130">
      <c r="A130" s="76">
        <f t="shared" si="1"/>
        <v>0</v>
      </c>
      <c r="B130" s="88"/>
      <c r="C130" s="76"/>
      <c r="D130" s="86"/>
      <c r="E130" s="86"/>
      <c r="F130" s="90"/>
      <c r="G130" s="91"/>
      <c r="H130" s="86"/>
      <c r="I130" s="86"/>
      <c r="J130" s="86"/>
      <c r="K130" s="86"/>
      <c r="L130" s="86"/>
      <c r="M130" s="86"/>
      <c r="N130" s="90"/>
      <c r="O130" s="90"/>
      <c r="P130" s="90"/>
      <c r="Q130" s="106"/>
      <c r="R130" s="95"/>
      <c r="S130" s="96"/>
      <c r="T130" s="97"/>
      <c r="U130" s="85" t="str">
        <f t="array" ref="U130">IFERROR(index('3. Công thức lab theo từng mã h'!J:J,MATCH(C130,'3. Công thức lab theo từng mã h'!L:L,0)),"")</f>
        <v/>
      </c>
      <c r="V130" s="85"/>
      <c r="W130" s="75"/>
    </row>
    <row r="131">
      <c r="A131" s="64">
        <f t="shared" si="1"/>
        <v>0</v>
      </c>
      <c r="B131" s="98"/>
      <c r="C131" s="64"/>
      <c r="D131" s="16"/>
      <c r="E131" s="16"/>
      <c r="F131" s="100"/>
      <c r="G131" s="101"/>
      <c r="H131" s="16"/>
      <c r="I131" s="16"/>
      <c r="J131" s="16"/>
      <c r="K131" s="16"/>
      <c r="L131" s="16"/>
      <c r="M131" s="16"/>
      <c r="N131" s="100"/>
      <c r="O131" s="100"/>
      <c r="P131" s="100"/>
      <c r="Q131" s="106"/>
      <c r="R131" s="107"/>
      <c r="S131" s="104"/>
      <c r="T131" s="108"/>
      <c r="U131" s="74" t="str">
        <f t="array" ref="U131">IFERROR(index('3. Công thức lab theo từng mã h'!J:J,MATCH(C131,'3. Công thức lab theo từng mã h'!L:L,0)),"")</f>
        <v/>
      </c>
      <c r="V131" s="74"/>
      <c r="W131" s="75"/>
    </row>
    <row r="132">
      <c r="A132" s="76">
        <f t="shared" si="1"/>
        <v>0</v>
      </c>
      <c r="B132" s="88"/>
      <c r="C132" s="76"/>
      <c r="D132" s="86"/>
      <c r="E132" s="86"/>
      <c r="F132" s="90"/>
      <c r="G132" s="91"/>
      <c r="H132" s="86"/>
      <c r="I132" s="86"/>
      <c r="J132" s="86"/>
      <c r="K132" s="86"/>
      <c r="L132" s="86"/>
      <c r="M132" s="86"/>
      <c r="N132" s="90"/>
      <c r="O132" s="90"/>
      <c r="P132" s="90"/>
      <c r="Q132" s="106"/>
      <c r="R132" s="95"/>
      <c r="S132" s="96"/>
      <c r="T132" s="97"/>
      <c r="U132" s="85" t="str">
        <f t="array" ref="U132">IFERROR(index('3. Công thức lab theo từng mã h'!J:J,MATCH(C132,'3. Công thức lab theo từng mã h'!L:L,0)),"")</f>
        <v/>
      </c>
      <c r="V132" s="85"/>
      <c r="W132" s="75"/>
    </row>
    <row r="133">
      <c r="A133" s="64">
        <f t="shared" si="1"/>
        <v>0</v>
      </c>
      <c r="B133" s="98"/>
      <c r="C133" s="64"/>
      <c r="D133" s="16"/>
      <c r="E133" s="16"/>
      <c r="F133" s="100"/>
      <c r="G133" s="101"/>
      <c r="H133" s="16"/>
      <c r="I133" s="16"/>
      <c r="J133" s="16"/>
      <c r="K133" s="16"/>
      <c r="L133" s="16"/>
      <c r="M133" s="16"/>
      <c r="N133" s="100"/>
      <c r="O133" s="100"/>
      <c r="P133" s="100"/>
      <c r="Q133" s="106"/>
      <c r="R133" s="107"/>
      <c r="S133" s="104"/>
      <c r="T133" s="108"/>
      <c r="U133" s="74" t="str">
        <f t="array" ref="U133">IFERROR(index('3. Công thức lab theo từng mã h'!J:J,MATCH(C133,'3. Công thức lab theo từng mã h'!L:L,0)),"")</f>
        <v/>
      </c>
      <c r="V133" s="74"/>
      <c r="W133" s="75"/>
    </row>
    <row r="134">
      <c r="A134" s="76">
        <f t="shared" si="1"/>
        <v>0</v>
      </c>
      <c r="B134" s="88"/>
      <c r="C134" s="76"/>
      <c r="D134" s="86"/>
      <c r="E134" s="86"/>
      <c r="F134" s="90"/>
      <c r="G134" s="91"/>
      <c r="H134" s="86"/>
      <c r="I134" s="86"/>
      <c r="J134" s="86"/>
      <c r="K134" s="86"/>
      <c r="L134" s="86"/>
      <c r="M134" s="86"/>
      <c r="N134" s="90"/>
      <c r="O134" s="90"/>
      <c r="P134" s="90"/>
      <c r="Q134" s="106"/>
      <c r="R134" s="95"/>
      <c r="S134" s="96"/>
      <c r="T134" s="97"/>
      <c r="U134" s="85" t="str">
        <f t="array" ref="U134">IFERROR(index('3. Công thức lab theo từng mã h'!J:J,MATCH(C134,'3. Công thức lab theo từng mã h'!L:L,0)),"")</f>
        <v/>
      </c>
      <c r="V134" s="85"/>
      <c r="W134" s="75"/>
    </row>
    <row r="135">
      <c r="A135" s="64">
        <f t="shared" si="1"/>
        <v>0</v>
      </c>
      <c r="B135" s="98"/>
      <c r="C135" s="64"/>
      <c r="D135" s="16"/>
      <c r="E135" s="16"/>
      <c r="F135" s="100"/>
      <c r="G135" s="101"/>
      <c r="H135" s="16"/>
      <c r="I135" s="16"/>
      <c r="J135" s="16"/>
      <c r="K135" s="16"/>
      <c r="L135" s="16"/>
      <c r="M135" s="16"/>
      <c r="N135" s="100"/>
      <c r="O135" s="100"/>
      <c r="P135" s="100"/>
      <c r="Q135" s="106"/>
      <c r="R135" s="107"/>
      <c r="S135" s="104"/>
      <c r="T135" s="108"/>
      <c r="U135" s="74" t="str">
        <f t="array" ref="U135">IFERROR(index('3. Công thức lab theo từng mã h'!J:J,MATCH(C135,'3. Công thức lab theo từng mã h'!L:L,0)),"")</f>
        <v/>
      </c>
      <c r="V135" s="74"/>
      <c r="W135" s="75"/>
    </row>
    <row r="136">
      <c r="A136" s="76">
        <f t="shared" si="1"/>
        <v>0</v>
      </c>
      <c r="B136" s="88"/>
      <c r="C136" s="76"/>
      <c r="D136" s="86"/>
      <c r="E136" s="86"/>
      <c r="F136" s="90"/>
      <c r="G136" s="91"/>
      <c r="H136" s="86"/>
      <c r="I136" s="86"/>
      <c r="J136" s="86"/>
      <c r="K136" s="86"/>
      <c r="L136" s="86"/>
      <c r="M136" s="86"/>
      <c r="N136" s="90"/>
      <c r="O136" s="90"/>
      <c r="P136" s="90"/>
      <c r="Q136" s="106"/>
      <c r="R136" s="95"/>
      <c r="S136" s="96"/>
      <c r="T136" s="97"/>
      <c r="U136" s="85" t="str">
        <f t="array" ref="U136">IFERROR(index('3. Công thức lab theo từng mã h'!J:J,MATCH(C136,'3. Công thức lab theo từng mã h'!L:L,0)),"")</f>
        <v/>
      </c>
      <c r="V136" s="85"/>
      <c r="W136" s="75"/>
    </row>
    <row r="137">
      <c r="A137" s="64">
        <f t="shared" si="1"/>
        <v>0</v>
      </c>
      <c r="B137" s="98"/>
      <c r="C137" s="64"/>
      <c r="D137" s="16"/>
      <c r="E137" s="16"/>
      <c r="F137" s="100"/>
      <c r="G137" s="101"/>
      <c r="H137" s="16"/>
      <c r="I137" s="16"/>
      <c r="J137" s="16"/>
      <c r="K137" s="16"/>
      <c r="L137" s="16"/>
      <c r="M137" s="16"/>
      <c r="N137" s="100"/>
      <c r="O137" s="100"/>
      <c r="P137" s="100"/>
      <c r="Q137" s="106"/>
      <c r="R137" s="107"/>
      <c r="S137" s="104"/>
      <c r="T137" s="108"/>
      <c r="U137" s="74" t="str">
        <f t="array" ref="U137">IFERROR(index('3. Công thức lab theo từng mã h'!J:J,MATCH(C137,'3. Công thức lab theo từng mã h'!L:L,0)),"")</f>
        <v/>
      </c>
      <c r="V137" s="74"/>
      <c r="W137" s="75"/>
    </row>
    <row r="138">
      <c r="A138" s="76">
        <f t="shared" si="1"/>
        <v>0</v>
      </c>
      <c r="B138" s="88"/>
      <c r="C138" s="76"/>
      <c r="D138" s="86"/>
      <c r="E138" s="86"/>
      <c r="F138" s="90"/>
      <c r="G138" s="91"/>
      <c r="H138" s="86"/>
      <c r="I138" s="86"/>
      <c r="J138" s="86"/>
      <c r="K138" s="86"/>
      <c r="L138" s="86"/>
      <c r="M138" s="86"/>
      <c r="N138" s="90"/>
      <c r="O138" s="90"/>
      <c r="P138" s="90"/>
      <c r="Q138" s="106"/>
      <c r="R138" s="95"/>
      <c r="S138" s="96"/>
      <c r="T138" s="97"/>
      <c r="U138" s="85" t="str">
        <f t="array" ref="U138">IFERROR(index('3. Công thức lab theo từng mã h'!J:J,MATCH(C138,'3. Công thức lab theo từng mã h'!L:L,0)),"")</f>
        <v/>
      </c>
      <c r="V138" s="85"/>
      <c r="W138" s="75"/>
    </row>
    <row r="139">
      <c r="A139" s="64">
        <f t="shared" si="1"/>
        <v>0</v>
      </c>
      <c r="B139" s="98"/>
      <c r="C139" s="64"/>
      <c r="D139" s="16"/>
      <c r="E139" s="16"/>
      <c r="F139" s="100"/>
      <c r="G139" s="101"/>
      <c r="H139" s="16"/>
      <c r="I139" s="16"/>
      <c r="J139" s="16"/>
      <c r="K139" s="16"/>
      <c r="L139" s="16"/>
      <c r="M139" s="16"/>
      <c r="N139" s="100"/>
      <c r="O139" s="100"/>
      <c r="P139" s="100"/>
      <c r="Q139" s="106"/>
      <c r="R139" s="107"/>
      <c r="S139" s="104"/>
      <c r="T139" s="108"/>
      <c r="U139" s="74" t="str">
        <f t="array" ref="U139">IFERROR(index('3. Công thức lab theo từng mã h'!J:J,MATCH(C139,'3. Công thức lab theo từng mã h'!L:L,0)),"")</f>
        <v/>
      </c>
      <c r="V139" s="74"/>
      <c r="W139" s="75"/>
    </row>
    <row r="140">
      <c r="A140" s="76">
        <f t="shared" si="1"/>
        <v>0</v>
      </c>
      <c r="B140" s="88"/>
      <c r="C140" s="76"/>
      <c r="D140" s="86"/>
      <c r="E140" s="86"/>
      <c r="F140" s="90"/>
      <c r="G140" s="91"/>
      <c r="H140" s="86"/>
      <c r="I140" s="86"/>
      <c r="J140" s="86"/>
      <c r="K140" s="86"/>
      <c r="L140" s="86"/>
      <c r="M140" s="86"/>
      <c r="N140" s="90"/>
      <c r="O140" s="90"/>
      <c r="P140" s="90"/>
      <c r="Q140" s="106"/>
      <c r="R140" s="95"/>
      <c r="S140" s="96"/>
      <c r="T140" s="97"/>
      <c r="U140" s="85" t="str">
        <f t="array" ref="U140">IFERROR(index('3. Công thức lab theo từng mã h'!J:J,MATCH(C140,'3. Công thức lab theo từng mã h'!L:L,0)),"")</f>
        <v/>
      </c>
      <c r="V140" s="85"/>
      <c r="W140" s="75"/>
    </row>
    <row r="141">
      <c r="A141" s="64">
        <f t="shared" si="1"/>
        <v>0</v>
      </c>
      <c r="B141" s="98"/>
      <c r="C141" s="64"/>
      <c r="D141" s="16"/>
      <c r="E141" s="16"/>
      <c r="F141" s="100"/>
      <c r="G141" s="101"/>
      <c r="H141" s="16"/>
      <c r="I141" s="16"/>
      <c r="J141" s="16"/>
      <c r="K141" s="16"/>
      <c r="L141" s="16"/>
      <c r="M141" s="16"/>
      <c r="N141" s="100"/>
      <c r="O141" s="100"/>
      <c r="P141" s="100"/>
      <c r="Q141" s="106"/>
      <c r="R141" s="107"/>
      <c r="S141" s="104"/>
      <c r="T141" s="108"/>
      <c r="U141" s="74" t="str">
        <f t="array" ref="U141">IFERROR(index('3. Công thức lab theo từng mã h'!J:J,MATCH(C141,'3. Công thức lab theo từng mã h'!L:L,0)),"")</f>
        <v/>
      </c>
      <c r="V141" s="74"/>
      <c r="W141" s="75"/>
    </row>
    <row r="142">
      <c r="A142" s="76">
        <f t="shared" si="1"/>
        <v>0</v>
      </c>
      <c r="B142" s="88"/>
      <c r="C142" s="76"/>
      <c r="D142" s="86"/>
      <c r="E142" s="86"/>
      <c r="F142" s="90"/>
      <c r="G142" s="91"/>
      <c r="H142" s="86"/>
      <c r="I142" s="86"/>
      <c r="J142" s="86"/>
      <c r="K142" s="86"/>
      <c r="L142" s="86"/>
      <c r="M142" s="86"/>
      <c r="N142" s="90"/>
      <c r="O142" s="90"/>
      <c r="P142" s="90"/>
      <c r="Q142" s="106"/>
      <c r="R142" s="95"/>
      <c r="S142" s="96"/>
      <c r="T142" s="97"/>
      <c r="U142" s="85" t="str">
        <f t="array" ref="U142">IFERROR(index('3. Công thức lab theo từng mã h'!J:J,MATCH(C142,'3. Công thức lab theo từng mã h'!L:L,0)),"")</f>
        <v/>
      </c>
      <c r="V142" s="85"/>
      <c r="W142" s="75"/>
    </row>
    <row r="143">
      <c r="A143" s="64">
        <f t="shared" si="1"/>
        <v>0</v>
      </c>
      <c r="B143" s="98"/>
      <c r="C143" s="64"/>
      <c r="D143" s="16"/>
      <c r="E143" s="16"/>
      <c r="F143" s="100"/>
      <c r="G143" s="101"/>
      <c r="H143" s="16"/>
      <c r="I143" s="16"/>
      <c r="J143" s="16"/>
      <c r="K143" s="16"/>
      <c r="L143" s="16"/>
      <c r="M143" s="16"/>
      <c r="N143" s="100"/>
      <c r="O143" s="100"/>
      <c r="P143" s="100"/>
      <c r="Q143" s="106"/>
      <c r="R143" s="107"/>
      <c r="S143" s="104"/>
      <c r="T143" s="108"/>
      <c r="U143" s="74" t="str">
        <f t="array" ref="U143">IFERROR(index('3. Công thức lab theo từng mã h'!J:J,MATCH(C143,'3. Công thức lab theo từng mã h'!L:L,0)),"")</f>
        <v/>
      </c>
      <c r="V143" s="74"/>
      <c r="W143" s="75"/>
    </row>
    <row r="144">
      <c r="A144" s="76">
        <f t="shared" si="1"/>
        <v>0</v>
      </c>
      <c r="B144" s="88"/>
      <c r="C144" s="76"/>
      <c r="D144" s="86"/>
      <c r="E144" s="86"/>
      <c r="F144" s="90"/>
      <c r="G144" s="91"/>
      <c r="H144" s="86"/>
      <c r="I144" s="86"/>
      <c r="J144" s="86"/>
      <c r="K144" s="86"/>
      <c r="L144" s="86"/>
      <c r="M144" s="86"/>
      <c r="N144" s="90"/>
      <c r="O144" s="90"/>
      <c r="P144" s="90"/>
      <c r="Q144" s="106"/>
      <c r="R144" s="95"/>
      <c r="S144" s="96"/>
      <c r="T144" s="97"/>
      <c r="U144" s="85" t="str">
        <f t="array" ref="U144">IFERROR(index('3. Công thức lab theo từng mã h'!J:J,MATCH(C144,'3. Công thức lab theo từng mã h'!L:L,0)),"")</f>
        <v/>
      </c>
      <c r="V144" s="85"/>
      <c r="W144" s="75"/>
    </row>
    <row r="145">
      <c r="A145" s="64">
        <f t="shared" si="1"/>
        <v>0</v>
      </c>
      <c r="B145" s="98"/>
      <c r="C145" s="64"/>
      <c r="D145" s="16"/>
      <c r="E145" s="16"/>
      <c r="F145" s="100"/>
      <c r="G145" s="101"/>
      <c r="H145" s="16"/>
      <c r="I145" s="16"/>
      <c r="J145" s="16"/>
      <c r="K145" s="16"/>
      <c r="L145" s="16"/>
      <c r="M145" s="16"/>
      <c r="N145" s="100"/>
      <c r="O145" s="100"/>
      <c r="P145" s="100"/>
      <c r="Q145" s="106"/>
      <c r="R145" s="107"/>
      <c r="S145" s="104"/>
      <c r="T145" s="108"/>
      <c r="U145" s="74" t="str">
        <f t="array" ref="U145">IFERROR(index('3. Công thức lab theo từng mã h'!J:J,MATCH(C145,'3. Công thức lab theo từng mã h'!L:L,0)),"")</f>
        <v/>
      </c>
      <c r="V145" s="74"/>
      <c r="W145" s="75"/>
    </row>
    <row r="146">
      <c r="A146" s="76">
        <f t="shared" si="1"/>
        <v>0</v>
      </c>
      <c r="B146" s="88"/>
      <c r="C146" s="76"/>
      <c r="D146" s="86"/>
      <c r="E146" s="86"/>
      <c r="F146" s="90"/>
      <c r="G146" s="91"/>
      <c r="H146" s="86"/>
      <c r="I146" s="86"/>
      <c r="J146" s="86"/>
      <c r="K146" s="86"/>
      <c r="L146" s="86"/>
      <c r="M146" s="86"/>
      <c r="N146" s="90"/>
      <c r="O146" s="90"/>
      <c r="P146" s="90"/>
      <c r="Q146" s="106"/>
      <c r="R146" s="95"/>
      <c r="S146" s="96"/>
      <c r="T146" s="97"/>
      <c r="U146" s="85" t="str">
        <f t="array" ref="U146">IFERROR(index('3. Công thức lab theo từng mã h'!J:J,MATCH(C146,'3. Công thức lab theo từng mã h'!L:L,0)),"")</f>
        <v/>
      </c>
      <c r="V146" s="85"/>
      <c r="W146" s="75"/>
    </row>
    <row r="147">
      <c r="A147" s="64">
        <f t="shared" si="1"/>
        <v>0</v>
      </c>
      <c r="B147" s="98"/>
      <c r="C147" s="64"/>
      <c r="D147" s="16"/>
      <c r="E147" s="16"/>
      <c r="F147" s="100"/>
      <c r="G147" s="101"/>
      <c r="H147" s="16"/>
      <c r="I147" s="16"/>
      <c r="J147" s="16"/>
      <c r="K147" s="16"/>
      <c r="L147" s="16"/>
      <c r="M147" s="16"/>
      <c r="N147" s="100"/>
      <c r="O147" s="100"/>
      <c r="P147" s="100"/>
      <c r="Q147" s="106"/>
      <c r="R147" s="107"/>
      <c r="S147" s="104"/>
      <c r="T147" s="108"/>
      <c r="U147" s="74" t="str">
        <f t="array" ref="U147">IFERROR(index('3. Công thức lab theo từng mã h'!J:J,MATCH(C147,'3. Công thức lab theo từng mã h'!L:L,0)),"")</f>
        <v/>
      </c>
      <c r="V147" s="74"/>
      <c r="W147" s="75"/>
    </row>
    <row r="148">
      <c r="A148" s="76">
        <f t="shared" si="1"/>
        <v>0</v>
      </c>
      <c r="B148" s="88"/>
      <c r="C148" s="76"/>
      <c r="D148" s="86"/>
      <c r="E148" s="86"/>
      <c r="F148" s="90"/>
      <c r="G148" s="91"/>
      <c r="H148" s="86"/>
      <c r="I148" s="86"/>
      <c r="J148" s="86"/>
      <c r="K148" s="86"/>
      <c r="L148" s="86"/>
      <c r="M148" s="86"/>
      <c r="N148" s="90"/>
      <c r="O148" s="90"/>
      <c r="P148" s="90"/>
      <c r="Q148" s="106"/>
      <c r="R148" s="95"/>
      <c r="S148" s="96"/>
      <c r="T148" s="97"/>
      <c r="U148" s="85" t="str">
        <f t="array" ref="U148">IFERROR(index('3. Công thức lab theo từng mã h'!J:J,MATCH(C148,'3. Công thức lab theo từng mã h'!L:L,0)),"")</f>
        <v/>
      </c>
      <c r="V148" s="85"/>
      <c r="W148" s="75"/>
    </row>
    <row r="149">
      <c r="A149" s="64">
        <f t="shared" si="1"/>
        <v>0</v>
      </c>
      <c r="B149" s="98"/>
      <c r="C149" s="64"/>
      <c r="D149" s="16"/>
      <c r="E149" s="16"/>
      <c r="F149" s="100"/>
      <c r="G149" s="101"/>
      <c r="H149" s="16"/>
      <c r="I149" s="16"/>
      <c r="J149" s="16"/>
      <c r="K149" s="16"/>
      <c r="L149" s="16"/>
      <c r="M149" s="16"/>
      <c r="N149" s="100"/>
      <c r="O149" s="100"/>
      <c r="P149" s="100"/>
      <c r="Q149" s="106"/>
      <c r="R149" s="107"/>
      <c r="S149" s="104"/>
      <c r="T149" s="108"/>
      <c r="U149" s="74" t="str">
        <f t="array" ref="U149">IFERROR(index('3. Công thức lab theo từng mã h'!J:J,MATCH(C149,'3. Công thức lab theo từng mã h'!L:L,0)),"")</f>
        <v/>
      </c>
      <c r="V149" s="74"/>
      <c r="W149" s="75"/>
    </row>
    <row r="150">
      <c r="A150" s="76">
        <f t="shared" si="1"/>
        <v>0</v>
      </c>
      <c r="B150" s="88"/>
      <c r="C150" s="76"/>
      <c r="D150" s="86"/>
      <c r="E150" s="86"/>
      <c r="F150" s="90"/>
      <c r="G150" s="91"/>
      <c r="H150" s="86"/>
      <c r="I150" s="86"/>
      <c r="J150" s="86"/>
      <c r="K150" s="86"/>
      <c r="L150" s="86"/>
      <c r="M150" s="86"/>
      <c r="N150" s="90"/>
      <c r="O150" s="90"/>
      <c r="P150" s="90"/>
      <c r="Q150" s="106"/>
      <c r="R150" s="95"/>
      <c r="S150" s="96"/>
      <c r="T150" s="97"/>
      <c r="U150" s="85" t="str">
        <f t="array" ref="U150">IFERROR(index('3. Công thức lab theo từng mã h'!J:J,MATCH(C150,'3. Công thức lab theo từng mã h'!L:L,0)),"")</f>
        <v/>
      </c>
      <c r="V150" s="85"/>
      <c r="W150" s="75"/>
    </row>
    <row r="151">
      <c r="A151" s="64">
        <f t="shared" si="1"/>
        <v>0</v>
      </c>
      <c r="B151" s="98"/>
      <c r="C151" s="64"/>
      <c r="D151" s="16"/>
      <c r="E151" s="16"/>
      <c r="F151" s="100"/>
      <c r="G151" s="101"/>
      <c r="H151" s="16"/>
      <c r="I151" s="16"/>
      <c r="J151" s="16"/>
      <c r="K151" s="16"/>
      <c r="L151" s="16"/>
      <c r="M151" s="16"/>
      <c r="N151" s="100"/>
      <c r="O151" s="100"/>
      <c r="P151" s="100"/>
      <c r="Q151" s="106"/>
      <c r="R151" s="107"/>
      <c r="S151" s="104"/>
      <c r="T151" s="108"/>
      <c r="U151" s="74" t="str">
        <f t="array" ref="U151">IFERROR(index('3. Công thức lab theo từng mã h'!J:J,MATCH(C151,'3. Công thức lab theo từng mã h'!L:L,0)),"")</f>
        <v/>
      </c>
      <c r="V151" s="74"/>
      <c r="W151" s="75"/>
    </row>
    <row r="152">
      <c r="A152" s="76">
        <f t="shared" si="1"/>
        <v>0</v>
      </c>
      <c r="B152" s="88"/>
      <c r="C152" s="76"/>
      <c r="D152" s="86"/>
      <c r="E152" s="86"/>
      <c r="F152" s="90"/>
      <c r="G152" s="91"/>
      <c r="H152" s="86"/>
      <c r="I152" s="86"/>
      <c r="J152" s="86"/>
      <c r="K152" s="86"/>
      <c r="L152" s="86"/>
      <c r="M152" s="86"/>
      <c r="N152" s="90"/>
      <c r="O152" s="90"/>
      <c r="P152" s="90"/>
      <c r="Q152" s="106"/>
      <c r="R152" s="95"/>
      <c r="S152" s="96"/>
      <c r="T152" s="97"/>
      <c r="U152" s="85" t="str">
        <f t="array" ref="U152">IFERROR(index('3. Công thức lab theo từng mã h'!J:J,MATCH(C152,'3. Công thức lab theo từng mã h'!L:L,0)),"")</f>
        <v/>
      </c>
      <c r="V152" s="85"/>
      <c r="W152" s="75"/>
    </row>
    <row r="153">
      <c r="A153" s="64">
        <f t="shared" si="1"/>
        <v>0</v>
      </c>
      <c r="B153" s="98"/>
      <c r="C153" s="64"/>
      <c r="D153" s="16"/>
      <c r="E153" s="16"/>
      <c r="F153" s="100"/>
      <c r="G153" s="101"/>
      <c r="H153" s="16"/>
      <c r="I153" s="16"/>
      <c r="J153" s="16"/>
      <c r="K153" s="16"/>
      <c r="L153" s="16"/>
      <c r="M153" s="16"/>
      <c r="N153" s="100"/>
      <c r="O153" s="100"/>
      <c r="P153" s="100"/>
      <c r="Q153" s="106"/>
      <c r="R153" s="107"/>
      <c r="S153" s="104"/>
      <c r="T153" s="108"/>
      <c r="U153" s="74" t="str">
        <f t="array" ref="U153">IFERROR(index('3. Công thức lab theo từng mã h'!J:J,MATCH(C153,'3. Công thức lab theo từng mã h'!L:L,0)),"")</f>
        <v/>
      </c>
      <c r="V153" s="74"/>
      <c r="W153" s="75"/>
    </row>
    <row r="154">
      <c r="A154" s="76">
        <f t="shared" si="1"/>
        <v>0</v>
      </c>
      <c r="B154" s="88"/>
      <c r="C154" s="76"/>
      <c r="D154" s="86"/>
      <c r="E154" s="86"/>
      <c r="F154" s="90"/>
      <c r="G154" s="91"/>
      <c r="H154" s="86"/>
      <c r="I154" s="86"/>
      <c r="J154" s="86"/>
      <c r="K154" s="86"/>
      <c r="L154" s="86"/>
      <c r="M154" s="86"/>
      <c r="N154" s="90"/>
      <c r="O154" s="90"/>
      <c r="P154" s="90"/>
      <c r="Q154" s="106"/>
      <c r="R154" s="95"/>
      <c r="S154" s="96"/>
      <c r="T154" s="97"/>
      <c r="U154" s="85" t="str">
        <f t="array" ref="U154">IFERROR(index('3. Công thức lab theo từng mã h'!J:J,MATCH(C154,'3. Công thức lab theo từng mã h'!L:L,0)),"")</f>
        <v/>
      </c>
      <c r="V154" s="85"/>
      <c r="W154" s="75"/>
    </row>
    <row r="155">
      <c r="A155" s="64">
        <f t="shared" si="1"/>
        <v>0</v>
      </c>
      <c r="B155" s="98"/>
      <c r="C155" s="64"/>
      <c r="D155" s="16"/>
      <c r="E155" s="16"/>
      <c r="F155" s="100"/>
      <c r="G155" s="101"/>
      <c r="H155" s="16"/>
      <c r="I155" s="16"/>
      <c r="J155" s="16"/>
      <c r="K155" s="16"/>
      <c r="L155" s="16"/>
      <c r="M155" s="16"/>
      <c r="N155" s="100"/>
      <c r="O155" s="100"/>
      <c r="P155" s="100"/>
      <c r="Q155" s="106"/>
      <c r="R155" s="107"/>
      <c r="S155" s="104"/>
      <c r="T155" s="108"/>
      <c r="U155" s="74" t="str">
        <f t="array" ref="U155">IFERROR(index('3. Công thức lab theo từng mã h'!J:J,MATCH(C155,'3. Công thức lab theo từng mã h'!L:L,0)),"")</f>
        <v/>
      </c>
      <c r="V155" s="74"/>
      <c r="W155" s="75"/>
    </row>
    <row r="156">
      <c r="A156" s="76">
        <f t="shared" si="1"/>
        <v>0</v>
      </c>
      <c r="B156" s="88"/>
      <c r="C156" s="76"/>
      <c r="D156" s="86"/>
      <c r="E156" s="86"/>
      <c r="F156" s="90"/>
      <c r="G156" s="91"/>
      <c r="H156" s="86"/>
      <c r="I156" s="86"/>
      <c r="J156" s="86"/>
      <c r="K156" s="86"/>
      <c r="L156" s="86"/>
      <c r="M156" s="86"/>
      <c r="N156" s="90"/>
      <c r="O156" s="90"/>
      <c r="P156" s="90"/>
      <c r="Q156" s="106"/>
      <c r="R156" s="95"/>
      <c r="S156" s="96"/>
      <c r="T156" s="97"/>
      <c r="U156" s="85" t="str">
        <f t="array" ref="U156">IFERROR(index('3. Công thức lab theo từng mã h'!J:J,MATCH(C156,'3. Công thức lab theo từng mã h'!L:L,0)),"")</f>
        <v/>
      </c>
      <c r="V156" s="85"/>
      <c r="W156" s="75"/>
    </row>
    <row r="157">
      <c r="A157" s="64">
        <f t="shared" si="1"/>
        <v>0</v>
      </c>
      <c r="B157" s="98"/>
      <c r="C157" s="64"/>
      <c r="D157" s="16"/>
      <c r="E157" s="16"/>
      <c r="F157" s="100"/>
      <c r="G157" s="101"/>
      <c r="H157" s="16"/>
      <c r="I157" s="16"/>
      <c r="J157" s="16"/>
      <c r="K157" s="16"/>
      <c r="L157" s="16"/>
      <c r="M157" s="16"/>
      <c r="N157" s="100"/>
      <c r="O157" s="100"/>
      <c r="P157" s="100"/>
      <c r="Q157" s="106"/>
      <c r="R157" s="107"/>
      <c r="S157" s="104"/>
      <c r="T157" s="108"/>
      <c r="U157" s="74" t="str">
        <f t="array" ref="U157">IFERROR(index('3. Công thức lab theo từng mã h'!J:J,MATCH(C157,'3. Công thức lab theo từng mã h'!L:L,0)),"")</f>
        <v/>
      </c>
      <c r="V157" s="74"/>
      <c r="W157" s="75"/>
    </row>
    <row r="158">
      <c r="A158" s="76">
        <f t="shared" si="1"/>
        <v>0</v>
      </c>
      <c r="B158" s="88"/>
      <c r="C158" s="76"/>
      <c r="D158" s="86"/>
      <c r="E158" s="86"/>
      <c r="F158" s="90"/>
      <c r="G158" s="91"/>
      <c r="H158" s="86"/>
      <c r="I158" s="86"/>
      <c r="J158" s="86"/>
      <c r="K158" s="86"/>
      <c r="L158" s="86"/>
      <c r="M158" s="86"/>
      <c r="N158" s="90"/>
      <c r="O158" s="90"/>
      <c r="P158" s="90"/>
      <c r="Q158" s="106"/>
      <c r="R158" s="95"/>
      <c r="S158" s="96"/>
      <c r="T158" s="97"/>
      <c r="U158" s="85" t="str">
        <f t="array" ref="U158">IFERROR(index('3. Công thức lab theo từng mã h'!J:J,MATCH(C158,'3. Công thức lab theo từng mã h'!L:L,0)),"")</f>
        <v/>
      </c>
      <c r="V158" s="85"/>
      <c r="W158" s="75"/>
    </row>
    <row r="159">
      <c r="A159" s="64">
        <f t="shared" si="1"/>
        <v>0</v>
      </c>
      <c r="B159" s="98"/>
      <c r="C159" s="64"/>
      <c r="D159" s="16"/>
      <c r="E159" s="16"/>
      <c r="F159" s="100"/>
      <c r="G159" s="101"/>
      <c r="H159" s="16"/>
      <c r="I159" s="16"/>
      <c r="J159" s="16"/>
      <c r="K159" s="16"/>
      <c r="L159" s="16"/>
      <c r="M159" s="16"/>
      <c r="N159" s="100"/>
      <c r="O159" s="100"/>
      <c r="P159" s="100"/>
      <c r="Q159" s="106"/>
      <c r="R159" s="107"/>
      <c r="S159" s="104"/>
      <c r="T159" s="108"/>
      <c r="U159" s="74" t="str">
        <f t="array" ref="U159">IFERROR(index('3. Công thức lab theo từng mã h'!J:J,MATCH(C159,'3. Công thức lab theo từng mã h'!L:L,0)),"")</f>
        <v/>
      </c>
      <c r="V159" s="74"/>
      <c r="W159" s="75"/>
    </row>
    <row r="160">
      <c r="A160" s="76">
        <f t="shared" si="1"/>
        <v>0</v>
      </c>
      <c r="B160" s="88"/>
      <c r="C160" s="76"/>
      <c r="D160" s="86"/>
      <c r="E160" s="86"/>
      <c r="F160" s="90"/>
      <c r="G160" s="91"/>
      <c r="H160" s="86"/>
      <c r="I160" s="86"/>
      <c r="J160" s="86"/>
      <c r="K160" s="86"/>
      <c r="L160" s="86"/>
      <c r="M160" s="86"/>
      <c r="N160" s="90"/>
      <c r="O160" s="90"/>
      <c r="P160" s="90"/>
      <c r="Q160" s="106"/>
      <c r="R160" s="95"/>
      <c r="S160" s="96"/>
      <c r="T160" s="97"/>
      <c r="U160" s="85" t="str">
        <f t="array" ref="U160">IFERROR(index('3. Công thức lab theo từng mã h'!J:J,MATCH(C160,'3. Công thức lab theo từng mã h'!L:L,0)),"")</f>
        <v/>
      </c>
      <c r="V160" s="85"/>
      <c r="W160" s="75"/>
    </row>
    <row r="161">
      <c r="A161" s="64">
        <f t="shared" si="1"/>
        <v>0</v>
      </c>
      <c r="B161" s="98"/>
      <c r="C161" s="64"/>
      <c r="D161" s="16"/>
      <c r="E161" s="16"/>
      <c r="F161" s="100"/>
      <c r="G161" s="101"/>
      <c r="H161" s="16"/>
      <c r="I161" s="16"/>
      <c r="J161" s="16"/>
      <c r="K161" s="16"/>
      <c r="L161" s="16"/>
      <c r="M161" s="16"/>
      <c r="N161" s="100"/>
      <c r="O161" s="100"/>
      <c r="P161" s="100"/>
      <c r="Q161" s="106"/>
      <c r="R161" s="107"/>
      <c r="S161" s="104"/>
      <c r="T161" s="108"/>
      <c r="U161" s="74" t="str">
        <f t="array" ref="U161">IFERROR(index('3. Công thức lab theo từng mã h'!J:J,MATCH(C161,'3. Công thức lab theo từng mã h'!L:L,0)),"")</f>
        <v/>
      </c>
      <c r="V161" s="74"/>
      <c r="W161" s="75"/>
    </row>
    <row r="162">
      <c r="A162" s="76">
        <f t="shared" si="1"/>
        <v>0</v>
      </c>
      <c r="B162" s="88"/>
      <c r="C162" s="76"/>
      <c r="D162" s="86"/>
      <c r="E162" s="86"/>
      <c r="F162" s="90"/>
      <c r="G162" s="91"/>
      <c r="H162" s="86"/>
      <c r="I162" s="86"/>
      <c r="J162" s="86"/>
      <c r="K162" s="86"/>
      <c r="L162" s="86"/>
      <c r="M162" s="86"/>
      <c r="N162" s="90"/>
      <c r="O162" s="90"/>
      <c r="P162" s="90"/>
      <c r="Q162" s="106"/>
      <c r="R162" s="95"/>
      <c r="S162" s="96"/>
      <c r="T162" s="97"/>
      <c r="U162" s="85" t="str">
        <f t="array" ref="U162">IFERROR(index('3. Công thức lab theo từng mã h'!J:J,MATCH(C162,'3. Công thức lab theo từng mã h'!L:L,0)),"")</f>
        <v/>
      </c>
      <c r="V162" s="85"/>
      <c r="W162" s="75"/>
    </row>
    <row r="163">
      <c r="A163" s="64">
        <f t="shared" si="1"/>
        <v>0</v>
      </c>
      <c r="B163" s="98"/>
      <c r="C163" s="64"/>
      <c r="D163" s="16"/>
      <c r="E163" s="16"/>
      <c r="F163" s="100"/>
      <c r="G163" s="101"/>
      <c r="H163" s="16"/>
      <c r="I163" s="16"/>
      <c r="J163" s="16"/>
      <c r="K163" s="16"/>
      <c r="L163" s="16"/>
      <c r="M163" s="16"/>
      <c r="N163" s="100"/>
      <c r="O163" s="100"/>
      <c r="P163" s="100"/>
      <c r="Q163" s="106"/>
      <c r="R163" s="107"/>
      <c r="S163" s="104"/>
      <c r="T163" s="108"/>
      <c r="U163" s="74" t="str">
        <f t="array" ref="U163">IFERROR(index('3. Công thức lab theo từng mã h'!J:J,MATCH(C163,'3. Công thức lab theo từng mã h'!L:L,0)),"")</f>
        <v/>
      </c>
      <c r="V163" s="74"/>
      <c r="W163" s="75"/>
    </row>
    <row r="164">
      <c r="A164" s="76">
        <f t="shared" si="1"/>
        <v>0</v>
      </c>
      <c r="B164" s="88"/>
      <c r="C164" s="76"/>
      <c r="D164" s="86"/>
      <c r="E164" s="86"/>
      <c r="F164" s="90"/>
      <c r="G164" s="91"/>
      <c r="H164" s="86"/>
      <c r="I164" s="86"/>
      <c r="J164" s="86"/>
      <c r="K164" s="86"/>
      <c r="L164" s="86"/>
      <c r="M164" s="86"/>
      <c r="N164" s="90"/>
      <c r="O164" s="90"/>
      <c r="P164" s="90"/>
      <c r="Q164" s="106"/>
      <c r="R164" s="95"/>
      <c r="S164" s="96"/>
      <c r="T164" s="97"/>
      <c r="U164" s="85" t="str">
        <f t="array" ref="U164">IFERROR(index('3. Công thức lab theo từng mã h'!J:J,MATCH(C164,'3. Công thức lab theo từng mã h'!L:L,0)),"")</f>
        <v/>
      </c>
      <c r="V164" s="85"/>
      <c r="W164" s="75"/>
    </row>
    <row r="165">
      <c r="A165" s="64">
        <f t="shared" si="1"/>
        <v>0</v>
      </c>
      <c r="B165" s="98"/>
      <c r="C165" s="64"/>
      <c r="D165" s="16"/>
      <c r="E165" s="16"/>
      <c r="F165" s="100"/>
      <c r="G165" s="101"/>
      <c r="H165" s="16"/>
      <c r="I165" s="16"/>
      <c r="J165" s="16"/>
      <c r="K165" s="16"/>
      <c r="L165" s="16"/>
      <c r="M165" s="16"/>
      <c r="N165" s="100"/>
      <c r="O165" s="100"/>
      <c r="P165" s="100"/>
      <c r="Q165" s="106"/>
      <c r="R165" s="107"/>
      <c r="S165" s="104"/>
      <c r="T165" s="108"/>
      <c r="U165" s="74" t="str">
        <f t="array" ref="U165">IFERROR(index('3. Công thức lab theo từng mã h'!J:J,MATCH(C165,'3. Công thức lab theo từng mã h'!L:L,0)),"")</f>
        <v/>
      </c>
      <c r="V165" s="74"/>
      <c r="W165" s="75"/>
    </row>
    <row r="166">
      <c r="A166" s="76">
        <f t="shared" si="1"/>
        <v>0</v>
      </c>
      <c r="B166" s="88"/>
      <c r="C166" s="76"/>
      <c r="D166" s="86"/>
      <c r="E166" s="86"/>
      <c r="F166" s="90"/>
      <c r="G166" s="91"/>
      <c r="H166" s="86"/>
      <c r="I166" s="86"/>
      <c r="J166" s="86"/>
      <c r="K166" s="86"/>
      <c r="L166" s="86"/>
      <c r="M166" s="86"/>
      <c r="N166" s="90"/>
      <c r="O166" s="90"/>
      <c r="P166" s="90"/>
      <c r="Q166" s="106"/>
      <c r="R166" s="95"/>
      <c r="S166" s="96"/>
      <c r="T166" s="97"/>
      <c r="U166" s="85" t="str">
        <f t="array" ref="U166">IFERROR(index('3. Công thức lab theo từng mã h'!J:J,MATCH(C166,'3. Công thức lab theo từng mã h'!L:L,0)),"")</f>
        <v/>
      </c>
      <c r="V166" s="85"/>
      <c r="W166" s="75"/>
    </row>
    <row r="167">
      <c r="A167" s="64">
        <f t="shared" si="1"/>
        <v>0</v>
      </c>
      <c r="B167" s="98"/>
      <c r="C167" s="64"/>
      <c r="D167" s="16"/>
      <c r="E167" s="16"/>
      <c r="F167" s="100"/>
      <c r="G167" s="101"/>
      <c r="H167" s="16"/>
      <c r="I167" s="16"/>
      <c r="J167" s="16"/>
      <c r="K167" s="16"/>
      <c r="L167" s="16"/>
      <c r="M167" s="16"/>
      <c r="N167" s="100"/>
      <c r="O167" s="100"/>
      <c r="P167" s="100"/>
      <c r="Q167" s="106"/>
      <c r="R167" s="107"/>
      <c r="S167" s="104"/>
      <c r="T167" s="108"/>
      <c r="U167" s="74" t="str">
        <f t="array" ref="U167">IFERROR(index('3. Công thức lab theo từng mã h'!J:J,MATCH(C167,'3. Công thức lab theo từng mã h'!L:L,0)),"")</f>
        <v/>
      </c>
      <c r="V167" s="74"/>
      <c r="W167" s="75"/>
    </row>
    <row r="168">
      <c r="A168" s="76">
        <f t="shared" si="1"/>
        <v>0</v>
      </c>
      <c r="B168" s="88"/>
      <c r="C168" s="76"/>
      <c r="D168" s="86"/>
      <c r="E168" s="86"/>
      <c r="F168" s="90"/>
      <c r="G168" s="91"/>
      <c r="H168" s="86"/>
      <c r="I168" s="86"/>
      <c r="J168" s="86"/>
      <c r="K168" s="86"/>
      <c r="L168" s="86"/>
      <c r="M168" s="86"/>
      <c r="N168" s="90"/>
      <c r="O168" s="90"/>
      <c r="P168" s="90"/>
      <c r="Q168" s="106"/>
      <c r="R168" s="95"/>
      <c r="S168" s="96"/>
      <c r="T168" s="97"/>
      <c r="U168" s="85" t="str">
        <f t="array" ref="U168">IFERROR(index('3. Công thức lab theo từng mã h'!J:J,MATCH(C168,'3. Công thức lab theo từng mã h'!L:L,0)),"")</f>
        <v/>
      </c>
      <c r="V168" s="85"/>
      <c r="W168" s="75"/>
    </row>
    <row r="169">
      <c r="A169" s="64">
        <f t="shared" si="1"/>
        <v>0</v>
      </c>
      <c r="B169" s="98"/>
      <c r="C169" s="64"/>
      <c r="D169" s="16"/>
      <c r="E169" s="16"/>
      <c r="F169" s="100"/>
      <c r="G169" s="101"/>
      <c r="H169" s="16"/>
      <c r="I169" s="16"/>
      <c r="J169" s="16"/>
      <c r="K169" s="16"/>
      <c r="L169" s="16"/>
      <c r="M169" s="16"/>
      <c r="N169" s="100"/>
      <c r="O169" s="100"/>
      <c r="P169" s="100"/>
      <c r="Q169" s="106"/>
      <c r="R169" s="107"/>
      <c r="S169" s="104"/>
      <c r="T169" s="108"/>
      <c r="U169" s="74" t="str">
        <f t="array" ref="U169">IFERROR(index('3. Công thức lab theo từng mã h'!J:J,MATCH(C169,'3. Công thức lab theo từng mã h'!L:L,0)),"")</f>
        <v/>
      </c>
      <c r="V169" s="74"/>
      <c r="W169" s="75"/>
    </row>
    <row r="170">
      <c r="A170" s="76">
        <f t="shared" si="1"/>
        <v>0</v>
      </c>
      <c r="B170" s="88"/>
      <c r="C170" s="76"/>
      <c r="D170" s="86"/>
      <c r="E170" s="86"/>
      <c r="F170" s="90"/>
      <c r="G170" s="91"/>
      <c r="H170" s="86"/>
      <c r="I170" s="86"/>
      <c r="J170" s="86"/>
      <c r="K170" s="86"/>
      <c r="L170" s="86"/>
      <c r="M170" s="86"/>
      <c r="N170" s="90"/>
      <c r="O170" s="90"/>
      <c r="P170" s="90"/>
      <c r="Q170" s="106"/>
      <c r="R170" s="95"/>
      <c r="S170" s="96"/>
      <c r="T170" s="97"/>
      <c r="U170" s="85" t="str">
        <f t="array" ref="U170">IFERROR(index('3. Công thức lab theo từng mã h'!J:J,MATCH(C170,'3. Công thức lab theo từng mã h'!L:L,0)),"")</f>
        <v/>
      </c>
      <c r="V170" s="85"/>
      <c r="W170" s="75"/>
    </row>
    <row r="171">
      <c r="A171" s="64">
        <f t="shared" si="1"/>
        <v>0</v>
      </c>
      <c r="B171" s="98"/>
      <c r="C171" s="64"/>
      <c r="D171" s="16"/>
      <c r="E171" s="16"/>
      <c r="F171" s="100"/>
      <c r="G171" s="101"/>
      <c r="H171" s="16"/>
      <c r="I171" s="16"/>
      <c r="J171" s="16"/>
      <c r="K171" s="16"/>
      <c r="L171" s="16"/>
      <c r="M171" s="16"/>
      <c r="N171" s="100"/>
      <c r="O171" s="100"/>
      <c r="P171" s="100"/>
      <c r="Q171" s="106"/>
      <c r="R171" s="107"/>
      <c r="S171" s="104"/>
      <c r="T171" s="108"/>
      <c r="U171" s="74" t="str">
        <f t="array" ref="U171">IFERROR(index('3. Công thức lab theo từng mã h'!J:J,MATCH(C171,'3. Công thức lab theo từng mã h'!L:L,0)),"")</f>
        <v/>
      </c>
      <c r="V171" s="74"/>
      <c r="W171" s="75"/>
    </row>
    <row r="172">
      <c r="A172" s="76">
        <f t="shared" si="1"/>
        <v>0</v>
      </c>
      <c r="B172" s="88"/>
      <c r="C172" s="76"/>
      <c r="D172" s="86"/>
      <c r="E172" s="86"/>
      <c r="F172" s="90"/>
      <c r="G172" s="91"/>
      <c r="H172" s="86"/>
      <c r="I172" s="86"/>
      <c r="J172" s="86"/>
      <c r="K172" s="86"/>
      <c r="L172" s="86"/>
      <c r="M172" s="86"/>
      <c r="N172" s="90"/>
      <c r="O172" s="90"/>
      <c r="P172" s="90"/>
      <c r="Q172" s="106"/>
      <c r="R172" s="95"/>
      <c r="S172" s="96"/>
      <c r="T172" s="97"/>
      <c r="U172" s="85" t="str">
        <f t="array" ref="U172">IFERROR(index('3. Công thức lab theo từng mã h'!J:J,MATCH(C172,'3. Công thức lab theo từng mã h'!L:L,0)),"")</f>
        <v/>
      </c>
      <c r="V172" s="85"/>
      <c r="W172" s="75"/>
    </row>
    <row r="173">
      <c r="A173" s="64">
        <f t="shared" si="1"/>
        <v>0</v>
      </c>
      <c r="B173" s="98"/>
      <c r="C173" s="64"/>
      <c r="D173" s="16"/>
      <c r="E173" s="16"/>
      <c r="F173" s="100"/>
      <c r="G173" s="101"/>
      <c r="H173" s="16"/>
      <c r="I173" s="16"/>
      <c r="J173" s="16"/>
      <c r="K173" s="16"/>
      <c r="L173" s="16"/>
      <c r="M173" s="16"/>
      <c r="N173" s="100"/>
      <c r="O173" s="100"/>
      <c r="P173" s="100"/>
      <c r="Q173" s="106"/>
      <c r="R173" s="107"/>
      <c r="S173" s="104"/>
      <c r="T173" s="108"/>
      <c r="U173" s="74" t="str">
        <f t="array" ref="U173">IFERROR(index('3. Công thức lab theo từng mã h'!J:J,MATCH(C173,'3. Công thức lab theo từng mã h'!L:L,0)),"")</f>
        <v/>
      </c>
      <c r="V173" s="74"/>
      <c r="W173" s="75"/>
    </row>
    <row r="174">
      <c r="A174" s="76">
        <f t="shared" si="1"/>
        <v>0</v>
      </c>
      <c r="B174" s="88"/>
      <c r="C174" s="76"/>
      <c r="D174" s="86"/>
      <c r="E174" s="86"/>
      <c r="F174" s="90"/>
      <c r="G174" s="91"/>
      <c r="H174" s="86"/>
      <c r="I174" s="86"/>
      <c r="J174" s="86"/>
      <c r="K174" s="86"/>
      <c r="L174" s="86"/>
      <c r="M174" s="86"/>
      <c r="N174" s="90"/>
      <c r="O174" s="90"/>
      <c r="P174" s="90"/>
      <c r="Q174" s="106"/>
      <c r="R174" s="95"/>
      <c r="S174" s="96"/>
      <c r="T174" s="97"/>
      <c r="U174" s="85" t="str">
        <f t="array" ref="U174">IFERROR(index('3. Công thức lab theo từng mã h'!J:J,MATCH(C174,'3. Công thức lab theo từng mã h'!L:L,0)),"")</f>
        <v/>
      </c>
      <c r="V174" s="85"/>
      <c r="W174" s="75"/>
    </row>
    <row r="175">
      <c r="A175" s="64">
        <f t="shared" si="1"/>
        <v>0</v>
      </c>
      <c r="B175" s="98"/>
      <c r="C175" s="64"/>
      <c r="D175" s="16"/>
      <c r="E175" s="16"/>
      <c r="F175" s="100"/>
      <c r="G175" s="101"/>
      <c r="H175" s="16"/>
      <c r="I175" s="16"/>
      <c r="J175" s="16"/>
      <c r="K175" s="16"/>
      <c r="L175" s="16"/>
      <c r="M175" s="16"/>
      <c r="N175" s="100"/>
      <c r="O175" s="100"/>
      <c r="P175" s="100"/>
      <c r="Q175" s="106"/>
      <c r="R175" s="107"/>
      <c r="S175" s="104"/>
      <c r="T175" s="108"/>
      <c r="U175" s="74" t="str">
        <f t="array" ref="U175">IFERROR(index('3. Công thức lab theo từng mã h'!J:J,MATCH(C175,'3. Công thức lab theo từng mã h'!L:L,0)),"")</f>
        <v/>
      </c>
      <c r="V175" s="74"/>
      <c r="W175" s="75"/>
    </row>
    <row r="176">
      <c r="A176" s="76">
        <f t="shared" si="1"/>
        <v>0</v>
      </c>
      <c r="B176" s="88"/>
      <c r="C176" s="76"/>
      <c r="D176" s="86"/>
      <c r="E176" s="86"/>
      <c r="F176" s="90"/>
      <c r="G176" s="91"/>
      <c r="H176" s="86"/>
      <c r="I176" s="86"/>
      <c r="J176" s="86"/>
      <c r="K176" s="86"/>
      <c r="L176" s="86"/>
      <c r="M176" s="86"/>
      <c r="N176" s="90"/>
      <c r="O176" s="90"/>
      <c r="P176" s="90"/>
      <c r="Q176" s="106"/>
      <c r="R176" s="95"/>
      <c r="S176" s="96"/>
      <c r="T176" s="97"/>
      <c r="U176" s="85" t="str">
        <f t="array" ref="U176">IFERROR(index('3. Công thức lab theo từng mã h'!J:J,MATCH(C176,'3. Công thức lab theo từng mã h'!L:L,0)),"")</f>
        <v/>
      </c>
      <c r="V176" s="85"/>
      <c r="W176" s="75"/>
    </row>
    <row r="177">
      <c r="A177" s="64">
        <f t="shared" si="1"/>
        <v>0</v>
      </c>
      <c r="B177" s="98"/>
      <c r="C177" s="64"/>
      <c r="D177" s="16"/>
      <c r="E177" s="16"/>
      <c r="F177" s="100"/>
      <c r="G177" s="101"/>
      <c r="H177" s="16"/>
      <c r="I177" s="16"/>
      <c r="J177" s="16"/>
      <c r="K177" s="16"/>
      <c r="L177" s="16"/>
      <c r="M177" s="16"/>
      <c r="N177" s="100"/>
      <c r="O177" s="100"/>
      <c r="P177" s="100"/>
      <c r="Q177" s="106"/>
      <c r="R177" s="107"/>
      <c r="S177" s="104"/>
      <c r="T177" s="108"/>
      <c r="U177" s="74" t="str">
        <f t="array" ref="U177">IFERROR(index('3. Công thức lab theo từng mã h'!J:J,MATCH(C177,'3. Công thức lab theo từng mã h'!L:L,0)),"")</f>
        <v/>
      </c>
      <c r="V177" s="74"/>
      <c r="W177" s="75"/>
    </row>
    <row r="178">
      <c r="A178" s="76">
        <f t="shared" si="1"/>
        <v>0</v>
      </c>
      <c r="B178" s="88"/>
      <c r="C178" s="76"/>
      <c r="D178" s="86"/>
      <c r="E178" s="86"/>
      <c r="F178" s="90"/>
      <c r="G178" s="91"/>
      <c r="H178" s="86"/>
      <c r="I178" s="86"/>
      <c r="J178" s="86"/>
      <c r="K178" s="86"/>
      <c r="L178" s="86"/>
      <c r="M178" s="86"/>
      <c r="N178" s="90"/>
      <c r="O178" s="90"/>
      <c r="P178" s="90"/>
      <c r="Q178" s="106"/>
      <c r="R178" s="95"/>
      <c r="S178" s="96"/>
      <c r="T178" s="97"/>
      <c r="U178" s="85" t="str">
        <f t="array" ref="U178">IFERROR(index('3. Công thức lab theo từng mã h'!J:J,MATCH(C178,'3. Công thức lab theo từng mã h'!L:L,0)),"")</f>
        <v/>
      </c>
      <c r="V178" s="85"/>
      <c r="W178" s="75"/>
    </row>
    <row r="179">
      <c r="A179" s="64">
        <f t="shared" si="1"/>
        <v>0</v>
      </c>
      <c r="B179" s="98"/>
      <c r="C179" s="64"/>
      <c r="D179" s="16"/>
      <c r="E179" s="16"/>
      <c r="F179" s="100"/>
      <c r="G179" s="101"/>
      <c r="H179" s="16"/>
      <c r="I179" s="16"/>
      <c r="J179" s="16"/>
      <c r="K179" s="16"/>
      <c r="L179" s="16"/>
      <c r="M179" s="16"/>
      <c r="N179" s="100"/>
      <c r="O179" s="100"/>
      <c r="P179" s="100"/>
      <c r="Q179" s="106"/>
      <c r="R179" s="107"/>
      <c r="S179" s="104"/>
      <c r="T179" s="108"/>
      <c r="U179" s="74" t="str">
        <f t="array" ref="U179">IFERROR(index('3. Công thức lab theo từng mã h'!J:J,MATCH(C179,'3. Công thức lab theo từng mã h'!L:L,0)),"")</f>
        <v/>
      </c>
      <c r="V179" s="74"/>
      <c r="W179" s="75"/>
    </row>
    <row r="180">
      <c r="A180" s="76">
        <f t="shared" si="1"/>
        <v>0</v>
      </c>
      <c r="B180" s="88"/>
      <c r="C180" s="76"/>
      <c r="D180" s="86"/>
      <c r="E180" s="86"/>
      <c r="F180" s="90"/>
      <c r="G180" s="91"/>
      <c r="H180" s="86"/>
      <c r="I180" s="86"/>
      <c r="J180" s="86"/>
      <c r="K180" s="86"/>
      <c r="L180" s="86"/>
      <c r="M180" s="86"/>
      <c r="N180" s="90"/>
      <c r="O180" s="90"/>
      <c r="P180" s="90"/>
      <c r="Q180" s="106"/>
      <c r="R180" s="95"/>
      <c r="S180" s="96"/>
      <c r="T180" s="97"/>
      <c r="U180" s="85" t="str">
        <f t="array" ref="U180">IFERROR(index('3. Công thức lab theo từng mã h'!J:J,MATCH(C180,'3. Công thức lab theo từng mã h'!L:L,0)),"")</f>
        <v/>
      </c>
      <c r="V180" s="85"/>
      <c r="W180" s="75"/>
    </row>
    <row r="181">
      <c r="A181" s="64">
        <f t="shared" si="1"/>
        <v>0</v>
      </c>
      <c r="B181" s="98"/>
      <c r="C181" s="64"/>
      <c r="D181" s="16"/>
      <c r="E181" s="16"/>
      <c r="F181" s="100"/>
      <c r="G181" s="101"/>
      <c r="H181" s="16"/>
      <c r="I181" s="16"/>
      <c r="J181" s="16"/>
      <c r="K181" s="16"/>
      <c r="L181" s="16"/>
      <c r="M181" s="16"/>
      <c r="N181" s="100"/>
      <c r="O181" s="100"/>
      <c r="P181" s="100"/>
      <c r="Q181" s="106"/>
      <c r="R181" s="107"/>
      <c r="S181" s="104"/>
      <c r="T181" s="108"/>
      <c r="U181" s="74" t="str">
        <f t="array" ref="U181">IFERROR(index('3. Công thức lab theo từng mã h'!J:J,MATCH(C181,'3. Công thức lab theo từng mã h'!L:L,0)),"")</f>
        <v/>
      </c>
      <c r="V181" s="74"/>
      <c r="W181" s="75"/>
    </row>
    <row r="182">
      <c r="A182" s="76">
        <f t="shared" si="1"/>
        <v>0</v>
      </c>
      <c r="B182" s="88"/>
      <c r="C182" s="76"/>
      <c r="D182" s="86"/>
      <c r="E182" s="86"/>
      <c r="F182" s="90"/>
      <c r="G182" s="91"/>
      <c r="H182" s="86"/>
      <c r="I182" s="86"/>
      <c r="J182" s="86"/>
      <c r="K182" s="86"/>
      <c r="L182" s="86"/>
      <c r="M182" s="86"/>
      <c r="N182" s="90"/>
      <c r="O182" s="90"/>
      <c r="P182" s="90"/>
      <c r="Q182" s="106"/>
      <c r="R182" s="95"/>
      <c r="S182" s="96"/>
      <c r="T182" s="97"/>
      <c r="U182" s="85" t="str">
        <f t="array" ref="U182">IFERROR(index('3. Công thức lab theo từng mã h'!J:J,MATCH(C182,'3. Công thức lab theo từng mã h'!L:L,0)),"")</f>
        <v/>
      </c>
      <c r="V182" s="85"/>
      <c r="W182" s="75"/>
    </row>
    <row r="183">
      <c r="A183" s="64">
        <f t="shared" si="1"/>
        <v>0</v>
      </c>
      <c r="B183" s="98"/>
      <c r="C183" s="64"/>
      <c r="D183" s="16"/>
      <c r="E183" s="16"/>
      <c r="F183" s="100"/>
      <c r="G183" s="101"/>
      <c r="H183" s="16"/>
      <c r="I183" s="16"/>
      <c r="J183" s="16"/>
      <c r="K183" s="16"/>
      <c r="L183" s="16"/>
      <c r="M183" s="16"/>
      <c r="N183" s="100"/>
      <c r="O183" s="100"/>
      <c r="P183" s="100"/>
      <c r="Q183" s="106"/>
      <c r="R183" s="107"/>
      <c r="S183" s="104"/>
      <c r="T183" s="108"/>
      <c r="U183" s="74" t="str">
        <f t="array" ref="U183">IFERROR(index('3. Công thức lab theo từng mã h'!J:J,MATCH(C183,'3. Công thức lab theo từng mã h'!L:L,0)),"")</f>
        <v/>
      </c>
      <c r="V183" s="74"/>
      <c r="W183" s="75"/>
    </row>
    <row r="184">
      <c r="A184" s="76">
        <f t="shared" si="1"/>
        <v>0</v>
      </c>
      <c r="B184" s="88"/>
      <c r="C184" s="76"/>
      <c r="D184" s="86"/>
      <c r="E184" s="86"/>
      <c r="F184" s="90"/>
      <c r="G184" s="91"/>
      <c r="H184" s="86"/>
      <c r="I184" s="86"/>
      <c r="J184" s="86"/>
      <c r="K184" s="86"/>
      <c r="L184" s="86"/>
      <c r="M184" s="86"/>
      <c r="N184" s="90"/>
      <c r="O184" s="90"/>
      <c r="P184" s="90"/>
      <c r="Q184" s="106"/>
      <c r="R184" s="95"/>
      <c r="S184" s="96"/>
      <c r="T184" s="97"/>
      <c r="U184" s="85" t="str">
        <f t="array" ref="U184">IFERROR(index('3. Công thức lab theo từng mã h'!J:J,MATCH(C184,'3. Công thức lab theo từng mã h'!L:L,0)),"")</f>
        <v/>
      </c>
      <c r="V184" s="85"/>
      <c r="W184" s="75"/>
    </row>
    <row r="185">
      <c r="A185" s="64">
        <f t="shared" si="1"/>
        <v>0</v>
      </c>
      <c r="B185" s="98"/>
      <c r="C185" s="64"/>
      <c r="D185" s="16"/>
      <c r="E185" s="16"/>
      <c r="F185" s="100"/>
      <c r="G185" s="101"/>
      <c r="H185" s="16"/>
      <c r="I185" s="16"/>
      <c r="J185" s="16"/>
      <c r="K185" s="16"/>
      <c r="L185" s="16"/>
      <c r="M185" s="16"/>
      <c r="N185" s="100"/>
      <c r="O185" s="100"/>
      <c r="P185" s="100"/>
      <c r="Q185" s="106"/>
      <c r="R185" s="107"/>
      <c r="S185" s="104"/>
      <c r="T185" s="108"/>
      <c r="U185" s="74" t="str">
        <f t="array" ref="U185">IFERROR(index('3. Công thức lab theo từng mã h'!J:J,MATCH(C185,'3. Công thức lab theo từng mã h'!L:L,0)),"")</f>
        <v/>
      </c>
      <c r="V185" s="74"/>
      <c r="W185" s="75"/>
    </row>
    <row r="186">
      <c r="A186" s="76">
        <f t="shared" si="1"/>
        <v>0</v>
      </c>
      <c r="B186" s="88"/>
      <c r="C186" s="76"/>
      <c r="D186" s="86"/>
      <c r="E186" s="86"/>
      <c r="F186" s="90"/>
      <c r="G186" s="91"/>
      <c r="H186" s="86"/>
      <c r="I186" s="86"/>
      <c r="J186" s="86"/>
      <c r="K186" s="86"/>
      <c r="L186" s="86"/>
      <c r="M186" s="86"/>
      <c r="N186" s="90"/>
      <c r="O186" s="90"/>
      <c r="P186" s="90"/>
      <c r="Q186" s="106"/>
      <c r="R186" s="95"/>
      <c r="S186" s="96"/>
      <c r="T186" s="97"/>
      <c r="U186" s="85" t="str">
        <f t="array" ref="U186">IFERROR(index('3. Công thức lab theo từng mã h'!J:J,MATCH(C186,'3. Công thức lab theo từng mã h'!L:L,0)),"")</f>
        <v/>
      </c>
      <c r="V186" s="85"/>
      <c r="W186" s="75"/>
    </row>
    <row r="187">
      <c r="A187" s="64">
        <f t="shared" si="1"/>
        <v>0</v>
      </c>
      <c r="B187" s="98"/>
      <c r="C187" s="64"/>
      <c r="D187" s="16"/>
      <c r="E187" s="16"/>
      <c r="F187" s="100"/>
      <c r="G187" s="101"/>
      <c r="H187" s="16"/>
      <c r="I187" s="16"/>
      <c r="J187" s="16"/>
      <c r="K187" s="16"/>
      <c r="L187" s="16"/>
      <c r="M187" s="16"/>
      <c r="N187" s="100"/>
      <c r="O187" s="100"/>
      <c r="P187" s="100"/>
      <c r="Q187" s="106"/>
      <c r="R187" s="107"/>
      <c r="S187" s="104"/>
      <c r="T187" s="108"/>
      <c r="U187" s="74" t="str">
        <f t="array" ref="U187">IFERROR(index('3. Công thức lab theo từng mã h'!J:J,MATCH(C187,'3. Công thức lab theo từng mã h'!L:L,0)),"")</f>
        <v/>
      </c>
      <c r="V187" s="74"/>
      <c r="W187" s="75"/>
    </row>
    <row r="188">
      <c r="A188" s="76">
        <f t="shared" si="1"/>
        <v>0</v>
      </c>
      <c r="B188" s="88"/>
      <c r="C188" s="76"/>
      <c r="D188" s="86"/>
      <c r="E188" s="86"/>
      <c r="F188" s="90"/>
      <c r="G188" s="91"/>
      <c r="H188" s="86"/>
      <c r="I188" s="86"/>
      <c r="J188" s="86"/>
      <c r="K188" s="86"/>
      <c r="L188" s="86"/>
      <c r="M188" s="86"/>
      <c r="N188" s="90"/>
      <c r="O188" s="90"/>
      <c r="P188" s="90"/>
      <c r="Q188" s="106"/>
      <c r="R188" s="95"/>
      <c r="S188" s="96"/>
      <c r="T188" s="97"/>
      <c r="U188" s="85" t="str">
        <f t="array" ref="U188">IFERROR(index('3. Công thức lab theo từng mã h'!J:J,MATCH(C188,'3. Công thức lab theo từng mã h'!L:L,0)),"")</f>
        <v/>
      </c>
      <c r="V188" s="85"/>
      <c r="W188" s="75"/>
    </row>
    <row r="189">
      <c r="A189" s="64">
        <f t="shared" si="1"/>
        <v>0</v>
      </c>
      <c r="B189" s="98"/>
      <c r="C189" s="64"/>
      <c r="D189" s="16"/>
      <c r="E189" s="16"/>
      <c r="F189" s="100"/>
      <c r="G189" s="101"/>
      <c r="H189" s="16"/>
      <c r="I189" s="16"/>
      <c r="J189" s="16"/>
      <c r="K189" s="16"/>
      <c r="L189" s="16"/>
      <c r="M189" s="16"/>
      <c r="N189" s="100"/>
      <c r="O189" s="100"/>
      <c r="P189" s="100"/>
      <c r="Q189" s="106"/>
      <c r="R189" s="107"/>
      <c r="S189" s="104"/>
      <c r="T189" s="108"/>
      <c r="U189" s="74" t="str">
        <f t="array" ref="U189">IFERROR(index('3. Công thức lab theo từng mã h'!J:J,MATCH(C189,'3. Công thức lab theo từng mã h'!L:L,0)),"")</f>
        <v/>
      </c>
      <c r="V189" s="74"/>
      <c r="W189" s="75"/>
    </row>
    <row r="190">
      <c r="A190" s="76">
        <f t="shared" si="1"/>
        <v>0</v>
      </c>
      <c r="B190" s="88"/>
      <c r="C190" s="76"/>
      <c r="D190" s="86"/>
      <c r="E190" s="86"/>
      <c r="F190" s="90"/>
      <c r="G190" s="91"/>
      <c r="H190" s="86"/>
      <c r="I190" s="86"/>
      <c r="J190" s="86"/>
      <c r="K190" s="86"/>
      <c r="L190" s="86"/>
      <c r="M190" s="86"/>
      <c r="N190" s="90"/>
      <c r="O190" s="90"/>
      <c r="P190" s="90"/>
      <c r="Q190" s="106"/>
      <c r="R190" s="95"/>
      <c r="S190" s="96"/>
      <c r="T190" s="97"/>
      <c r="U190" s="85" t="str">
        <f t="array" ref="U190">IFERROR(index('3. Công thức lab theo từng mã h'!J:J,MATCH(C190,'3. Công thức lab theo từng mã h'!L:L,0)),"")</f>
        <v/>
      </c>
      <c r="V190" s="85"/>
      <c r="W190" s="75"/>
    </row>
    <row r="191">
      <c r="A191" s="64">
        <f t="shared" si="1"/>
        <v>0</v>
      </c>
      <c r="B191" s="98"/>
      <c r="C191" s="64"/>
      <c r="D191" s="16"/>
      <c r="E191" s="16"/>
      <c r="F191" s="100"/>
      <c r="G191" s="101"/>
      <c r="H191" s="16"/>
      <c r="I191" s="16"/>
      <c r="J191" s="16"/>
      <c r="K191" s="16"/>
      <c r="L191" s="16"/>
      <c r="M191" s="16"/>
      <c r="N191" s="100"/>
      <c r="O191" s="100"/>
      <c r="P191" s="100"/>
      <c r="Q191" s="106"/>
      <c r="R191" s="107"/>
      <c r="S191" s="104"/>
      <c r="T191" s="108"/>
      <c r="U191" s="74" t="str">
        <f t="array" ref="U191">IFERROR(index('3. Công thức lab theo từng mã h'!J:J,MATCH(C191,'3. Công thức lab theo từng mã h'!L:L,0)),"")</f>
        <v/>
      </c>
      <c r="V191" s="74"/>
      <c r="W191" s="75"/>
    </row>
    <row r="192">
      <c r="A192" s="76">
        <f t="shared" si="1"/>
        <v>0</v>
      </c>
      <c r="B192" s="88"/>
      <c r="C192" s="76"/>
      <c r="D192" s="86"/>
      <c r="E192" s="86"/>
      <c r="F192" s="90"/>
      <c r="G192" s="91"/>
      <c r="H192" s="86"/>
      <c r="I192" s="86"/>
      <c r="J192" s="86"/>
      <c r="K192" s="86"/>
      <c r="L192" s="86"/>
      <c r="M192" s="86"/>
      <c r="N192" s="90"/>
      <c r="O192" s="90"/>
      <c r="P192" s="90"/>
      <c r="Q192" s="106"/>
      <c r="R192" s="95"/>
      <c r="S192" s="96"/>
      <c r="T192" s="97"/>
      <c r="U192" s="85" t="str">
        <f t="array" ref="U192">IFERROR(index('3. Công thức lab theo từng mã h'!J:J,MATCH(C192,'3. Công thức lab theo từng mã h'!L:L,0)),"")</f>
        <v/>
      </c>
      <c r="V192" s="85"/>
      <c r="W192" s="75"/>
    </row>
    <row r="193">
      <c r="A193" s="64">
        <f t="shared" si="1"/>
        <v>0</v>
      </c>
      <c r="B193" s="98"/>
      <c r="C193" s="64"/>
      <c r="D193" s="16"/>
      <c r="E193" s="16"/>
      <c r="F193" s="100"/>
      <c r="G193" s="101"/>
      <c r="H193" s="16"/>
      <c r="I193" s="16"/>
      <c r="J193" s="16"/>
      <c r="K193" s="16"/>
      <c r="L193" s="16"/>
      <c r="M193" s="16"/>
      <c r="N193" s="100"/>
      <c r="O193" s="100"/>
      <c r="P193" s="100"/>
      <c r="Q193" s="106"/>
      <c r="R193" s="107"/>
      <c r="S193" s="104"/>
      <c r="T193" s="108"/>
      <c r="U193" s="74" t="str">
        <f t="array" ref="U193">IFERROR(index('3. Công thức lab theo từng mã h'!J:J,MATCH(C193,'3. Công thức lab theo từng mã h'!L:L,0)),"")</f>
        <v/>
      </c>
      <c r="V193" s="74"/>
      <c r="W193" s="75"/>
    </row>
    <row r="194">
      <c r="A194" s="76">
        <f t="shared" si="1"/>
        <v>0</v>
      </c>
      <c r="B194" s="88"/>
      <c r="C194" s="76"/>
      <c r="D194" s="86"/>
      <c r="E194" s="86"/>
      <c r="F194" s="90"/>
      <c r="G194" s="91"/>
      <c r="H194" s="86"/>
      <c r="I194" s="86"/>
      <c r="J194" s="86"/>
      <c r="K194" s="86"/>
      <c r="L194" s="86"/>
      <c r="M194" s="86"/>
      <c r="N194" s="90"/>
      <c r="O194" s="90"/>
      <c r="P194" s="90"/>
      <c r="Q194" s="106"/>
      <c r="R194" s="95"/>
      <c r="S194" s="96"/>
      <c r="T194" s="97"/>
      <c r="U194" s="85" t="str">
        <f t="array" ref="U194">IFERROR(index('3. Công thức lab theo từng mã h'!J:J,MATCH(C194,'3. Công thức lab theo từng mã h'!L:L,0)),"")</f>
        <v/>
      </c>
      <c r="V194" s="85"/>
      <c r="W194" s="75"/>
    </row>
    <row r="195">
      <c r="A195" s="64">
        <f t="shared" si="1"/>
        <v>0</v>
      </c>
      <c r="B195" s="98"/>
      <c r="C195" s="64"/>
      <c r="D195" s="16"/>
      <c r="E195" s="16"/>
      <c r="F195" s="100"/>
      <c r="G195" s="101"/>
      <c r="H195" s="16"/>
      <c r="I195" s="16"/>
      <c r="J195" s="16"/>
      <c r="K195" s="16"/>
      <c r="L195" s="16"/>
      <c r="M195" s="16"/>
      <c r="N195" s="100"/>
      <c r="O195" s="100"/>
      <c r="P195" s="100"/>
      <c r="Q195" s="106"/>
      <c r="R195" s="107"/>
      <c r="S195" s="104"/>
      <c r="T195" s="108"/>
      <c r="U195" s="74" t="str">
        <f t="array" ref="U195">IFERROR(index('3. Công thức lab theo từng mã h'!J:J,MATCH(C195,'3. Công thức lab theo từng mã h'!L:L,0)),"")</f>
        <v/>
      </c>
      <c r="V195" s="74"/>
      <c r="W195" s="75"/>
    </row>
    <row r="196">
      <c r="A196" s="76">
        <f t="shared" si="1"/>
        <v>0</v>
      </c>
      <c r="B196" s="88"/>
      <c r="C196" s="76"/>
      <c r="D196" s="86"/>
      <c r="E196" s="86"/>
      <c r="F196" s="90"/>
      <c r="G196" s="91"/>
      <c r="H196" s="86"/>
      <c r="I196" s="86"/>
      <c r="J196" s="86"/>
      <c r="K196" s="86"/>
      <c r="L196" s="86"/>
      <c r="M196" s="86"/>
      <c r="N196" s="90"/>
      <c r="O196" s="90"/>
      <c r="P196" s="90"/>
      <c r="Q196" s="106"/>
      <c r="R196" s="95"/>
      <c r="S196" s="96"/>
      <c r="T196" s="97"/>
      <c r="U196" s="85" t="str">
        <f t="array" ref="U196">IFERROR(index('3. Công thức lab theo từng mã h'!J:J,MATCH(C196,'3. Công thức lab theo từng mã h'!L:L,0)),"")</f>
        <v/>
      </c>
      <c r="V196" s="85"/>
      <c r="W196" s="75"/>
    </row>
    <row r="197">
      <c r="A197" s="64">
        <f t="shared" si="1"/>
        <v>0</v>
      </c>
      <c r="B197" s="98"/>
      <c r="C197" s="64"/>
      <c r="D197" s="16"/>
      <c r="E197" s="16"/>
      <c r="F197" s="100"/>
      <c r="G197" s="101"/>
      <c r="H197" s="16"/>
      <c r="I197" s="16"/>
      <c r="J197" s="16"/>
      <c r="K197" s="16"/>
      <c r="L197" s="16"/>
      <c r="M197" s="16"/>
      <c r="N197" s="100"/>
      <c r="O197" s="100"/>
      <c r="P197" s="100"/>
      <c r="Q197" s="106"/>
      <c r="R197" s="107"/>
      <c r="S197" s="104"/>
      <c r="T197" s="108"/>
      <c r="U197" s="74" t="str">
        <f t="array" ref="U197">IFERROR(index('3. Công thức lab theo từng mã h'!J:J,MATCH(C197,'3. Công thức lab theo từng mã h'!L:L,0)),"")</f>
        <v/>
      </c>
      <c r="V197" s="74"/>
      <c r="W197" s="75"/>
    </row>
    <row r="198">
      <c r="A198" s="76">
        <f t="shared" si="1"/>
        <v>0</v>
      </c>
      <c r="B198" s="88"/>
      <c r="C198" s="76"/>
      <c r="D198" s="86"/>
      <c r="E198" s="86"/>
      <c r="F198" s="90"/>
      <c r="G198" s="91"/>
      <c r="H198" s="86"/>
      <c r="I198" s="86"/>
      <c r="J198" s="86"/>
      <c r="K198" s="86"/>
      <c r="L198" s="86"/>
      <c r="M198" s="86"/>
      <c r="N198" s="90"/>
      <c r="O198" s="90"/>
      <c r="P198" s="90"/>
      <c r="Q198" s="106"/>
      <c r="R198" s="95"/>
      <c r="S198" s="96"/>
      <c r="T198" s="97"/>
      <c r="U198" s="85" t="str">
        <f t="array" ref="U198">IFERROR(index('3. Công thức lab theo từng mã h'!J:J,MATCH(C198,'3. Công thức lab theo từng mã h'!L:L,0)),"")</f>
        <v/>
      </c>
      <c r="V198" s="85"/>
      <c r="W198" s="75"/>
    </row>
    <row r="199">
      <c r="A199" s="64">
        <f t="shared" si="1"/>
        <v>0</v>
      </c>
      <c r="B199" s="98"/>
      <c r="C199" s="64"/>
      <c r="D199" s="16"/>
      <c r="E199" s="16"/>
      <c r="F199" s="100"/>
      <c r="G199" s="101"/>
      <c r="H199" s="16"/>
      <c r="I199" s="16"/>
      <c r="J199" s="16"/>
      <c r="K199" s="16"/>
      <c r="L199" s="16"/>
      <c r="M199" s="16"/>
      <c r="N199" s="100"/>
      <c r="O199" s="100"/>
      <c r="P199" s="100"/>
      <c r="Q199" s="106"/>
      <c r="R199" s="107"/>
      <c r="S199" s="104"/>
      <c r="T199" s="108"/>
      <c r="U199" s="74" t="str">
        <f t="array" ref="U199">IFERROR(index('3. Công thức lab theo từng mã h'!J:J,MATCH(C199,'3. Công thức lab theo từng mã h'!L:L,0)),"")</f>
        <v/>
      </c>
      <c r="V199" s="74"/>
      <c r="W199" s="75"/>
    </row>
    <row r="200">
      <c r="A200" s="76">
        <f t="shared" si="1"/>
        <v>0</v>
      </c>
      <c r="B200" s="88"/>
      <c r="C200" s="76"/>
      <c r="D200" s="86"/>
      <c r="E200" s="86"/>
      <c r="F200" s="90"/>
      <c r="G200" s="91"/>
      <c r="H200" s="86"/>
      <c r="I200" s="86"/>
      <c r="J200" s="86"/>
      <c r="K200" s="86"/>
      <c r="L200" s="86"/>
      <c r="M200" s="86"/>
      <c r="N200" s="90"/>
      <c r="O200" s="90"/>
      <c r="P200" s="90"/>
      <c r="Q200" s="106"/>
      <c r="R200" s="95"/>
      <c r="S200" s="96"/>
      <c r="T200" s="97"/>
      <c r="U200" s="85" t="str">
        <f t="array" ref="U200">IFERROR(index('3. Công thức lab theo từng mã h'!J:J,MATCH(C200,'3. Công thức lab theo từng mã h'!L:L,0)),"")</f>
        <v/>
      </c>
      <c r="V200" s="85"/>
      <c r="W200" s="75"/>
    </row>
    <row r="201">
      <c r="A201" s="64">
        <f t="shared" si="1"/>
        <v>0</v>
      </c>
      <c r="B201" s="98"/>
      <c r="C201" s="64"/>
      <c r="D201" s="16"/>
      <c r="E201" s="16"/>
      <c r="F201" s="100"/>
      <c r="G201" s="101"/>
      <c r="H201" s="16"/>
      <c r="I201" s="16"/>
      <c r="J201" s="16"/>
      <c r="K201" s="16"/>
      <c r="L201" s="16"/>
      <c r="M201" s="16"/>
      <c r="N201" s="100"/>
      <c r="O201" s="100"/>
      <c r="P201" s="100"/>
      <c r="Q201" s="106"/>
      <c r="R201" s="107"/>
      <c r="S201" s="104"/>
      <c r="T201" s="108"/>
      <c r="U201" s="74" t="str">
        <f t="array" ref="U201">IFERROR(index('3. Công thức lab theo từng mã h'!J:J,MATCH(C201,'3. Công thức lab theo từng mã h'!L:L,0)),"")</f>
        <v/>
      </c>
      <c r="V201" s="74"/>
      <c r="W201" s="75"/>
    </row>
    <row r="202">
      <c r="A202" s="76">
        <f t="shared" si="1"/>
        <v>0</v>
      </c>
      <c r="B202" s="88"/>
      <c r="C202" s="76"/>
      <c r="D202" s="86"/>
      <c r="E202" s="86"/>
      <c r="F202" s="90"/>
      <c r="G202" s="91"/>
      <c r="H202" s="86"/>
      <c r="I202" s="86"/>
      <c r="J202" s="86"/>
      <c r="K202" s="86"/>
      <c r="L202" s="86"/>
      <c r="M202" s="86"/>
      <c r="N202" s="90"/>
      <c r="O202" s="90"/>
      <c r="P202" s="90"/>
      <c r="Q202" s="106"/>
      <c r="R202" s="95"/>
      <c r="S202" s="96"/>
      <c r="T202" s="97"/>
      <c r="U202" s="85" t="str">
        <f t="array" ref="U202">IFERROR(index('3. Công thức lab theo từng mã h'!J:J,MATCH(C202,'3. Công thức lab theo từng mã h'!L:L,0)),"")</f>
        <v/>
      </c>
      <c r="V202" s="85"/>
      <c r="W202" s="75"/>
    </row>
    <row r="203">
      <c r="A203" s="64">
        <f t="shared" si="1"/>
        <v>0</v>
      </c>
      <c r="B203" s="98"/>
      <c r="C203" s="64"/>
      <c r="D203" s="16"/>
      <c r="E203" s="16"/>
      <c r="F203" s="100"/>
      <c r="G203" s="101"/>
      <c r="H203" s="16"/>
      <c r="I203" s="16"/>
      <c r="J203" s="16"/>
      <c r="K203" s="16"/>
      <c r="L203" s="16"/>
      <c r="M203" s="16"/>
      <c r="N203" s="100"/>
      <c r="O203" s="100"/>
      <c r="P203" s="100"/>
      <c r="Q203" s="106"/>
      <c r="R203" s="107"/>
      <c r="S203" s="104"/>
      <c r="T203" s="108"/>
      <c r="U203" s="74" t="str">
        <f t="array" ref="U203">IFERROR(index('3. Công thức lab theo từng mã h'!J:J,MATCH(C203,'3. Công thức lab theo từng mã h'!L:L,0)),"")</f>
        <v/>
      </c>
      <c r="V203" s="74"/>
      <c r="W203" s="75"/>
    </row>
    <row r="204">
      <c r="A204" s="76">
        <f t="shared" si="1"/>
        <v>0</v>
      </c>
      <c r="B204" s="88"/>
      <c r="C204" s="76"/>
      <c r="D204" s="86"/>
      <c r="E204" s="86"/>
      <c r="F204" s="90"/>
      <c r="G204" s="91"/>
      <c r="H204" s="86"/>
      <c r="I204" s="86"/>
      <c r="J204" s="86"/>
      <c r="K204" s="86"/>
      <c r="L204" s="86"/>
      <c r="M204" s="86"/>
      <c r="N204" s="90"/>
      <c r="O204" s="90"/>
      <c r="P204" s="90"/>
      <c r="Q204" s="106"/>
      <c r="R204" s="95"/>
      <c r="S204" s="96"/>
      <c r="T204" s="97"/>
      <c r="U204" s="85" t="str">
        <f t="array" ref="U204">IFERROR(index('3. Công thức lab theo từng mã h'!J:J,MATCH(C204,'3. Công thức lab theo từng mã h'!L:L,0)),"")</f>
        <v/>
      </c>
      <c r="V204" s="85"/>
      <c r="W204" s="75"/>
    </row>
    <row r="205">
      <c r="A205" s="64">
        <f t="shared" si="1"/>
        <v>0</v>
      </c>
      <c r="B205" s="98"/>
      <c r="C205" s="64"/>
      <c r="D205" s="16"/>
      <c r="E205" s="16"/>
      <c r="F205" s="100"/>
      <c r="G205" s="101"/>
      <c r="H205" s="16"/>
      <c r="I205" s="16"/>
      <c r="J205" s="16"/>
      <c r="K205" s="16"/>
      <c r="L205" s="16"/>
      <c r="M205" s="16"/>
      <c r="N205" s="100"/>
      <c r="O205" s="100"/>
      <c r="P205" s="100"/>
      <c r="Q205" s="106"/>
      <c r="R205" s="107"/>
      <c r="S205" s="104"/>
      <c r="T205" s="108"/>
      <c r="U205" s="74" t="str">
        <f t="array" ref="U205">IFERROR(index('3. Công thức lab theo từng mã h'!J:J,MATCH(C205,'3. Công thức lab theo từng mã h'!L:L,0)),"")</f>
        <v/>
      </c>
      <c r="V205" s="74"/>
      <c r="W205" s="75"/>
    </row>
    <row r="206">
      <c r="A206" s="76">
        <f t="shared" si="1"/>
        <v>0</v>
      </c>
      <c r="B206" s="88"/>
      <c r="C206" s="76"/>
      <c r="D206" s="86"/>
      <c r="E206" s="86"/>
      <c r="F206" s="90"/>
      <c r="G206" s="91"/>
      <c r="H206" s="86"/>
      <c r="I206" s="86"/>
      <c r="J206" s="86"/>
      <c r="K206" s="86"/>
      <c r="L206" s="86"/>
      <c r="M206" s="86"/>
      <c r="N206" s="90"/>
      <c r="O206" s="90"/>
      <c r="P206" s="90"/>
      <c r="Q206" s="106"/>
      <c r="R206" s="95"/>
      <c r="S206" s="96"/>
      <c r="T206" s="97"/>
      <c r="U206" s="85" t="str">
        <f t="array" ref="U206">IFERROR(index('3. Công thức lab theo từng mã h'!J:J,MATCH(C206,'3. Công thức lab theo từng mã h'!L:L,0)),"")</f>
        <v/>
      </c>
      <c r="V206" s="85"/>
      <c r="W206" s="75"/>
    </row>
    <row r="207">
      <c r="A207" s="64">
        <f t="shared" si="1"/>
        <v>0</v>
      </c>
      <c r="B207" s="98"/>
      <c r="C207" s="64"/>
      <c r="D207" s="16"/>
      <c r="E207" s="16"/>
      <c r="F207" s="100"/>
      <c r="G207" s="101"/>
      <c r="H207" s="16"/>
      <c r="I207" s="16"/>
      <c r="J207" s="16"/>
      <c r="K207" s="16"/>
      <c r="L207" s="16"/>
      <c r="M207" s="16"/>
      <c r="N207" s="100"/>
      <c r="O207" s="100"/>
      <c r="P207" s="100"/>
      <c r="Q207" s="106"/>
      <c r="R207" s="107"/>
      <c r="S207" s="104"/>
      <c r="T207" s="108"/>
      <c r="U207" s="74" t="str">
        <f t="array" ref="U207">IFERROR(index('3. Công thức lab theo từng mã h'!J:J,MATCH(C207,'3. Công thức lab theo từng mã h'!L:L,0)),"")</f>
        <v/>
      </c>
      <c r="V207" s="74"/>
      <c r="W207" s="75"/>
    </row>
    <row r="208">
      <c r="A208" s="76">
        <f t="shared" si="1"/>
        <v>0</v>
      </c>
      <c r="B208" s="88"/>
      <c r="C208" s="76"/>
      <c r="D208" s="86"/>
      <c r="E208" s="86"/>
      <c r="F208" s="90"/>
      <c r="G208" s="91"/>
      <c r="H208" s="86"/>
      <c r="I208" s="86"/>
      <c r="J208" s="86"/>
      <c r="K208" s="86"/>
      <c r="L208" s="86"/>
      <c r="M208" s="86"/>
      <c r="N208" s="90"/>
      <c r="O208" s="90"/>
      <c r="P208" s="90"/>
      <c r="Q208" s="106"/>
      <c r="R208" s="95"/>
      <c r="S208" s="96"/>
      <c r="T208" s="97"/>
      <c r="U208" s="85" t="str">
        <f t="array" ref="U208">IFERROR(index('3. Công thức lab theo từng mã h'!J:J,MATCH(C208,'3. Công thức lab theo từng mã h'!L:L,0)),"")</f>
        <v/>
      </c>
      <c r="V208" s="85"/>
      <c r="W208" s="75"/>
    </row>
    <row r="209">
      <c r="A209" s="64">
        <f t="shared" si="1"/>
        <v>0</v>
      </c>
      <c r="B209" s="98"/>
      <c r="C209" s="64"/>
      <c r="D209" s="16"/>
      <c r="E209" s="16"/>
      <c r="F209" s="100"/>
      <c r="G209" s="101"/>
      <c r="H209" s="16"/>
      <c r="I209" s="16"/>
      <c r="J209" s="16"/>
      <c r="K209" s="16"/>
      <c r="L209" s="16"/>
      <c r="M209" s="16"/>
      <c r="N209" s="100"/>
      <c r="O209" s="100"/>
      <c r="P209" s="100"/>
      <c r="Q209" s="106"/>
      <c r="R209" s="107"/>
      <c r="S209" s="104"/>
      <c r="T209" s="108"/>
      <c r="U209" s="74" t="str">
        <f t="array" ref="U209">IFERROR(index('3. Công thức lab theo từng mã h'!J:J,MATCH(C209,'3. Công thức lab theo từng mã h'!L:L,0)),"")</f>
        <v/>
      </c>
      <c r="V209" s="74"/>
      <c r="W209" s="75"/>
    </row>
    <row r="210">
      <c r="A210" s="76">
        <f t="shared" si="1"/>
        <v>0</v>
      </c>
      <c r="B210" s="88"/>
      <c r="C210" s="76"/>
      <c r="D210" s="86"/>
      <c r="E210" s="86"/>
      <c r="F210" s="90"/>
      <c r="G210" s="91"/>
      <c r="H210" s="86"/>
      <c r="I210" s="86"/>
      <c r="J210" s="86"/>
      <c r="K210" s="86"/>
      <c r="L210" s="86"/>
      <c r="M210" s="86"/>
      <c r="N210" s="90"/>
      <c r="O210" s="90"/>
      <c r="P210" s="90"/>
      <c r="Q210" s="106"/>
      <c r="R210" s="95"/>
      <c r="S210" s="96"/>
      <c r="T210" s="97"/>
      <c r="U210" s="85" t="str">
        <f t="array" ref="U210">IFERROR(index('3. Công thức lab theo từng mã h'!J:J,MATCH(C210,'3. Công thức lab theo từng mã h'!L:L,0)),"")</f>
        <v/>
      </c>
      <c r="V210" s="85"/>
      <c r="W210" s="75"/>
    </row>
    <row r="211">
      <c r="A211" s="64">
        <f t="shared" si="1"/>
        <v>0</v>
      </c>
      <c r="B211" s="98"/>
      <c r="C211" s="64"/>
      <c r="D211" s="16"/>
      <c r="E211" s="16"/>
      <c r="F211" s="100"/>
      <c r="G211" s="101"/>
      <c r="H211" s="16"/>
      <c r="I211" s="16"/>
      <c r="J211" s="16"/>
      <c r="K211" s="16"/>
      <c r="L211" s="16"/>
      <c r="M211" s="16"/>
      <c r="N211" s="100"/>
      <c r="O211" s="100"/>
      <c r="P211" s="100"/>
      <c r="Q211" s="106"/>
      <c r="R211" s="107"/>
      <c r="S211" s="104"/>
      <c r="T211" s="108"/>
      <c r="U211" s="74" t="str">
        <f t="array" ref="U211">IFERROR(index('3. Công thức lab theo từng mã h'!J:J,MATCH(C211,'3. Công thức lab theo từng mã h'!L:L,0)),"")</f>
        <v/>
      </c>
      <c r="V211" s="74"/>
      <c r="W211" s="75"/>
    </row>
    <row r="212">
      <c r="A212" s="76">
        <f t="shared" si="1"/>
        <v>0</v>
      </c>
      <c r="B212" s="88"/>
      <c r="C212" s="76"/>
      <c r="D212" s="86"/>
      <c r="E212" s="86"/>
      <c r="F212" s="90"/>
      <c r="G212" s="91"/>
      <c r="H212" s="86"/>
      <c r="I212" s="86"/>
      <c r="J212" s="86"/>
      <c r="K212" s="86"/>
      <c r="L212" s="86"/>
      <c r="M212" s="86"/>
      <c r="N212" s="90"/>
      <c r="O212" s="90"/>
      <c r="P212" s="90"/>
      <c r="Q212" s="106"/>
      <c r="R212" s="95"/>
      <c r="S212" s="96"/>
      <c r="T212" s="97"/>
      <c r="U212" s="85" t="str">
        <f t="array" ref="U212">IFERROR(index('3. Công thức lab theo từng mã h'!J:J,MATCH(C212,'3. Công thức lab theo từng mã h'!L:L,0)),"")</f>
        <v/>
      </c>
      <c r="V212" s="85"/>
      <c r="W212" s="75"/>
    </row>
    <row r="213">
      <c r="A213" s="64">
        <f t="shared" si="1"/>
        <v>0</v>
      </c>
      <c r="B213" s="98"/>
      <c r="C213" s="64"/>
      <c r="D213" s="16"/>
      <c r="E213" s="16"/>
      <c r="F213" s="100"/>
      <c r="G213" s="101"/>
      <c r="H213" s="16"/>
      <c r="I213" s="16"/>
      <c r="J213" s="16"/>
      <c r="K213" s="16"/>
      <c r="L213" s="16"/>
      <c r="M213" s="16"/>
      <c r="N213" s="100"/>
      <c r="O213" s="100"/>
      <c r="P213" s="100"/>
      <c r="Q213" s="106"/>
      <c r="R213" s="107"/>
      <c r="S213" s="104"/>
      <c r="T213" s="108"/>
      <c r="U213" s="74" t="str">
        <f t="array" ref="U213">IFERROR(index('3. Công thức lab theo từng mã h'!J:J,MATCH(C213,'3. Công thức lab theo từng mã h'!L:L,0)),"")</f>
        <v/>
      </c>
      <c r="V213" s="74"/>
      <c r="W213" s="75"/>
    </row>
    <row r="214">
      <c r="A214" s="76">
        <f t="shared" si="1"/>
        <v>0</v>
      </c>
      <c r="B214" s="88"/>
      <c r="C214" s="76"/>
      <c r="D214" s="86"/>
      <c r="E214" s="86"/>
      <c r="F214" s="90"/>
      <c r="G214" s="91"/>
      <c r="H214" s="86"/>
      <c r="I214" s="86"/>
      <c r="J214" s="86"/>
      <c r="K214" s="86"/>
      <c r="L214" s="86"/>
      <c r="M214" s="86"/>
      <c r="N214" s="90"/>
      <c r="O214" s="90"/>
      <c r="P214" s="90"/>
      <c r="Q214" s="106"/>
      <c r="R214" s="95"/>
      <c r="S214" s="96"/>
      <c r="T214" s="97"/>
      <c r="U214" s="85" t="str">
        <f t="array" ref="U214">IFERROR(index('3. Công thức lab theo từng mã h'!J:J,MATCH(C214,'3. Công thức lab theo từng mã h'!L:L,0)),"")</f>
        <v/>
      </c>
      <c r="V214" s="85"/>
      <c r="W214" s="75"/>
    </row>
    <row r="215">
      <c r="A215" s="64">
        <f t="shared" si="1"/>
        <v>0</v>
      </c>
      <c r="B215" s="98"/>
      <c r="C215" s="64"/>
      <c r="D215" s="16"/>
      <c r="E215" s="16"/>
      <c r="F215" s="100"/>
      <c r="G215" s="101"/>
      <c r="H215" s="16"/>
      <c r="I215" s="16"/>
      <c r="J215" s="16"/>
      <c r="K215" s="16"/>
      <c r="L215" s="16"/>
      <c r="M215" s="16"/>
      <c r="N215" s="100"/>
      <c r="O215" s="100"/>
      <c r="P215" s="100"/>
      <c r="Q215" s="106"/>
      <c r="R215" s="107"/>
      <c r="S215" s="104"/>
      <c r="T215" s="108"/>
      <c r="U215" s="74" t="str">
        <f t="array" ref="U215">IFERROR(index('3. Công thức lab theo từng mã h'!J:J,MATCH(C215,'3. Công thức lab theo từng mã h'!L:L,0)),"")</f>
        <v/>
      </c>
      <c r="V215" s="74"/>
      <c r="W215" s="75"/>
    </row>
    <row r="216">
      <c r="A216" s="76">
        <f t="shared" si="1"/>
        <v>0</v>
      </c>
      <c r="B216" s="88"/>
      <c r="C216" s="76"/>
      <c r="D216" s="86"/>
      <c r="E216" s="86"/>
      <c r="F216" s="90"/>
      <c r="G216" s="91"/>
      <c r="H216" s="86"/>
      <c r="I216" s="86"/>
      <c r="J216" s="86"/>
      <c r="K216" s="86"/>
      <c r="L216" s="86"/>
      <c r="M216" s="86"/>
      <c r="N216" s="90"/>
      <c r="O216" s="90"/>
      <c r="P216" s="90"/>
      <c r="Q216" s="106"/>
      <c r="R216" s="95"/>
      <c r="S216" s="96"/>
      <c r="T216" s="97"/>
      <c r="U216" s="85" t="str">
        <f t="array" ref="U216">IFERROR(index('3. Công thức lab theo từng mã h'!J:J,MATCH(C216,'3. Công thức lab theo từng mã h'!L:L,0)),"")</f>
        <v/>
      </c>
      <c r="V216" s="85"/>
      <c r="W216" s="75"/>
    </row>
    <row r="217">
      <c r="A217" s="64">
        <f t="shared" si="1"/>
        <v>0</v>
      </c>
      <c r="B217" s="98"/>
      <c r="C217" s="64"/>
      <c r="D217" s="16"/>
      <c r="E217" s="16"/>
      <c r="F217" s="100"/>
      <c r="G217" s="101"/>
      <c r="H217" s="16"/>
      <c r="I217" s="16"/>
      <c r="J217" s="16"/>
      <c r="K217" s="16"/>
      <c r="L217" s="16"/>
      <c r="M217" s="16"/>
      <c r="N217" s="100"/>
      <c r="O217" s="100"/>
      <c r="P217" s="100"/>
      <c r="Q217" s="106"/>
      <c r="R217" s="107"/>
      <c r="S217" s="104"/>
      <c r="T217" s="108"/>
      <c r="U217" s="74" t="str">
        <f t="array" ref="U217">IFERROR(index('3. Công thức lab theo từng mã h'!J:J,MATCH(C217,'3. Công thức lab theo từng mã h'!L:L,0)),"")</f>
        <v/>
      </c>
      <c r="V217" s="74"/>
      <c r="W217" s="75"/>
    </row>
    <row r="218">
      <c r="A218" s="76">
        <f t="shared" si="1"/>
        <v>0</v>
      </c>
      <c r="B218" s="88"/>
      <c r="C218" s="76"/>
      <c r="D218" s="86"/>
      <c r="E218" s="86"/>
      <c r="F218" s="90"/>
      <c r="G218" s="91"/>
      <c r="H218" s="86"/>
      <c r="I218" s="86"/>
      <c r="J218" s="86"/>
      <c r="K218" s="86"/>
      <c r="L218" s="86"/>
      <c r="M218" s="86"/>
      <c r="N218" s="90"/>
      <c r="O218" s="90"/>
      <c r="P218" s="90"/>
      <c r="Q218" s="106"/>
      <c r="R218" s="95"/>
      <c r="S218" s="96"/>
      <c r="T218" s="97"/>
      <c r="U218" s="85" t="str">
        <f t="array" ref="U218">IFERROR(index('3. Công thức lab theo từng mã h'!J:J,MATCH(C218,'3. Công thức lab theo từng mã h'!L:L,0)),"")</f>
        <v/>
      </c>
      <c r="V218" s="85"/>
      <c r="W218" s="75"/>
    </row>
    <row r="219">
      <c r="A219" s="64">
        <f t="shared" si="1"/>
        <v>0</v>
      </c>
      <c r="B219" s="98"/>
      <c r="C219" s="64"/>
      <c r="D219" s="16"/>
      <c r="E219" s="16"/>
      <c r="F219" s="100"/>
      <c r="G219" s="101"/>
      <c r="H219" s="16"/>
      <c r="I219" s="16"/>
      <c r="J219" s="16"/>
      <c r="K219" s="16"/>
      <c r="L219" s="16"/>
      <c r="M219" s="16"/>
      <c r="N219" s="100"/>
      <c r="O219" s="100"/>
      <c r="P219" s="100"/>
      <c r="Q219" s="106"/>
      <c r="R219" s="107"/>
      <c r="S219" s="104"/>
      <c r="T219" s="108"/>
      <c r="U219" s="74" t="str">
        <f t="array" ref="U219">IFERROR(index('3. Công thức lab theo từng mã h'!J:J,MATCH(C219,'3. Công thức lab theo từng mã h'!L:L,0)),"")</f>
        <v/>
      </c>
      <c r="V219" s="74"/>
      <c r="W219" s="75"/>
    </row>
    <row r="220">
      <c r="A220" s="76">
        <f t="shared" si="1"/>
        <v>0</v>
      </c>
      <c r="B220" s="88"/>
      <c r="C220" s="76"/>
      <c r="D220" s="86"/>
      <c r="E220" s="86"/>
      <c r="F220" s="90"/>
      <c r="G220" s="91"/>
      <c r="H220" s="86"/>
      <c r="I220" s="86"/>
      <c r="J220" s="86"/>
      <c r="K220" s="86"/>
      <c r="L220" s="86"/>
      <c r="M220" s="86"/>
      <c r="N220" s="90"/>
      <c r="O220" s="90"/>
      <c r="P220" s="90"/>
      <c r="Q220" s="106"/>
      <c r="R220" s="95"/>
      <c r="S220" s="96"/>
      <c r="T220" s="97"/>
      <c r="U220" s="85" t="str">
        <f t="array" ref="U220">IFERROR(index('3. Công thức lab theo từng mã h'!J:J,MATCH(C220,'3. Công thức lab theo từng mã h'!L:L,0)),"")</f>
        <v/>
      </c>
      <c r="V220" s="85"/>
      <c r="W220" s="75"/>
    </row>
    <row r="221">
      <c r="A221" s="64">
        <f t="shared" si="1"/>
        <v>0</v>
      </c>
      <c r="B221" s="98"/>
      <c r="C221" s="64"/>
      <c r="D221" s="16"/>
      <c r="E221" s="16"/>
      <c r="F221" s="100"/>
      <c r="G221" s="101"/>
      <c r="H221" s="16"/>
      <c r="I221" s="16"/>
      <c r="J221" s="16"/>
      <c r="K221" s="16"/>
      <c r="L221" s="16"/>
      <c r="M221" s="16"/>
      <c r="N221" s="100"/>
      <c r="O221" s="100"/>
      <c r="P221" s="100"/>
      <c r="Q221" s="106"/>
      <c r="R221" s="107"/>
      <c r="S221" s="104"/>
      <c r="T221" s="108"/>
      <c r="U221" s="74" t="str">
        <f t="array" ref="U221">IFERROR(index('3. Công thức lab theo từng mã h'!J:J,MATCH(C221,'3. Công thức lab theo từng mã h'!L:L,0)),"")</f>
        <v/>
      </c>
      <c r="V221" s="74"/>
      <c r="W221" s="75"/>
    </row>
    <row r="222">
      <c r="A222" s="76">
        <f t="shared" si="1"/>
        <v>0</v>
      </c>
      <c r="B222" s="88"/>
      <c r="C222" s="76"/>
      <c r="D222" s="86"/>
      <c r="E222" s="86"/>
      <c r="F222" s="90"/>
      <c r="G222" s="91"/>
      <c r="H222" s="86"/>
      <c r="I222" s="86"/>
      <c r="J222" s="86"/>
      <c r="K222" s="86"/>
      <c r="L222" s="86"/>
      <c r="M222" s="86"/>
      <c r="N222" s="90"/>
      <c r="O222" s="90"/>
      <c r="P222" s="90"/>
      <c r="Q222" s="106"/>
      <c r="R222" s="95"/>
      <c r="S222" s="96"/>
      <c r="T222" s="97"/>
      <c r="U222" s="85" t="str">
        <f t="array" ref="U222">IFERROR(index('3. Công thức lab theo từng mã h'!J:J,MATCH(C222,'3. Công thức lab theo từng mã h'!L:L,0)),"")</f>
        <v/>
      </c>
      <c r="V222" s="85"/>
      <c r="W222" s="75"/>
    </row>
    <row r="223">
      <c r="A223" s="64">
        <f t="shared" si="1"/>
        <v>0</v>
      </c>
      <c r="B223" s="98"/>
      <c r="C223" s="64"/>
      <c r="D223" s="16"/>
      <c r="E223" s="16"/>
      <c r="F223" s="100"/>
      <c r="G223" s="101"/>
      <c r="H223" s="16"/>
      <c r="I223" s="16"/>
      <c r="J223" s="16"/>
      <c r="K223" s="16"/>
      <c r="L223" s="16"/>
      <c r="M223" s="16"/>
      <c r="N223" s="100"/>
      <c r="O223" s="100"/>
      <c r="P223" s="100"/>
      <c r="Q223" s="106"/>
      <c r="R223" s="107"/>
      <c r="S223" s="104"/>
      <c r="T223" s="108"/>
      <c r="U223" s="74" t="str">
        <f t="array" ref="U223">IFERROR(index('3. Công thức lab theo từng mã h'!J:J,MATCH(C223,'3. Công thức lab theo từng mã h'!L:L,0)),"")</f>
        <v/>
      </c>
      <c r="V223" s="74"/>
      <c r="W223" s="75"/>
    </row>
    <row r="224">
      <c r="A224" s="76">
        <f t="shared" si="1"/>
        <v>0</v>
      </c>
      <c r="B224" s="88"/>
      <c r="C224" s="76"/>
      <c r="D224" s="86"/>
      <c r="E224" s="86"/>
      <c r="F224" s="90"/>
      <c r="G224" s="91"/>
      <c r="H224" s="86"/>
      <c r="I224" s="86"/>
      <c r="J224" s="86"/>
      <c r="K224" s="86"/>
      <c r="L224" s="86"/>
      <c r="M224" s="86"/>
      <c r="N224" s="90"/>
      <c r="O224" s="90"/>
      <c r="P224" s="90"/>
      <c r="Q224" s="106"/>
      <c r="R224" s="95"/>
      <c r="S224" s="96"/>
      <c r="T224" s="97"/>
      <c r="U224" s="85" t="str">
        <f t="array" ref="U224">IFERROR(index('3. Công thức lab theo từng mã h'!J:J,MATCH(C224,'3. Công thức lab theo từng mã h'!L:L,0)),"")</f>
        <v/>
      </c>
      <c r="V224" s="85"/>
      <c r="W224" s="75"/>
    </row>
    <row r="225">
      <c r="A225" s="64">
        <f t="shared" si="1"/>
        <v>0</v>
      </c>
      <c r="B225" s="98"/>
      <c r="C225" s="64"/>
      <c r="D225" s="16"/>
      <c r="E225" s="16"/>
      <c r="F225" s="100"/>
      <c r="G225" s="101"/>
      <c r="H225" s="16"/>
      <c r="I225" s="16"/>
      <c r="J225" s="16"/>
      <c r="K225" s="16"/>
      <c r="L225" s="16"/>
      <c r="M225" s="16"/>
      <c r="N225" s="100"/>
      <c r="O225" s="100"/>
      <c r="P225" s="100"/>
      <c r="Q225" s="106"/>
      <c r="R225" s="107"/>
      <c r="S225" s="104"/>
      <c r="T225" s="108"/>
      <c r="U225" s="74" t="str">
        <f t="array" ref="U225">IFERROR(index('3. Công thức lab theo từng mã h'!J:J,MATCH(C225,'3. Công thức lab theo từng mã h'!L:L,0)),"")</f>
        <v/>
      </c>
      <c r="V225" s="74"/>
      <c r="W225" s="75"/>
    </row>
    <row r="226">
      <c r="A226" s="76">
        <f t="shared" si="1"/>
        <v>0</v>
      </c>
      <c r="B226" s="88"/>
      <c r="C226" s="76"/>
      <c r="D226" s="86"/>
      <c r="E226" s="86"/>
      <c r="F226" s="90"/>
      <c r="G226" s="91"/>
      <c r="H226" s="86"/>
      <c r="I226" s="86"/>
      <c r="J226" s="86"/>
      <c r="K226" s="86"/>
      <c r="L226" s="86"/>
      <c r="M226" s="86"/>
      <c r="N226" s="90"/>
      <c r="O226" s="90"/>
      <c r="P226" s="90"/>
      <c r="Q226" s="106"/>
      <c r="R226" s="95"/>
      <c r="S226" s="96"/>
      <c r="T226" s="97"/>
      <c r="U226" s="85" t="str">
        <f t="array" ref="U226">IFERROR(index('3. Công thức lab theo từng mã h'!J:J,MATCH(C226,'3. Công thức lab theo từng mã h'!L:L,0)),"")</f>
        <v/>
      </c>
      <c r="V226" s="85"/>
      <c r="W226" s="75"/>
    </row>
    <row r="227">
      <c r="A227" s="64">
        <f t="shared" si="1"/>
        <v>0</v>
      </c>
      <c r="B227" s="98"/>
      <c r="C227" s="64"/>
      <c r="D227" s="16"/>
      <c r="E227" s="16"/>
      <c r="F227" s="100"/>
      <c r="G227" s="101"/>
      <c r="H227" s="16"/>
      <c r="I227" s="16"/>
      <c r="J227" s="16"/>
      <c r="K227" s="16"/>
      <c r="L227" s="16"/>
      <c r="M227" s="16"/>
      <c r="N227" s="100"/>
      <c r="O227" s="100"/>
      <c r="P227" s="100"/>
      <c r="Q227" s="106"/>
      <c r="R227" s="107"/>
      <c r="S227" s="104"/>
      <c r="T227" s="108"/>
      <c r="U227" s="74" t="str">
        <f t="array" ref="U227">IFERROR(index('3. Công thức lab theo từng mã h'!J:J,MATCH(C227,'3. Công thức lab theo từng mã h'!L:L,0)),"")</f>
        <v/>
      </c>
      <c r="V227" s="74"/>
      <c r="W227" s="75"/>
    </row>
    <row r="228">
      <c r="A228" s="76">
        <f t="shared" si="1"/>
        <v>0</v>
      </c>
      <c r="B228" s="88"/>
      <c r="C228" s="76"/>
      <c r="D228" s="86"/>
      <c r="E228" s="86"/>
      <c r="F228" s="90"/>
      <c r="G228" s="91"/>
      <c r="H228" s="86"/>
      <c r="I228" s="86"/>
      <c r="J228" s="86"/>
      <c r="K228" s="86"/>
      <c r="L228" s="86"/>
      <c r="M228" s="86"/>
      <c r="N228" s="90"/>
      <c r="O228" s="90"/>
      <c r="P228" s="90"/>
      <c r="Q228" s="106"/>
      <c r="R228" s="95"/>
      <c r="S228" s="96"/>
      <c r="T228" s="97"/>
      <c r="U228" s="85" t="str">
        <f t="array" ref="U228">IFERROR(index('3. Công thức lab theo từng mã h'!J:J,MATCH(C228,'3. Công thức lab theo từng mã h'!L:L,0)),"")</f>
        <v/>
      </c>
      <c r="V228" s="85"/>
      <c r="W228" s="75"/>
    </row>
    <row r="229">
      <c r="A229" s="64">
        <f t="shared" si="1"/>
        <v>0</v>
      </c>
      <c r="B229" s="98"/>
      <c r="C229" s="64"/>
      <c r="D229" s="16"/>
      <c r="E229" s="16"/>
      <c r="F229" s="100"/>
      <c r="G229" s="101"/>
      <c r="H229" s="16"/>
      <c r="I229" s="16"/>
      <c r="J229" s="16"/>
      <c r="K229" s="16"/>
      <c r="L229" s="16"/>
      <c r="M229" s="16"/>
      <c r="N229" s="100"/>
      <c r="O229" s="100"/>
      <c r="P229" s="100"/>
      <c r="Q229" s="106"/>
      <c r="R229" s="107"/>
      <c r="S229" s="104"/>
      <c r="T229" s="108"/>
      <c r="U229" s="74" t="str">
        <f t="array" ref="U229">IFERROR(index('3. Công thức lab theo từng mã h'!J:J,MATCH(C229,'3. Công thức lab theo từng mã h'!L:L,0)),"")</f>
        <v/>
      </c>
      <c r="V229" s="74"/>
      <c r="W229" s="75"/>
    </row>
    <row r="230">
      <c r="A230" s="76">
        <f t="shared" si="1"/>
        <v>0</v>
      </c>
      <c r="B230" s="88"/>
      <c r="C230" s="76"/>
      <c r="D230" s="86"/>
      <c r="E230" s="86"/>
      <c r="F230" s="90"/>
      <c r="G230" s="91"/>
      <c r="H230" s="86"/>
      <c r="I230" s="86"/>
      <c r="J230" s="86"/>
      <c r="K230" s="86"/>
      <c r="L230" s="86"/>
      <c r="M230" s="86"/>
      <c r="N230" s="90"/>
      <c r="O230" s="90"/>
      <c r="P230" s="90"/>
      <c r="Q230" s="106"/>
      <c r="R230" s="95"/>
      <c r="S230" s="96"/>
      <c r="T230" s="97"/>
      <c r="U230" s="85" t="str">
        <f t="array" ref="U230">IFERROR(index('3. Công thức lab theo từng mã h'!J:J,MATCH(C230,'3. Công thức lab theo từng mã h'!L:L,0)),"")</f>
        <v/>
      </c>
      <c r="V230" s="85"/>
      <c r="W230" s="75"/>
    </row>
    <row r="231">
      <c r="A231" s="64">
        <f t="shared" si="1"/>
        <v>0</v>
      </c>
      <c r="B231" s="98"/>
      <c r="C231" s="64"/>
      <c r="D231" s="16"/>
      <c r="E231" s="16"/>
      <c r="F231" s="100"/>
      <c r="G231" s="101"/>
      <c r="H231" s="16"/>
      <c r="I231" s="16"/>
      <c r="J231" s="16"/>
      <c r="K231" s="16"/>
      <c r="L231" s="16"/>
      <c r="M231" s="16"/>
      <c r="N231" s="100"/>
      <c r="O231" s="100"/>
      <c r="P231" s="100"/>
      <c r="Q231" s="106"/>
      <c r="R231" s="107"/>
      <c r="S231" s="104"/>
      <c r="T231" s="108"/>
      <c r="U231" s="74" t="str">
        <f t="array" ref="U231">IFERROR(index('3. Công thức lab theo từng mã h'!J:J,MATCH(C231,'3. Công thức lab theo từng mã h'!L:L,0)),"")</f>
        <v/>
      </c>
      <c r="V231" s="74"/>
      <c r="W231" s="75"/>
    </row>
    <row r="232">
      <c r="A232" s="76">
        <f t="shared" si="1"/>
        <v>0</v>
      </c>
      <c r="B232" s="88"/>
      <c r="C232" s="76"/>
      <c r="D232" s="86"/>
      <c r="E232" s="86"/>
      <c r="F232" s="90"/>
      <c r="G232" s="91"/>
      <c r="H232" s="86"/>
      <c r="I232" s="86"/>
      <c r="J232" s="86"/>
      <c r="K232" s="86"/>
      <c r="L232" s="86"/>
      <c r="M232" s="86"/>
      <c r="N232" s="90"/>
      <c r="O232" s="90"/>
      <c r="P232" s="90"/>
      <c r="Q232" s="106"/>
      <c r="R232" s="95"/>
      <c r="S232" s="96"/>
      <c r="T232" s="97"/>
      <c r="U232" s="85" t="str">
        <f t="array" ref="U232">IFERROR(index('3. Công thức lab theo từng mã h'!J:J,MATCH(C232,'3. Công thức lab theo từng mã h'!L:L,0)),"")</f>
        <v/>
      </c>
      <c r="V232" s="85"/>
      <c r="W232" s="75"/>
    </row>
    <row r="233">
      <c r="A233" s="64">
        <f t="shared" si="1"/>
        <v>0</v>
      </c>
      <c r="B233" s="98"/>
      <c r="C233" s="64"/>
      <c r="D233" s="16"/>
      <c r="E233" s="16"/>
      <c r="F233" s="100"/>
      <c r="G233" s="101"/>
      <c r="H233" s="16"/>
      <c r="I233" s="16"/>
      <c r="J233" s="16"/>
      <c r="K233" s="16"/>
      <c r="L233" s="16"/>
      <c r="M233" s="16"/>
      <c r="N233" s="100"/>
      <c r="O233" s="100"/>
      <c r="P233" s="100"/>
      <c r="Q233" s="106"/>
      <c r="R233" s="107"/>
      <c r="S233" s="104"/>
      <c r="T233" s="108"/>
      <c r="U233" s="74" t="str">
        <f t="array" ref="U233">IFERROR(index('3. Công thức lab theo từng mã h'!J:J,MATCH(C233,'3. Công thức lab theo từng mã h'!L:L,0)),"")</f>
        <v/>
      </c>
      <c r="V233" s="74"/>
      <c r="W233" s="75"/>
    </row>
    <row r="234">
      <c r="A234" s="76">
        <f t="shared" si="1"/>
        <v>0</v>
      </c>
      <c r="B234" s="88"/>
      <c r="C234" s="76"/>
      <c r="D234" s="86"/>
      <c r="E234" s="86"/>
      <c r="F234" s="90"/>
      <c r="G234" s="91"/>
      <c r="H234" s="86"/>
      <c r="I234" s="86"/>
      <c r="J234" s="86"/>
      <c r="K234" s="86"/>
      <c r="L234" s="86"/>
      <c r="M234" s="86"/>
      <c r="N234" s="90"/>
      <c r="O234" s="90"/>
      <c r="P234" s="90"/>
      <c r="Q234" s="106"/>
      <c r="R234" s="95"/>
      <c r="S234" s="96"/>
      <c r="T234" s="97"/>
      <c r="U234" s="85" t="str">
        <f t="array" ref="U234">IFERROR(index('3. Công thức lab theo từng mã h'!J:J,MATCH(C234,'3. Công thức lab theo từng mã h'!L:L,0)),"")</f>
        <v/>
      </c>
      <c r="V234" s="85"/>
      <c r="W234" s="75"/>
    </row>
    <row r="235">
      <c r="A235" s="64">
        <f t="shared" si="1"/>
        <v>0</v>
      </c>
      <c r="B235" s="98"/>
      <c r="C235" s="64"/>
      <c r="D235" s="16"/>
      <c r="E235" s="16"/>
      <c r="F235" s="100"/>
      <c r="G235" s="101"/>
      <c r="H235" s="16"/>
      <c r="I235" s="16"/>
      <c r="J235" s="16"/>
      <c r="K235" s="16"/>
      <c r="L235" s="16"/>
      <c r="M235" s="16"/>
      <c r="N235" s="100"/>
      <c r="O235" s="100"/>
      <c r="P235" s="100"/>
      <c r="Q235" s="106"/>
      <c r="R235" s="107"/>
      <c r="S235" s="104"/>
      <c r="T235" s="108"/>
      <c r="U235" s="74" t="str">
        <f t="array" ref="U235">IFERROR(index('3. Công thức lab theo từng mã h'!J:J,MATCH(C235,'3. Công thức lab theo từng mã h'!L:L,0)),"")</f>
        <v/>
      </c>
      <c r="V235" s="74"/>
      <c r="W235" s="75"/>
    </row>
    <row r="236">
      <c r="A236" s="76">
        <f t="shared" si="1"/>
        <v>0</v>
      </c>
      <c r="B236" s="88"/>
      <c r="C236" s="76"/>
      <c r="D236" s="86"/>
      <c r="E236" s="86"/>
      <c r="F236" s="90"/>
      <c r="G236" s="91"/>
      <c r="H236" s="86"/>
      <c r="I236" s="86"/>
      <c r="J236" s="86"/>
      <c r="K236" s="86"/>
      <c r="L236" s="86"/>
      <c r="M236" s="86"/>
      <c r="N236" s="90"/>
      <c r="O236" s="90"/>
      <c r="P236" s="90"/>
      <c r="Q236" s="106"/>
      <c r="R236" s="95"/>
      <c r="S236" s="96"/>
      <c r="T236" s="97"/>
      <c r="U236" s="85" t="str">
        <f t="array" ref="U236">IFERROR(index('3. Công thức lab theo từng mã h'!J:J,MATCH(C236,'3. Công thức lab theo từng mã h'!L:L,0)),"")</f>
        <v/>
      </c>
      <c r="V236" s="85"/>
      <c r="W236" s="75"/>
    </row>
    <row r="237">
      <c r="A237" s="64">
        <f t="shared" si="1"/>
        <v>0</v>
      </c>
      <c r="B237" s="98"/>
      <c r="C237" s="64"/>
      <c r="D237" s="16"/>
      <c r="E237" s="16"/>
      <c r="F237" s="100"/>
      <c r="G237" s="101"/>
      <c r="H237" s="16"/>
      <c r="I237" s="16"/>
      <c r="J237" s="16"/>
      <c r="K237" s="16"/>
      <c r="L237" s="16"/>
      <c r="M237" s="16"/>
      <c r="N237" s="100"/>
      <c r="O237" s="100"/>
      <c r="P237" s="100"/>
      <c r="Q237" s="106"/>
      <c r="R237" s="107"/>
      <c r="S237" s="104"/>
      <c r="T237" s="108"/>
      <c r="U237" s="74" t="str">
        <f t="array" ref="U237">IFERROR(index('3. Công thức lab theo từng mã h'!J:J,MATCH(C237,'3. Công thức lab theo từng mã h'!L:L,0)),"")</f>
        <v/>
      </c>
      <c r="V237" s="74"/>
      <c r="W237" s="75"/>
    </row>
    <row r="238">
      <c r="A238" s="76">
        <f t="shared" si="1"/>
        <v>0</v>
      </c>
      <c r="B238" s="88"/>
      <c r="C238" s="76"/>
      <c r="D238" s="86"/>
      <c r="E238" s="86"/>
      <c r="F238" s="90"/>
      <c r="G238" s="91"/>
      <c r="H238" s="86"/>
      <c r="I238" s="86"/>
      <c r="J238" s="86"/>
      <c r="K238" s="86"/>
      <c r="L238" s="86"/>
      <c r="M238" s="86"/>
      <c r="N238" s="90"/>
      <c r="O238" s="90"/>
      <c r="P238" s="90"/>
      <c r="Q238" s="106"/>
      <c r="R238" s="95"/>
      <c r="S238" s="96"/>
      <c r="T238" s="97"/>
      <c r="U238" s="85" t="str">
        <f t="array" ref="U238">IFERROR(index('3. Công thức lab theo từng mã h'!J:J,MATCH(C238,'3. Công thức lab theo từng mã h'!L:L,0)),"")</f>
        <v/>
      </c>
      <c r="V238" s="85"/>
      <c r="W238" s="75"/>
    </row>
    <row r="239">
      <c r="A239" s="64">
        <f t="shared" si="1"/>
        <v>0</v>
      </c>
      <c r="B239" s="98"/>
      <c r="C239" s="64"/>
      <c r="D239" s="16"/>
      <c r="E239" s="16"/>
      <c r="F239" s="100"/>
      <c r="G239" s="101"/>
      <c r="H239" s="16"/>
      <c r="I239" s="16"/>
      <c r="J239" s="16"/>
      <c r="K239" s="16"/>
      <c r="L239" s="16"/>
      <c r="M239" s="16"/>
      <c r="N239" s="100"/>
      <c r="O239" s="100"/>
      <c r="P239" s="100"/>
      <c r="Q239" s="106"/>
      <c r="R239" s="107"/>
      <c r="S239" s="104"/>
      <c r="T239" s="108"/>
      <c r="U239" s="74" t="str">
        <f t="array" ref="U239">IFERROR(index('3. Công thức lab theo từng mã h'!J:J,MATCH(C239,'3. Công thức lab theo từng mã h'!L:L,0)),"")</f>
        <v/>
      </c>
      <c r="V239" s="74"/>
      <c r="W239" s="75"/>
    </row>
    <row r="240">
      <c r="A240" s="76">
        <f t="shared" si="1"/>
        <v>0</v>
      </c>
      <c r="B240" s="88"/>
      <c r="C240" s="76"/>
      <c r="D240" s="86"/>
      <c r="E240" s="86"/>
      <c r="F240" s="90"/>
      <c r="G240" s="91"/>
      <c r="H240" s="86"/>
      <c r="I240" s="86"/>
      <c r="J240" s="86"/>
      <c r="K240" s="86"/>
      <c r="L240" s="86"/>
      <c r="M240" s="86"/>
      <c r="N240" s="90"/>
      <c r="O240" s="90"/>
      <c r="P240" s="90"/>
      <c r="Q240" s="106"/>
      <c r="R240" s="95"/>
      <c r="S240" s="96"/>
      <c r="T240" s="97"/>
      <c r="U240" s="85" t="str">
        <f t="array" ref="U240">IFERROR(index('3. Công thức lab theo từng mã h'!J:J,MATCH(C240,'3. Công thức lab theo từng mã h'!L:L,0)),"")</f>
        <v/>
      </c>
      <c r="V240" s="85"/>
      <c r="W240" s="75"/>
    </row>
    <row r="241">
      <c r="A241" s="64">
        <f t="shared" si="1"/>
        <v>0</v>
      </c>
      <c r="B241" s="98"/>
      <c r="C241" s="64"/>
      <c r="D241" s="16"/>
      <c r="E241" s="16"/>
      <c r="F241" s="100"/>
      <c r="G241" s="101"/>
      <c r="H241" s="16"/>
      <c r="I241" s="16"/>
      <c r="J241" s="16"/>
      <c r="K241" s="16"/>
      <c r="L241" s="16"/>
      <c r="M241" s="16"/>
      <c r="N241" s="100"/>
      <c r="O241" s="100"/>
      <c r="P241" s="100"/>
      <c r="Q241" s="106"/>
      <c r="R241" s="107"/>
      <c r="S241" s="104"/>
      <c r="T241" s="108"/>
      <c r="U241" s="74" t="str">
        <f t="array" ref="U241">IFERROR(index('3. Công thức lab theo từng mã h'!J:J,MATCH(C241,'3. Công thức lab theo từng mã h'!L:L,0)),"")</f>
        <v/>
      </c>
      <c r="V241" s="74"/>
      <c r="W241" s="75"/>
    </row>
    <row r="242">
      <c r="A242" s="76">
        <f t="shared" si="1"/>
        <v>0</v>
      </c>
      <c r="B242" s="88"/>
      <c r="C242" s="76"/>
      <c r="D242" s="86"/>
      <c r="E242" s="86"/>
      <c r="F242" s="90"/>
      <c r="G242" s="91"/>
      <c r="H242" s="86"/>
      <c r="I242" s="86"/>
      <c r="J242" s="86"/>
      <c r="K242" s="86"/>
      <c r="L242" s="86"/>
      <c r="M242" s="86"/>
      <c r="N242" s="90"/>
      <c r="O242" s="90"/>
      <c r="P242" s="90"/>
      <c r="Q242" s="106"/>
      <c r="R242" s="95"/>
      <c r="S242" s="96"/>
      <c r="T242" s="97"/>
      <c r="U242" s="85" t="str">
        <f t="array" ref="U242">IFERROR(index('3. Công thức lab theo từng mã h'!J:J,MATCH(C242,'3. Công thức lab theo từng mã h'!L:L,0)),"")</f>
        <v/>
      </c>
      <c r="V242" s="85"/>
      <c r="W242" s="75"/>
    </row>
    <row r="243">
      <c r="A243" s="64">
        <f t="shared" si="1"/>
        <v>0</v>
      </c>
      <c r="B243" s="98"/>
      <c r="C243" s="64"/>
      <c r="D243" s="16"/>
      <c r="E243" s="16"/>
      <c r="F243" s="100"/>
      <c r="G243" s="101"/>
      <c r="H243" s="16"/>
      <c r="I243" s="16"/>
      <c r="J243" s="16"/>
      <c r="K243" s="16"/>
      <c r="L243" s="16"/>
      <c r="M243" s="16"/>
      <c r="N243" s="100"/>
      <c r="O243" s="100"/>
      <c r="P243" s="100"/>
      <c r="Q243" s="106"/>
      <c r="R243" s="107"/>
      <c r="S243" s="104"/>
      <c r="T243" s="108"/>
      <c r="U243" s="74" t="str">
        <f t="array" ref="U243">IFERROR(index('3. Công thức lab theo từng mã h'!J:J,MATCH(C243,'3. Công thức lab theo từng mã h'!L:L,0)),"")</f>
        <v/>
      </c>
      <c r="V243" s="74"/>
      <c r="W243" s="75"/>
    </row>
    <row r="244">
      <c r="A244" s="76">
        <f t="shared" si="1"/>
        <v>0</v>
      </c>
      <c r="B244" s="88"/>
      <c r="C244" s="76"/>
      <c r="D244" s="86"/>
      <c r="E244" s="86"/>
      <c r="F244" s="90"/>
      <c r="G244" s="91"/>
      <c r="H244" s="86"/>
      <c r="I244" s="86"/>
      <c r="J244" s="86"/>
      <c r="K244" s="86"/>
      <c r="L244" s="86"/>
      <c r="M244" s="86"/>
      <c r="N244" s="90"/>
      <c r="O244" s="90"/>
      <c r="P244" s="90"/>
      <c r="Q244" s="106"/>
      <c r="R244" s="95"/>
      <c r="S244" s="96"/>
      <c r="T244" s="97"/>
      <c r="U244" s="85" t="str">
        <f t="array" ref="U244">IFERROR(index('3. Công thức lab theo từng mã h'!J:J,MATCH(C244,'3. Công thức lab theo từng mã h'!L:L,0)),"")</f>
        <v/>
      </c>
      <c r="V244" s="85"/>
      <c r="W244" s="75"/>
    </row>
    <row r="245">
      <c r="A245" s="64">
        <f t="shared" si="1"/>
        <v>0</v>
      </c>
      <c r="B245" s="98"/>
      <c r="C245" s="64"/>
      <c r="D245" s="16"/>
      <c r="E245" s="16"/>
      <c r="F245" s="100"/>
      <c r="G245" s="101"/>
      <c r="H245" s="16"/>
      <c r="I245" s="16"/>
      <c r="J245" s="16"/>
      <c r="K245" s="16"/>
      <c r="L245" s="16"/>
      <c r="M245" s="16"/>
      <c r="N245" s="100"/>
      <c r="O245" s="100"/>
      <c r="P245" s="100"/>
      <c r="Q245" s="106"/>
      <c r="R245" s="107"/>
      <c r="S245" s="104"/>
      <c r="T245" s="108"/>
      <c r="U245" s="74" t="str">
        <f t="array" ref="U245">IFERROR(index('3. Công thức lab theo từng mã h'!J:J,MATCH(C245,'3. Công thức lab theo từng mã h'!L:L,0)),"")</f>
        <v/>
      </c>
      <c r="V245" s="74"/>
      <c r="W245" s="75"/>
    </row>
    <row r="246">
      <c r="A246" s="76">
        <f t="shared" si="1"/>
        <v>0</v>
      </c>
      <c r="B246" s="88"/>
      <c r="C246" s="76"/>
      <c r="D246" s="86"/>
      <c r="E246" s="86"/>
      <c r="F246" s="90"/>
      <c r="G246" s="91"/>
      <c r="H246" s="86"/>
      <c r="I246" s="86"/>
      <c r="J246" s="86"/>
      <c r="K246" s="86"/>
      <c r="L246" s="86"/>
      <c r="M246" s="86"/>
      <c r="N246" s="90"/>
      <c r="O246" s="90"/>
      <c r="P246" s="90"/>
      <c r="Q246" s="106"/>
      <c r="R246" s="95"/>
      <c r="S246" s="96"/>
      <c r="T246" s="97"/>
      <c r="U246" s="85" t="str">
        <f t="array" ref="U246">IFERROR(index('3. Công thức lab theo từng mã h'!J:J,MATCH(C246,'3. Công thức lab theo từng mã h'!L:L,0)),"")</f>
        <v/>
      </c>
      <c r="V246" s="85"/>
      <c r="W246" s="75"/>
    </row>
    <row r="247">
      <c r="A247" s="64">
        <f t="shared" si="1"/>
        <v>0</v>
      </c>
      <c r="B247" s="98"/>
      <c r="C247" s="64"/>
      <c r="D247" s="16"/>
      <c r="E247" s="16"/>
      <c r="F247" s="100"/>
      <c r="G247" s="101"/>
      <c r="H247" s="16"/>
      <c r="I247" s="16"/>
      <c r="J247" s="16"/>
      <c r="K247" s="16"/>
      <c r="L247" s="16"/>
      <c r="M247" s="16"/>
      <c r="N247" s="100"/>
      <c r="O247" s="100"/>
      <c r="P247" s="100"/>
      <c r="Q247" s="106"/>
      <c r="R247" s="107"/>
      <c r="S247" s="104"/>
      <c r="T247" s="108"/>
      <c r="U247" s="74" t="str">
        <f t="array" ref="U247">IFERROR(index('3. Công thức lab theo từng mã h'!J:J,MATCH(C247,'3. Công thức lab theo từng mã h'!L:L,0)),"")</f>
        <v/>
      </c>
      <c r="V247" s="74"/>
      <c r="W247" s="75"/>
    </row>
    <row r="248">
      <c r="A248" s="76">
        <f t="shared" si="1"/>
        <v>0</v>
      </c>
      <c r="B248" s="88"/>
      <c r="C248" s="76"/>
      <c r="D248" s="86"/>
      <c r="E248" s="86"/>
      <c r="F248" s="90"/>
      <c r="G248" s="91"/>
      <c r="H248" s="86"/>
      <c r="I248" s="86"/>
      <c r="J248" s="86"/>
      <c r="K248" s="86"/>
      <c r="L248" s="86"/>
      <c r="M248" s="86"/>
      <c r="N248" s="90"/>
      <c r="O248" s="90"/>
      <c r="P248" s="90"/>
      <c r="Q248" s="106"/>
      <c r="R248" s="95"/>
      <c r="S248" s="96"/>
      <c r="T248" s="97"/>
      <c r="U248" s="85" t="str">
        <f t="array" ref="U248">IFERROR(index('3. Công thức lab theo từng mã h'!J:J,MATCH(C248,'3. Công thức lab theo từng mã h'!L:L,0)),"")</f>
        <v/>
      </c>
      <c r="V248" s="85"/>
      <c r="W248" s="75"/>
    </row>
    <row r="249">
      <c r="A249" s="64">
        <f t="shared" si="1"/>
        <v>0</v>
      </c>
      <c r="B249" s="98"/>
      <c r="C249" s="64"/>
      <c r="D249" s="16"/>
      <c r="E249" s="16"/>
      <c r="F249" s="100"/>
      <c r="G249" s="101"/>
      <c r="H249" s="16"/>
      <c r="I249" s="16"/>
      <c r="J249" s="16"/>
      <c r="K249" s="16"/>
      <c r="L249" s="16"/>
      <c r="M249" s="16"/>
      <c r="N249" s="100"/>
      <c r="O249" s="100"/>
      <c r="P249" s="100"/>
      <c r="Q249" s="106"/>
      <c r="R249" s="107"/>
      <c r="S249" s="104"/>
      <c r="T249" s="108"/>
      <c r="U249" s="74" t="str">
        <f t="array" ref="U249">IFERROR(index('3. Công thức lab theo từng mã h'!J:J,MATCH(C249,'3. Công thức lab theo từng mã h'!L:L,0)),"")</f>
        <v/>
      </c>
      <c r="V249" s="74"/>
      <c r="W249" s="75"/>
    </row>
    <row r="250">
      <c r="A250" s="76">
        <f t="shared" si="1"/>
        <v>0</v>
      </c>
      <c r="B250" s="88"/>
      <c r="C250" s="76"/>
      <c r="D250" s="86"/>
      <c r="E250" s="86"/>
      <c r="F250" s="90"/>
      <c r="G250" s="91"/>
      <c r="H250" s="86"/>
      <c r="I250" s="86"/>
      <c r="J250" s="86"/>
      <c r="K250" s="86"/>
      <c r="L250" s="86"/>
      <c r="M250" s="86"/>
      <c r="N250" s="90"/>
      <c r="O250" s="90"/>
      <c r="P250" s="90"/>
      <c r="Q250" s="106"/>
      <c r="R250" s="95"/>
      <c r="S250" s="96"/>
      <c r="T250" s="97"/>
      <c r="U250" s="85" t="str">
        <f t="array" ref="U250">IFERROR(index('3. Công thức lab theo từng mã h'!J:J,MATCH(C250,'3. Công thức lab theo từng mã h'!L:L,0)),"")</f>
        <v/>
      </c>
      <c r="V250" s="85"/>
      <c r="W250" s="75"/>
    </row>
    <row r="251">
      <c r="A251" s="64">
        <f t="shared" si="1"/>
        <v>0</v>
      </c>
      <c r="B251" s="98"/>
      <c r="C251" s="64"/>
      <c r="D251" s="16"/>
      <c r="E251" s="16"/>
      <c r="F251" s="100"/>
      <c r="G251" s="101"/>
      <c r="H251" s="16"/>
      <c r="I251" s="16"/>
      <c r="J251" s="16"/>
      <c r="K251" s="16"/>
      <c r="L251" s="16"/>
      <c r="M251" s="16"/>
      <c r="N251" s="100"/>
      <c r="O251" s="100"/>
      <c r="P251" s="100"/>
      <c r="Q251" s="106"/>
      <c r="R251" s="107"/>
      <c r="S251" s="104"/>
      <c r="T251" s="108"/>
      <c r="U251" s="74" t="str">
        <f t="array" ref="U251">IFERROR(index('3. Công thức lab theo từng mã h'!J:J,MATCH(C251,'3. Công thức lab theo từng mã h'!L:L,0)),"")</f>
        <v/>
      </c>
      <c r="V251" s="74"/>
      <c r="W251" s="75"/>
    </row>
    <row r="252">
      <c r="A252" s="76">
        <f t="shared" si="1"/>
        <v>0</v>
      </c>
      <c r="B252" s="88"/>
      <c r="C252" s="76"/>
      <c r="D252" s="86"/>
      <c r="E252" s="86"/>
      <c r="F252" s="90"/>
      <c r="G252" s="91"/>
      <c r="H252" s="86"/>
      <c r="I252" s="86"/>
      <c r="J252" s="86"/>
      <c r="K252" s="86"/>
      <c r="L252" s="86"/>
      <c r="M252" s="86"/>
      <c r="N252" s="90"/>
      <c r="O252" s="90"/>
      <c r="P252" s="90"/>
      <c r="Q252" s="106"/>
      <c r="R252" s="95"/>
      <c r="S252" s="96"/>
      <c r="T252" s="97"/>
      <c r="U252" s="85" t="str">
        <f t="array" ref="U252">IFERROR(index('3. Công thức lab theo từng mã h'!J:J,MATCH(C252,'3. Công thức lab theo từng mã h'!L:L,0)),"")</f>
        <v/>
      </c>
      <c r="V252" s="85"/>
      <c r="W252" s="75"/>
    </row>
    <row r="253">
      <c r="A253" s="64">
        <f t="shared" si="1"/>
        <v>0</v>
      </c>
      <c r="B253" s="98"/>
      <c r="C253" s="64"/>
      <c r="D253" s="16"/>
      <c r="E253" s="16"/>
      <c r="F253" s="100"/>
      <c r="G253" s="101"/>
      <c r="H253" s="16"/>
      <c r="I253" s="16"/>
      <c r="J253" s="16"/>
      <c r="K253" s="16"/>
      <c r="L253" s="16"/>
      <c r="M253" s="16"/>
      <c r="N253" s="100"/>
      <c r="O253" s="100"/>
      <c r="P253" s="100"/>
      <c r="Q253" s="106"/>
      <c r="R253" s="107"/>
      <c r="S253" s="104"/>
      <c r="T253" s="108"/>
      <c r="U253" s="74" t="str">
        <f t="array" ref="U253">IFERROR(index('3. Công thức lab theo từng mã h'!J:J,MATCH(C253,'3. Công thức lab theo từng mã h'!L:L,0)),"")</f>
        <v/>
      </c>
      <c r="V253" s="74"/>
      <c r="W253" s="75"/>
    </row>
    <row r="254">
      <c r="A254" s="76">
        <f t="shared" si="1"/>
        <v>0</v>
      </c>
      <c r="B254" s="88"/>
      <c r="C254" s="76"/>
      <c r="D254" s="86"/>
      <c r="E254" s="86"/>
      <c r="F254" s="90"/>
      <c r="G254" s="91"/>
      <c r="H254" s="86"/>
      <c r="I254" s="86"/>
      <c r="J254" s="86"/>
      <c r="K254" s="86"/>
      <c r="L254" s="86"/>
      <c r="M254" s="86"/>
      <c r="N254" s="90"/>
      <c r="O254" s="90"/>
      <c r="P254" s="90"/>
      <c r="Q254" s="106"/>
      <c r="R254" s="95"/>
      <c r="S254" s="96"/>
      <c r="T254" s="97"/>
      <c r="U254" s="85" t="str">
        <f t="array" ref="U254">IFERROR(index('3. Công thức lab theo từng mã h'!J:J,MATCH(C254,'3. Công thức lab theo từng mã h'!L:L,0)),"")</f>
        <v/>
      </c>
      <c r="V254" s="85"/>
      <c r="W254" s="75"/>
    </row>
    <row r="255">
      <c r="A255" s="64">
        <f t="shared" si="1"/>
        <v>0</v>
      </c>
      <c r="B255" s="98"/>
      <c r="C255" s="64"/>
      <c r="D255" s="16"/>
      <c r="E255" s="16"/>
      <c r="F255" s="100"/>
      <c r="G255" s="101"/>
      <c r="H255" s="16"/>
      <c r="I255" s="16"/>
      <c r="J255" s="16"/>
      <c r="K255" s="16"/>
      <c r="L255" s="16"/>
      <c r="M255" s="16"/>
      <c r="N255" s="100"/>
      <c r="O255" s="100"/>
      <c r="P255" s="100"/>
      <c r="Q255" s="106"/>
      <c r="R255" s="107"/>
      <c r="S255" s="104"/>
      <c r="T255" s="108"/>
      <c r="U255" s="74" t="str">
        <f t="array" ref="U255">IFERROR(index('3. Công thức lab theo từng mã h'!J:J,MATCH(C255,'3. Công thức lab theo từng mã h'!L:L,0)),"")</f>
        <v/>
      </c>
      <c r="V255" s="74"/>
      <c r="W255" s="75"/>
    </row>
    <row r="256">
      <c r="A256" s="76">
        <f t="shared" si="1"/>
        <v>0</v>
      </c>
      <c r="B256" s="88"/>
      <c r="C256" s="76"/>
      <c r="D256" s="86"/>
      <c r="E256" s="86"/>
      <c r="F256" s="90"/>
      <c r="G256" s="91"/>
      <c r="H256" s="86"/>
      <c r="I256" s="86"/>
      <c r="J256" s="86"/>
      <c r="K256" s="86"/>
      <c r="L256" s="86"/>
      <c r="M256" s="86"/>
      <c r="N256" s="90"/>
      <c r="O256" s="90"/>
      <c r="P256" s="90"/>
      <c r="Q256" s="106"/>
      <c r="R256" s="95"/>
      <c r="S256" s="96"/>
      <c r="T256" s="97"/>
      <c r="U256" s="85" t="str">
        <f t="array" ref="U256">IFERROR(index('3. Công thức lab theo từng mã h'!J:J,MATCH(C256,'3. Công thức lab theo từng mã h'!L:L,0)),"")</f>
        <v/>
      </c>
      <c r="V256" s="85"/>
      <c r="W256" s="75"/>
    </row>
    <row r="257">
      <c r="A257" s="64">
        <f t="shared" si="1"/>
        <v>0</v>
      </c>
      <c r="B257" s="98"/>
      <c r="C257" s="64"/>
      <c r="D257" s="16"/>
      <c r="E257" s="16"/>
      <c r="F257" s="100"/>
      <c r="G257" s="101"/>
      <c r="H257" s="16"/>
      <c r="I257" s="16"/>
      <c r="J257" s="16"/>
      <c r="K257" s="16"/>
      <c r="L257" s="16"/>
      <c r="M257" s="16"/>
      <c r="N257" s="100"/>
      <c r="O257" s="100"/>
      <c r="P257" s="100"/>
      <c r="Q257" s="106"/>
      <c r="R257" s="107"/>
      <c r="S257" s="104"/>
      <c r="T257" s="108"/>
      <c r="U257" s="74" t="str">
        <f t="array" ref="U257">IFERROR(index('3. Công thức lab theo từng mã h'!J:J,MATCH(C257,'3. Công thức lab theo từng mã h'!L:L,0)),"")</f>
        <v/>
      </c>
      <c r="V257" s="74"/>
      <c r="W257" s="75"/>
    </row>
    <row r="258">
      <c r="A258" s="76">
        <f t="shared" si="1"/>
        <v>0</v>
      </c>
      <c r="B258" s="88"/>
      <c r="C258" s="76"/>
      <c r="D258" s="86"/>
      <c r="E258" s="86"/>
      <c r="F258" s="90"/>
      <c r="G258" s="91"/>
      <c r="H258" s="86"/>
      <c r="I258" s="86"/>
      <c r="J258" s="86"/>
      <c r="K258" s="86"/>
      <c r="L258" s="86"/>
      <c r="M258" s="86"/>
      <c r="N258" s="90"/>
      <c r="O258" s="90"/>
      <c r="P258" s="90"/>
      <c r="Q258" s="106"/>
      <c r="R258" s="95"/>
      <c r="S258" s="96"/>
      <c r="T258" s="97"/>
      <c r="U258" s="85" t="str">
        <f t="array" ref="U258">IFERROR(index('3. Công thức lab theo từng mã h'!J:J,MATCH(C258,'3. Công thức lab theo từng mã h'!L:L,0)),"")</f>
        <v/>
      </c>
      <c r="V258" s="85"/>
      <c r="W258" s="75"/>
    </row>
    <row r="259">
      <c r="A259" s="64">
        <f t="shared" si="1"/>
        <v>0</v>
      </c>
      <c r="B259" s="98"/>
      <c r="C259" s="64"/>
      <c r="D259" s="16"/>
      <c r="E259" s="16"/>
      <c r="F259" s="100"/>
      <c r="G259" s="101"/>
      <c r="H259" s="16"/>
      <c r="I259" s="16"/>
      <c r="J259" s="16"/>
      <c r="K259" s="16"/>
      <c r="L259" s="16"/>
      <c r="M259" s="16"/>
      <c r="N259" s="100"/>
      <c r="O259" s="100"/>
      <c r="P259" s="100"/>
      <c r="Q259" s="106"/>
      <c r="R259" s="107"/>
      <c r="S259" s="104"/>
      <c r="T259" s="108"/>
      <c r="U259" s="74" t="str">
        <f t="array" ref="U259">IFERROR(index('3. Công thức lab theo từng mã h'!J:J,MATCH(C259,'3. Công thức lab theo từng mã h'!L:L,0)),"")</f>
        <v/>
      </c>
      <c r="V259" s="74"/>
      <c r="W259" s="75"/>
    </row>
    <row r="260">
      <c r="A260" s="76">
        <f t="shared" si="1"/>
        <v>0</v>
      </c>
      <c r="B260" s="88"/>
      <c r="C260" s="76"/>
      <c r="D260" s="86"/>
      <c r="E260" s="86"/>
      <c r="F260" s="90"/>
      <c r="G260" s="91"/>
      <c r="H260" s="86"/>
      <c r="I260" s="86"/>
      <c r="J260" s="86"/>
      <c r="K260" s="86"/>
      <c r="L260" s="86"/>
      <c r="M260" s="86"/>
      <c r="N260" s="90"/>
      <c r="O260" s="90"/>
      <c r="P260" s="90"/>
      <c r="Q260" s="106"/>
      <c r="R260" s="95"/>
      <c r="S260" s="96"/>
      <c r="T260" s="97"/>
      <c r="U260" s="85" t="str">
        <f t="array" ref="U260">IFERROR(index('3. Công thức lab theo từng mã h'!J:J,MATCH(C260,'3. Công thức lab theo từng mã h'!L:L,0)),"")</f>
        <v/>
      </c>
      <c r="V260" s="85"/>
      <c r="W260" s="75"/>
    </row>
    <row r="261">
      <c r="A261" s="64">
        <f t="shared" si="1"/>
        <v>0</v>
      </c>
      <c r="B261" s="98"/>
      <c r="C261" s="64"/>
      <c r="D261" s="16"/>
      <c r="E261" s="16"/>
      <c r="F261" s="100"/>
      <c r="G261" s="101"/>
      <c r="H261" s="16"/>
      <c r="I261" s="16"/>
      <c r="J261" s="16"/>
      <c r="K261" s="16"/>
      <c r="L261" s="16"/>
      <c r="M261" s="16"/>
      <c r="N261" s="100"/>
      <c r="O261" s="100"/>
      <c r="P261" s="100"/>
      <c r="Q261" s="106"/>
      <c r="R261" s="107"/>
      <c r="S261" s="104"/>
      <c r="T261" s="108"/>
      <c r="U261" s="74" t="str">
        <f t="array" ref="U261">IFERROR(index('3. Công thức lab theo từng mã h'!J:J,MATCH(C261,'3. Công thức lab theo từng mã h'!L:L,0)),"")</f>
        <v/>
      </c>
      <c r="V261" s="74"/>
      <c r="W261" s="75"/>
    </row>
    <row r="262">
      <c r="A262" s="76">
        <f t="shared" si="1"/>
        <v>0</v>
      </c>
      <c r="B262" s="88"/>
      <c r="C262" s="76"/>
      <c r="D262" s="86"/>
      <c r="E262" s="86"/>
      <c r="F262" s="90"/>
      <c r="G262" s="91"/>
      <c r="H262" s="86"/>
      <c r="I262" s="86"/>
      <c r="J262" s="86"/>
      <c r="K262" s="86"/>
      <c r="L262" s="86"/>
      <c r="M262" s="86"/>
      <c r="N262" s="90"/>
      <c r="O262" s="90"/>
      <c r="P262" s="90"/>
      <c r="Q262" s="106"/>
      <c r="R262" s="95"/>
      <c r="S262" s="96"/>
      <c r="T262" s="97"/>
      <c r="U262" s="85" t="str">
        <f t="array" ref="U262">IFERROR(index('3. Công thức lab theo từng mã h'!J:J,MATCH(C262,'3. Công thức lab theo từng mã h'!L:L,0)),"")</f>
        <v/>
      </c>
      <c r="V262" s="85"/>
      <c r="W262" s="75"/>
    </row>
    <row r="263">
      <c r="A263" s="64">
        <f t="shared" si="1"/>
        <v>0</v>
      </c>
      <c r="B263" s="98"/>
      <c r="C263" s="64"/>
      <c r="D263" s="16"/>
      <c r="E263" s="16"/>
      <c r="F263" s="100"/>
      <c r="G263" s="101"/>
      <c r="H263" s="16"/>
      <c r="I263" s="16"/>
      <c r="J263" s="16"/>
      <c r="K263" s="16"/>
      <c r="L263" s="16"/>
      <c r="M263" s="16"/>
      <c r="N263" s="100"/>
      <c r="O263" s="100"/>
      <c r="P263" s="100"/>
      <c r="Q263" s="106"/>
      <c r="R263" s="107"/>
      <c r="S263" s="104"/>
      <c r="T263" s="108"/>
      <c r="U263" s="74" t="str">
        <f t="array" ref="U263">IFERROR(index('3. Công thức lab theo từng mã h'!J:J,MATCH(C263,'3. Công thức lab theo từng mã h'!L:L,0)),"")</f>
        <v/>
      </c>
      <c r="V263" s="74"/>
      <c r="W263" s="75"/>
    </row>
    <row r="264">
      <c r="A264" s="76">
        <f t="shared" si="1"/>
        <v>0</v>
      </c>
      <c r="B264" s="88"/>
      <c r="C264" s="76"/>
      <c r="D264" s="86"/>
      <c r="E264" s="86"/>
      <c r="F264" s="90"/>
      <c r="G264" s="91"/>
      <c r="H264" s="86"/>
      <c r="I264" s="86"/>
      <c r="J264" s="86"/>
      <c r="K264" s="86"/>
      <c r="L264" s="86"/>
      <c r="M264" s="86"/>
      <c r="N264" s="90"/>
      <c r="O264" s="90"/>
      <c r="P264" s="90"/>
      <c r="Q264" s="106"/>
      <c r="R264" s="95"/>
      <c r="S264" s="96"/>
      <c r="T264" s="97"/>
      <c r="U264" s="85" t="str">
        <f t="array" ref="U264">IFERROR(index('3. Công thức lab theo từng mã h'!J:J,MATCH(C264,'3. Công thức lab theo từng mã h'!L:L,0)),"")</f>
        <v/>
      </c>
      <c r="V264" s="85"/>
      <c r="W264" s="75"/>
    </row>
    <row r="265">
      <c r="A265" s="64">
        <f t="shared" si="1"/>
        <v>0</v>
      </c>
      <c r="B265" s="98"/>
      <c r="C265" s="64"/>
      <c r="D265" s="16"/>
      <c r="E265" s="16"/>
      <c r="F265" s="100"/>
      <c r="G265" s="101"/>
      <c r="H265" s="16"/>
      <c r="I265" s="16"/>
      <c r="J265" s="16"/>
      <c r="K265" s="16"/>
      <c r="L265" s="16"/>
      <c r="M265" s="16"/>
      <c r="N265" s="100"/>
      <c r="O265" s="100"/>
      <c r="P265" s="100"/>
      <c r="Q265" s="106"/>
      <c r="R265" s="107"/>
      <c r="S265" s="104"/>
      <c r="T265" s="108"/>
      <c r="U265" s="74" t="str">
        <f t="array" ref="U265">IFERROR(index('3. Công thức lab theo từng mã h'!J:J,MATCH(C265,'3. Công thức lab theo từng mã h'!L:L,0)),"")</f>
        <v/>
      </c>
      <c r="V265" s="74"/>
      <c r="W265" s="75"/>
    </row>
    <row r="266">
      <c r="A266" s="76">
        <f t="shared" si="1"/>
        <v>0</v>
      </c>
      <c r="B266" s="88"/>
      <c r="C266" s="76"/>
      <c r="D266" s="86"/>
      <c r="E266" s="86"/>
      <c r="F266" s="90"/>
      <c r="G266" s="91"/>
      <c r="H266" s="86"/>
      <c r="I266" s="86"/>
      <c r="J266" s="86"/>
      <c r="K266" s="86"/>
      <c r="L266" s="86"/>
      <c r="M266" s="86"/>
      <c r="N266" s="90"/>
      <c r="O266" s="90"/>
      <c r="P266" s="90"/>
      <c r="Q266" s="106"/>
      <c r="R266" s="95"/>
      <c r="S266" s="96"/>
      <c r="T266" s="97"/>
      <c r="U266" s="85" t="str">
        <f t="array" ref="U266">IFERROR(index('3. Công thức lab theo từng mã h'!J:J,MATCH(C266,'3. Công thức lab theo từng mã h'!L:L,0)),"")</f>
        <v/>
      </c>
      <c r="V266" s="85"/>
      <c r="W266" s="75"/>
    </row>
    <row r="267">
      <c r="A267" s="64">
        <f t="shared" si="1"/>
        <v>0</v>
      </c>
      <c r="B267" s="98"/>
      <c r="C267" s="64"/>
      <c r="D267" s="16"/>
      <c r="E267" s="16"/>
      <c r="F267" s="100"/>
      <c r="G267" s="101"/>
      <c r="H267" s="16"/>
      <c r="I267" s="16"/>
      <c r="J267" s="16"/>
      <c r="K267" s="16"/>
      <c r="L267" s="16"/>
      <c r="M267" s="16"/>
      <c r="N267" s="100"/>
      <c r="O267" s="100"/>
      <c r="P267" s="100"/>
      <c r="Q267" s="106"/>
      <c r="R267" s="107"/>
      <c r="S267" s="104"/>
      <c r="T267" s="108"/>
      <c r="U267" s="74" t="str">
        <f t="array" ref="U267">IFERROR(index('3. Công thức lab theo từng mã h'!J:J,MATCH(C267,'3. Công thức lab theo từng mã h'!L:L,0)),"")</f>
        <v/>
      </c>
      <c r="V267" s="74"/>
      <c r="W267" s="75"/>
    </row>
    <row r="268">
      <c r="A268" s="76">
        <f t="shared" si="1"/>
        <v>0</v>
      </c>
      <c r="B268" s="88"/>
      <c r="C268" s="76"/>
      <c r="D268" s="86"/>
      <c r="E268" s="86"/>
      <c r="F268" s="90"/>
      <c r="G268" s="91"/>
      <c r="H268" s="86"/>
      <c r="I268" s="86"/>
      <c r="J268" s="86"/>
      <c r="K268" s="86"/>
      <c r="L268" s="86"/>
      <c r="M268" s="86"/>
      <c r="N268" s="90"/>
      <c r="O268" s="90"/>
      <c r="P268" s="90"/>
      <c r="Q268" s="106"/>
      <c r="R268" s="95"/>
      <c r="S268" s="96"/>
      <c r="T268" s="97"/>
      <c r="U268" s="85" t="str">
        <f t="array" ref="U268">IFERROR(index('3. Công thức lab theo từng mã h'!J:J,MATCH(C268,'3. Công thức lab theo từng mã h'!L:L,0)),"")</f>
        <v/>
      </c>
      <c r="V268" s="85"/>
      <c r="W268" s="75"/>
    </row>
    <row r="269">
      <c r="A269" s="64">
        <f t="shared" si="1"/>
        <v>0</v>
      </c>
      <c r="B269" s="98"/>
      <c r="C269" s="64"/>
      <c r="D269" s="16"/>
      <c r="E269" s="16"/>
      <c r="F269" s="100"/>
      <c r="G269" s="101"/>
      <c r="H269" s="16"/>
      <c r="I269" s="16"/>
      <c r="J269" s="16"/>
      <c r="K269" s="16"/>
      <c r="L269" s="16"/>
      <c r="M269" s="16"/>
      <c r="N269" s="100"/>
      <c r="O269" s="100"/>
      <c r="P269" s="100"/>
      <c r="Q269" s="106"/>
      <c r="R269" s="107"/>
      <c r="S269" s="104"/>
      <c r="T269" s="108"/>
      <c r="U269" s="74" t="str">
        <f t="array" ref="U269">IFERROR(index('3. Công thức lab theo từng mã h'!J:J,MATCH(C269,'3. Công thức lab theo từng mã h'!L:L,0)),"")</f>
        <v/>
      </c>
      <c r="V269" s="74"/>
      <c r="W269" s="75"/>
    </row>
    <row r="270">
      <c r="A270" s="76">
        <f t="shared" si="1"/>
        <v>0</v>
      </c>
      <c r="B270" s="88"/>
      <c r="C270" s="76"/>
      <c r="D270" s="86"/>
      <c r="E270" s="86"/>
      <c r="F270" s="90"/>
      <c r="G270" s="91"/>
      <c r="H270" s="86"/>
      <c r="I270" s="86"/>
      <c r="J270" s="86"/>
      <c r="K270" s="86"/>
      <c r="L270" s="86"/>
      <c r="M270" s="86"/>
      <c r="N270" s="90"/>
      <c r="O270" s="90"/>
      <c r="P270" s="90"/>
      <c r="Q270" s="106"/>
      <c r="R270" s="95"/>
      <c r="S270" s="96"/>
      <c r="T270" s="97"/>
      <c r="U270" s="85" t="str">
        <f t="array" ref="U270">IFERROR(index('3. Công thức lab theo từng mã h'!J:J,MATCH(C270,'3. Công thức lab theo từng mã h'!L:L,0)),"")</f>
        <v/>
      </c>
      <c r="V270" s="85"/>
      <c r="W270" s="75"/>
    </row>
    <row r="271">
      <c r="A271" s="64">
        <f t="shared" si="1"/>
        <v>0</v>
      </c>
      <c r="B271" s="98"/>
      <c r="C271" s="64"/>
      <c r="D271" s="16"/>
      <c r="E271" s="16"/>
      <c r="F271" s="100"/>
      <c r="G271" s="101"/>
      <c r="H271" s="16"/>
      <c r="I271" s="16"/>
      <c r="J271" s="16"/>
      <c r="K271" s="16"/>
      <c r="L271" s="16"/>
      <c r="M271" s="16"/>
      <c r="N271" s="100"/>
      <c r="O271" s="100"/>
      <c r="P271" s="100"/>
      <c r="Q271" s="106"/>
      <c r="R271" s="107"/>
      <c r="S271" s="104"/>
      <c r="T271" s="108"/>
      <c r="U271" s="74" t="str">
        <f t="array" ref="U271">IFERROR(index('3. Công thức lab theo từng mã h'!J:J,MATCH(C271,'3. Công thức lab theo từng mã h'!L:L,0)),"")</f>
        <v/>
      </c>
      <c r="V271" s="74"/>
      <c r="W271" s="75"/>
    </row>
    <row r="272">
      <c r="A272" s="76">
        <f t="shared" si="1"/>
        <v>0</v>
      </c>
      <c r="B272" s="88"/>
      <c r="C272" s="76"/>
      <c r="D272" s="86"/>
      <c r="E272" s="86"/>
      <c r="F272" s="90"/>
      <c r="G272" s="91"/>
      <c r="H272" s="86"/>
      <c r="I272" s="86"/>
      <c r="J272" s="86"/>
      <c r="K272" s="86"/>
      <c r="L272" s="86"/>
      <c r="M272" s="86"/>
      <c r="N272" s="90"/>
      <c r="O272" s="90"/>
      <c r="P272" s="90"/>
      <c r="Q272" s="106"/>
      <c r="R272" s="95"/>
      <c r="S272" s="96"/>
      <c r="T272" s="97"/>
      <c r="U272" s="85" t="str">
        <f t="array" ref="U272">IFERROR(index('3. Công thức lab theo từng mã h'!J:J,MATCH(C272,'3. Công thức lab theo từng mã h'!L:L,0)),"")</f>
        <v/>
      </c>
      <c r="V272" s="85"/>
      <c r="W272" s="75"/>
    </row>
    <row r="273">
      <c r="A273" s="64">
        <f t="shared" si="1"/>
        <v>0</v>
      </c>
      <c r="B273" s="98"/>
      <c r="C273" s="64"/>
      <c r="D273" s="16"/>
      <c r="E273" s="16"/>
      <c r="F273" s="100"/>
      <c r="G273" s="101"/>
      <c r="H273" s="16"/>
      <c r="I273" s="16"/>
      <c r="J273" s="16"/>
      <c r="K273" s="16"/>
      <c r="L273" s="16"/>
      <c r="M273" s="16"/>
      <c r="N273" s="100"/>
      <c r="O273" s="100"/>
      <c r="P273" s="100"/>
      <c r="Q273" s="106"/>
      <c r="R273" s="107"/>
      <c r="S273" s="104"/>
      <c r="T273" s="108"/>
      <c r="U273" s="74" t="str">
        <f t="array" ref="U273">IFERROR(index('3. Công thức lab theo từng mã h'!J:J,MATCH(C273,'3. Công thức lab theo từng mã h'!L:L,0)),"")</f>
        <v/>
      </c>
      <c r="V273" s="74"/>
      <c r="W273" s="75"/>
    </row>
    <row r="274">
      <c r="A274" s="76">
        <f t="shared" si="1"/>
        <v>0</v>
      </c>
      <c r="B274" s="88"/>
      <c r="C274" s="76"/>
      <c r="D274" s="86"/>
      <c r="E274" s="86"/>
      <c r="F274" s="90"/>
      <c r="G274" s="91"/>
      <c r="H274" s="86"/>
      <c r="I274" s="86"/>
      <c r="J274" s="86"/>
      <c r="K274" s="86"/>
      <c r="L274" s="86"/>
      <c r="M274" s="86"/>
      <c r="N274" s="90"/>
      <c r="O274" s="90"/>
      <c r="P274" s="90"/>
      <c r="Q274" s="106"/>
      <c r="R274" s="95"/>
      <c r="S274" s="96"/>
      <c r="T274" s="97"/>
      <c r="U274" s="85" t="str">
        <f t="array" ref="U274">IFERROR(index('3. Công thức lab theo từng mã h'!J:J,MATCH(C274,'3. Công thức lab theo từng mã h'!L:L,0)),"")</f>
        <v/>
      </c>
      <c r="V274" s="85"/>
      <c r="W274" s="75"/>
    </row>
    <row r="275">
      <c r="A275" s="64">
        <f t="shared" si="1"/>
        <v>0</v>
      </c>
      <c r="B275" s="98"/>
      <c r="C275" s="64"/>
      <c r="D275" s="16"/>
      <c r="E275" s="16"/>
      <c r="F275" s="100"/>
      <c r="G275" s="101"/>
      <c r="H275" s="16"/>
      <c r="I275" s="16"/>
      <c r="J275" s="16"/>
      <c r="K275" s="16"/>
      <c r="L275" s="16"/>
      <c r="M275" s="16"/>
      <c r="N275" s="100"/>
      <c r="O275" s="100"/>
      <c r="P275" s="100"/>
      <c r="Q275" s="106"/>
      <c r="R275" s="107"/>
      <c r="S275" s="104"/>
      <c r="T275" s="108"/>
      <c r="U275" s="74" t="str">
        <f t="array" ref="U275">IFERROR(index('3. Công thức lab theo từng mã h'!J:J,MATCH(C275,'3. Công thức lab theo từng mã h'!L:L,0)),"")</f>
        <v/>
      </c>
      <c r="V275" s="74"/>
      <c r="W275" s="75"/>
    </row>
    <row r="276">
      <c r="A276" s="76">
        <f t="shared" si="1"/>
        <v>0</v>
      </c>
      <c r="B276" s="88"/>
      <c r="C276" s="76"/>
      <c r="D276" s="86"/>
      <c r="E276" s="86"/>
      <c r="F276" s="90"/>
      <c r="G276" s="91"/>
      <c r="H276" s="86"/>
      <c r="I276" s="86"/>
      <c r="J276" s="86"/>
      <c r="K276" s="86"/>
      <c r="L276" s="86"/>
      <c r="M276" s="86"/>
      <c r="N276" s="90"/>
      <c r="O276" s="90"/>
      <c r="P276" s="90"/>
      <c r="Q276" s="106"/>
      <c r="R276" s="95"/>
      <c r="S276" s="96"/>
      <c r="T276" s="97"/>
      <c r="U276" s="85" t="str">
        <f t="array" ref="U276">IFERROR(index('3. Công thức lab theo từng mã h'!J:J,MATCH(C276,'3. Công thức lab theo từng mã h'!L:L,0)),"")</f>
        <v/>
      </c>
      <c r="V276" s="85"/>
      <c r="W276" s="75"/>
    </row>
    <row r="277">
      <c r="A277" s="64">
        <f t="shared" si="1"/>
        <v>0</v>
      </c>
      <c r="B277" s="98"/>
      <c r="C277" s="64"/>
      <c r="D277" s="16"/>
      <c r="E277" s="16"/>
      <c r="F277" s="100"/>
      <c r="G277" s="101"/>
      <c r="H277" s="16"/>
      <c r="I277" s="16"/>
      <c r="J277" s="16"/>
      <c r="K277" s="16"/>
      <c r="L277" s="16"/>
      <c r="M277" s="16"/>
      <c r="N277" s="100"/>
      <c r="O277" s="100"/>
      <c r="P277" s="100"/>
      <c r="Q277" s="106"/>
      <c r="R277" s="107"/>
      <c r="S277" s="104"/>
      <c r="T277" s="108"/>
      <c r="U277" s="74" t="str">
        <f t="array" ref="U277">IFERROR(index('3. Công thức lab theo từng mã h'!J:J,MATCH(C277,'3. Công thức lab theo từng mã h'!L:L,0)),"")</f>
        <v/>
      </c>
      <c r="V277" s="74"/>
      <c r="W277" s="75"/>
    </row>
    <row r="278">
      <c r="A278" s="76">
        <f t="shared" si="1"/>
        <v>0</v>
      </c>
      <c r="B278" s="88"/>
      <c r="C278" s="76"/>
      <c r="D278" s="86"/>
      <c r="E278" s="86"/>
      <c r="F278" s="90"/>
      <c r="G278" s="91"/>
      <c r="H278" s="86"/>
      <c r="I278" s="86"/>
      <c r="J278" s="86"/>
      <c r="K278" s="86"/>
      <c r="L278" s="86"/>
      <c r="M278" s="86"/>
      <c r="N278" s="90"/>
      <c r="O278" s="90"/>
      <c r="P278" s="90"/>
      <c r="Q278" s="106"/>
      <c r="R278" s="95"/>
      <c r="S278" s="96"/>
      <c r="T278" s="97"/>
      <c r="U278" s="85" t="str">
        <f t="array" ref="U278">IFERROR(index('3. Công thức lab theo từng mã h'!J:J,MATCH(C278,'3. Công thức lab theo từng mã h'!L:L,0)),"")</f>
        <v/>
      </c>
      <c r="V278" s="85"/>
      <c r="W278" s="75"/>
    </row>
    <row r="279">
      <c r="A279" s="64">
        <f t="shared" si="1"/>
        <v>0</v>
      </c>
      <c r="B279" s="98"/>
      <c r="C279" s="64"/>
      <c r="D279" s="16"/>
      <c r="E279" s="16"/>
      <c r="F279" s="100"/>
      <c r="G279" s="101"/>
      <c r="H279" s="16"/>
      <c r="I279" s="16"/>
      <c r="J279" s="16"/>
      <c r="K279" s="16"/>
      <c r="L279" s="16"/>
      <c r="M279" s="16"/>
      <c r="N279" s="100"/>
      <c r="O279" s="100"/>
      <c r="P279" s="100"/>
      <c r="Q279" s="106"/>
      <c r="R279" s="107"/>
      <c r="S279" s="104"/>
      <c r="T279" s="108"/>
      <c r="U279" s="74" t="str">
        <f t="array" ref="U279">IFERROR(index('3. Công thức lab theo từng mã h'!J:J,MATCH(C279,'3. Công thức lab theo từng mã h'!L:L,0)),"")</f>
        <v/>
      </c>
      <c r="V279" s="74"/>
      <c r="W279" s="75"/>
    </row>
    <row r="280">
      <c r="A280" s="76">
        <f t="shared" si="1"/>
        <v>0</v>
      </c>
      <c r="B280" s="88"/>
      <c r="C280" s="76"/>
      <c r="D280" s="86"/>
      <c r="E280" s="86"/>
      <c r="F280" s="90"/>
      <c r="G280" s="91"/>
      <c r="H280" s="86"/>
      <c r="I280" s="86"/>
      <c r="J280" s="86"/>
      <c r="K280" s="86"/>
      <c r="L280" s="86"/>
      <c r="M280" s="86"/>
      <c r="N280" s="90"/>
      <c r="O280" s="90"/>
      <c r="P280" s="90"/>
      <c r="Q280" s="106"/>
      <c r="R280" s="95"/>
      <c r="S280" s="96"/>
      <c r="T280" s="97"/>
      <c r="U280" s="85" t="str">
        <f t="array" ref="U280">IFERROR(index('3. Công thức lab theo từng mã h'!J:J,MATCH(C280,'3. Công thức lab theo từng mã h'!L:L,0)),"")</f>
        <v/>
      </c>
      <c r="V280" s="85"/>
      <c r="W280" s="75"/>
    </row>
    <row r="281">
      <c r="A281" s="64">
        <f t="shared" si="1"/>
        <v>0</v>
      </c>
      <c r="B281" s="98"/>
      <c r="C281" s="64"/>
      <c r="D281" s="16"/>
      <c r="E281" s="16"/>
      <c r="F281" s="100"/>
      <c r="G281" s="101"/>
      <c r="H281" s="16"/>
      <c r="I281" s="16"/>
      <c r="J281" s="16"/>
      <c r="K281" s="16"/>
      <c r="L281" s="16"/>
      <c r="M281" s="16"/>
      <c r="N281" s="100"/>
      <c r="O281" s="100"/>
      <c r="P281" s="100"/>
      <c r="Q281" s="106"/>
      <c r="R281" s="107"/>
      <c r="S281" s="104"/>
      <c r="T281" s="108"/>
      <c r="U281" s="74" t="str">
        <f t="array" ref="U281">IFERROR(index('3. Công thức lab theo từng mã h'!J:J,MATCH(C281,'3. Công thức lab theo từng mã h'!L:L,0)),"")</f>
        <v/>
      </c>
      <c r="V281" s="74"/>
      <c r="W281" s="75"/>
    </row>
    <row r="282">
      <c r="A282" s="76">
        <f t="shared" si="1"/>
        <v>0</v>
      </c>
      <c r="B282" s="88"/>
      <c r="C282" s="76"/>
      <c r="D282" s="86"/>
      <c r="E282" s="86"/>
      <c r="F282" s="90"/>
      <c r="G282" s="91"/>
      <c r="H282" s="86"/>
      <c r="I282" s="86"/>
      <c r="J282" s="86"/>
      <c r="K282" s="86"/>
      <c r="L282" s="86"/>
      <c r="M282" s="86"/>
      <c r="N282" s="90"/>
      <c r="O282" s="90"/>
      <c r="P282" s="90"/>
      <c r="Q282" s="106"/>
      <c r="R282" s="95"/>
      <c r="S282" s="96"/>
      <c r="T282" s="97"/>
      <c r="U282" s="85" t="str">
        <f t="array" ref="U282">IFERROR(index('3. Công thức lab theo từng mã h'!J:J,MATCH(C282,'3. Công thức lab theo từng mã h'!L:L,0)),"")</f>
        <v/>
      </c>
      <c r="V282" s="85"/>
      <c r="W282" s="75"/>
    </row>
    <row r="283">
      <c r="A283" s="64">
        <f t="shared" si="1"/>
        <v>0</v>
      </c>
      <c r="B283" s="98"/>
      <c r="C283" s="64"/>
      <c r="D283" s="16"/>
      <c r="E283" s="16"/>
      <c r="F283" s="100"/>
      <c r="G283" s="101"/>
      <c r="H283" s="16"/>
      <c r="I283" s="16"/>
      <c r="J283" s="16"/>
      <c r="K283" s="16"/>
      <c r="L283" s="16"/>
      <c r="M283" s="16"/>
      <c r="N283" s="100"/>
      <c r="O283" s="100"/>
      <c r="P283" s="100"/>
      <c r="Q283" s="106"/>
      <c r="R283" s="107"/>
      <c r="S283" s="104"/>
      <c r="T283" s="108"/>
      <c r="U283" s="74" t="str">
        <f t="array" ref="U283">IFERROR(index('3. Công thức lab theo từng mã h'!J:J,MATCH(C283,'3. Công thức lab theo từng mã h'!L:L,0)),"")</f>
        <v/>
      </c>
      <c r="V283" s="74"/>
      <c r="W283" s="75"/>
    </row>
    <row r="284">
      <c r="A284" s="76">
        <f t="shared" si="1"/>
        <v>0</v>
      </c>
      <c r="B284" s="88"/>
      <c r="C284" s="76"/>
      <c r="D284" s="86"/>
      <c r="E284" s="86"/>
      <c r="F284" s="90"/>
      <c r="G284" s="91"/>
      <c r="H284" s="86"/>
      <c r="I284" s="86"/>
      <c r="J284" s="86"/>
      <c r="K284" s="86"/>
      <c r="L284" s="86"/>
      <c r="M284" s="86"/>
      <c r="N284" s="90"/>
      <c r="O284" s="90"/>
      <c r="P284" s="90"/>
      <c r="Q284" s="106"/>
      <c r="R284" s="95"/>
      <c r="S284" s="96"/>
      <c r="T284" s="97"/>
      <c r="U284" s="85" t="str">
        <f t="array" ref="U284">IFERROR(index('3. Công thức lab theo từng mã h'!J:J,MATCH(C284,'3. Công thức lab theo từng mã h'!L:L,0)),"")</f>
        <v/>
      </c>
      <c r="V284" s="85"/>
      <c r="W284" s="75"/>
    </row>
    <row r="285">
      <c r="A285" s="64">
        <f t="shared" si="1"/>
        <v>0</v>
      </c>
      <c r="B285" s="98"/>
      <c r="C285" s="64"/>
      <c r="D285" s="16"/>
      <c r="E285" s="16"/>
      <c r="F285" s="100"/>
      <c r="G285" s="101"/>
      <c r="H285" s="16"/>
      <c r="I285" s="16"/>
      <c r="J285" s="16"/>
      <c r="K285" s="16"/>
      <c r="L285" s="16"/>
      <c r="M285" s="16"/>
      <c r="N285" s="100"/>
      <c r="O285" s="100"/>
      <c r="P285" s="100"/>
      <c r="Q285" s="106"/>
      <c r="R285" s="107"/>
      <c r="S285" s="104"/>
      <c r="T285" s="108"/>
      <c r="U285" s="74" t="str">
        <f t="array" ref="U285">IFERROR(index('3. Công thức lab theo từng mã h'!J:J,MATCH(C285,'3. Công thức lab theo từng mã h'!L:L,0)),"")</f>
        <v/>
      </c>
      <c r="V285" s="74"/>
      <c r="W285" s="75"/>
    </row>
    <row r="286">
      <c r="A286" s="76">
        <f t="shared" si="1"/>
        <v>0</v>
      </c>
      <c r="B286" s="88"/>
      <c r="C286" s="76"/>
      <c r="D286" s="86"/>
      <c r="E286" s="86"/>
      <c r="F286" s="90"/>
      <c r="G286" s="91"/>
      <c r="H286" s="86"/>
      <c r="I286" s="86"/>
      <c r="J286" s="86"/>
      <c r="K286" s="86"/>
      <c r="L286" s="86"/>
      <c r="M286" s="86"/>
      <c r="N286" s="90"/>
      <c r="O286" s="90"/>
      <c r="P286" s="90"/>
      <c r="Q286" s="106"/>
      <c r="R286" s="95"/>
      <c r="S286" s="96"/>
      <c r="T286" s="97"/>
      <c r="U286" s="85" t="str">
        <f t="array" ref="U286">IFERROR(index('3. Công thức lab theo từng mã h'!J:J,MATCH(C286,'3. Công thức lab theo từng mã h'!L:L,0)),"")</f>
        <v/>
      </c>
      <c r="V286" s="85"/>
      <c r="W286" s="75"/>
    </row>
    <row r="287">
      <c r="A287" s="64">
        <f t="shared" si="1"/>
        <v>0</v>
      </c>
      <c r="B287" s="98"/>
      <c r="C287" s="64"/>
      <c r="D287" s="16"/>
      <c r="E287" s="16"/>
      <c r="F287" s="100"/>
      <c r="G287" s="101"/>
      <c r="H287" s="16"/>
      <c r="I287" s="16"/>
      <c r="J287" s="16"/>
      <c r="K287" s="16"/>
      <c r="L287" s="16"/>
      <c r="M287" s="16"/>
      <c r="N287" s="100"/>
      <c r="O287" s="100"/>
      <c r="P287" s="100"/>
      <c r="Q287" s="106"/>
      <c r="R287" s="107"/>
      <c r="S287" s="104"/>
      <c r="T287" s="108"/>
      <c r="U287" s="74" t="str">
        <f t="array" ref="U287">IFERROR(index('3. Công thức lab theo từng mã h'!J:J,MATCH(C287,'3. Công thức lab theo từng mã h'!L:L,0)),"")</f>
        <v/>
      </c>
      <c r="V287" s="74"/>
      <c r="W287" s="75"/>
    </row>
    <row r="288">
      <c r="A288" s="76">
        <f t="shared" si="1"/>
        <v>0</v>
      </c>
      <c r="B288" s="88"/>
      <c r="C288" s="76"/>
      <c r="D288" s="86"/>
      <c r="E288" s="86"/>
      <c r="F288" s="90"/>
      <c r="G288" s="91"/>
      <c r="H288" s="86"/>
      <c r="I288" s="86"/>
      <c r="J288" s="86"/>
      <c r="K288" s="86"/>
      <c r="L288" s="86"/>
      <c r="M288" s="86"/>
      <c r="N288" s="90"/>
      <c r="O288" s="90"/>
      <c r="P288" s="90"/>
      <c r="Q288" s="106"/>
      <c r="R288" s="95"/>
      <c r="S288" s="96"/>
      <c r="T288" s="97"/>
      <c r="U288" s="85" t="str">
        <f t="array" ref="U288">IFERROR(index('3. Công thức lab theo từng mã h'!J:J,MATCH(C288,'3. Công thức lab theo từng mã h'!L:L,0)),"")</f>
        <v/>
      </c>
      <c r="V288" s="85"/>
      <c r="W288" s="75"/>
    </row>
    <row r="289">
      <c r="A289" s="64">
        <f t="shared" si="1"/>
        <v>0</v>
      </c>
      <c r="B289" s="98"/>
      <c r="C289" s="64"/>
      <c r="D289" s="16"/>
      <c r="E289" s="16"/>
      <c r="F289" s="100"/>
      <c r="G289" s="101"/>
      <c r="H289" s="16"/>
      <c r="I289" s="16"/>
      <c r="J289" s="16"/>
      <c r="K289" s="16"/>
      <c r="L289" s="16"/>
      <c r="M289" s="16"/>
      <c r="N289" s="100"/>
      <c r="O289" s="100"/>
      <c r="P289" s="100"/>
      <c r="Q289" s="106"/>
      <c r="R289" s="107"/>
      <c r="S289" s="104"/>
      <c r="T289" s="108"/>
      <c r="U289" s="74" t="str">
        <f t="array" ref="U289">IFERROR(index('3. Công thức lab theo từng mã h'!J:J,MATCH(C289,'3. Công thức lab theo từng mã h'!L:L,0)),"")</f>
        <v/>
      </c>
      <c r="V289" s="74"/>
      <c r="W289" s="75"/>
    </row>
    <row r="290">
      <c r="A290" s="76">
        <f t="shared" si="1"/>
        <v>0</v>
      </c>
      <c r="B290" s="88"/>
      <c r="C290" s="76"/>
      <c r="D290" s="86"/>
      <c r="E290" s="86"/>
      <c r="F290" s="90"/>
      <c r="G290" s="91"/>
      <c r="H290" s="86"/>
      <c r="I290" s="86"/>
      <c r="J290" s="86"/>
      <c r="K290" s="86"/>
      <c r="L290" s="86"/>
      <c r="M290" s="86"/>
      <c r="N290" s="90"/>
      <c r="O290" s="90"/>
      <c r="P290" s="90"/>
      <c r="Q290" s="106"/>
      <c r="R290" s="95"/>
      <c r="S290" s="96"/>
      <c r="T290" s="97"/>
      <c r="U290" s="85" t="str">
        <f t="array" ref="U290">IFERROR(index('3. Công thức lab theo từng mã h'!J:J,MATCH(C290,'3. Công thức lab theo từng mã h'!L:L,0)),"")</f>
        <v/>
      </c>
      <c r="V290" s="85"/>
      <c r="W290" s="75"/>
    </row>
    <row r="291">
      <c r="A291" s="64">
        <f t="shared" si="1"/>
        <v>0</v>
      </c>
      <c r="B291" s="98"/>
      <c r="C291" s="64"/>
      <c r="D291" s="16"/>
      <c r="E291" s="16"/>
      <c r="F291" s="100"/>
      <c r="G291" s="101"/>
      <c r="H291" s="16"/>
      <c r="I291" s="16"/>
      <c r="J291" s="16"/>
      <c r="K291" s="16"/>
      <c r="L291" s="16"/>
      <c r="M291" s="16"/>
      <c r="N291" s="100"/>
      <c r="O291" s="100"/>
      <c r="P291" s="100"/>
      <c r="Q291" s="106"/>
      <c r="R291" s="107"/>
      <c r="S291" s="104"/>
      <c r="T291" s="108"/>
      <c r="U291" s="74" t="str">
        <f t="array" ref="U291">IFERROR(index('3. Công thức lab theo từng mã h'!J:J,MATCH(C291,'3. Công thức lab theo từng mã h'!L:L,0)),"")</f>
        <v/>
      </c>
      <c r="V291" s="74"/>
      <c r="W291" s="75"/>
    </row>
    <row r="292">
      <c r="A292" s="76">
        <f t="shared" si="1"/>
        <v>0</v>
      </c>
      <c r="B292" s="88"/>
      <c r="C292" s="76"/>
      <c r="D292" s="86"/>
      <c r="E292" s="86"/>
      <c r="F292" s="90"/>
      <c r="G292" s="91"/>
      <c r="H292" s="86"/>
      <c r="I292" s="86"/>
      <c r="J292" s="86"/>
      <c r="K292" s="86"/>
      <c r="L292" s="86"/>
      <c r="M292" s="86"/>
      <c r="N292" s="90"/>
      <c r="O292" s="90"/>
      <c r="P292" s="90"/>
      <c r="Q292" s="106"/>
      <c r="R292" s="95"/>
      <c r="S292" s="96"/>
      <c r="T292" s="97"/>
      <c r="U292" s="85" t="str">
        <f t="array" ref="U292">IFERROR(index('3. Công thức lab theo từng mã h'!J:J,MATCH(C292,'3. Công thức lab theo từng mã h'!L:L,0)),"")</f>
        <v/>
      </c>
      <c r="V292" s="85"/>
      <c r="W292" s="75"/>
    </row>
    <row r="293">
      <c r="A293" s="64">
        <f t="shared" si="1"/>
        <v>0</v>
      </c>
      <c r="B293" s="98"/>
      <c r="C293" s="64"/>
      <c r="D293" s="16"/>
      <c r="E293" s="16"/>
      <c r="F293" s="100"/>
      <c r="G293" s="101"/>
      <c r="H293" s="16"/>
      <c r="I293" s="16"/>
      <c r="J293" s="16"/>
      <c r="K293" s="16"/>
      <c r="L293" s="16"/>
      <c r="M293" s="16"/>
      <c r="N293" s="100"/>
      <c r="O293" s="100"/>
      <c r="P293" s="100"/>
      <c r="Q293" s="106"/>
      <c r="R293" s="107"/>
      <c r="S293" s="104"/>
      <c r="T293" s="108"/>
      <c r="U293" s="74" t="str">
        <f t="array" ref="U293">IFERROR(index('3. Công thức lab theo từng mã h'!J:J,MATCH(C293,'3. Công thức lab theo từng mã h'!L:L,0)),"")</f>
        <v/>
      </c>
      <c r="V293" s="74"/>
      <c r="W293" s="75"/>
    </row>
    <row r="294">
      <c r="A294" s="76">
        <f t="shared" si="1"/>
        <v>0</v>
      </c>
      <c r="B294" s="88"/>
      <c r="C294" s="76"/>
      <c r="D294" s="86"/>
      <c r="E294" s="86"/>
      <c r="F294" s="90"/>
      <c r="G294" s="91"/>
      <c r="H294" s="86"/>
      <c r="I294" s="86"/>
      <c r="J294" s="86"/>
      <c r="K294" s="86"/>
      <c r="L294" s="86"/>
      <c r="M294" s="86"/>
      <c r="N294" s="90"/>
      <c r="O294" s="90"/>
      <c r="P294" s="90"/>
      <c r="Q294" s="106"/>
      <c r="R294" s="95"/>
      <c r="S294" s="96"/>
      <c r="T294" s="97"/>
      <c r="U294" s="85" t="str">
        <f t="array" ref="U294">IFERROR(index('3. Công thức lab theo từng mã h'!J:J,MATCH(C294,'3. Công thức lab theo từng mã h'!L:L,0)),"")</f>
        <v/>
      </c>
      <c r="V294" s="85"/>
      <c r="W294" s="75"/>
    </row>
    <row r="295">
      <c r="A295" s="64">
        <f t="shared" si="1"/>
        <v>0</v>
      </c>
      <c r="B295" s="98"/>
      <c r="C295" s="64"/>
      <c r="D295" s="16"/>
      <c r="E295" s="16"/>
      <c r="F295" s="100"/>
      <c r="G295" s="101"/>
      <c r="H295" s="16"/>
      <c r="I295" s="16"/>
      <c r="J295" s="16"/>
      <c r="K295" s="16"/>
      <c r="L295" s="16"/>
      <c r="M295" s="16"/>
      <c r="N295" s="100"/>
      <c r="O295" s="100"/>
      <c r="P295" s="100"/>
      <c r="Q295" s="106"/>
      <c r="R295" s="107"/>
      <c r="S295" s="104"/>
      <c r="T295" s="108"/>
      <c r="U295" s="74" t="str">
        <f t="array" ref="U295">IFERROR(index('3. Công thức lab theo từng mã h'!J:J,MATCH(C295,'3. Công thức lab theo từng mã h'!L:L,0)),"")</f>
        <v/>
      </c>
      <c r="V295" s="74"/>
      <c r="W295" s="75"/>
    </row>
    <row r="296">
      <c r="A296" s="76">
        <f t="shared" si="1"/>
        <v>0</v>
      </c>
      <c r="B296" s="88"/>
      <c r="C296" s="76"/>
      <c r="D296" s="86"/>
      <c r="E296" s="86"/>
      <c r="F296" s="90"/>
      <c r="G296" s="91"/>
      <c r="H296" s="86"/>
      <c r="I296" s="86"/>
      <c r="J296" s="86"/>
      <c r="K296" s="86"/>
      <c r="L296" s="86"/>
      <c r="M296" s="86"/>
      <c r="N296" s="90"/>
      <c r="O296" s="90"/>
      <c r="P296" s="90"/>
      <c r="Q296" s="106"/>
      <c r="R296" s="95"/>
      <c r="S296" s="96"/>
      <c r="T296" s="97"/>
      <c r="U296" s="85" t="str">
        <f t="array" ref="U296">IFERROR(index('3. Công thức lab theo từng mã h'!J:J,MATCH(C296,'3. Công thức lab theo từng mã h'!L:L,0)),"")</f>
        <v/>
      </c>
      <c r="V296" s="85"/>
      <c r="W296" s="75"/>
    </row>
    <row r="297">
      <c r="A297" s="64">
        <f t="shared" si="1"/>
        <v>0</v>
      </c>
      <c r="B297" s="98"/>
      <c r="C297" s="64"/>
      <c r="D297" s="16"/>
      <c r="E297" s="16"/>
      <c r="F297" s="100"/>
      <c r="G297" s="101"/>
      <c r="H297" s="16"/>
      <c r="I297" s="16"/>
      <c r="J297" s="16"/>
      <c r="K297" s="16"/>
      <c r="L297" s="16"/>
      <c r="M297" s="16"/>
      <c r="N297" s="100"/>
      <c r="O297" s="100"/>
      <c r="P297" s="100"/>
      <c r="Q297" s="106"/>
      <c r="R297" s="107"/>
      <c r="S297" s="104"/>
      <c r="T297" s="108"/>
      <c r="U297" s="74" t="str">
        <f t="array" ref="U297">IFERROR(index('3. Công thức lab theo từng mã h'!J:J,MATCH(C297,'3. Công thức lab theo từng mã h'!L:L,0)),"")</f>
        <v/>
      </c>
      <c r="V297" s="74"/>
      <c r="W297" s="75"/>
    </row>
    <row r="298">
      <c r="A298" s="76">
        <f t="shared" si="1"/>
        <v>0</v>
      </c>
      <c r="B298" s="88"/>
      <c r="C298" s="76"/>
      <c r="D298" s="86"/>
      <c r="E298" s="86"/>
      <c r="F298" s="90"/>
      <c r="G298" s="91"/>
      <c r="H298" s="86"/>
      <c r="I298" s="86"/>
      <c r="J298" s="86"/>
      <c r="K298" s="86"/>
      <c r="L298" s="86"/>
      <c r="M298" s="86"/>
      <c r="N298" s="90"/>
      <c r="O298" s="90"/>
      <c r="P298" s="90"/>
      <c r="Q298" s="106"/>
      <c r="R298" s="95"/>
      <c r="S298" s="96"/>
      <c r="T298" s="97"/>
      <c r="U298" s="85" t="str">
        <f t="array" ref="U298">IFERROR(index('3. Công thức lab theo từng mã h'!J:J,MATCH(C298,'3. Công thức lab theo từng mã h'!L:L,0)),"")</f>
        <v/>
      </c>
      <c r="V298" s="85"/>
      <c r="W298" s="75"/>
    </row>
    <row r="299">
      <c r="A299" s="64">
        <f t="shared" si="1"/>
        <v>0</v>
      </c>
      <c r="B299" s="98"/>
      <c r="C299" s="64"/>
      <c r="D299" s="16"/>
      <c r="E299" s="16"/>
      <c r="F299" s="100"/>
      <c r="G299" s="101"/>
      <c r="H299" s="16"/>
      <c r="I299" s="16"/>
      <c r="J299" s="16"/>
      <c r="K299" s="16"/>
      <c r="L299" s="16"/>
      <c r="M299" s="16"/>
      <c r="N299" s="100"/>
      <c r="O299" s="100"/>
      <c r="P299" s="100"/>
      <c r="Q299" s="106"/>
      <c r="R299" s="107"/>
      <c r="S299" s="104"/>
      <c r="T299" s="108"/>
      <c r="U299" s="74" t="str">
        <f t="array" ref="U299">IFERROR(index('3. Công thức lab theo từng mã h'!J:J,MATCH(C299,'3. Công thức lab theo từng mã h'!L:L,0)),"")</f>
        <v/>
      </c>
      <c r="V299" s="74"/>
      <c r="W299" s="75"/>
    </row>
    <row r="300">
      <c r="A300" s="76">
        <f t="shared" si="1"/>
        <v>0</v>
      </c>
      <c r="B300" s="88"/>
      <c r="C300" s="76"/>
      <c r="D300" s="86"/>
      <c r="E300" s="86"/>
      <c r="F300" s="90"/>
      <c r="G300" s="91"/>
      <c r="H300" s="86"/>
      <c r="I300" s="86"/>
      <c r="J300" s="86"/>
      <c r="K300" s="86"/>
      <c r="L300" s="86"/>
      <c r="M300" s="86"/>
      <c r="N300" s="90"/>
      <c r="O300" s="90"/>
      <c r="P300" s="90"/>
      <c r="Q300" s="106"/>
      <c r="R300" s="95"/>
      <c r="S300" s="96"/>
      <c r="T300" s="97"/>
      <c r="U300" s="85" t="str">
        <f t="array" ref="U300">IFERROR(index('3. Công thức lab theo từng mã h'!J:J,MATCH(C300,'3. Công thức lab theo từng mã h'!L:L,0)),"")</f>
        <v/>
      </c>
      <c r="V300" s="85"/>
      <c r="W300" s="75"/>
    </row>
    <row r="301">
      <c r="A301" s="64">
        <f t="shared" si="1"/>
        <v>0</v>
      </c>
      <c r="B301" s="98"/>
      <c r="C301" s="64"/>
      <c r="D301" s="16"/>
      <c r="E301" s="16"/>
      <c r="F301" s="100"/>
      <c r="G301" s="101"/>
      <c r="H301" s="16"/>
      <c r="I301" s="16"/>
      <c r="J301" s="16"/>
      <c r="K301" s="16"/>
      <c r="L301" s="16"/>
      <c r="M301" s="16"/>
      <c r="N301" s="100"/>
      <c r="O301" s="100"/>
      <c r="P301" s="100"/>
      <c r="Q301" s="106"/>
      <c r="R301" s="107"/>
      <c r="S301" s="104"/>
      <c r="T301" s="108"/>
      <c r="U301" s="74" t="str">
        <f t="array" ref="U301">IFERROR(index('3. Công thức lab theo từng mã h'!J:J,MATCH(C301,'3. Công thức lab theo từng mã h'!L:L,0)),"")</f>
        <v/>
      </c>
      <c r="V301" s="74"/>
      <c r="W301" s="75"/>
    </row>
    <row r="302">
      <c r="A302" s="76">
        <f t="shared" si="1"/>
        <v>0</v>
      </c>
      <c r="B302" s="88"/>
      <c r="C302" s="76"/>
      <c r="D302" s="86"/>
      <c r="E302" s="86"/>
      <c r="F302" s="90"/>
      <c r="G302" s="91"/>
      <c r="H302" s="86"/>
      <c r="I302" s="86"/>
      <c r="J302" s="86"/>
      <c r="K302" s="86"/>
      <c r="L302" s="86"/>
      <c r="M302" s="86"/>
      <c r="N302" s="90"/>
      <c r="O302" s="90"/>
      <c r="P302" s="90"/>
      <c r="Q302" s="106"/>
      <c r="R302" s="95"/>
      <c r="S302" s="96"/>
      <c r="T302" s="97"/>
      <c r="U302" s="85" t="str">
        <f t="array" ref="U302">IFERROR(index('3. Công thức lab theo từng mã h'!J:J,MATCH(C302,'3. Công thức lab theo từng mã h'!L:L,0)),"")</f>
        <v/>
      </c>
      <c r="V302" s="85"/>
      <c r="W302" s="75"/>
    </row>
    <row r="303">
      <c r="A303" s="64">
        <f t="shared" si="1"/>
        <v>0</v>
      </c>
      <c r="B303" s="98"/>
      <c r="C303" s="64"/>
      <c r="D303" s="16"/>
      <c r="E303" s="16"/>
      <c r="F303" s="100"/>
      <c r="G303" s="101"/>
      <c r="H303" s="16"/>
      <c r="I303" s="16"/>
      <c r="J303" s="16"/>
      <c r="K303" s="16"/>
      <c r="L303" s="16"/>
      <c r="M303" s="16"/>
      <c r="N303" s="100"/>
      <c r="O303" s="100"/>
      <c r="P303" s="100"/>
      <c r="Q303" s="106"/>
      <c r="R303" s="107"/>
      <c r="S303" s="104"/>
      <c r="T303" s="108"/>
      <c r="U303" s="74" t="str">
        <f t="array" ref="U303">IFERROR(index('3. Công thức lab theo từng mã h'!J:J,MATCH(C303,'3. Công thức lab theo từng mã h'!L:L,0)),"")</f>
        <v/>
      </c>
      <c r="V303" s="74"/>
      <c r="W303" s="75"/>
    </row>
    <row r="304">
      <c r="A304" s="76">
        <f t="shared" si="1"/>
        <v>0</v>
      </c>
      <c r="B304" s="88"/>
      <c r="C304" s="76"/>
      <c r="D304" s="86"/>
      <c r="E304" s="86"/>
      <c r="F304" s="90"/>
      <c r="G304" s="91"/>
      <c r="H304" s="86"/>
      <c r="I304" s="86"/>
      <c r="J304" s="86"/>
      <c r="K304" s="86"/>
      <c r="L304" s="86"/>
      <c r="M304" s="86"/>
      <c r="N304" s="90"/>
      <c r="O304" s="90"/>
      <c r="P304" s="90"/>
      <c r="Q304" s="106"/>
      <c r="R304" s="95"/>
      <c r="S304" s="96"/>
      <c r="T304" s="97"/>
      <c r="U304" s="85" t="str">
        <f t="array" ref="U304">IFERROR(index('3. Công thức lab theo từng mã h'!J:J,MATCH(C304,'3. Công thức lab theo từng mã h'!L:L,0)),"")</f>
        <v/>
      </c>
      <c r="V304" s="85"/>
      <c r="W304" s="75"/>
    </row>
    <row r="305">
      <c r="A305" s="64">
        <f t="shared" si="1"/>
        <v>0</v>
      </c>
      <c r="B305" s="98"/>
      <c r="C305" s="64"/>
      <c r="D305" s="16"/>
      <c r="E305" s="16"/>
      <c r="F305" s="100"/>
      <c r="G305" s="101"/>
      <c r="H305" s="16"/>
      <c r="I305" s="16"/>
      <c r="J305" s="16"/>
      <c r="K305" s="16"/>
      <c r="L305" s="16"/>
      <c r="M305" s="16"/>
      <c r="N305" s="100"/>
      <c r="O305" s="100"/>
      <c r="P305" s="100"/>
      <c r="Q305" s="106"/>
      <c r="R305" s="107"/>
      <c r="S305" s="104"/>
      <c r="T305" s="108"/>
      <c r="U305" s="74" t="str">
        <f t="array" ref="U305">IFERROR(index('3. Công thức lab theo từng mã h'!J:J,MATCH(C305,'3. Công thức lab theo từng mã h'!L:L,0)),"")</f>
        <v/>
      </c>
      <c r="V305" s="74"/>
      <c r="W305" s="75"/>
    </row>
    <row r="306">
      <c r="A306" s="76">
        <f t="shared" si="1"/>
        <v>0</v>
      </c>
      <c r="B306" s="88"/>
      <c r="C306" s="76"/>
      <c r="D306" s="86"/>
      <c r="E306" s="86"/>
      <c r="F306" s="90"/>
      <c r="G306" s="91"/>
      <c r="H306" s="86"/>
      <c r="I306" s="86"/>
      <c r="J306" s="86"/>
      <c r="K306" s="86"/>
      <c r="L306" s="86"/>
      <c r="M306" s="86"/>
      <c r="N306" s="90"/>
      <c r="O306" s="90"/>
      <c r="P306" s="90"/>
      <c r="Q306" s="106"/>
      <c r="R306" s="95"/>
      <c r="S306" s="96"/>
      <c r="T306" s="97"/>
      <c r="U306" s="85" t="str">
        <f t="array" ref="U306">IFERROR(index('3. Công thức lab theo từng mã h'!J:J,MATCH(C306,'3. Công thức lab theo từng mã h'!L:L,0)),"")</f>
        <v/>
      </c>
      <c r="V306" s="85"/>
      <c r="W306" s="75"/>
    </row>
    <row r="307">
      <c r="A307" s="64">
        <f t="shared" si="1"/>
        <v>0</v>
      </c>
      <c r="B307" s="98"/>
      <c r="C307" s="64"/>
      <c r="D307" s="16"/>
      <c r="E307" s="16"/>
      <c r="F307" s="100"/>
      <c r="G307" s="101"/>
      <c r="H307" s="16"/>
      <c r="I307" s="16"/>
      <c r="J307" s="16"/>
      <c r="K307" s="16"/>
      <c r="L307" s="16"/>
      <c r="M307" s="16"/>
      <c r="N307" s="100"/>
      <c r="O307" s="100"/>
      <c r="P307" s="100"/>
      <c r="Q307" s="106"/>
      <c r="R307" s="107"/>
      <c r="S307" s="104"/>
      <c r="T307" s="108"/>
      <c r="U307" s="74" t="str">
        <f t="array" ref="U307">IFERROR(index('3. Công thức lab theo từng mã h'!J:J,MATCH(C307,'3. Công thức lab theo từng mã h'!L:L,0)),"")</f>
        <v/>
      </c>
      <c r="V307" s="74"/>
      <c r="W307" s="75"/>
    </row>
    <row r="308">
      <c r="A308" s="76">
        <f t="shared" si="1"/>
        <v>0</v>
      </c>
      <c r="B308" s="88"/>
      <c r="C308" s="76"/>
      <c r="D308" s="86"/>
      <c r="E308" s="86"/>
      <c r="F308" s="90"/>
      <c r="G308" s="91"/>
      <c r="H308" s="86"/>
      <c r="I308" s="86"/>
      <c r="J308" s="86"/>
      <c r="K308" s="86"/>
      <c r="L308" s="86"/>
      <c r="M308" s="86"/>
      <c r="N308" s="90"/>
      <c r="O308" s="90"/>
      <c r="P308" s="90"/>
      <c r="Q308" s="106"/>
      <c r="R308" s="95"/>
      <c r="S308" s="96"/>
      <c r="T308" s="97"/>
      <c r="U308" s="85" t="str">
        <f t="array" ref="U308">IFERROR(index('3. Công thức lab theo từng mã h'!J:J,MATCH(C308,'3. Công thức lab theo từng mã h'!L:L,0)),"")</f>
        <v/>
      </c>
      <c r="V308" s="85"/>
      <c r="W308" s="75"/>
    </row>
    <row r="309">
      <c r="A309" s="64">
        <f t="shared" si="1"/>
        <v>0</v>
      </c>
      <c r="B309" s="98"/>
      <c r="C309" s="64"/>
      <c r="D309" s="16"/>
      <c r="E309" s="16"/>
      <c r="F309" s="100"/>
      <c r="G309" s="101"/>
      <c r="H309" s="16"/>
      <c r="I309" s="16"/>
      <c r="J309" s="16"/>
      <c r="K309" s="16"/>
      <c r="L309" s="16"/>
      <c r="M309" s="16"/>
      <c r="N309" s="100"/>
      <c r="O309" s="100"/>
      <c r="P309" s="100"/>
      <c r="Q309" s="106"/>
      <c r="R309" s="107"/>
      <c r="S309" s="104"/>
      <c r="T309" s="108"/>
      <c r="U309" s="74" t="str">
        <f t="array" ref="U309">IFERROR(index('3. Công thức lab theo từng mã h'!J:J,MATCH(C309,'3. Công thức lab theo từng mã h'!L:L,0)),"")</f>
        <v/>
      </c>
      <c r="V309" s="74"/>
      <c r="W309" s="75"/>
    </row>
    <row r="310">
      <c r="A310" s="76">
        <f t="shared" si="1"/>
        <v>0</v>
      </c>
      <c r="B310" s="88"/>
      <c r="C310" s="76"/>
      <c r="D310" s="86"/>
      <c r="E310" s="86"/>
      <c r="F310" s="90"/>
      <c r="G310" s="91"/>
      <c r="H310" s="86"/>
      <c r="I310" s="86"/>
      <c r="J310" s="86"/>
      <c r="K310" s="86"/>
      <c r="L310" s="86"/>
      <c r="M310" s="86"/>
      <c r="N310" s="90"/>
      <c r="O310" s="90"/>
      <c r="P310" s="90"/>
      <c r="Q310" s="106"/>
      <c r="R310" s="95"/>
      <c r="S310" s="96"/>
      <c r="T310" s="97"/>
      <c r="U310" s="85" t="str">
        <f t="array" ref="U310">IFERROR(index('3. Công thức lab theo từng mã h'!J:J,MATCH(C310,'3. Công thức lab theo từng mã h'!L:L,0)),"")</f>
        <v/>
      </c>
      <c r="V310" s="85"/>
      <c r="W310" s="75"/>
    </row>
    <row r="311">
      <c r="A311" s="64">
        <f t="shared" si="1"/>
        <v>0</v>
      </c>
      <c r="B311" s="98"/>
      <c r="C311" s="64"/>
      <c r="D311" s="16"/>
      <c r="E311" s="16"/>
      <c r="F311" s="100"/>
      <c r="G311" s="101"/>
      <c r="H311" s="16"/>
      <c r="I311" s="16"/>
      <c r="J311" s="16"/>
      <c r="K311" s="16"/>
      <c r="L311" s="16"/>
      <c r="M311" s="16"/>
      <c r="N311" s="100"/>
      <c r="O311" s="100"/>
      <c r="P311" s="100"/>
      <c r="Q311" s="106"/>
      <c r="R311" s="107"/>
      <c r="S311" s="104"/>
      <c r="T311" s="108"/>
      <c r="U311" s="74" t="str">
        <f t="array" ref="U311">IFERROR(index('3. Công thức lab theo từng mã h'!J:J,MATCH(C311,'3. Công thức lab theo từng mã h'!L:L,0)),"")</f>
        <v/>
      </c>
      <c r="V311" s="74"/>
      <c r="W311" s="75"/>
    </row>
    <row r="312">
      <c r="A312" s="76">
        <f t="shared" si="1"/>
        <v>0</v>
      </c>
      <c r="B312" s="88"/>
      <c r="C312" s="76"/>
      <c r="D312" s="86"/>
      <c r="E312" s="86"/>
      <c r="F312" s="90"/>
      <c r="G312" s="91"/>
      <c r="H312" s="86"/>
      <c r="I312" s="86"/>
      <c r="J312" s="86"/>
      <c r="K312" s="86"/>
      <c r="L312" s="86"/>
      <c r="M312" s="86"/>
      <c r="N312" s="90"/>
      <c r="O312" s="90"/>
      <c r="P312" s="90"/>
      <c r="Q312" s="106"/>
      <c r="R312" s="95"/>
      <c r="S312" s="96"/>
      <c r="T312" s="97"/>
      <c r="U312" s="85" t="str">
        <f t="array" ref="U312">IFERROR(index('3. Công thức lab theo từng mã h'!J:J,MATCH(C312,'3. Công thức lab theo từng mã h'!L:L,0)),"")</f>
        <v/>
      </c>
      <c r="V312" s="85"/>
      <c r="W312" s="75"/>
    </row>
    <row r="313">
      <c r="A313" s="64">
        <f t="shared" si="1"/>
        <v>0</v>
      </c>
      <c r="B313" s="98"/>
      <c r="C313" s="64"/>
      <c r="D313" s="16"/>
      <c r="E313" s="16"/>
      <c r="F313" s="100"/>
      <c r="G313" s="101"/>
      <c r="H313" s="16"/>
      <c r="I313" s="16"/>
      <c r="J313" s="16"/>
      <c r="K313" s="16"/>
      <c r="L313" s="16"/>
      <c r="M313" s="16"/>
      <c r="N313" s="100"/>
      <c r="O313" s="100"/>
      <c r="P313" s="100"/>
      <c r="Q313" s="106"/>
      <c r="R313" s="107"/>
      <c r="S313" s="104"/>
      <c r="T313" s="108"/>
      <c r="U313" s="74" t="str">
        <f t="array" ref="U313">IFERROR(index('3. Công thức lab theo từng mã h'!J:J,MATCH(C313,'3. Công thức lab theo từng mã h'!L:L,0)),"")</f>
        <v/>
      </c>
      <c r="V313" s="74"/>
      <c r="W313" s="75"/>
    </row>
    <row r="314">
      <c r="A314" s="76">
        <f t="shared" si="1"/>
        <v>0</v>
      </c>
      <c r="B314" s="88"/>
      <c r="C314" s="76"/>
      <c r="D314" s="86"/>
      <c r="E314" s="86"/>
      <c r="F314" s="90"/>
      <c r="G314" s="91"/>
      <c r="H314" s="86"/>
      <c r="I314" s="86"/>
      <c r="J314" s="86"/>
      <c r="K314" s="86"/>
      <c r="L314" s="86"/>
      <c r="M314" s="86"/>
      <c r="N314" s="90"/>
      <c r="O314" s="90"/>
      <c r="P314" s="90"/>
      <c r="Q314" s="106"/>
      <c r="R314" s="95"/>
      <c r="S314" s="96"/>
      <c r="T314" s="97"/>
      <c r="U314" s="85" t="str">
        <f t="array" ref="U314">IFERROR(index('3. Công thức lab theo từng mã h'!J:J,MATCH(C314,'3. Công thức lab theo từng mã h'!L:L,0)),"")</f>
        <v/>
      </c>
      <c r="V314" s="85"/>
      <c r="W314" s="75"/>
    </row>
    <row r="315">
      <c r="A315" s="64">
        <f t="shared" si="1"/>
        <v>0</v>
      </c>
      <c r="B315" s="98"/>
      <c r="C315" s="64"/>
      <c r="D315" s="16"/>
      <c r="E315" s="16"/>
      <c r="F315" s="100"/>
      <c r="G315" s="101"/>
      <c r="H315" s="16"/>
      <c r="I315" s="16"/>
      <c r="J315" s="16"/>
      <c r="K315" s="16"/>
      <c r="L315" s="16"/>
      <c r="M315" s="16"/>
      <c r="N315" s="100"/>
      <c r="O315" s="100"/>
      <c r="P315" s="100"/>
      <c r="Q315" s="106"/>
      <c r="R315" s="107"/>
      <c r="S315" s="104"/>
      <c r="T315" s="108"/>
      <c r="U315" s="74" t="str">
        <f t="array" ref="U315">IFERROR(index('3. Công thức lab theo từng mã h'!J:J,MATCH(C315,'3. Công thức lab theo từng mã h'!L:L,0)),"")</f>
        <v/>
      </c>
      <c r="V315" s="74"/>
      <c r="W315" s="75"/>
    </row>
    <row r="316">
      <c r="A316" s="76">
        <f t="shared" si="1"/>
        <v>0</v>
      </c>
      <c r="B316" s="88"/>
      <c r="C316" s="76"/>
      <c r="D316" s="86"/>
      <c r="E316" s="86"/>
      <c r="F316" s="90"/>
      <c r="G316" s="91"/>
      <c r="H316" s="86"/>
      <c r="I316" s="86"/>
      <c r="J316" s="86"/>
      <c r="K316" s="86"/>
      <c r="L316" s="86"/>
      <c r="M316" s="86"/>
      <c r="N316" s="90"/>
      <c r="O316" s="90"/>
      <c r="P316" s="90"/>
      <c r="Q316" s="106"/>
      <c r="R316" s="95"/>
      <c r="S316" s="96"/>
      <c r="T316" s="97"/>
      <c r="U316" s="85" t="str">
        <f t="array" ref="U316">IFERROR(index('3. Công thức lab theo từng mã h'!J:J,MATCH(C316,'3. Công thức lab theo từng mã h'!L:L,0)),"")</f>
        <v/>
      </c>
      <c r="V316" s="85"/>
      <c r="W316" s="75"/>
    </row>
    <row r="317">
      <c r="A317" s="64">
        <f t="shared" si="1"/>
        <v>0</v>
      </c>
      <c r="B317" s="98"/>
      <c r="C317" s="64"/>
      <c r="D317" s="16"/>
      <c r="E317" s="16"/>
      <c r="F317" s="100"/>
      <c r="G317" s="101"/>
      <c r="H317" s="16"/>
      <c r="I317" s="16"/>
      <c r="J317" s="16"/>
      <c r="K317" s="16"/>
      <c r="L317" s="16"/>
      <c r="M317" s="16"/>
      <c r="N317" s="100"/>
      <c r="O317" s="100"/>
      <c r="P317" s="100"/>
      <c r="Q317" s="106"/>
      <c r="R317" s="107"/>
      <c r="S317" s="104"/>
      <c r="T317" s="108"/>
      <c r="U317" s="74" t="str">
        <f t="array" ref="U317">IFERROR(index('3. Công thức lab theo từng mã h'!J:J,MATCH(C317,'3. Công thức lab theo từng mã h'!L:L,0)),"")</f>
        <v/>
      </c>
      <c r="V317" s="74"/>
      <c r="W317" s="75"/>
    </row>
    <row r="318">
      <c r="A318" s="76">
        <f t="shared" si="1"/>
        <v>0</v>
      </c>
      <c r="B318" s="88"/>
      <c r="C318" s="76"/>
      <c r="D318" s="86"/>
      <c r="E318" s="86"/>
      <c r="F318" s="90"/>
      <c r="G318" s="91"/>
      <c r="H318" s="86"/>
      <c r="I318" s="86"/>
      <c r="J318" s="86"/>
      <c r="K318" s="86"/>
      <c r="L318" s="86"/>
      <c r="M318" s="86"/>
      <c r="N318" s="90"/>
      <c r="O318" s="90"/>
      <c r="P318" s="90"/>
      <c r="Q318" s="106"/>
      <c r="R318" s="95"/>
      <c r="S318" s="96"/>
      <c r="T318" s="97"/>
      <c r="U318" s="85" t="str">
        <f t="array" ref="U318">IFERROR(index('3. Công thức lab theo từng mã h'!J:J,MATCH(C318,'3. Công thức lab theo từng mã h'!L:L,0)),"")</f>
        <v/>
      </c>
      <c r="V318" s="85"/>
      <c r="W318" s="75"/>
    </row>
    <row r="319">
      <c r="A319" s="64">
        <f t="shared" si="1"/>
        <v>0</v>
      </c>
      <c r="B319" s="98"/>
      <c r="C319" s="64"/>
      <c r="D319" s="16"/>
      <c r="E319" s="16"/>
      <c r="F319" s="100"/>
      <c r="G319" s="101"/>
      <c r="H319" s="16"/>
      <c r="I319" s="16"/>
      <c r="J319" s="16"/>
      <c r="K319" s="16"/>
      <c r="L319" s="16"/>
      <c r="M319" s="16"/>
      <c r="N319" s="100"/>
      <c r="O319" s="100"/>
      <c r="P319" s="100"/>
      <c r="Q319" s="106"/>
      <c r="R319" s="107"/>
      <c r="S319" s="104"/>
      <c r="T319" s="108"/>
      <c r="U319" s="74" t="str">
        <f t="array" ref="U319">IFERROR(index('3. Công thức lab theo từng mã h'!J:J,MATCH(C319,'3. Công thức lab theo từng mã h'!L:L,0)),"")</f>
        <v/>
      </c>
      <c r="V319" s="74"/>
      <c r="W319" s="75"/>
    </row>
    <row r="320">
      <c r="A320" s="76">
        <f t="shared" si="1"/>
        <v>0</v>
      </c>
      <c r="B320" s="88"/>
      <c r="C320" s="76"/>
      <c r="D320" s="86"/>
      <c r="E320" s="86"/>
      <c r="F320" s="90"/>
      <c r="G320" s="91"/>
      <c r="H320" s="86"/>
      <c r="I320" s="86"/>
      <c r="J320" s="86"/>
      <c r="K320" s="86"/>
      <c r="L320" s="86"/>
      <c r="M320" s="86"/>
      <c r="N320" s="90"/>
      <c r="O320" s="90"/>
      <c r="P320" s="90"/>
      <c r="Q320" s="106"/>
      <c r="R320" s="95"/>
      <c r="S320" s="96"/>
      <c r="T320" s="97"/>
      <c r="U320" s="85" t="str">
        <f t="array" ref="U320">IFERROR(index('3. Công thức lab theo từng mã h'!J:J,MATCH(C320,'3. Công thức lab theo từng mã h'!L:L,0)),"")</f>
        <v/>
      </c>
      <c r="V320" s="85"/>
      <c r="W320" s="75"/>
    </row>
    <row r="321">
      <c r="A321" s="64">
        <f t="shared" si="1"/>
        <v>0</v>
      </c>
      <c r="B321" s="98"/>
      <c r="C321" s="64"/>
      <c r="D321" s="16"/>
      <c r="E321" s="16"/>
      <c r="F321" s="100"/>
      <c r="G321" s="101"/>
      <c r="H321" s="16"/>
      <c r="I321" s="16"/>
      <c r="J321" s="16"/>
      <c r="K321" s="16"/>
      <c r="L321" s="16"/>
      <c r="M321" s="16"/>
      <c r="N321" s="100"/>
      <c r="O321" s="100"/>
      <c r="P321" s="100"/>
      <c r="Q321" s="106"/>
      <c r="R321" s="107"/>
      <c r="S321" s="104"/>
      <c r="T321" s="108"/>
      <c r="U321" s="74" t="str">
        <f t="array" ref="U321">IFERROR(index('3. Công thức lab theo từng mã h'!J:J,MATCH(C321,'3. Công thức lab theo từng mã h'!L:L,0)),"")</f>
        <v/>
      </c>
      <c r="V321" s="74"/>
      <c r="W321" s="75"/>
    </row>
    <row r="322">
      <c r="A322" s="76">
        <f t="shared" si="1"/>
        <v>0</v>
      </c>
      <c r="B322" s="88"/>
      <c r="C322" s="76"/>
      <c r="D322" s="86"/>
      <c r="E322" s="86"/>
      <c r="F322" s="90"/>
      <c r="G322" s="91"/>
      <c r="H322" s="86"/>
      <c r="I322" s="86"/>
      <c r="J322" s="86"/>
      <c r="K322" s="86"/>
      <c r="L322" s="86"/>
      <c r="M322" s="86"/>
      <c r="N322" s="90"/>
      <c r="O322" s="90"/>
      <c r="P322" s="90"/>
      <c r="Q322" s="106"/>
      <c r="R322" s="95"/>
      <c r="S322" s="96"/>
      <c r="T322" s="97"/>
      <c r="U322" s="85" t="str">
        <f t="array" ref="U322">IFERROR(index('3. Công thức lab theo từng mã h'!J:J,MATCH(C322,'3. Công thức lab theo từng mã h'!L:L,0)),"")</f>
        <v/>
      </c>
      <c r="V322" s="85"/>
      <c r="W322" s="75"/>
    </row>
    <row r="323">
      <c r="A323" s="64">
        <f t="shared" si="1"/>
        <v>0</v>
      </c>
      <c r="B323" s="98"/>
      <c r="C323" s="64"/>
      <c r="D323" s="16"/>
      <c r="E323" s="16"/>
      <c r="F323" s="100"/>
      <c r="G323" s="101"/>
      <c r="H323" s="16"/>
      <c r="I323" s="16"/>
      <c r="J323" s="16"/>
      <c r="K323" s="16"/>
      <c r="L323" s="16"/>
      <c r="M323" s="16"/>
      <c r="N323" s="100"/>
      <c r="O323" s="100"/>
      <c r="P323" s="100"/>
      <c r="Q323" s="106"/>
      <c r="R323" s="107"/>
      <c r="S323" s="104"/>
      <c r="T323" s="108"/>
      <c r="U323" s="74" t="str">
        <f t="array" ref="U323">IFERROR(index('3. Công thức lab theo từng mã h'!J:J,MATCH(C323,'3. Công thức lab theo từng mã h'!L:L,0)),"")</f>
        <v/>
      </c>
      <c r="V323" s="74"/>
      <c r="W323" s="75"/>
    </row>
    <row r="324">
      <c r="A324" s="76">
        <f t="shared" si="1"/>
        <v>0</v>
      </c>
      <c r="B324" s="88"/>
      <c r="C324" s="76"/>
      <c r="D324" s="86"/>
      <c r="E324" s="86"/>
      <c r="F324" s="90"/>
      <c r="G324" s="91"/>
      <c r="H324" s="86"/>
      <c r="I324" s="86"/>
      <c r="J324" s="86"/>
      <c r="K324" s="86"/>
      <c r="L324" s="86"/>
      <c r="M324" s="86"/>
      <c r="N324" s="90"/>
      <c r="O324" s="90"/>
      <c r="P324" s="90"/>
      <c r="Q324" s="106"/>
      <c r="R324" s="95"/>
      <c r="S324" s="96"/>
      <c r="T324" s="97"/>
      <c r="U324" s="85" t="str">
        <f t="array" ref="U324">IFERROR(index('3. Công thức lab theo từng mã h'!J:J,MATCH(C324,'3. Công thức lab theo từng mã h'!L:L,0)),"")</f>
        <v/>
      </c>
      <c r="V324" s="85"/>
      <c r="W324" s="75"/>
    </row>
    <row r="325">
      <c r="A325" s="64">
        <f t="shared" si="1"/>
        <v>0</v>
      </c>
      <c r="B325" s="98"/>
      <c r="C325" s="64"/>
      <c r="D325" s="16"/>
      <c r="E325" s="16"/>
      <c r="F325" s="100"/>
      <c r="G325" s="101"/>
      <c r="H325" s="16"/>
      <c r="I325" s="16"/>
      <c r="J325" s="16"/>
      <c r="K325" s="16"/>
      <c r="L325" s="16"/>
      <c r="M325" s="16"/>
      <c r="N325" s="100"/>
      <c r="O325" s="100"/>
      <c r="P325" s="100"/>
      <c r="Q325" s="106"/>
      <c r="R325" s="107"/>
      <c r="S325" s="104"/>
      <c r="T325" s="108"/>
      <c r="U325" s="74" t="str">
        <f t="array" ref="U325">IFERROR(index('3. Công thức lab theo từng mã h'!J:J,MATCH(C325,'3. Công thức lab theo từng mã h'!L:L,0)),"")</f>
        <v/>
      </c>
      <c r="V325" s="74"/>
      <c r="W325" s="75"/>
    </row>
    <row r="326">
      <c r="A326" s="76">
        <f t="shared" si="1"/>
        <v>0</v>
      </c>
      <c r="B326" s="88"/>
      <c r="C326" s="76"/>
      <c r="D326" s="86"/>
      <c r="E326" s="86"/>
      <c r="F326" s="90"/>
      <c r="G326" s="91"/>
      <c r="H326" s="86"/>
      <c r="I326" s="86"/>
      <c r="J326" s="86"/>
      <c r="K326" s="86"/>
      <c r="L326" s="86"/>
      <c r="M326" s="86"/>
      <c r="N326" s="90"/>
      <c r="O326" s="90"/>
      <c r="P326" s="90"/>
      <c r="Q326" s="106"/>
      <c r="R326" s="95"/>
      <c r="S326" s="96"/>
      <c r="T326" s="97"/>
      <c r="U326" s="85" t="str">
        <f t="array" ref="U326">IFERROR(index('3. Công thức lab theo từng mã h'!J:J,MATCH(C326,'3. Công thức lab theo từng mã h'!L:L,0)),"")</f>
        <v/>
      </c>
      <c r="V326" s="85"/>
      <c r="W326" s="75"/>
    </row>
    <row r="327">
      <c r="A327" s="64">
        <f t="shared" si="1"/>
        <v>0</v>
      </c>
      <c r="B327" s="98"/>
      <c r="C327" s="64"/>
      <c r="D327" s="16"/>
      <c r="E327" s="16"/>
      <c r="F327" s="100"/>
      <c r="G327" s="101"/>
      <c r="H327" s="16"/>
      <c r="I327" s="16"/>
      <c r="J327" s="16"/>
      <c r="K327" s="16"/>
      <c r="L327" s="16"/>
      <c r="M327" s="16"/>
      <c r="N327" s="100"/>
      <c r="O327" s="100"/>
      <c r="P327" s="100"/>
      <c r="Q327" s="106"/>
      <c r="R327" s="107"/>
      <c r="S327" s="104"/>
      <c r="T327" s="108"/>
      <c r="U327" s="74" t="str">
        <f t="array" ref="U327">IFERROR(index('3. Công thức lab theo từng mã h'!J:J,MATCH(C327,'3. Công thức lab theo từng mã h'!L:L,0)),"")</f>
        <v/>
      </c>
      <c r="V327" s="74"/>
      <c r="W327" s="75"/>
    </row>
    <row r="328">
      <c r="A328" s="76">
        <f t="shared" si="1"/>
        <v>0</v>
      </c>
      <c r="B328" s="88"/>
      <c r="C328" s="76"/>
      <c r="D328" s="86"/>
      <c r="E328" s="86"/>
      <c r="F328" s="90"/>
      <c r="G328" s="91"/>
      <c r="H328" s="86"/>
      <c r="I328" s="86"/>
      <c r="J328" s="86"/>
      <c r="K328" s="86"/>
      <c r="L328" s="86"/>
      <c r="M328" s="86"/>
      <c r="N328" s="90"/>
      <c r="O328" s="90"/>
      <c r="P328" s="90"/>
      <c r="Q328" s="106"/>
      <c r="R328" s="95"/>
      <c r="S328" s="96"/>
      <c r="T328" s="97"/>
      <c r="U328" s="85" t="str">
        <f t="array" ref="U328">IFERROR(index('3. Công thức lab theo từng mã h'!J:J,MATCH(C328,'3. Công thức lab theo từng mã h'!L:L,0)),"")</f>
        <v/>
      </c>
      <c r="V328" s="85"/>
      <c r="W328" s="75"/>
    </row>
    <row r="329">
      <c r="A329" s="64">
        <f t="shared" si="1"/>
        <v>0</v>
      </c>
      <c r="B329" s="98"/>
      <c r="C329" s="64"/>
      <c r="D329" s="16"/>
      <c r="E329" s="16"/>
      <c r="F329" s="100"/>
      <c r="G329" s="101"/>
      <c r="H329" s="16"/>
      <c r="I329" s="16"/>
      <c r="J329" s="16"/>
      <c r="K329" s="16"/>
      <c r="L329" s="16"/>
      <c r="M329" s="16"/>
      <c r="N329" s="100"/>
      <c r="O329" s="100"/>
      <c r="P329" s="100"/>
      <c r="Q329" s="106"/>
      <c r="R329" s="107"/>
      <c r="S329" s="104"/>
      <c r="T329" s="108"/>
      <c r="U329" s="74" t="str">
        <f t="array" ref="U329">IFERROR(index('3. Công thức lab theo từng mã h'!J:J,MATCH(C329,'3. Công thức lab theo từng mã h'!L:L,0)),"")</f>
        <v/>
      </c>
      <c r="V329" s="74"/>
      <c r="W329" s="75"/>
    </row>
    <row r="330">
      <c r="A330" s="76">
        <f t="shared" si="1"/>
        <v>0</v>
      </c>
      <c r="B330" s="88"/>
      <c r="C330" s="76"/>
      <c r="D330" s="86"/>
      <c r="E330" s="86"/>
      <c r="F330" s="90"/>
      <c r="G330" s="91"/>
      <c r="H330" s="86"/>
      <c r="I330" s="86"/>
      <c r="J330" s="86"/>
      <c r="K330" s="86"/>
      <c r="L330" s="86"/>
      <c r="M330" s="86"/>
      <c r="N330" s="90"/>
      <c r="O330" s="90"/>
      <c r="P330" s="90"/>
      <c r="Q330" s="106"/>
      <c r="R330" s="95"/>
      <c r="S330" s="96"/>
      <c r="T330" s="97"/>
      <c r="U330" s="85" t="str">
        <f t="array" ref="U330">IFERROR(index('3. Công thức lab theo từng mã h'!J:J,MATCH(C330,'3. Công thức lab theo từng mã h'!L:L,0)),"")</f>
        <v/>
      </c>
      <c r="V330" s="85"/>
      <c r="W330" s="75"/>
    </row>
    <row r="331">
      <c r="A331" s="64">
        <f t="shared" si="1"/>
        <v>0</v>
      </c>
      <c r="B331" s="98"/>
      <c r="C331" s="64"/>
      <c r="D331" s="16"/>
      <c r="E331" s="16"/>
      <c r="F331" s="100"/>
      <c r="G331" s="101"/>
      <c r="H331" s="16"/>
      <c r="I331" s="16"/>
      <c r="J331" s="16"/>
      <c r="K331" s="16"/>
      <c r="L331" s="16"/>
      <c r="M331" s="16"/>
      <c r="N331" s="100"/>
      <c r="O331" s="100"/>
      <c r="P331" s="100"/>
      <c r="Q331" s="106"/>
      <c r="R331" s="107"/>
      <c r="S331" s="104"/>
      <c r="T331" s="108"/>
      <c r="U331" s="74" t="str">
        <f t="array" ref="U331">IFERROR(index('3. Công thức lab theo từng mã h'!J:J,MATCH(C331,'3. Công thức lab theo từng mã h'!L:L,0)),"")</f>
        <v/>
      </c>
      <c r="V331" s="74"/>
      <c r="W331" s="75"/>
    </row>
    <row r="332">
      <c r="A332" s="76">
        <f t="shared" si="1"/>
        <v>0</v>
      </c>
      <c r="B332" s="88"/>
      <c r="C332" s="76"/>
      <c r="D332" s="86"/>
      <c r="E332" s="86"/>
      <c r="F332" s="90"/>
      <c r="G332" s="91"/>
      <c r="H332" s="86"/>
      <c r="I332" s="86"/>
      <c r="J332" s="86"/>
      <c r="K332" s="86"/>
      <c r="L332" s="86"/>
      <c r="M332" s="86"/>
      <c r="N332" s="90"/>
      <c r="O332" s="90"/>
      <c r="P332" s="90"/>
      <c r="Q332" s="106"/>
      <c r="R332" s="95"/>
      <c r="S332" s="96"/>
      <c r="T332" s="97"/>
      <c r="U332" s="85" t="str">
        <f t="array" ref="U332">IFERROR(index('3. Công thức lab theo từng mã h'!J:J,MATCH(C332,'3. Công thức lab theo từng mã h'!L:L,0)),"")</f>
        <v/>
      </c>
      <c r="V332" s="85"/>
      <c r="W332" s="75"/>
    </row>
    <row r="333">
      <c r="A333" s="64">
        <f t="shared" si="1"/>
        <v>0</v>
      </c>
      <c r="B333" s="98"/>
      <c r="C333" s="64"/>
      <c r="D333" s="16"/>
      <c r="E333" s="16"/>
      <c r="F333" s="100"/>
      <c r="G333" s="101"/>
      <c r="H333" s="16"/>
      <c r="I333" s="16"/>
      <c r="J333" s="16"/>
      <c r="K333" s="16"/>
      <c r="L333" s="16"/>
      <c r="M333" s="16"/>
      <c r="N333" s="100"/>
      <c r="O333" s="100"/>
      <c r="P333" s="100"/>
      <c r="Q333" s="106"/>
      <c r="R333" s="107"/>
      <c r="S333" s="104"/>
      <c r="T333" s="108"/>
      <c r="U333" s="74" t="str">
        <f t="array" ref="U333">IFERROR(index('3. Công thức lab theo từng mã h'!J:J,MATCH(C333,'3. Công thức lab theo từng mã h'!L:L,0)),"")</f>
        <v/>
      </c>
      <c r="V333" s="74"/>
      <c r="W333" s="75"/>
    </row>
    <row r="334">
      <c r="A334" s="76">
        <f t="shared" si="1"/>
        <v>0</v>
      </c>
      <c r="B334" s="88"/>
      <c r="C334" s="76"/>
      <c r="D334" s="86"/>
      <c r="E334" s="86"/>
      <c r="F334" s="90"/>
      <c r="G334" s="91"/>
      <c r="H334" s="86"/>
      <c r="I334" s="86"/>
      <c r="J334" s="86"/>
      <c r="K334" s="86"/>
      <c r="L334" s="86"/>
      <c r="M334" s="86"/>
      <c r="N334" s="90"/>
      <c r="O334" s="90"/>
      <c r="P334" s="90"/>
      <c r="Q334" s="106"/>
      <c r="R334" s="95"/>
      <c r="S334" s="96"/>
      <c r="T334" s="97"/>
      <c r="U334" s="85" t="str">
        <f t="array" ref="U334">IFERROR(index('3. Công thức lab theo từng mã h'!J:J,MATCH(C334,'3. Công thức lab theo từng mã h'!L:L,0)),"")</f>
        <v/>
      </c>
      <c r="V334" s="85"/>
      <c r="W334" s="75"/>
    </row>
    <row r="335">
      <c r="A335" s="64">
        <f t="shared" si="1"/>
        <v>0</v>
      </c>
      <c r="B335" s="98"/>
      <c r="C335" s="64"/>
      <c r="D335" s="16"/>
      <c r="E335" s="16"/>
      <c r="F335" s="100"/>
      <c r="G335" s="101"/>
      <c r="H335" s="16"/>
      <c r="I335" s="16"/>
      <c r="J335" s="16"/>
      <c r="K335" s="16"/>
      <c r="L335" s="16"/>
      <c r="M335" s="16"/>
      <c r="N335" s="100"/>
      <c r="O335" s="100"/>
      <c r="P335" s="100"/>
      <c r="Q335" s="106"/>
      <c r="R335" s="107"/>
      <c r="S335" s="104"/>
      <c r="T335" s="108"/>
      <c r="U335" s="74" t="str">
        <f t="array" ref="U335">IFERROR(index('3. Công thức lab theo từng mã h'!J:J,MATCH(C335,'3. Công thức lab theo từng mã h'!L:L,0)),"")</f>
        <v/>
      </c>
      <c r="V335" s="74"/>
      <c r="W335" s="75"/>
    </row>
    <row r="336">
      <c r="A336" s="76">
        <f t="shared" si="1"/>
        <v>0</v>
      </c>
      <c r="B336" s="88"/>
      <c r="C336" s="76"/>
      <c r="D336" s="86"/>
      <c r="E336" s="86"/>
      <c r="F336" s="90"/>
      <c r="G336" s="91"/>
      <c r="H336" s="86"/>
      <c r="I336" s="86"/>
      <c r="J336" s="86"/>
      <c r="K336" s="86"/>
      <c r="L336" s="86"/>
      <c r="M336" s="86"/>
      <c r="N336" s="90"/>
      <c r="O336" s="90"/>
      <c r="P336" s="90"/>
      <c r="Q336" s="106"/>
      <c r="R336" s="95"/>
      <c r="S336" s="96"/>
      <c r="T336" s="97"/>
      <c r="U336" s="85" t="str">
        <f t="array" ref="U336">IFERROR(index('3. Công thức lab theo từng mã h'!J:J,MATCH(C336,'3. Công thức lab theo từng mã h'!L:L,0)),"")</f>
        <v/>
      </c>
      <c r="V336" s="85"/>
      <c r="W336" s="75"/>
    </row>
    <row r="337">
      <c r="A337" s="64">
        <f t="shared" si="1"/>
        <v>0</v>
      </c>
      <c r="B337" s="98"/>
      <c r="C337" s="64"/>
      <c r="D337" s="16"/>
      <c r="E337" s="16"/>
      <c r="F337" s="100"/>
      <c r="G337" s="101"/>
      <c r="H337" s="16"/>
      <c r="I337" s="16"/>
      <c r="J337" s="16"/>
      <c r="K337" s="16"/>
      <c r="L337" s="16"/>
      <c r="M337" s="16"/>
      <c r="N337" s="100"/>
      <c r="O337" s="100"/>
      <c r="P337" s="100"/>
      <c r="Q337" s="106"/>
      <c r="R337" s="107"/>
      <c r="S337" s="104"/>
      <c r="T337" s="108"/>
      <c r="U337" s="74" t="str">
        <f t="array" ref="U337">IFERROR(index('3. Công thức lab theo từng mã h'!J:J,MATCH(C337,'3. Công thức lab theo từng mã h'!L:L,0)),"")</f>
        <v/>
      </c>
      <c r="V337" s="74"/>
      <c r="W337" s="75"/>
    </row>
    <row r="338">
      <c r="A338" s="76">
        <f t="shared" si="1"/>
        <v>0</v>
      </c>
      <c r="B338" s="88"/>
      <c r="C338" s="76"/>
      <c r="D338" s="86"/>
      <c r="E338" s="86"/>
      <c r="F338" s="90"/>
      <c r="G338" s="91"/>
      <c r="H338" s="86"/>
      <c r="I338" s="86"/>
      <c r="J338" s="86"/>
      <c r="K338" s="86"/>
      <c r="L338" s="86"/>
      <c r="M338" s="86"/>
      <c r="N338" s="90"/>
      <c r="O338" s="90"/>
      <c r="P338" s="90"/>
      <c r="Q338" s="106"/>
      <c r="R338" s="95"/>
      <c r="S338" s="96"/>
      <c r="T338" s="97"/>
      <c r="U338" s="85" t="str">
        <f t="array" ref="U338">IFERROR(index('3. Công thức lab theo từng mã h'!J:J,MATCH(C338,'3. Công thức lab theo từng mã h'!L:L,0)),"")</f>
        <v/>
      </c>
      <c r="V338" s="85"/>
      <c r="W338" s="75"/>
    </row>
    <row r="339">
      <c r="A339" s="64">
        <f t="shared" si="1"/>
        <v>0</v>
      </c>
      <c r="B339" s="98"/>
      <c r="C339" s="64"/>
      <c r="D339" s="16"/>
      <c r="E339" s="16"/>
      <c r="F339" s="100"/>
      <c r="G339" s="101"/>
      <c r="H339" s="16"/>
      <c r="I339" s="16"/>
      <c r="J339" s="16"/>
      <c r="K339" s="16"/>
      <c r="L339" s="16"/>
      <c r="M339" s="16"/>
      <c r="N339" s="100"/>
      <c r="O339" s="100"/>
      <c r="P339" s="100"/>
      <c r="Q339" s="106"/>
      <c r="R339" s="107"/>
      <c r="S339" s="104"/>
      <c r="T339" s="108"/>
      <c r="U339" s="74" t="str">
        <f t="array" ref="U339">IFERROR(index('3. Công thức lab theo từng mã h'!J:J,MATCH(C339,'3. Công thức lab theo từng mã h'!L:L,0)),"")</f>
        <v/>
      </c>
      <c r="V339" s="74"/>
      <c r="W339" s="75"/>
    </row>
    <row r="340">
      <c r="A340" s="76">
        <f t="shared" si="1"/>
        <v>0</v>
      </c>
      <c r="B340" s="88"/>
      <c r="C340" s="76"/>
      <c r="D340" s="86"/>
      <c r="E340" s="86"/>
      <c r="F340" s="90"/>
      <c r="G340" s="91"/>
      <c r="H340" s="86"/>
      <c r="I340" s="86"/>
      <c r="J340" s="86"/>
      <c r="K340" s="86"/>
      <c r="L340" s="86"/>
      <c r="M340" s="86"/>
      <c r="N340" s="90"/>
      <c r="O340" s="90"/>
      <c r="P340" s="90"/>
      <c r="Q340" s="106"/>
      <c r="R340" s="95"/>
      <c r="S340" s="96"/>
      <c r="T340" s="97"/>
      <c r="U340" s="85" t="str">
        <f t="array" ref="U340">IFERROR(index('3. Công thức lab theo từng mã h'!J:J,MATCH(C340,'3. Công thức lab theo từng mã h'!L:L,0)),"")</f>
        <v/>
      </c>
      <c r="V340" s="85"/>
      <c r="W340" s="75"/>
    </row>
    <row r="341">
      <c r="A341" s="64">
        <f t="shared" si="1"/>
        <v>0</v>
      </c>
      <c r="B341" s="98"/>
      <c r="C341" s="64"/>
      <c r="D341" s="16"/>
      <c r="E341" s="16"/>
      <c r="F341" s="100"/>
      <c r="G341" s="101"/>
      <c r="H341" s="16"/>
      <c r="I341" s="16"/>
      <c r="J341" s="16"/>
      <c r="K341" s="16"/>
      <c r="L341" s="16"/>
      <c r="M341" s="16"/>
      <c r="N341" s="100"/>
      <c r="O341" s="100"/>
      <c r="P341" s="100"/>
      <c r="Q341" s="106"/>
      <c r="R341" s="107"/>
      <c r="S341" s="104"/>
      <c r="T341" s="108"/>
      <c r="U341" s="74" t="str">
        <f t="array" ref="U341">IFERROR(index('3. Công thức lab theo từng mã h'!J:J,MATCH(C341,'3. Công thức lab theo từng mã h'!L:L,0)),"")</f>
        <v/>
      </c>
      <c r="V341" s="74"/>
      <c r="W341" s="75"/>
    </row>
    <row r="342">
      <c r="A342" s="76">
        <f t="shared" si="1"/>
        <v>0</v>
      </c>
      <c r="B342" s="88"/>
      <c r="C342" s="76"/>
      <c r="D342" s="86"/>
      <c r="E342" s="86"/>
      <c r="F342" s="90"/>
      <c r="G342" s="91"/>
      <c r="H342" s="86"/>
      <c r="I342" s="86"/>
      <c r="J342" s="86"/>
      <c r="K342" s="86"/>
      <c r="L342" s="86"/>
      <c r="M342" s="86"/>
      <c r="N342" s="90"/>
      <c r="O342" s="90"/>
      <c r="P342" s="90"/>
      <c r="Q342" s="106"/>
      <c r="R342" s="95"/>
      <c r="S342" s="96"/>
      <c r="T342" s="97"/>
      <c r="U342" s="85" t="str">
        <f t="array" ref="U342">IFERROR(index('3. Công thức lab theo từng mã h'!J:J,MATCH(C342,'3. Công thức lab theo từng mã h'!L:L,0)),"")</f>
        <v/>
      </c>
      <c r="V342" s="85"/>
      <c r="W342" s="75"/>
    </row>
    <row r="343">
      <c r="A343" s="64">
        <f t="shared" si="1"/>
        <v>0</v>
      </c>
      <c r="B343" s="98"/>
      <c r="C343" s="64"/>
      <c r="D343" s="16"/>
      <c r="E343" s="16"/>
      <c r="F343" s="100"/>
      <c r="G343" s="101"/>
      <c r="H343" s="16"/>
      <c r="I343" s="16"/>
      <c r="J343" s="16"/>
      <c r="K343" s="16"/>
      <c r="L343" s="16"/>
      <c r="M343" s="16"/>
      <c r="N343" s="100"/>
      <c r="O343" s="100"/>
      <c r="P343" s="100"/>
      <c r="Q343" s="106"/>
      <c r="R343" s="107"/>
      <c r="S343" s="104"/>
      <c r="T343" s="108"/>
      <c r="U343" s="74" t="str">
        <f t="array" ref="U343">IFERROR(index('3. Công thức lab theo từng mã h'!J:J,MATCH(C343,'3. Công thức lab theo từng mã h'!L:L,0)),"")</f>
        <v/>
      </c>
      <c r="V343" s="74"/>
      <c r="W343" s="75"/>
    </row>
    <row r="344">
      <c r="A344" s="76">
        <f t="shared" si="1"/>
        <v>0</v>
      </c>
      <c r="B344" s="88"/>
      <c r="C344" s="76"/>
      <c r="D344" s="86"/>
      <c r="E344" s="86"/>
      <c r="F344" s="90"/>
      <c r="G344" s="91"/>
      <c r="H344" s="86"/>
      <c r="I344" s="86"/>
      <c r="J344" s="86"/>
      <c r="K344" s="86"/>
      <c r="L344" s="86"/>
      <c r="M344" s="86"/>
      <c r="N344" s="90"/>
      <c r="O344" s="90"/>
      <c r="P344" s="90"/>
      <c r="Q344" s="106"/>
      <c r="R344" s="95"/>
      <c r="S344" s="96"/>
      <c r="T344" s="97"/>
      <c r="U344" s="85" t="str">
        <f t="array" ref="U344">IFERROR(index('3. Công thức lab theo từng mã h'!J:J,MATCH(C344,'3. Công thức lab theo từng mã h'!L:L,0)),"")</f>
        <v/>
      </c>
      <c r="V344" s="85"/>
      <c r="W344" s="75"/>
    </row>
    <row r="345">
      <c r="A345" s="64">
        <f t="shared" si="1"/>
        <v>0</v>
      </c>
      <c r="B345" s="98"/>
      <c r="C345" s="64"/>
      <c r="D345" s="16"/>
      <c r="E345" s="16"/>
      <c r="F345" s="100"/>
      <c r="G345" s="101"/>
      <c r="H345" s="16"/>
      <c r="I345" s="16"/>
      <c r="J345" s="16"/>
      <c r="K345" s="16"/>
      <c r="L345" s="16"/>
      <c r="M345" s="16"/>
      <c r="N345" s="100"/>
      <c r="O345" s="100"/>
      <c r="P345" s="100"/>
      <c r="Q345" s="106"/>
      <c r="R345" s="107"/>
      <c r="S345" s="104"/>
      <c r="T345" s="108"/>
      <c r="U345" s="74" t="str">
        <f t="array" ref="U345">IFERROR(index('3. Công thức lab theo từng mã h'!J:J,MATCH(C345,'3. Công thức lab theo từng mã h'!L:L,0)),"")</f>
        <v/>
      </c>
      <c r="V345" s="74"/>
      <c r="W345" s="75"/>
    </row>
    <row r="346">
      <c r="A346" s="76">
        <f t="shared" si="1"/>
        <v>0</v>
      </c>
      <c r="B346" s="88"/>
      <c r="C346" s="76"/>
      <c r="D346" s="86"/>
      <c r="E346" s="86"/>
      <c r="F346" s="90"/>
      <c r="G346" s="91"/>
      <c r="H346" s="86"/>
      <c r="I346" s="86"/>
      <c r="J346" s="86"/>
      <c r="K346" s="86"/>
      <c r="L346" s="86"/>
      <c r="M346" s="86"/>
      <c r="N346" s="90"/>
      <c r="O346" s="90"/>
      <c r="P346" s="90"/>
      <c r="Q346" s="106"/>
      <c r="R346" s="95"/>
      <c r="S346" s="96"/>
      <c r="T346" s="97"/>
      <c r="U346" s="85" t="str">
        <f t="array" ref="U346">IFERROR(index('3. Công thức lab theo từng mã h'!J:J,MATCH(C346,'3. Công thức lab theo từng mã h'!L:L,0)),"")</f>
        <v/>
      </c>
      <c r="V346" s="85"/>
      <c r="W346" s="75"/>
    </row>
    <row r="347">
      <c r="A347" s="64">
        <f t="shared" si="1"/>
        <v>0</v>
      </c>
      <c r="B347" s="98"/>
      <c r="C347" s="64"/>
      <c r="D347" s="16"/>
      <c r="E347" s="16"/>
      <c r="F347" s="100"/>
      <c r="G347" s="101"/>
      <c r="H347" s="16"/>
      <c r="I347" s="16"/>
      <c r="J347" s="16"/>
      <c r="K347" s="16"/>
      <c r="L347" s="16"/>
      <c r="M347" s="16"/>
      <c r="N347" s="100"/>
      <c r="O347" s="100"/>
      <c r="P347" s="100"/>
      <c r="Q347" s="106"/>
      <c r="R347" s="107"/>
      <c r="S347" s="104"/>
      <c r="T347" s="108"/>
      <c r="U347" s="74" t="str">
        <f t="array" ref="U347">IFERROR(index('3. Công thức lab theo từng mã h'!J:J,MATCH(C347,'3. Công thức lab theo từng mã h'!L:L,0)),"")</f>
        <v/>
      </c>
      <c r="V347" s="74"/>
      <c r="W347" s="75"/>
    </row>
    <row r="348">
      <c r="A348" s="76">
        <f t="shared" si="1"/>
        <v>0</v>
      </c>
      <c r="B348" s="88"/>
      <c r="C348" s="76"/>
      <c r="D348" s="86"/>
      <c r="E348" s="86"/>
      <c r="F348" s="90"/>
      <c r="G348" s="91"/>
      <c r="H348" s="86"/>
      <c r="I348" s="86"/>
      <c r="J348" s="86"/>
      <c r="K348" s="86"/>
      <c r="L348" s="86"/>
      <c r="M348" s="86"/>
      <c r="N348" s="90"/>
      <c r="O348" s="90"/>
      <c r="P348" s="90"/>
      <c r="Q348" s="106"/>
      <c r="R348" s="95"/>
      <c r="S348" s="96"/>
      <c r="T348" s="97"/>
      <c r="U348" s="85" t="str">
        <f t="array" ref="U348">IFERROR(index('3. Công thức lab theo từng mã h'!J:J,MATCH(C348,'3. Công thức lab theo từng mã h'!L:L,0)),"")</f>
        <v/>
      </c>
      <c r="V348" s="85"/>
      <c r="W348" s="75"/>
    </row>
    <row r="349">
      <c r="A349" s="64">
        <f t="shared" si="1"/>
        <v>0</v>
      </c>
      <c r="B349" s="98"/>
      <c r="C349" s="64"/>
      <c r="D349" s="16"/>
      <c r="E349" s="16"/>
      <c r="F349" s="100"/>
      <c r="G349" s="101"/>
      <c r="H349" s="16"/>
      <c r="I349" s="16"/>
      <c r="J349" s="16"/>
      <c r="K349" s="16"/>
      <c r="L349" s="16"/>
      <c r="M349" s="16"/>
      <c r="N349" s="100"/>
      <c r="O349" s="100"/>
      <c r="P349" s="100"/>
      <c r="Q349" s="106"/>
      <c r="R349" s="107"/>
      <c r="S349" s="104"/>
      <c r="T349" s="108"/>
      <c r="U349" s="74" t="str">
        <f t="array" ref="U349">IFERROR(index('3. Công thức lab theo từng mã h'!J:J,MATCH(C349,'3. Công thức lab theo từng mã h'!L:L,0)),"")</f>
        <v/>
      </c>
      <c r="V349" s="74"/>
      <c r="W349" s="75"/>
    </row>
    <row r="350">
      <c r="A350" s="76">
        <f t="shared" si="1"/>
        <v>0</v>
      </c>
      <c r="B350" s="88"/>
      <c r="C350" s="76"/>
      <c r="D350" s="86"/>
      <c r="E350" s="86"/>
      <c r="F350" s="90"/>
      <c r="G350" s="91"/>
      <c r="H350" s="86"/>
      <c r="I350" s="86"/>
      <c r="J350" s="86"/>
      <c r="K350" s="86"/>
      <c r="L350" s="86"/>
      <c r="M350" s="86"/>
      <c r="N350" s="90"/>
      <c r="O350" s="90"/>
      <c r="P350" s="90"/>
      <c r="Q350" s="106"/>
      <c r="R350" s="95"/>
      <c r="S350" s="96"/>
      <c r="T350" s="97"/>
      <c r="U350" s="85" t="str">
        <f t="array" ref="U350">IFERROR(index('3. Công thức lab theo từng mã h'!J:J,MATCH(C350,'3. Công thức lab theo từng mã h'!L:L,0)),"")</f>
        <v/>
      </c>
      <c r="V350" s="85"/>
      <c r="W350" s="75"/>
    </row>
    <row r="351">
      <c r="A351" s="64">
        <f t="shared" si="1"/>
        <v>0</v>
      </c>
      <c r="B351" s="98"/>
      <c r="C351" s="64"/>
      <c r="D351" s="16"/>
      <c r="E351" s="16"/>
      <c r="F351" s="100"/>
      <c r="G351" s="101"/>
      <c r="H351" s="16"/>
      <c r="I351" s="16"/>
      <c r="J351" s="16"/>
      <c r="K351" s="16"/>
      <c r="L351" s="16"/>
      <c r="M351" s="16"/>
      <c r="N351" s="100"/>
      <c r="O351" s="100"/>
      <c r="P351" s="100"/>
      <c r="Q351" s="106"/>
      <c r="R351" s="107"/>
      <c r="S351" s="104"/>
      <c r="T351" s="108"/>
      <c r="U351" s="74" t="str">
        <f t="array" ref="U351">IFERROR(index('3. Công thức lab theo từng mã h'!J:J,MATCH(C351,'3. Công thức lab theo từng mã h'!L:L,0)),"")</f>
        <v/>
      </c>
      <c r="V351" s="74"/>
      <c r="W351" s="75"/>
    </row>
    <row r="352">
      <c r="A352" s="76">
        <f t="shared" si="1"/>
        <v>0</v>
      </c>
      <c r="B352" s="88"/>
      <c r="C352" s="76"/>
      <c r="D352" s="86"/>
      <c r="E352" s="86"/>
      <c r="F352" s="90"/>
      <c r="G352" s="91"/>
      <c r="H352" s="86"/>
      <c r="I352" s="86"/>
      <c r="J352" s="86"/>
      <c r="K352" s="86"/>
      <c r="L352" s="86"/>
      <c r="M352" s="86"/>
      <c r="N352" s="90"/>
      <c r="O352" s="90"/>
      <c r="P352" s="90"/>
      <c r="Q352" s="106"/>
      <c r="R352" s="95"/>
      <c r="S352" s="96"/>
      <c r="T352" s="97"/>
      <c r="U352" s="85" t="str">
        <f t="array" ref="U352">IFERROR(index('3. Công thức lab theo từng mã h'!J:J,MATCH(C352,'3. Công thức lab theo từng mã h'!L:L,0)),"")</f>
        <v/>
      </c>
      <c r="V352" s="85"/>
      <c r="W352" s="75"/>
    </row>
    <row r="353">
      <c r="A353" s="64">
        <f t="shared" si="1"/>
        <v>0</v>
      </c>
      <c r="B353" s="98"/>
      <c r="C353" s="64"/>
      <c r="D353" s="16"/>
      <c r="E353" s="16"/>
      <c r="F353" s="100"/>
      <c r="G353" s="101"/>
      <c r="H353" s="16"/>
      <c r="I353" s="16"/>
      <c r="J353" s="16"/>
      <c r="K353" s="16"/>
      <c r="L353" s="16"/>
      <c r="M353" s="16"/>
      <c r="N353" s="100"/>
      <c r="O353" s="100"/>
      <c r="P353" s="100"/>
      <c r="Q353" s="106"/>
      <c r="R353" s="107"/>
      <c r="S353" s="104"/>
      <c r="T353" s="108"/>
      <c r="U353" s="74" t="str">
        <f t="array" ref="U353">IFERROR(index('3. Công thức lab theo từng mã h'!J:J,MATCH(C353,'3. Công thức lab theo từng mã h'!L:L,0)),"")</f>
        <v/>
      </c>
      <c r="V353" s="74"/>
      <c r="W353" s="75"/>
    </row>
    <row r="354">
      <c r="A354" s="76">
        <f t="shared" si="1"/>
        <v>0</v>
      </c>
      <c r="B354" s="88"/>
      <c r="C354" s="76"/>
      <c r="D354" s="86"/>
      <c r="E354" s="86"/>
      <c r="F354" s="90"/>
      <c r="G354" s="91"/>
      <c r="H354" s="86"/>
      <c r="I354" s="86"/>
      <c r="J354" s="86"/>
      <c r="K354" s="86"/>
      <c r="L354" s="86"/>
      <c r="M354" s="86"/>
      <c r="N354" s="90"/>
      <c r="O354" s="90"/>
      <c r="P354" s="90"/>
      <c r="Q354" s="106"/>
      <c r="R354" s="95"/>
      <c r="S354" s="96"/>
      <c r="T354" s="97"/>
      <c r="U354" s="85" t="str">
        <f t="array" ref="U354">IFERROR(index('3. Công thức lab theo từng mã h'!J:J,MATCH(C354,'3. Công thức lab theo từng mã h'!L:L,0)),"")</f>
        <v/>
      </c>
      <c r="V354" s="85"/>
      <c r="W354" s="75"/>
    </row>
    <row r="355">
      <c r="A355" s="64">
        <f t="shared" si="1"/>
        <v>0</v>
      </c>
      <c r="B355" s="98"/>
      <c r="C355" s="64"/>
      <c r="D355" s="16"/>
      <c r="E355" s="16"/>
      <c r="F355" s="100"/>
      <c r="G355" s="101"/>
      <c r="H355" s="16"/>
      <c r="I355" s="16"/>
      <c r="J355" s="16"/>
      <c r="K355" s="16"/>
      <c r="L355" s="16"/>
      <c r="M355" s="16"/>
      <c r="N355" s="100"/>
      <c r="O355" s="100"/>
      <c r="P355" s="100"/>
      <c r="Q355" s="106"/>
      <c r="R355" s="107"/>
      <c r="S355" s="104"/>
      <c r="T355" s="108"/>
      <c r="U355" s="74" t="str">
        <f t="array" ref="U355">IFERROR(index('3. Công thức lab theo từng mã h'!J:J,MATCH(C355,'3. Công thức lab theo từng mã h'!L:L,0)),"")</f>
        <v/>
      </c>
      <c r="V355" s="74"/>
      <c r="W355" s="75"/>
    </row>
    <row r="356">
      <c r="A356" s="76">
        <f t="shared" si="1"/>
        <v>0</v>
      </c>
      <c r="B356" s="88"/>
      <c r="C356" s="76"/>
      <c r="D356" s="86"/>
      <c r="E356" s="86"/>
      <c r="F356" s="90"/>
      <c r="G356" s="91"/>
      <c r="H356" s="86"/>
      <c r="I356" s="86"/>
      <c r="J356" s="86"/>
      <c r="K356" s="86"/>
      <c r="L356" s="86"/>
      <c r="M356" s="86"/>
      <c r="N356" s="90"/>
      <c r="O356" s="90"/>
      <c r="P356" s="90"/>
      <c r="Q356" s="106"/>
      <c r="R356" s="95"/>
      <c r="S356" s="96"/>
      <c r="T356" s="97"/>
      <c r="U356" s="85" t="str">
        <f t="array" ref="U356">IFERROR(index('3. Công thức lab theo từng mã h'!J:J,MATCH(C356,'3. Công thức lab theo từng mã h'!L:L,0)),"")</f>
        <v/>
      </c>
      <c r="V356" s="85"/>
      <c r="W356" s="75"/>
    </row>
    <row r="357">
      <c r="A357" s="64">
        <f t="shared" si="1"/>
        <v>0</v>
      </c>
      <c r="B357" s="98"/>
      <c r="C357" s="64"/>
      <c r="D357" s="16"/>
      <c r="E357" s="16"/>
      <c r="F357" s="100"/>
      <c r="G357" s="101"/>
      <c r="H357" s="16"/>
      <c r="I357" s="16"/>
      <c r="J357" s="16"/>
      <c r="K357" s="16"/>
      <c r="L357" s="16"/>
      <c r="M357" s="16"/>
      <c r="N357" s="100"/>
      <c r="O357" s="100"/>
      <c r="P357" s="100"/>
      <c r="Q357" s="106"/>
      <c r="R357" s="107"/>
      <c r="S357" s="104"/>
      <c r="T357" s="108"/>
      <c r="U357" s="74" t="str">
        <f t="array" ref="U357">IFERROR(index('3. Công thức lab theo từng mã h'!J:J,MATCH(C357,'3. Công thức lab theo từng mã h'!L:L,0)),"")</f>
        <v/>
      </c>
      <c r="V357" s="74"/>
      <c r="W357" s="75"/>
    </row>
    <row r="358">
      <c r="A358" s="76">
        <f t="shared" si="1"/>
        <v>0</v>
      </c>
      <c r="B358" s="88"/>
      <c r="C358" s="76"/>
      <c r="D358" s="86"/>
      <c r="E358" s="86"/>
      <c r="F358" s="90"/>
      <c r="G358" s="91"/>
      <c r="H358" s="86"/>
      <c r="I358" s="86"/>
      <c r="J358" s="86"/>
      <c r="K358" s="86"/>
      <c r="L358" s="86"/>
      <c r="M358" s="86"/>
      <c r="N358" s="90"/>
      <c r="O358" s="90"/>
      <c r="P358" s="90"/>
      <c r="Q358" s="106"/>
      <c r="R358" s="95"/>
      <c r="S358" s="96"/>
      <c r="T358" s="97"/>
      <c r="U358" s="85" t="str">
        <f t="array" ref="U358">IFERROR(index('3. Công thức lab theo từng mã h'!J:J,MATCH(C358,'3. Công thức lab theo từng mã h'!L:L,0)),"")</f>
        <v/>
      </c>
      <c r="V358" s="85"/>
      <c r="W358" s="75"/>
    </row>
    <row r="359">
      <c r="A359" s="64">
        <f t="shared" si="1"/>
        <v>0</v>
      </c>
      <c r="B359" s="98"/>
      <c r="C359" s="64"/>
      <c r="D359" s="16"/>
      <c r="E359" s="16"/>
      <c r="F359" s="100"/>
      <c r="G359" s="101"/>
      <c r="H359" s="16"/>
      <c r="I359" s="16"/>
      <c r="J359" s="16"/>
      <c r="K359" s="16"/>
      <c r="L359" s="16"/>
      <c r="M359" s="16"/>
      <c r="N359" s="100"/>
      <c r="O359" s="100"/>
      <c r="P359" s="100"/>
      <c r="Q359" s="106"/>
      <c r="R359" s="107"/>
      <c r="S359" s="104"/>
      <c r="T359" s="108"/>
      <c r="U359" s="74" t="str">
        <f t="array" ref="U359">IFERROR(index('3. Công thức lab theo từng mã h'!J:J,MATCH(C359,'3. Công thức lab theo từng mã h'!L:L,0)),"")</f>
        <v/>
      </c>
      <c r="V359" s="74"/>
      <c r="W359" s="75"/>
    </row>
    <row r="360">
      <c r="A360" s="76">
        <f t="shared" si="1"/>
        <v>0</v>
      </c>
      <c r="B360" s="88"/>
      <c r="C360" s="76"/>
      <c r="D360" s="86"/>
      <c r="E360" s="86"/>
      <c r="F360" s="90"/>
      <c r="G360" s="91"/>
      <c r="H360" s="86"/>
      <c r="I360" s="86"/>
      <c r="J360" s="86"/>
      <c r="K360" s="86"/>
      <c r="L360" s="86"/>
      <c r="M360" s="86"/>
      <c r="N360" s="90"/>
      <c r="O360" s="90"/>
      <c r="P360" s="90"/>
      <c r="Q360" s="106"/>
      <c r="R360" s="95"/>
      <c r="S360" s="96"/>
      <c r="T360" s="97"/>
      <c r="U360" s="85" t="str">
        <f t="array" ref="U360">IFERROR(index('3. Công thức lab theo từng mã h'!J:J,MATCH(C360,'3. Công thức lab theo từng mã h'!L:L,0)),"")</f>
        <v/>
      </c>
      <c r="V360" s="85"/>
      <c r="W360" s="75"/>
    </row>
    <row r="361">
      <c r="A361" s="64">
        <f t="shared" si="1"/>
        <v>0</v>
      </c>
      <c r="B361" s="98"/>
      <c r="C361" s="64"/>
      <c r="D361" s="16"/>
      <c r="E361" s="16"/>
      <c r="F361" s="100"/>
      <c r="G361" s="101"/>
      <c r="H361" s="16"/>
      <c r="I361" s="16"/>
      <c r="J361" s="16"/>
      <c r="K361" s="16"/>
      <c r="L361" s="16"/>
      <c r="M361" s="16"/>
      <c r="N361" s="100"/>
      <c r="O361" s="100"/>
      <c r="P361" s="100"/>
      <c r="Q361" s="106"/>
      <c r="R361" s="107"/>
      <c r="S361" s="104"/>
      <c r="T361" s="108"/>
      <c r="U361" s="74" t="str">
        <f t="array" ref="U361">IFERROR(index('3. Công thức lab theo từng mã h'!J:J,MATCH(C361,'3. Công thức lab theo từng mã h'!L:L,0)),"")</f>
        <v/>
      </c>
      <c r="V361" s="74"/>
      <c r="W361" s="75"/>
    </row>
    <row r="362">
      <c r="A362" s="76">
        <f t="shared" si="1"/>
        <v>0</v>
      </c>
      <c r="B362" s="88"/>
      <c r="C362" s="76"/>
      <c r="D362" s="86"/>
      <c r="E362" s="86"/>
      <c r="F362" s="90"/>
      <c r="G362" s="91"/>
      <c r="H362" s="86"/>
      <c r="I362" s="86"/>
      <c r="J362" s="86"/>
      <c r="K362" s="86"/>
      <c r="L362" s="86"/>
      <c r="M362" s="86"/>
      <c r="N362" s="90"/>
      <c r="O362" s="90"/>
      <c r="P362" s="90"/>
      <c r="Q362" s="106"/>
      <c r="R362" s="95"/>
      <c r="S362" s="96"/>
      <c r="T362" s="97"/>
      <c r="U362" s="85" t="str">
        <f t="array" ref="U362">IFERROR(index('3. Công thức lab theo từng mã h'!J:J,MATCH(C362,'3. Công thức lab theo từng mã h'!L:L,0)),"")</f>
        <v/>
      </c>
      <c r="V362" s="85"/>
      <c r="W362" s="75"/>
    </row>
    <row r="363">
      <c r="A363" s="64">
        <f t="shared" si="1"/>
        <v>0</v>
      </c>
      <c r="B363" s="98"/>
      <c r="C363" s="64"/>
      <c r="D363" s="16"/>
      <c r="E363" s="16"/>
      <c r="F363" s="100"/>
      <c r="G363" s="101"/>
      <c r="H363" s="16"/>
      <c r="I363" s="16"/>
      <c r="J363" s="16"/>
      <c r="K363" s="16"/>
      <c r="L363" s="16"/>
      <c r="M363" s="16"/>
      <c r="N363" s="100"/>
      <c r="O363" s="100"/>
      <c r="P363" s="100"/>
      <c r="Q363" s="106"/>
      <c r="R363" s="107"/>
      <c r="S363" s="104"/>
      <c r="T363" s="108"/>
      <c r="U363" s="74" t="str">
        <f t="array" ref="U363">IFERROR(index('3. Công thức lab theo từng mã h'!J:J,MATCH(C363,'3. Công thức lab theo từng mã h'!L:L,0)),"")</f>
        <v/>
      </c>
      <c r="V363" s="74"/>
      <c r="W363" s="75"/>
    </row>
    <row r="364">
      <c r="A364" s="76">
        <f t="shared" si="1"/>
        <v>0</v>
      </c>
      <c r="B364" s="88"/>
      <c r="C364" s="76"/>
      <c r="D364" s="86"/>
      <c r="E364" s="86"/>
      <c r="F364" s="90"/>
      <c r="G364" s="91"/>
      <c r="H364" s="86"/>
      <c r="I364" s="86"/>
      <c r="J364" s="86"/>
      <c r="K364" s="86"/>
      <c r="L364" s="86"/>
      <c r="M364" s="86"/>
      <c r="N364" s="90"/>
      <c r="O364" s="90"/>
      <c r="P364" s="90"/>
      <c r="Q364" s="106"/>
      <c r="R364" s="95"/>
      <c r="S364" s="96"/>
      <c r="T364" s="97"/>
      <c r="U364" s="85" t="str">
        <f t="array" ref="U364">IFERROR(index('3. Công thức lab theo từng mã h'!J:J,MATCH(C364,'3. Công thức lab theo từng mã h'!L:L,0)),"")</f>
        <v/>
      </c>
      <c r="V364" s="85"/>
      <c r="W364" s="75"/>
    </row>
    <row r="365">
      <c r="A365" s="64">
        <f t="shared" si="1"/>
        <v>0</v>
      </c>
      <c r="B365" s="98"/>
      <c r="C365" s="64"/>
      <c r="D365" s="16"/>
      <c r="E365" s="16"/>
      <c r="F365" s="100"/>
      <c r="G365" s="101"/>
      <c r="H365" s="16"/>
      <c r="I365" s="16"/>
      <c r="J365" s="16"/>
      <c r="K365" s="16"/>
      <c r="L365" s="16"/>
      <c r="M365" s="16"/>
      <c r="N365" s="100"/>
      <c r="O365" s="100"/>
      <c r="P365" s="100"/>
      <c r="Q365" s="106"/>
      <c r="R365" s="107"/>
      <c r="S365" s="104"/>
      <c r="T365" s="108"/>
      <c r="U365" s="74" t="str">
        <f t="array" ref="U365">IFERROR(index('3. Công thức lab theo từng mã h'!J:J,MATCH(C365,'3. Công thức lab theo từng mã h'!L:L,0)),"")</f>
        <v/>
      </c>
      <c r="V365" s="74"/>
      <c r="W365" s="75"/>
    </row>
    <row r="366">
      <c r="A366" s="76">
        <f t="shared" si="1"/>
        <v>0</v>
      </c>
      <c r="B366" s="88"/>
      <c r="C366" s="76"/>
      <c r="D366" s="86"/>
      <c r="E366" s="86"/>
      <c r="F366" s="90"/>
      <c r="G366" s="91"/>
      <c r="H366" s="86"/>
      <c r="I366" s="86"/>
      <c r="J366" s="86"/>
      <c r="K366" s="86"/>
      <c r="L366" s="86"/>
      <c r="M366" s="86"/>
      <c r="N366" s="90"/>
      <c r="O366" s="90"/>
      <c r="P366" s="90"/>
      <c r="Q366" s="106"/>
      <c r="R366" s="95"/>
      <c r="S366" s="96"/>
      <c r="T366" s="97"/>
      <c r="U366" s="85" t="str">
        <f t="array" ref="U366">IFERROR(index('3. Công thức lab theo từng mã h'!J:J,MATCH(C366,'3. Công thức lab theo từng mã h'!L:L,0)),"")</f>
        <v/>
      </c>
      <c r="V366" s="85"/>
      <c r="W366" s="75"/>
    </row>
    <row r="367">
      <c r="A367" s="64">
        <f t="shared" si="1"/>
        <v>0</v>
      </c>
      <c r="B367" s="98"/>
      <c r="C367" s="64"/>
      <c r="D367" s="16"/>
      <c r="E367" s="16"/>
      <c r="F367" s="100"/>
      <c r="G367" s="101"/>
      <c r="H367" s="16"/>
      <c r="I367" s="16"/>
      <c r="J367" s="16"/>
      <c r="K367" s="16"/>
      <c r="L367" s="16"/>
      <c r="M367" s="16"/>
      <c r="N367" s="100"/>
      <c r="O367" s="100"/>
      <c r="P367" s="100"/>
      <c r="Q367" s="106"/>
      <c r="R367" s="107"/>
      <c r="S367" s="104"/>
      <c r="T367" s="108"/>
      <c r="U367" s="74" t="str">
        <f t="array" ref="U367">IFERROR(index('3. Công thức lab theo từng mã h'!J:J,MATCH(C367,'3. Công thức lab theo từng mã h'!L:L,0)),"")</f>
        <v/>
      </c>
      <c r="V367" s="74"/>
      <c r="W367" s="75"/>
    </row>
    <row r="368">
      <c r="A368" s="76">
        <f t="shared" si="1"/>
        <v>0</v>
      </c>
      <c r="B368" s="88"/>
      <c r="C368" s="76"/>
      <c r="D368" s="86"/>
      <c r="E368" s="86"/>
      <c r="F368" s="90"/>
      <c r="G368" s="91"/>
      <c r="H368" s="86"/>
      <c r="I368" s="86"/>
      <c r="J368" s="86"/>
      <c r="K368" s="86"/>
      <c r="L368" s="86"/>
      <c r="M368" s="86"/>
      <c r="N368" s="90"/>
      <c r="O368" s="90"/>
      <c r="P368" s="90"/>
      <c r="Q368" s="106"/>
      <c r="R368" s="95"/>
      <c r="S368" s="96"/>
      <c r="T368" s="97"/>
      <c r="U368" s="85" t="str">
        <f t="array" ref="U368">IFERROR(index('3. Công thức lab theo từng mã h'!J:J,MATCH(C368,'3. Công thức lab theo từng mã h'!L:L,0)),"")</f>
        <v/>
      </c>
      <c r="V368" s="85"/>
      <c r="W368" s="75"/>
    </row>
    <row r="369">
      <c r="A369" s="64">
        <f t="shared" si="1"/>
        <v>0</v>
      </c>
      <c r="B369" s="98"/>
      <c r="C369" s="64"/>
      <c r="D369" s="16"/>
      <c r="E369" s="16"/>
      <c r="F369" s="100"/>
      <c r="G369" s="101"/>
      <c r="H369" s="16"/>
      <c r="I369" s="16"/>
      <c r="J369" s="16"/>
      <c r="K369" s="16"/>
      <c r="L369" s="16"/>
      <c r="M369" s="16"/>
      <c r="N369" s="100"/>
      <c r="O369" s="100"/>
      <c r="P369" s="100"/>
      <c r="Q369" s="106"/>
      <c r="R369" s="107"/>
      <c r="S369" s="104"/>
      <c r="T369" s="108"/>
      <c r="U369" s="74" t="str">
        <f t="array" ref="U369">IFERROR(index('3. Công thức lab theo từng mã h'!J:J,MATCH(C369,'3. Công thức lab theo từng mã h'!L:L,0)),"")</f>
        <v/>
      </c>
      <c r="V369" s="74"/>
      <c r="W369" s="75"/>
    </row>
    <row r="370">
      <c r="A370" s="76">
        <f t="shared" si="1"/>
        <v>0</v>
      </c>
      <c r="B370" s="88"/>
      <c r="C370" s="76"/>
      <c r="D370" s="86"/>
      <c r="E370" s="86"/>
      <c r="F370" s="90"/>
      <c r="G370" s="91"/>
      <c r="H370" s="86"/>
      <c r="I370" s="86"/>
      <c r="J370" s="86"/>
      <c r="K370" s="86"/>
      <c r="L370" s="86"/>
      <c r="M370" s="86"/>
      <c r="N370" s="90"/>
      <c r="O370" s="90"/>
      <c r="P370" s="90"/>
      <c r="Q370" s="106"/>
      <c r="R370" s="95"/>
      <c r="S370" s="96"/>
      <c r="T370" s="97"/>
      <c r="U370" s="85" t="str">
        <f t="array" ref="U370">IFERROR(index('3. Công thức lab theo từng mã h'!J:J,MATCH(C370,'3. Công thức lab theo từng mã h'!L:L,0)),"")</f>
        <v/>
      </c>
      <c r="V370" s="85"/>
      <c r="W370" s="75"/>
    </row>
    <row r="371">
      <c r="A371" s="64">
        <f t="shared" si="1"/>
        <v>0</v>
      </c>
      <c r="B371" s="98"/>
      <c r="C371" s="64"/>
      <c r="D371" s="16"/>
      <c r="E371" s="16"/>
      <c r="F371" s="100"/>
      <c r="G371" s="101"/>
      <c r="H371" s="16"/>
      <c r="I371" s="16"/>
      <c r="J371" s="16"/>
      <c r="K371" s="16"/>
      <c r="L371" s="16"/>
      <c r="M371" s="16"/>
      <c r="N371" s="100"/>
      <c r="O371" s="100"/>
      <c r="P371" s="100"/>
      <c r="Q371" s="106"/>
      <c r="R371" s="107"/>
      <c r="S371" s="104"/>
      <c r="T371" s="108"/>
      <c r="U371" s="74" t="str">
        <f t="array" ref="U371">IFERROR(index('3. Công thức lab theo từng mã h'!J:J,MATCH(C371,'3. Công thức lab theo từng mã h'!L:L,0)),"")</f>
        <v/>
      </c>
      <c r="V371" s="74"/>
      <c r="W371" s="75"/>
    </row>
    <row r="372">
      <c r="A372" s="76">
        <f t="shared" si="1"/>
        <v>0</v>
      </c>
      <c r="B372" s="88"/>
      <c r="C372" s="76"/>
      <c r="D372" s="86"/>
      <c r="E372" s="86"/>
      <c r="F372" s="90"/>
      <c r="G372" s="91"/>
      <c r="H372" s="86"/>
      <c r="I372" s="86"/>
      <c r="J372" s="86"/>
      <c r="K372" s="86"/>
      <c r="L372" s="86"/>
      <c r="M372" s="86"/>
      <c r="N372" s="90"/>
      <c r="O372" s="90"/>
      <c r="P372" s="90"/>
      <c r="Q372" s="106"/>
      <c r="R372" s="95"/>
      <c r="S372" s="96"/>
      <c r="T372" s="97"/>
      <c r="U372" s="85" t="str">
        <f t="array" ref="U372">IFERROR(index('3. Công thức lab theo từng mã h'!J:J,MATCH(C372,'3. Công thức lab theo từng mã h'!L:L,0)),"")</f>
        <v/>
      </c>
      <c r="V372" s="85"/>
      <c r="W372" s="75"/>
    </row>
    <row r="373">
      <c r="A373" s="64">
        <f t="shared" si="1"/>
        <v>0</v>
      </c>
      <c r="B373" s="98"/>
      <c r="C373" s="64"/>
      <c r="D373" s="16"/>
      <c r="E373" s="16"/>
      <c r="F373" s="100"/>
      <c r="G373" s="101"/>
      <c r="H373" s="16"/>
      <c r="I373" s="16"/>
      <c r="J373" s="16"/>
      <c r="K373" s="16"/>
      <c r="L373" s="16"/>
      <c r="M373" s="16"/>
      <c r="N373" s="100"/>
      <c r="O373" s="100"/>
      <c r="P373" s="100"/>
      <c r="Q373" s="106"/>
      <c r="R373" s="107"/>
      <c r="S373" s="104"/>
      <c r="T373" s="108"/>
      <c r="U373" s="74" t="str">
        <f t="array" ref="U373">IFERROR(index('3. Công thức lab theo từng mã h'!J:J,MATCH(C373,'3. Công thức lab theo từng mã h'!L:L,0)),"")</f>
        <v/>
      </c>
      <c r="V373" s="74"/>
      <c r="W373" s="75"/>
    </row>
    <row r="374">
      <c r="A374" s="76">
        <f t="shared" si="1"/>
        <v>0</v>
      </c>
      <c r="B374" s="88"/>
      <c r="C374" s="76"/>
      <c r="D374" s="86"/>
      <c r="E374" s="86"/>
      <c r="F374" s="90"/>
      <c r="G374" s="91"/>
      <c r="H374" s="86"/>
      <c r="I374" s="86"/>
      <c r="J374" s="86"/>
      <c r="K374" s="86"/>
      <c r="L374" s="86"/>
      <c r="M374" s="86"/>
      <c r="N374" s="90"/>
      <c r="O374" s="90"/>
      <c r="P374" s="90"/>
      <c r="Q374" s="106"/>
      <c r="R374" s="95"/>
      <c r="S374" s="96"/>
      <c r="T374" s="97"/>
      <c r="U374" s="85" t="str">
        <f t="array" ref="U374">IFERROR(index('3. Công thức lab theo từng mã h'!J:J,MATCH(C374,'3. Công thức lab theo từng mã h'!L:L,0)),"")</f>
        <v/>
      </c>
      <c r="V374" s="85"/>
      <c r="W374" s="75"/>
    </row>
    <row r="375">
      <c r="A375" s="64">
        <f t="shared" si="1"/>
        <v>0</v>
      </c>
      <c r="B375" s="98"/>
      <c r="C375" s="64"/>
      <c r="D375" s="16"/>
      <c r="E375" s="16"/>
      <c r="F375" s="100"/>
      <c r="G375" s="101"/>
      <c r="H375" s="16"/>
      <c r="I375" s="16"/>
      <c r="J375" s="16"/>
      <c r="K375" s="16"/>
      <c r="L375" s="16"/>
      <c r="M375" s="16"/>
      <c r="N375" s="100"/>
      <c r="O375" s="100"/>
      <c r="P375" s="100"/>
      <c r="Q375" s="106"/>
      <c r="R375" s="107"/>
      <c r="S375" s="104"/>
      <c r="T375" s="108"/>
      <c r="U375" s="74" t="str">
        <f t="array" ref="U375">IFERROR(index('3. Công thức lab theo từng mã h'!J:J,MATCH(C375,'3. Công thức lab theo từng mã h'!L:L,0)),"")</f>
        <v/>
      </c>
      <c r="V375" s="74"/>
      <c r="W375" s="75"/>
    </row>
    <row r="376">
      <c r="A376" s="76">
        <f t="shared" si="1"/>
        <v>0</v>
      </c>
      <c r="B376" s="88"/>
      <c r="C376" s="76"/>
      <c r="D376" s="86"/>
      <c r="E376" s="86"/>
      <c r="F376" s="90"/>
      <c r="G376" s="91"/>
      <c r="H376" s="86"/>
      <c r="I376" s="86"/>
      <c r="J376" s="86"/>
      <c r="K376" s="86"/>
      <c r="L376" s="86"/>
      <c r="M376" s="86"/>
      <c r="N376" s="90"/>
      <c r="O376" s="90"/>
      <c r="P376" s="90"/>
      <c r="Q376" s="106"/>
      <c r="R376" s="95"/>
      <c r="S376" s="96"/>
      <c r="T376" s="97"/>
      <c r="U376" s="85" t="str">
        <f t="array" ref="U376">IFERROR(index('3. Công thức lab theo từng mã h'!J:J,MATCH(C376,'3. Công thức lab theo từng mã h'!L:L,0)),"")</f>
        <v/>
      </c>
      <c r="V376" s="85"/>
      <c r="W376" s="75"/>
    </row>
    <row r="377">
      <c r="A377" s="64">
        <f t="shared" si="1"/>
        <v>0</v>
      </c>
      <c r="B377" s="98"/>
      <c r="C377" s="64"/>
      <c r="D377" s="16"/>
      <c r="E377" s="16"/>
      <c r="F377" s="100"/>
      <c r="G377" s="101"/>
      <c r="H377" s="16"/>
      <c r="I377" s="16"/>
      <c r="J377" s="16"/>
      <c r="K377" s="16"/>
      <c r="L377" s="16"/>
      <c r="M377" s="16"/>
      <c r="N377" s="100"/>
      <c r="O377" s="100"/>
      <c r="P377" s="100"/>
      <c r="Q377" s="106"/>
      <c r="R377" s="107"/>
      <c r="S377" s="104"/>
      <c r="T377" s="108"/>
      <c r="U377" s="74" t="str">
        <f t="array" ref="U377">IFERROR(index('3. Công thức lab theo từng mã h'!J:J,MATCH(C377,'3. Công thức lab theo từng mã h'!L:L,0)),"")</f>
        <v/>
      </c>
      <c r="V377" s="74"/>
      <c r="W377" s="75"/>
    </row>
    <row r="378">
      <c r="A378" s="76">
        <f t="shared" si="1"/>
        <v>0</v>
      </c>
      <c r="B378" s="88"/>
      <c r="C378" s="76"/>
      <c r="D378" s="86"/>
      <c r="E378" s="86"/>
      <c r="F378" s="90"/>
      <c r="G378" s="91"/>
      <c r="H378" s="86"/>
      <c r="I378" s="86"/>
      <c r="J378" s="86"/>
      <c r="K378" s="86"/>
      <c r="L378" s="86"/>
      <c r="M378" s="86"/>
      <c r="N378" s="90"/>
      <c r="O378" s="90"/>
      <c r="P378" s="90"/>
      <c r="Q378" s="106"/>
      <c r="R378" s="95"/>
      <c r="S378" s="96"/>
      <c r="T378" s="97"/>
      <c r="U378" s="85" t="str">
        <f t="array" ref="U378">IFERROR(index('3. Công thức lab theo từng mã h'!J:J,MATCH(C378,'3. Công thức lab theo từng mã h'!L:L,0)),"")</f>
        <v/>
      </c>
      <c r="V378" s="85"/>
      <c r="W378" s="75"/>
    </row>
    <row r="379">
      <c r="A379" s="64">
        <f t="shared" si="1"/>
        <v>0</v>
      </c>
      <c r="B379" s="98"/>
      <c r="C379" s="64"/>
      <c r="D379" s="16"/>
      <c r="E379" s="16"/>
      <c r="F379" s="100"/>
      <c r="G379" s="101"/>
      <c r="H379" s="16"/>
      <c r="I379" s="16"/>
      <c r="J379" s="16"/>
      <c r="K379" s="16"/>
      <c r="L379" s="16"/>
      <c r="M379" s="16"/>
      <c r="N379" s="100"/>
      <c r="O379" s="100"/>
      <c r="P379" s="100"/>
      <c r="Q379" s="106"/>
      <c r="R379" s="107"/>
      <c r="S379" s="104"/>
      <c r="T379" s="108"/>
      <c r="U379" s="74" t="str">
        <f t="array" ref="U379">IFERROR(index('3. Công thức lab theo từng mã h'!J:J,MATCH(C379,'3. Công thức lab theo từng mã h'!L:L,0)),"")</f>
        <v/>
      </c>
      <c r="V379" s="74"/>
      <c r="W379" s="75"/>
    </row>
    <row r="380">
      <c r="A380" s="76">
        <f t="shared" si="1"/>
        <v>0</v>
      </c>
      <c r="B380" s="88"/>
      <c r="C380" s="76"/>
      <c r="D380" s="86"/>
      <c r="E380" s="86"/>
      <c r="F380" s="90"/>
      <c r="G380" s="91"/>
      <c r="H380" s="86"/>
      <c r="I380" s="86"/>
      <c r="J380" s="86"/>
      <c r="K380" s="86"/>
      <c r="L380" s="86"/>
      <c r="M380" s="86"/>
      <c r="N380" s="90"/>
      <c r="O380" s="90"/>
      <c r="P380" s="90"/>
      <c r="Q380" s="106"/>
      <c r="R380" s="95"/>
      <c r="S380" s="96"/>
      <c r="T380" s="97"/>
      <c r="U380" s="85" t="str">
        <f t="array" ref="U380">IFERROR(index('3. Công thức lab theo từng mã h'!J:J,MATCH(C380,'3. Công thức lab theo từng mã h'!L:L,0)),"")</f>
        <v/>
      </c>
      <c r="V380" s="85"/>
      <c r="W380" s="75"/>
    </row>
    <row r="381">
      <c r="A381" s="64">
        <f t="shared" si="1"/>
        <v>0</v>
      </c>
      <c r="B381" s="98"/>
      <c r="C381" s="64"/>
      <c r="D381" s="16"/>
      <c r="E381" s="16"/>
      <c r="F381" s="100"/>
      <c r="G381" s="101"/>
      <c r="H381" s="16"/>
      <c r="I381" s="16"/>
      <c r="J381" s="16"/>
      <c r="K381" s="16"/>
      <c r="L381" s="16"/>
      <c r="M381" s="16"/>
      <c r="N381" s="100"/>
      <c r="O381" s="100"/>
      <c r="P381" s="100"/>
      <c r="Q381" s="106"/>
      <c r="R381" s="107"/>
      <c r="S381" s="104"/>
      <c r="T381" s="108"/>
      <c r="U381" s="74" t="str">
        <f t="array" ref="U381">IFERROR(index('3. Công thức lab theo từng mã h'!J:J,MATCH(C381,'3. Công thức lab theo từng mã h'!L:L,0)),"")</f>
        <v/>
      </c>
      <c r="V381" s="74"/>
      <c r="W381" s="75"/>
    </row>
    <row r="382">
      <c r="A382" s="76">
        <f t="shared" si="1"/>
        <v>0</v>
      </c>
      <c r="B382" s="88"/>
      <c r="C382" s="76"/>
      <c r="D382" s="86"/>
      <c r="E382" s="86"/>
      <c r="F382" s="90"/>
      <c r="G382" s="91"/>
      <c r="H382" s="86"/>
      <c r="I382" s="86"/>
      <c r="J382" s="86"/>
      <c r="K382" s="86"/>
      <c r="L382" s="86"/>
      <c r="M382" s="86"/>
      <c r="N382" s="90"/>
      <c r="O382" s="90"/>
      <c r="P382" s="90"/>
      <c r="Q382" s="106"/>
      <c r="R382" s="95"/>
      <c r="S382" s="96"/>
      <c r="T382" s="97"/>
      <c r="U382" s="85" t="str">
        <f t="array" ref="U382">IFERROR(index('3. Công thức lab theo từng mã h'!J:J,MATCH(C382,'3. Công thức lab theo từng mã h'!L:L,0)),"")</f>
        <v/>
      </c>
      <c r="V382" s="85"/>
      <c r="W382" s="75"/>
    </row>
    <row r="383">
      <c r="A383" s="64">
        <f t="shared" si="1"/>
        <v>0</v>
      </c>
      <c r="B383" s="98"/>
      <c r="C383" s="64"/>
      <c r="D383" s="16"/>
      <c r="E383" s="16"/>
      <c r="F383" s="100"/>
      <c r="G383" s="101"/>
      <c r="H383" s="16"/>
      <c r="I383" s="16"/>
      <c r="J383" s="16"/>
      <c r="K383" s="16"/>
      <c r="L383" s="16"/>
      <c r="M383" s="16"/>
      <c r="N383" s="100"/>
      <c r="O383" s="100"/>
      <c r="P383" s="100"/>
      <c r="Q383" s="106"/>
      <c r="R383" s="107"/>
      <c r="S383" s="104"/>
      <c r="T383" s="108"/>
      <c r="U383" s="74" t="str">
        <f t="array" ref="U383">IFERROR(index('3. Công thức lab theo từng mã h'!J:J,MATCH(C383,'3. Công thức lab theo từng mã h'!L:L,0)),"")</f>
        <v/>
      </c>
      <c r="V383" s="74"/>
      <c r="W383" s="75"/>
    </row>
    <row r="384">
      <c r="A384" s="76">
        <f t="shared" si="1"/>
        <v>0</v>
      </c>
      <c r="B384" s="88"/>
      <c r="C384" s="76"/>
      <c r="D384" s="86"/>
      <c r="E384" s="86"/>
      <c r="F384" s="90"/>
      <c r="G384" s="91"/>
      <c r="H384" s="86"/>
      <c r="I384" s="86"/>
      <c r="J384" s="86"/>
      <c r="K384" s="86"/>
      <c r="L384" s="86"/>
      <c r="M384" s="86"/>
      <c r="N384" s="90"/>
      <c r="O384" s="90"/>
      <c r="P384" s="90"/>
      <c r="Q384" s="106"/>
      <c r="R384" s="95"/>
      <c r="S384" s="96"/>
      <c r="T384" s="97"/>
      <c r="U384" s="85" t="str">
        <f t="array" ref="U384">IFERROR(index('3. Công thức lab theo từng mã h'!J:J,MATCH(C384,'3. Công thức lab theo từng mã h'!L:L,0)),"")</f>
        <v/>
      </c>
      <c r="V384" s="85"/>
      <c r="W384" s="75"/>
    </row>
    <row r="385">
      <c r="A385" s="64">
        <f t="shared" si="1"/>
        <v>0</v>
      </c>
      <c r="B385" s="98"/>
      <c r="C385" s="64"/>
      <c r="D385" s="16"/>
      <c r="E385" s="16"/>
      <c r="F385" s="100"/>
      <c r="G385" s="101"/>
      <c r="H385" s="16"/>
      <c r="I385" s="16"/>
      <c r="J385" s="16"/>
      <c r="K385" s="16"/>
      <c r="L385" s="16"/>
      <c r="M385" s="16"/>
      <c r="N385" s="100"/>
      <c r="O385" s="100"/>
      <c r="P385" s="100"/>
      <c r="Q385" s="106"/>
      <c r="R385" s="107"/>
      <c r="S385" s="104"/>
      <c r="T385" s="108"/>
      <c r="U385" s="74" t="str">
        <f t="array" ref="U385">IFERROR(index('3. Công thức lab theo từng mã h'!J:J,MATCH(C385,'3. Công thức lab theo từng mã h'!L:L,0)),"")</f>
        <v/>
      </c>
      <c r="V385" s="74"/>
      <c r="W385" s="75"/>
    </row>
    <row r="386">
      <c r="A386" s="76">
        <f t="shared" si="1"/>
        <v>0</v>
      </c>
      <c r="B386" s="88"/>
      <c r="C386" s="76"/>
      <c r="D386" s="86"/>
      <c r="E386" s="86"/>
      <c r="F386" s="90"/>
      <c r="G386" s="91"/>
      <c r="H386" s="86"/>
      <c r="I386" s="86"/>
      <c r="J386" s="86"/>
      <c r="K386" s="86"/>
      <c r="L386" s="86"/>
      <c r="M386" s="86"/>
      <c r="N386" s="90"/>
      <c r="O386" s="90"/>
      <c r="P386" s="90"/>
      <c r="Q386" s="106"/>
      <c r="R386" s="95"/>
      <c r="S386" s="96"/>
      <c r="T386" s="97"/>
      <c r="U386" s="85" t="str">
        <f t="array" ref="U386">IFERROR(index('3. Công thức lab theo từng mã h'!J:J,MATCH(C386,'3. Công thức lab theo từng mã h'!L:L,0)),"")</f>
        <v/>
      </c>
      <c r="V386" s="85"/>
      <c r="W386" s="75"/>
    </row>
    <row r="387">
      <c r="A387" s="64">
        <f t="shared" si="1"/>
        <v>0</v>
      </c>
      <c r="B387" s="98"/>
      <c r="C387" s="64"/>
      <c r="D387" s="16"/>
      <c r="E387" s="16"/>
      <c r="F387" s="100"/>
      <c r="G387" s="101"/>
      <c r="H387" s="16"/>
      <c r="I387" s="16"/>
      <c r="J387" s="16"/>
      <c r="K387" s="16"/>
      <c r="L387" s="16"/>
      <c r="M387" s="16"/>
      <c r="N387" s="100"/>
      <c r="O387" s="100"/>
      <c r="P387" s="100"/>
      <c r="Q387" s="106"/>
      <c r="R387" s="107"/>
      <c r="S387" s="104"/>
      <c r="T387" s="108"/>
      <c r="U387" s="74" t="str">
        <f t="array" ref="U387">IFERROR(index('3. Công thức lab theo từng mã h'!J:J,MATCH(C387,'3. Công thức lab theo từng mã h'!L:L,0)),"")</f>
        <v/>
      </c>
      <c r="V387" s="74"/>
      <c r="W387" s="75"/>
    </row>
    <row r="388">
      <c r="A388" s="76">
        <f t="shared" si="1"/>
        <v>0</v>
      </c>
      <c r="B388" s="88"/>
      <c r="C388" s="76"/>
      <c r="D388" s="86"/>
      <c r="E388" s="86"/>
      <c r="F388" s="90"/>
      <c r="G388" s="91"/>
      <c r="H388" s="86"/>
      <c r="I388" s="86"/>
      <c r="J388" s="86"/>
      <c r="K388" s="86"/>
      <c r="L388" s="86"/>
      <c r="M388" s="86"/>
      <c r="N388" s="90"/>
      <c r="O388" s="90"/>
      <c r="P388" s="90"/>
      <c r="Q388" s="106"/>
      <c r="R388" s="95"/>
      <c r="S388" s="96"/>
      <c r="T388" s="97"/>
      <c r="U388" s="85" t="str">
        <f t="array" ref="U388">IFERROR(index('3. Công thức lab theo từng mã h'!J:J,MATCH(C388,'3. Công thức lab theo từng mã h'!L:L,0)),"")</f>
        <v/>
      </c>
      <c r="V388" s="85"/>
      <c r="W388" s="75"/>
    </row>
    <row r="389">
      <c r="A389" s="64">
        <f t="shared" si="1"/>
        <v>0</v>
      </c>
      <c r="B389" s="98"/>
      <c r="C389" s="64"/>
      <c r="D389" s="16"/>
      <c r="E389" s="16"/>
      <c r="F389" s="100"/>
      <c r="G389" s="101"/>
      <c r="H389" s="16"/>
      <c r="I389" s="16"/>
      <c r="J389" s="16"/>
      <c r="K389" s="16"/>
      <c r="L389" s="16"/>
      <c r="M389" s="16"/>
      <c r="N389" s="100"/>
      <c r="O389" s="100"/>
      <c r="P389" s="100"/>
      <c r="Q389" s="106"/>
      <c r="R389" s="107"/>
      <c r="S389" s="104"/>
      <c r="T389" s="108"/>
      <c r="U389" s="74" t="str">
        <f t="array" ref="U389">IFERROR(index('3. Công thức lab theo từng mã h'!J:J,MATCH(C389,'3. Công thức lab theo từng mã h'!L:L,0)),"")</f>
        <v/>
      </c>
      <c r="V389" s="74"/>
      <c r="W389" s="75"/>
    </row>
    <row r="390">
      <c r="A390" s="76">
        <f t="shared" si="1"/>
        <v>0</v>
      </c>
      <c r="B390" s="88"/>
      <c r="C390" s="76"/>
      <c r="D390" s="86"/>
      <c r="E390" s="86"/>
      <c r="F390" s="90"/>
      <c r="G390" s="91"/>
      <c r="H390" s="86"/>
      <c r="I390" s="86"/>
      <c r="J390" s="86"/>
      <c r="K390" s="86"/>
      <c r="L390" s="86"/>
      <c r="M390" s="86"/>
      <c r="N390" s="90"/>
      <c r="O390" s="90"/>
      <c r="P390" s="90"/>
      <c r="Q390" s="106"/>
      <c r="R390" s="95"/>
      <c r="S390" s="96"/>
      <c r="T390" s="97"/>
      <c r="U390" s="85" t="str">
        <f t="array" ref="U390">IFERROR(index('3. Công thức lab theo từng mã h'!J:J,MATCH(C390,'3. Công thức lab theo từng mã h'!L:L,0)),"")</f>
        <v/>
      </c>
      <c r="V390" s="85"/>
      <c r="W390" s="75"/>
    </row>
    <row r="391">
      <c r="A391" s="64">
        <f t="shared" si="1"/>
        <v>0</v>
      </c>
      <c r="B391" s="98"/>
      <c r="C391" s="64"/>
      <c r="D391" s="16"/>
      <c r="E391" s="16"/>
      <c r="F391" s="100"/>
      <c r="G391" s="101"/>
      <c r="H391" s="16"/>
      <c r="I391" s="16"/>
      <c r="J391" s="16"/>
      <c r="K391" s="16"/>
      <c r="L391" s="16"/>
      <c r="M391" s="16"/>
      <c r="N391" s="100"/>
      <c r="O391" s="100"/>
      <c r="P391" s="100"/>
      <c r="Q391" s="106"/>
      <c r="R391" s="107"/>
      <c r="S391" s="104"/>
      <c r="T391" s="108"/>
      <c r="U391" s="74" t="str">
        <f t="array" ref="U391">IFERROR(index('3. Công thức lab theo từng mã h'!J:J,MATCH(C391,'3. Công thức lab theo từng mã h'!L:L,0)),"")</f>
        <v/>
      </c>
      <c r="V391" s="74"/>
      <c r="W391" s="75"/>
    </row>
    <row r="392">
      <c r="A392" s="76">
        <f t="shared" si="1"/>
        <v>0</v>
      </c>
      <c r="B392" s="88"/>
      <c r="C392" s="76"/>
      <c r="D392" s="86"/>
      <c r="E392" s="86"/>
      <c r="F392" s="90"/>
      <c r="G392" s="91"/>
      <c r="H392" s="86"/>
      <c r="I392" s="86"/>
      <c r="J392" s="86"/>
      <c r="K392" s="86"/>
      <c r="L392" s="86"/>
      <c r="M392" s="86"/>
      <c r="N392" s="90"/>
      <c r="O392" s="90"/>
      <c r="P392" s="90"/>
      <c r="Q392" s="106"/>
      <c r="R392" s="95"/>
      <c r="S392" s="96"/>
      <c r="T392" s="97"/>
      <c r="U392" s="85" t="str">
        <f t="array" ref="U392">IFERROR(index('3. Công thức lab theo từng mã h'!J:J,MATCH(C392,'3. Công thức lab theo từng mã h'!L:L,0)),"")</f>
        <v/>
      </c>
      <c r="V392" s="85"/>
      <c r="W392" s="75"/>
    </row>
    <row r="393">
      <c r="A393" s="64">
        <f t="shared" si="1"/>
        <v>0</v>
      </c>
      <c r="B393" s="98"/>
      <c r="C393" s="64"/>
      <c r="D393" s="16"/>
      <c r="E393" s="16"/>
      <c r="F393" s="100"/>
      <c r="G393" s="101"/>
      <c r="H393" s="16"/>
      <c r="I393" s="16"/>
      <c r="J393" s="16"/>
      <c r="K393" s="16"/>
      <c r="L393" s="16"/>
      <c r="M393" s="16"/>
      <c r="N393" s="100"/>
      <c r="O393" s="100"/>
      <c r="P393" s="100"/>
      <c r="Q393" s="106"/>
      <c r="R393" s="107"/>
      <c r="S393" s="104"/>
      <c r="T393" s="108"/>
      <c r="U393" s="74" t="str">
        <f t="array" ref="U393">IFERROR(index('3. Công thức lab theo từng mã h'!J:J,MATCH(C393,'3. Công thức lab theo từng mã h'!L:L,0)),"")</f>
        <v/>
      </c>
      <c r="V393" s="74"/>
      <c r="W393" s="75"/>
    </row>
    <row r="394">
      <c r="A394" s="76">
        <f t="shared" si="1"/>
        <v>0</v>
      </c>
      <c r="B394" s="88"/>
      <c r="C394" s="76"/>
      <c r="D394" s="86"/>
      <c r="E394" s="86"/>
      <c r="F394" s="90"/>
      <c r="G394" s="91"/>
      <c r="H394" s="86"/>
      <c r="I394" s="86"/>
      <c r="J394" s="86"/>
      <c r="K394" s="86"/>
      <c r="L394" s="86"/>
      <c r="M394" s="86"/>
      <c r="N394" s="90"/>
      <c r="O394" s="90"/>
      <c r="P394" s="90"/>
      <c r="Q394" s="106"/>
      <c r="R394" s="95"/>
      <c r="S394" s="96"/>
      <c r="T394" s="97"/>
      <c r="U394" s="85" t="str">
        <f t="array" ref="U394">IFERROR(index('3. Công thức lab theo từng mã h'!J:J,MATCH(C394,'3. Công thức lab theo từng mã h'!L:L,0)),"")</f>
        <v/>
      </c>
      <c r="V394" s="85"/>
      <c r="W394" s="75"/>
    </row>
    <row r="395">
      <c r="A395" s="64">
        <f t="shared" si="1"/>
        <v>0</v>
      </c>
      <c r="B395" s="98"/>
      <c r="C395" s="64"/>
      <c r="D395" s="16"/>
      <c r="E395" s="16"/>
      <c r="F395" s="100"/>
      <c r="G395" s="101"/>
      <c r="H395" s="16"/>
      <c r="I395" s="16"/>
      <c r="J395" s="16"/>
      <c r="K395" s="16"/>
      <c r="L395" s="16"/>
      <c r="M395" s="16"/>
      <c r="N395" s="100"/>
      <c r="O395" s="100"/>
      <c r="P395" s="100"/>
      <c r="Q395" s="106"/>
      <c r="R395" s="107"/>
      <c r="S395" s="104"/>
      <c r="T395" s="108"/>
      <c r="U395" s="74" t="str">
        <f t="array" ref="U395">IFERROR(index('3. Công thức lab theo từng mã h'!J:J,MATCH(C395,'3. Công thức lab theo từng mã h'!L:L,0)),"")</f>
        <v/>
      </c>
      <c r="V395" s="74"/>
      <c r="W395" s="75"/>
    </row>
    <row r="396">
      <c r="A396" s="76">
        <f t="shared" si="1"/>
        <v>0</v>
      </c>
      <c r="B396" s="88"/>
      <c r="C396" s="76"/>
      <c r="D396" s="86"/>
      <c r="E396" s="86"/>
      <c r="F396" s="90"/>
      <c r="G396" s="91"/>
      <c r="H396" s="86"/>
      <c r="I396" s="86"/>
      <c r="J396" s="86"/>
      <c r="K396" s="86"/>
      <c r="L396" s="86"/>
      <c r="M396" s="86"/>
      <c r="N396" s="90"/>
      <c r="O396" s="90"/>
      <c r="P396" s="90"/>
      <c r="Q396" s="106"/>
      <c r="R396" s="95"/>
      <c r="S396" s="96"/>
      <c r="T396" s="97"/>
      <c r="U396" s="85" t="str">
        <f t="array" ref="U396">IFERROR(index('3. Công thức lab theo từng mã h'!J:J,MATCH(C396,'3. Công thức lab theo từng mã h'!L:L,0)),"")</f>
        <v/>
      </c>
      <c r="V396" s="85"/>
      <c r="W396" s="75"/>
    </row>
    <row r="397">
      <c r="A397" s="64">
        <f t="shared" si="1"/>
        <v>0</v>
      </c>
      <c r="B397" s="98"/>
      <c r="C397" s="64"/>
      <c r="D397" s="16"/>
      <c r="E397" s="16"/>
      <c r="F397" s="100"/>
      <c r="G397" s="101"/>
      <c r="H397" s="16"/>
      <c r="I397" s="16"/>
      <c r="J397" s="16"/>
      <c r="K397" s="16"/>
      <c r="L397" s="16"/>
      <c r="M397" s="16"/>
      <c r="N397" s="100"/>
      <c r="O397" s="100"/>
      <c r="P397" s="100"/>
      <c r="Q397" s="106"/>
      <c r="R397" s="107"/>
      <c r="S397" s="104"/>
      <c r="T397" s="108"/>
      <c r="U397" s="74" t="str">
        <f t="array" ref="U397">IFERROR(index('3. Công thức lab theo từng mã h'!J:J,MATCH(C397,'3. Công thức lab theo từng mã h'!L:L,0)),"")</f>
        <v/>
      </c>
      <c r="V397" s="74"/>
      <c r="W397" s="75"/>
    </row>
    <row r="398">
      <c r="A398" s="76">
        <f t="shared" si="1"/>
        <v>0</v>
      </c>
      <c r="B398" s="88"/>
      <c r="C398" s="76"/>
      <c r="D398" s="86"/>
      <c r="E398" s="86"/>
      <c r="F398" s="90"/>
      <c r="G398" s="91"/>
      <c r="H398" s="86"/>
      <c r="I398" s="86"/>
      <c r="J398" s="86"/>
      <c r="K398" s="86"/>
      <c r="L398" s="86"/>
      <c r="M398" s="86"/>
      <c r="N398" s="90"/>
      <c r="O398" s="90"/>
      <c r="P398" s="90"/>
      <c r="Q398" s="106"/>
      <c r="R398" s="95"/>
      <c r="S398" s="96"/>
      <c r="T398" s="97"/>
      <c r="U398" s="85" t="str">
        <f t="array" ref="U398">IFERROR(index('3. Công thức lab theo từng mã h'!J:J,MATCH(C398,'3. Công thức lab theo từng mã h'!L:L,0)),"")</f>
        <v/>
      </c>
      <c r="V398" s="85"/>
      <c r="W398" s="75"/>
    </row>
    <row r="399">
      <c r="A399" s="64">
        <f t="shared" si="1"/>
        <v>0</v>
      </c>
      <c r="B399" s="98"/>
      <c r="C399" s="64"/>
      <c r="D399" s="16"/>
      <c r="E399" s="16"/>
      <c r="F399" s="100"/>
      <c r="G399" s="101"/>
      <c r="H399" s="16"/>
      <c r="I399" s="16"/>
      <c r="J399" s="16"/>
      <c r="K399" s="16"/>
      <c r="L399" s="16"/>
      <c r="M399" s="16"/>
      <c r="N399" s="100"/>
      <c r="O399" s="100"/>
      <c r="P399" s="100"/>
      <c r="Q399" s="106"/>
      <c r="R399" s="107"/>
      <c r="S399" s="104"/>
      <c r="T399" s="108"/>
      <c r="U399" s="74" t="str">
        <f t="array" ref="U399">IFERROR(index('3. Công thức lab theo từng mã h'!J:J,MATCH(C399,'3. Công thức lab theo từng mã h'!L:L,0)),"")</f>
        <v/>
      </c>
      <c r="V399" s="74"/>
      <c r="W399" s="75"/>
    </row>
    <row r="400">
      <c r="A400" s="76">
        <f t="shared" si="1"/>
        <v>0</v>
      </c>
      <c r="B400" s="88"/>
      <c r="C400" s="76"/>
      <c r="D400" s="86"/>
      <c r="E400" s="86"/>
      <c r="F400" s="90"/>
      <c r="G400" s="91"/>
      <c r="H400" s="86"/>
      <c r="I400" s="86"/>
      <c r="J400" s="86"/>
      <c r="K400" s="86"/>
      <c r="L400" s="86"/>
      <c r="M400" s="86"/>
      <c r="N400" s="90"/>
      <c r="O400" s="90"/>
      <c r="P400" s="90"/>
      <c r="Q400" s="106"/>
      <c r="R400" s="95"/>
      <c r="S400" s="96"/>
      <c r="T400" s="97"/>
      <c r="U400" s="85" t="str">
        <f t="array" ref="U400">IFERROR(index('3. Công thức lab theo từng mã h'!J:J,MATCH(C400,'3. Công thức lab theo từng mã h'!L:L,0)),"")</f>
        <v/>
      </c>
      <c r="V400" s="85"/>
      <c r="W400" s="75"/>
    </row>
    <row r="401">
      <c r="A401" s="64">
        <f t="shared" si="1"/>
        <v>0</v>
      </c>
      <c r="B401" s="98"/>
      <c r="C401" s="64"/>
      <c r="D401" s="16"/>
      <c r="E401" s="16"/>
      <c r="F401" s="100"/>
      <c r="G401" s="101"/>
      <c r="H401" s="16"/>
      <c r="I401" s="16"/>
      <c r="J401" s="16"/>
      <c r="K401" s="16"/>
      <c r="L401" s="16"/>
      <c r="M401" s="16"/>
      <c r="N401" s="100"/>
      <c r="O401" s="100"/>
      <c r="P401" s="100"/>
      <c r="Q401" s="106"/>
      <c r="R401" s="107"/>
      <c r="S401" s="104"/>
      <c r="T401" s="108"/>
      <c r="U401" s="74" t="str">
        <f t="array" ref="U401">IFERROR(index('3. Công thức lab theo từng mã h'!J:J,MATCH(C401,'3. Công thức lab theo từng mã h'!L:L,0)),"")</f>
        <v/>
      </c>
      <c r="V401" s="74"/>
      <c r="W401" s="75"/>
    </row>
    <row r="402">
      <c r="A402" s="76">
        <f t="shared" si="1"/>
        <v>0</v>
      </c>
      <c r="B402" s="88"/>
      <c r="C402" s="76"/>
      <c r="D402" s="86"/>
      <c r="E402" s="86"/>
      <c r="F402" s="90"/>
      <c r="G402" s="91"/>
      <c r="H402" s="86"/>
      <c r="I402" s="86"/>
      <c r="J402" s="86"/>
      <c r="K402" s="86"/>
      <c r="L402" s="86"/>
      <c r="M402" s="86"/>
      <c r="N402" s="90"/>
      <c r="O402" s="90"/>
      <c r="P402" s="90"/>
      <c r="Q402" s="106"/>
      <c r="R402" s="95"/>
      <c r="S402" s="96"/>
      <c r="T402" s="97"/>
      <c r="U402" s="85" t="str">
        <f t="array" ref="U402">IFERROR(index('3. Công thức lab theo từng mã h'!J:J,MATCH(C402,'3. Công thức lab theo từng mã h'!L:L,0)),"")</f>
        <v/>
      </c>
      <c r="V402" s="85"/>
      <c r="W402" s="75"/>
    </row>
    <row r="403">
      <c r="A403" s="64">
        <f t="shared" si="1"/>
        <v>0</v>
      </c>
      <c r="B403" s="98"/>
      <c r="C403" s="64"/>
      <c r="D403" s="16"/>
      <c r="E403" s="16"/>
      <c r="F403" s="100"/>
      <c r="G403" s="101"/>
      <c r="H403" s="16"/>
      <c r="I403" s="16"/>
      <c r="J403" s="16"/>
      <c r="K403" s="16"/>
      <c r="L403" s="16"/>
      <c r="M403" s="16"/>
      <c r="N403" s="100"/>
      <c r="O403" s="100"/>
      <c r="P403" s="100"/>
      <c r="Q403" s="106"/>
      <c r="R403" s="107"/>
      <c r="S403" s="104"/>
      <c r="T403" s="108"/>
      <c r="U403" s="74" t="str">
        <f t="array" ref="U403">IFERROR(index('3. Công thức lab theo từng mã h'!J:J,MATCH(C403,'3. Công thức lab theo từng mã h'!L:L,0)),"")</f>
        <v/>
      </c>
      <c r="V403" s="74"/>
      <c r="W403" s="75"/>
    </row>
    <row r="404">
      <c r="A404" s="76">
        <f t="shared" si="1"/>
        <v>0</v>
      </c>
      <c r="B404" s="88"/>
      <c r="C404" s="76"/>
      <c r="D404" s="86"/>
      <c r="E404" s="86"/>
      <c r="F404" s="90"/>
      <c r="G404" s="91"/>
      <c r="H404" s="86"/>
      <c r="I404" s="86"/>
      <c r="J404" s="86"/>
      <c r="K404" s="86"/>
      <c r="L404" s="86"/>
      <c r="M404" s="86"/>
      <c r="N404" s="90"/>
      <c r="O404" s="90"/>
      <c r="P404" s="90"/>
      <c r="Q404" s="106"/>
      <c r="R404" s="95"/>
      <c r="S404" s="96"/>
      <c r="T404" s="97"/>
      <c r="U404" s="85" t="str">
        <f t="array" ref="U404">IFERROR(index('3. Công thức lab theo từng mã h'!J:J,MATCH(C404,'3. Công thức lab theo từng mã h'!L:L,0)),"")</f>
        <v/>
      </c>
      <c r="V404" s="85"/>
      <c r="W404" s="75"/>
    </row>
    <row r="405">
      <c r="A405" s="64">
        <f t="shared" si="1"/>
        <v>0</v>
      </c>
      <c r="B405" s="98"/>
      <c r="C405" s="64"/>
      <c r="D405" s="16"/>
      <c r="E405" s="16"/>
      <c r="F405" s="100"/>
      <c r="G405" s="101"/>
      <c r="H405" s="16"/>
      <c r="I405" s="16"/>
      <c r="J405" s="16"/>
      <c r="K405" s="16"/>
      <c r="L405" s="16"/>
      <c r="M405" s="16"/>
      <c r="N405" s="100"/>
      <c r="O405" s="100"/>
      <c r="P405" s="100"/>
      <c r="Q405" s="106"/>
      <c r="R405" s="107"/>
      <c r="S405" s="104"/>
      <c r="T405" s="108"/>
      <c r="U405" s="74" t="str">
        <f t="array" ref="U405">IFERROR(index('3. Công thức lab theo từng mã h'!J:J,MATCH(C405,'3. Công thức lab theo từng mã h'!L:L,0)),"")</f>
        <v/>
      </c>
      <c r="V405" s="74"/>
      <c r="W405" s="75"/>
    </row>
    <row r="406">
      <c r="A406" s="76">
        <f t="shared" si="1"/>
        <v>0</v>
      </c>
      <c r="B406" s="88"/>
      <c r="C406" s="76"/>
      <c r="D406" s="86"/>
      <c r="E406" s="86"/>
      <c r="F406" s="90"/>
      <c r="G406" s="91"/>
      <c r="H406" s="86"/>
      <c r="I406" s="86"/>
      <c r="J406" s="86"/>
      <c r="K406" s="86"/>
      <c r="L406" s="86"/>
      <c r="M406" s="86"/>
      <c r="N406" s="90"/>
      <c r="O406" s="90"/>
      <c r="P406" s="90"/>
      <c r="Q406" s="106"/>
      <c r="R406" s="95"/>
      <c r="S406" s="96"/>
      <c r="T406" s="97"/>
      <c r="U406" s="85" t="str">
        <f t="array" ref="U406">IFERROR(index('3. Công thức lab theo từng mã h'!J:J,MATCH(C406,'3. Công thức lab theo từng mã h'!L:L,0)),"")</f>
        <v/>
      </c>
      <c r="V406" s="85"/>
      <c r="W406" s="75"/>
    </row>
    <row r="407">
      <c r="A407" s="64">
        <f t="shared" si="1"/>
        <v>0</v>
      </c>
      <c r="B407" s="98"/>
      <c r="C407" s="64"/>
      <c r="D407" s="16"/>
      <c r="E407" s="16"/>
      <c r="F407" s="100"/>
      <c r="G407" s="101"/>
      <c r="H407" s="16"/>
      <c r="I407" s="16"/>
      <c r="J407" s="16"/>
      <c r="K407" s="16"/>
      <c r="L407" s="16"/>
      <c r="M407" s="16"/>
      <c r="N407" s="100"/>
      <c r="O407" s="100"/>
      <c r="P407" s="100"/>
      <c r="Q407" s="106"/>
      <c r="R407" s="107"/>
      <c r="S407" s="104"/>
      <c r="T407" s="108"/>
      <c r="U407" s="74" t="str">
        <f t="array" ref="U407">IFERROR(index('3. Công thức lab theo từng mã h'!J:J,MATCH(C407,'3. Công thức lab theo từng mã h'!L:L,0)),"")</f>
        <v/>
      </c>
      <c r="V407" s="74"/>
      <c r="W407" s="75"/>
    </row>
    <row r="408">
      <c r="A408" s="76">
        <f t="shared" si="1"/>
        <v>0</v>
      </c>
      <c r="B408" s="88"/>
      <c r="C408" s="76"/>
      <c r="D408" s="86"/>
      <c r="E408" s="86"/>
      <c r="F408" s="90"/>
      <c r="G408" s="91"/>
      <c r="H408" s="86"/>
      <c r="I408" s="86"/>
      <c r="J408" s="86"/>
      <c r="K408" s="86"/>
      <c r="L408" s="86"/>
      <c r="M408" s="86"/>
      <c r="N408" s="90"/>
      <c r="O408" s="90"/>
      <c r="P408" s="90"/>
      <c r="Q408" s="106"/>
      <c r="R408" s="95"/>
      <c r="S408" s="96"/>
      <c r="T408" s="97"/>
      <c r="U408" s="85" t="str">
        <f t="array" ref="U408">IFERROR(index('3. Công thức lab theo từng mã h'!J:J,MATCH(C408,'3. Công thức lab theo từng mã h'!L:L,0)),"")</f>
        <v/>
      </c>
      <c r="V408" s="85"/>
      <c r="W408" s="75"/>
    </row>
    <row r="409">
      <c r="A409" s="64">
        <f t="shared" si="1"/>
        <v>0</v>
      </c>
      <c r="B409" s="98"/>
      <c r="C409" s="64"/>
      <c r="D409" s="16"/>
      <c r="E409" s="16"/>
      <c r="F409" s="100"/>
      <c r="G409" s="101"/>
      <c r="H409" s="16"/>
      <c r="I409" s="16"/>
      <c r="J409" s="16"/>
      <c r="K409" s="16"/>
      <c r="L409" s="16"/>
      <c r="M409" s="16"/>
      <c r="N409" s="100"/>
      <c r="O409" s="100"/>
      <c r="P409" s="100"/>
      <c r="Q409" s="106"/>
      <c r="R409" s="107"/>
      <c r="S409" s="104"/>
      <c r="T409" s="108"/>
      <c r="U409" s="74" t="str">
        <f t="array" ref="U409">IFERROR(index('3. Công thức lab theo từng mã h'!J:J,MATCH(C409,'3. Công thức lab theo từng mã h'!L:L,0)),"")</f>
        <v/>
      </c>
      <c r="V409" s="74"/>
      <c r="W409" s="75"/>
    </row>
    <row r="410">
      <c r="A410" s="76">
        <f t="shared" si="1"/>
        <v>0</v>
      </c>
      <c r="B410" s="88"/>
      <c r="C410" s="76"/>
      <c r="D410" s="86"/>
      <c r="E410" s="86"/>
      <c r="F410" s="90"/>
      <c r="G410" s="91"/>
      <c r="H410" s="86"/>
      <c r="I410" s="86"/>
      <c r="J410" s="86"/>
      <c r="K410" s="86"/>
      <c r="L410" s="86"/>
      <c r="M410" s="86"/>
      <c r="N410" s="90"/>
      <c r="O410" s="90"/>
      <c r="P410" s="90"/>
      <c r="Q410" s="106"/>
      <c r="R410" s="95"/>
      <c r="S410" s="96"/>
      <c r="T410" s="97"/>
      <c r="U410" s="85" t="str">
        <f t="array" ref="U410">IFERROR(index('3. Công thức lab theo từng mã h'!J:J,MATCH(C410,'3. Công thức lab theo từng mã h'!L:L,0)),"")</f>
        <v/>
      </c>
      <c r="V410" s="85"/>
      <c r="W410" s="75"/>
    </row>
    <row r="411">
      <c r="A411" s="64">
        <f t="shared" si="1"/>
        <v>0</v>
      </c>
      <c r="B411" s="98"/>
      <c r="C411" s="64"/>
      <c r="D411" s="16"/>
      <c r="E411" s="16"/>
      <c r="F411" s="100"/>
      <c r="G411" s="101"/>
      <c r="H411" s="16"/>
      <c r="I411" s="16"/>
      <c r="J411" s="16"/>
      <c r="K411" s="16"/>
      <c r="L411" s="16"/>
      <c r="M411" s="16"/>
      <c r="N411" s="100"/>
      <c r="O411" s="100"/>
      <c r="P411" s="100"/>
      <c r="Q411" s="106"/>
      <c r="R411" s="107"/>
      <c r="S411" s="104"/>
      <c r="T411" s="108"/>
      <c r="U411" s="74" t="str">
        <f t="array" ref="U411">IFERROR(index('3. Công thức lab theo từng mã h'!J:J,MATCH(C411,'3. Công thức lab theo từng mã h'!L:L,0)),"")</f>
        <v/>
      </c>
      <c r="V411" s="74"/>
      <c r="W411" s="75"/>
    </row>
    <row r="412">
      <c r="A412" s="76">
        <f t="shared" si="1"/>
        <v>0</v>
      </c>
      <c r="B412" s="88"/>
      <c r="C412" s="76"/>
      <c r="D412" s="86"/>
      <c r="E412" s="86"/>
      <c r="F412" s="90"/>
      <c r="G412" s="91"/>
      <c r="H412" s="86"/>
      <c r="I412" s="86"/>
      <c r="J412" s="86"/>
      <c r="K412" s="86"/>
      <c r="L412" s="86"/>
      <c r="M412" s="86"/>
      <c r="N412" s="90"/>
      <c r="O412" s="90"/>
      <c r="P412" s="90"/>
      <c r="Q412" s="106"/>
      <c r="R412" s="95"/>
      <c r="S412" s="96"/>
      <c r="T412" s="97"/>
      <c r="U412" s="85" t="str">
        <f t="array" ref="U412">IFERROR(index('3. Công thức lab theo từng mã h'!J:J,MATCH(C412,'3. Công thức lab theo từng mã h'!L:L,0)),"")</f>
        <v/>
      </c>
      <c r="V412" s="85"/>
      <c r="W412" s="75"/>
    </row>
    <row r="413">
      <c r="A413" s="64">
        <f t="shared" si="1"/>
        <v>0</v>
      </c>
      <c r="B413" s="98"/>
      <c r="C413" s="64"/>
      <c r="D413" s="16"/>
      <c r="E413" s="16"/>
      <c r="F413" s="100"/>
      <c r="G413" s="101"/>
      <c r="H413" s="16"/>
      <c r="I413" s="16"/>
      <c r="J413" s="16"/>
      <c r="K413" s="16"/>
      <c r="L413" s="16"/>
      <c r="M413" s="16"/>
      <c r="N413" s="100"/>
      <c r="O413" s="100"/>
      <c r="P413" s="100"/>
      <c r="Q413" s="106"/>
      <c r="R413" s="107"/>
      <c r="S413" s="104"/>
      <c r="T413" s="108"/>
      <c r="U413" s="74" t="str">
        <f t="array" ref="U413">IFERROR(index('3. Công thức lab theo từng mã h'!J:J,MATCH(C413,'3. Công thức lab theo từng mã h'!L:L,0)),"")</f>
        <v/>
      </c>
      <c r="V413" s="74"/>
      <c r="W413" s="75"/>
    </row>
    <row r="414">
      <c r="A414" s="76">
        <f t="shared" si="1"/>
        <v>0</v>
      </c>
      <c r="B414" s="88"/>
      <c r="C414" s="76"/>
      <c r="D414" s="86"/>
      <c r="E414" s="86"/>
      <c r="F414" s="90"/>
      <c r="G414" s="91"/>
      <c r="H414" s="86"/>
      <c r="I414" s="86"/>
      <c r="J414" s="86"/>
      <c r="K414" s="86"/>
      <c r="L414" s="86"/>
      <c r="M414" s="86"/>
      <c r="N414" s="90"/>
      <c r="O414" s="90"/>
      <c r="P414" s="90"/>
      <c r="Q414" s="106"/>
      <c r="R414" s="95"/>
      <c r="S414" s="96"/>
      <c r="T414" s="97"/>
      <c r="U414" s="85" t="str">
        <f t="array" ref="U414">IFERROR(index('3. Công thức lab theo từng mã h'!J:J,MATCH(C414,'3. Công thức lab theo từng mã h'!L:L,0)),"")</f>
        <v/>
      </c>
      <c r="V414" s="85"/>
      <c r="W414" s="75"/>
    </row>
    <row r="415">
      <c r="A415" s="64">
        <f t="shared" si="1"/>
        <v>0</v>
      </c>
      <c r="B415" s="98"/>
      <c r="C415" s="64"/>
      <c r="D415" s="16"/>
      <c r="E415" s="16"/>
      <c r="F415" s="100"/>
      <c r="G415" s="101"/>
      <c r="H415" s="16"/>
      <c r="I415" s="16"/>
      <c r="J415" s="16"/>
      <c r="K415" s="16"/>
      <c r="L415" s="16"/>
      <c r="M415" s="16"/>
      <c r="N415" s="100"/>
      <c r="O415" s="100"/>
      <c r="P415" s="100"/>
      <c r="Q415" s="106"/>
      <c r="R415" s="107"/>
      <c r="S415" s="104"/>
      <c r="T415" s="108"/>
      <c r="U415" s="74" t="str">
        <f t="array" ref="U415">IFERROR(index('3. Công thức lab theo từng mã h'!J:J,MATCH(C415,'3. Công thức lab theo từng mã h'!L:L,0)),"")</f>
        <v/>
      </c>
      <c r="V415" s="74"/>
      <c r="W415" s="75"/>
    </row>
    <row r="416">
      <c r="A416" s="76">
        <f t="shared" si="1"/>
        <v>0</v>
      </c>
      <c r="B416" s="88"/>
      <c r="C416" s="76"/>
      <c r="D416" s="86"/>
      <c r="E416" s="86"/>
      <c r="F416" s="90"/>
      <c r="G416" s="91"/>
      <c r="H416" s="86"/>
      <c r="I416" s="86"/>
      <c r="J416" s="86"/>
      <c r="K416" s="86"/>
      <c r="L416" s="86"/>
      <c r="M416" s="86"/>
      <c r="N416" s="90"/>
      <c r="O416" s="90"/>
      <c r="P416" s="90"/>
      <c r="Q416" s="106"/>
      <c r="R416" s="95"/>
      <c r="S416" s="96"/>
      <c r="T416" s="97"/>
      <c r="U416" s="85" t="str">
        <f t="array" ref="U416">IFERROR(index('3. Công thức lab theo từng mã h'!J:J,MATCH(C416,'3. Công thức lab theo từng mã h'!L:L,0)),"")</f>
        <v/>
      </c>
      <c r="V416" s="85"/>
      <c r="W416" s="75"/>
    </row>
    <row r="417">
      <c r="A417" s="64">
        <f t="shared" si="1"/>
        <v>0</v>
      </c>
      <c r="B417" s="98"/>
      <c r="C417" s="64"/>
      <c r="D417" s="16"/>
      <c r="E417" s="16"/>
      <c r="F417" s="100"/>
      <c r="G417" s="101"/>
      <c r="H417" s="16"/>
      <c r="I417" s="16"/>
      <c r="J417" s="16"/>
      <c r="K417" s="16"/>
      <c r="L417" s="16"/>
      <c r="M417" s="16"/>
      <c r="N417" s="100"/>
      <c r="O417" s="100"/>
      <c r="P417" s="100"/>
      <c r="Q417" s="106"/>
      <c r="R417" s="107"/>
      <c r="S417" s="104"/>
      <c r="T417" s="108"/>
      <c r="U417" s="74" t="str">
        <f t="array" ref="U417">IFERROR(index('3. Công thức lab theo từng mã h'!J:J,MATCH(C417,'3. Công thức lab theo từng mã h'!L:L,0)),"")</f>
        <v/>
      </c>
      <c r="V417" s="74"/>
      <c r="W417" s="75"/>
    </row>
    <row r="418">
      <c r="A418" s="76">
        <f t="shared" si="1"/>
        <v>0</v>
      </c>
      <c r="B418" s="88"/>
      <c r="C418" s="76"/>
      <c r="D418" s="86"/>
      <c r="E418" s="86"/>
      <c r="F418" s="90"/>
      <c r="G418" s="91"/>
      <c r="H418" s="86"/>
      <c r="I418" s="86"/>
      <c r="J418" s="86"/>
      <c r="K418" s="86"/>
      <c r="L418" s="86"/>
      <c r="M418" s="86"/>
      <c r="N418" s="90"/>
      <c r="O418" s="90"/>
      <c r="P418" s="90"/>
      <c r="Q418" s="106"/>
      <c r="R418" s="95"/>
      <c r="S418" s="96"/>
      <c r="T418" s="97"/>
      <c r="U418" s="85" t="str">
        <f t="array" ref="U418">IFERROR(index('3. Công thức lab theo từng mã h'!J:J,MATCH(C418,'3. Công thức lab theo từng mã h'!L:L,0)),"")</f>
        <v/>
      </c>
      <c r="V418" s="85"/>
      <c r="W418" s="75"/>
    </row>
    <row r="419">
      <c r="A419" s="64">
        <f t="shared" si="1"/>
        <v>0</v>
      </c>
      <c r="B419" s="98"/>
      <c r="C419" s="64"/>
      <c r="D419" s="16"/>
      <c r="E419" s="16"/>
      <c r="F419" s="100"/>
      <c r="G419" s="101"/>
      <c r="H419" s="16"/>
      <c r="I419" s="16"/>
      <c r="J419" s="16"/>
      <c r="K419" s="16"/>
      <c r="L419" s="16"/>
      <c r="M419" s="16"/>
      <c r="N419" s="100"/>
      <c r="O419" s="100"/>
      <c r="P419" s="100"/>
      <c r="Q419" s="106"/>
      <c r="R419" s="107"/>
      <c r="S419" s="104"/>
      <c r="T419" s="108"/>
      <c r="U419" s="74" t="str">
        <f t="array" ref="U419">IFERROR(index('3. Công thức lab theo từng mã h'!J:J,MATCH(C419,'3. Công thức lab theo từng mã h'!L:L,0)),"")</f>
        <v/>
      </c>
      <c r="V419" s="74"/>
      <c r="W419" s="75"/>
    </row>
    <row r="420">
      <c r="A420" s="76">
        <f t="shared" si="1"/>
        <v>0</v>
      </c>
      <c r="B420" s="88"/>
      <c r="C420" s="76"/>
      <c r="D420" s="86"/>
      <c r="E420" s="86"/>
      <c r="F420" s="90"/>
      <c r="G420" s="91"/>
      <c r="H420" s="86"/>
      <c r="I420" s="86"/>
      <c r="J420" s="86"/>
      <c r="K420" s="86"/>
      <c r="L420" s="86"/>
      <c r="M420" s="86"/>
      <c r="N420" s="90"/>
      <c r="O420" s="90"/>
      <c r="P420" s="90"/>
      <c r="Q420" s="106"/>
      <c r="R420" s="95"/>
      <c r="S420" s="96"/>
      <c r="T420" s="97"/>
      <c r="U420" s="85" t="str">
        <f t="array" ref="U420">IFERROR(index('3. Công thức lab theo từng mã h'!J:J,MATCH(C420,'3. Công thức lab theo từng mã h'!L:L,0)),"")</f>
        <v/>
      </c>
      <c r="V420" s="85"/>
      <c r="W420" s="75"/>
    </row>
    <row r="421">
      <c r="A421" s="64">
        <f t="shared" si="1"/>
        <v>0</v>
      </c>
      <c r="B421" s="98"/>
      <c r="C421" s="64"/>
      <c r="D421" s="16"/>
      <c r="E421" s="16"/>
      <c r="F421" s="100"/>
      <c r="G421" s="101"/>
      <c r="H421" s="16"/>
      <c r="I421" s="16"/>
      <c r="J421" s="16"/>
      <c r="K421" s="16"/>
      <c r="L421" s="16"/>
      <c r="M421" s="16"/>
      <c r="N421" s="100"/>
      <c r="O421" s="100"/>
      <c r="P421" s="100"/>
      <c r="Q421" s="106"/>
      <c r="R421" s="107"/>
      <c r="S421" s="104"/>
      <c r="T421" s="108"/>
      <c r="U421" s="74" t="str">
        <f t="array" ref="U421">IFERROR(index('3. Công thức lab theo từng mã h'!J:J,MATCH(C421,'3. Công thức lab theo từng mã h'!L:L,0)),"")</f>
        <v/>
      </c>
      <c r="V421" s="74"/>
      <c r="W421" s="75"/>
    </row>
    <row r="422">
      <c r="A422" s="76">
        <f t="shared" si="1"/>
        <v>0</v>
      </c>
      <c r="B422" s="88"/>
      <c r="C422" s="76"/>
      <c r="D422" s="86"/>
      <c r="E422" s="86"/>
      <c r="F422" s="90"/>
      <c r="G422" s="91"/>
      <c r="H422" s="86"/>
      <c r="I422" s="86"/>
      <c r="J422" s="86"/>
      <c r="K422" s="86"/>
      <c r="L422" s="86"/>
      <c r="M422" s="86"/>
      <c r="N422" s="90"/>
      <c r="O422" s="90"/>
      <c r="P422" s="90"/>
      <c r="Q422" s="106"/>
      <c r="R422" s="95"/>
      <c r="S422" s="96"/>
      <c r="T422" s="97"/>
      <c r="U422" s="85" t="str">
        <f t="array" ref="U422">IFERROR(index('3. Công thức lab theo từng mã h'!J:J,MATCH(C422,'3. Công thức lab theo từng mã h'!L:L,0)),"")</f>
        <v/>
      </c>
      <c r="V422" s="85"/>
      <c r="W422" s="75"/>
    </row>
    <row r="423">
      <c r="A423" s="64">
        <f t="shared" si="1"/>
        <v>0</v>
      </c>
      <c r="B423" s="98"/>
      <c r="C423" s="64"/>
      <c r="D423" s="16"/>
      <c r="E423" s="16"/>
      <c r="F423" s="100"/>
      <c r="G423" s="101"/>
      <c r="H423" s="16"/>
      <c r="I423" s="16"/>
      <c r="J423" s="16"/>
      <c r="K423" s="16"/>
      <c r="L423" s="16"/>
      <c r="M423" s="16"/>
      <c r="N423" s="100"/>
      <c r="O423" s="100"/>
      <c r="P423" s="100"/>
      <c r="Q423" s="106"/>
      <c r="R423" s="107"/>
      <c r="S423" s="104"/>
      <c r="T423" s="108"/>
      <c r="U423" s="74" t="str">
        <f t="array" ref="U423">IFERROR(index('3. Công thức lab theo từng mã h'!J:J,MATCH(C423,'3. Công thức lab theo từng mã h'!L:L,0)),"")</f>
        <v/>
      </c>
      <c r="V423" s="74"/>
      <c r="W423" s="75"/>
    </row>
    <row r="424">
      <c r="A424" s="76">
        <f t="shared" si="1"/>
        <v>0</v>
      </c>
      <c r="B424" s="88"/>
      <c r="C424" s="76"/>
      <c r="D424" s="86"/>
      <c r="E424" s="86"/>
      <c r="F424" s="90"/>
      <c r="G424" s="91"/>
      <c r="H424" s="86"/>
      <c r="I424" s="86"/>
      <c r="J424" s="86"/>
      <c r="K424" s="86"/>
      <c r="L424" s="86"/>
      <c r="M424" s="86"/>
      <c r="N424" s="90"/>
      <c r="O424" s="90"/>
      <c r="P424" s="90"/>
      <c r="Q424" s="106"/>
      <c r="R424" s="95"/>
      <c r="S424" s="96"/>
      <c r="T424" s="97"/>
      <c r="U424" s="85" t="str">
        <f t="array" ref="U424">IFERROR(index('3. Công thức lab theo từng mã h'!J:J,MATCH(C424,'3. Công thức lab theo từng mã h'!L:L,0)),"")</f>
        <v/>
      </c>
      <c r="V424" s="85"/>
      <c r="W424" s="75"/>
    </row>
    <row r="425">
      <c r="A425" s="64">
        <f t="shared" si="1"/>
        <v>0</v>
      </c>
      <c r="B425" s="98"/>
      <c r="C425" s="64"/>
      <c r="D425" s="16"/>
      <c r="E425" s="16"/>
      <c r="F425" s="100"/>
      <c r="G425" s="101"/>
      <c r="H425" s="16"/>
      <c r="I425" s="16"/>
      <c r="J425" s="16"/>
      <c r="K425" s="16"/>
      <c r="L425" s="16"/>
      <c r="M425" s="16"/>
      <c r="N425" s="100"/>
      <c r="O425" s="100"/>
      <c r="P425" s="100"/>
      <c r="Q425" s="106"/>
      <c r="R425" s="107"/>
      <c r="S425" s="104"/>
      <c r="T425" s="108"/>
      <c r="U425" s="74" t="str">
        <f t="array" ref="U425">IFERROR(index('3. Công thức lab theo từng mã h'!J:J,MATCH(C425,'3. Công thức lab theo từng mã h'!L:L,0)),"")</f>
        <v/>
      </c>
      <c r="V425" s="74"/>
      <c r="W425" s="75"/>
    </row>
    <row r="426">
      <c r="A426" s="76">
        <f t="shared" si="1"/>
        <v>0</v>
      </c>
      <c r="B426" s="88"/>
      <c r="C426" s="76"/>
      <c r="D426" s="86"/>
      <c r="E426" s="86"/>
      <c r="F426" s="90"/>
      <c r="G426" s="91"/>
      <c r="H426" s="86"/>
      <c r="I426" s="86"/>
      <c r="J426" s="86"/>
      <c r="K426" s="86"/>
      <c r="L426" s="86"/>
      <c r="M426" s="86"/>
      <c r="N426" s="90"/>
      <c r="O426" s="90"/>
      <c r="P426" s="90"/>
      <c r="Q426" s="106"/>
      <c r="R426" s="95"/>
      <c r="S426" s="96"/>
      <c r="T426" s="97"/>
      <c r="U426" s="85" t="str">
        <f t="array" ref="U426">IFERROR(index('3. Công thức lab theo từng mã h'!J:J,MATCH(C426,'3. Công thức lab theo từng mã h'!L:L,0)),"")</f>
        <v/>
      </c>
      <c r="V426" s="85"/>
      <c r="W426" s="75"/>
    </row>
    <row r="427">
      <c r="A427" s="64">
        <f t="shared" si="1"/>
        <v>0</v>
      </c>
      <c r="B427" s="98"/>
      <c r="C427" s="64"/>
      <c r="D427" s="16"/>
      <c r="E427" s="16"/>
      <c r="F427" s="100"/>
      <c r="G427" s="101"/>
      <c r="H427" s="16"/>
      <c r="I427" s="16"/>
      <c r="J427" s="16"/>
      <c r="K427" s="16"/>
      <c r="L427" s="16"/>
      <c r="M427" s="16"/>
      <c r="N427" s="100"/>
      <c r="O427" s="100"/>
      <c r="P427" s="100"/>
      <c r="Q427" s="106"/>
      <c r="R427" s="107"/>
      <c r="S427" s="104"/>
      <c r="T427" s="108"/>
      <c r="U427" s="74" t="str">
        <f t="array" ref="U427">IFERROR(index('3. Công thức lab theo từng mã h'!J:J,MATCH(C427,'3. Công thức lab theo từng mã h'!L:L,0)),"")</f>
        <v/>
      </c>
      <c r="V427" s="74"/>
      <c r="W427" s="75"/>
    </row>
    <row r="428">
      <c r="A428" s="76">
        <f t="shared" si="1"/>
        <v>0</v>
      </c>
      <c r="B428" s="88"/>
      <c r="C428" s="76"/>
      <c r="D428" s="86"/>
      <c r="E428" s="86"/>
      <c r="F428" s="90"/>
      <c r="G428" s="91"/>
      <c r="H428" s="86"/>
      <c r="I428" s="86"/>
      <c r="J428" s="86"/>
      <c r="K428" s="86"/>
      <c r="L428" s="86"/>
      <c r="M428" s="86"/>
      <c r="N428" s="90"/>
      <c r="O428" s="90"/>
      <c r="P428" s="90"/>
      <c r="Q428" s="106"/>
      <c r="R428" s="95"/>
      <c r="S428" s="96"/>
      <c r="T428" s="97"/>
      <c r="U428" s="85" t="str">
        <f t="array" ref="U428">IFERROR(index('3. Công thức lab theo từng mã h'!J:J,MATCH(C428,'3. Công thức lab theo từng mã h'!L:L,0)),"")</f>
        <v/>
      </c>
      <c r="V428" s="85"/>
      <c r="W428" s="75"/>
    </row>
    <row r="429">
      <c r="A429" s="64">
        <f t="shared" si="1"/>
        <v>0</v>
      </c>
      <c r="B429" s="98"/>
      <c r="C429" s="64"/>
      <c r="D429" s="16"/>
      <c r="E429" s="16"/>
      <c r="F429" s="100"/>
      <c r="G429" s="101"/>
      <c r="H429" s="16"/>
      <c r="I429" s="16"/>
      <c r="J429" s="16"/>
      <c r="K429" s="16"/>
      <c r="L429" s="16"/>
      <c r="M429" s="16"/>
      <c r="N429" s="100"/>
      <c r="O429" s="100"/>
      <c r="P429" s="100"/>
      <c r="Q429" s="106"/>
      <c r="R429" s="107"/>
      <c r="S429" s="104"/>
      <c r="T429" s="108"/>
      <c r="U429" s="74" t="str">
        <f t="array" ref="U429">IFERROR(index('3. Công thức lab theo từng mã h'!J:J,MATCH(C429,'3. Công thức lab theo từng mã h'!L:L,0)),"")</f>
        <v/>
      </c>
      <c r="V429" s="74"/>
      <c r="W429" s="75"/>
    </row>
    <row r="430">
      <c r="A430" s="76">
        <f t="shared" si="1"/>
        <v>0</v>
      </c>
      <c r="B430" s="88"/>
      <c r="C430" s="76"/>
      <c r="D430" s="86"/>
      <c r="E430" s="86"/>
      <c r="F430" s="90"/>
      <c r="G430" s="91"/>
      <c r="H430" s="86"/>
      <c r="I430" s="86"/>
      <c r="J430" s="86"/>
      <c r="K430" s="86"/>
      <c r="L430" s="86"/>
      <c r="M430" s="86"/>
      <c r="N430" s="90"/>
      <c r="O430" s="90"/>
      <c r="P430" s="90"/>
      <c r="Q430" s="106"/>
      <c r="R430" s="95"/>
      <c r="S430" s="96"/>
      <c r="T430" s="97"/>
      <c r="U430" s="85" t="str">
        <f t="array" ref="U430">IFERROR(index('3. Công thức lab theo từng mã h'!J:J,MATCH(C430,'3. Công thức lab theo từng mã h'!L:L,0)),"")</f>
        <v/>
      </c>
      <c r="V430" s="85"/>
      <c r="W430" s="75"/>
    </row>
    <row r="431">
      <c r="A431" s="64">
        <f t="shared" si="1"/>
        <v>0</v>
      </c>
      <c r="B431" s="98"/>
      <c r="C431" s="64"/>
      <c r="D431" s="16"/>
      <c r="E431" s="16"/>
      <c r="F431" s="100"/>
      <c r="G431" s="101"/>
      <c r="H431" s="16"/>
      <c r="I431" s="16"/>
      <c r="J431" s="16"/>
      <c r="K431" s="16"/>
      <c r="L431" s="16"/>
      <c r="M431" s="16"/>
      <c r="N431" s="100"/>
      <c r="O431" s="100"/>
      <c r="P431" s="100"/>
      <c r="Q431" s="106"/>
      <c r="R431" s="107"/>
      <c r="S431" s="104"/>
      <c r="T431" s="108"/>
      <c r="U431" s="74" t="str">
        <f t="array" ref="U431">IFERROR(index('3. Công thức lab theo từng mã h'!J:J,MATCH(C431,'3. Công thức lab theo từng mã h'!L:L,0)),"")</f>
        <v/>
      </c>
      <c r="V431" s="74"/>
      <c r="W431" s="75"/>
    </row>
    <row r="432">
      <c r="A432" s="76">
        <f t="shared" si="1"/>
        <v>0</v>
      </c>
      <c r="B432" s="88"/>
      <c r="C432" s="76"/>
      <c r="D432" s="86"/>
      <c r="E432" s="86"/>
      <c r="F432" s="90"/>
      <c r="G432" s="91"/>
      <c r="H432" s="86"/>
      <c r="I432" s="86"/>
      <c r="J432" s="86"/>
      <c r="K432" s="86"/>
      <c r="L432" s="86"/>
      <c r="M432" s="86"/>
      <c r="N432" s="90"/>
      <c r="O432" s="90"/>
      <c r="P432" s="90"/>
      <c r="Q432" s="106"/>
      <c r="R432" s="95"/>
      <c r="S432" s="96"/>
      <c r="T432" s="97"/>
      <c r="U432" s="85" t="str">
        <f t="array" ref="U432">IFERROR(index('3. Công thức lab theo từng mã h'!J:J,MATCH(C432,'3. Công thức lab theo từng mã h'!L:L,0)),"")</f>
        <v/>
      </c>
      <c r="V432" s="85"/>
      <c r="W432" s="75"/>
    </row>
    <row r="433">
      <c r="A433" s="64">
        <f t="shared" si="1"/>
        <v>0</v>
      </c>
      <c r="B433" s="98"/>
      <c r="C433" s="64"/>
      <c r="D433" s="16"/>
      <c r="E433" s="16"/>
      <c r="F433" s="100"/>
      <c r="G433" s="101"/>
      <c r="H433" s="16"/>
      <c r="I433" s="16"/>
      <c r="J433" s="16"/>
      <c r="K433" s="16"/>
      <c r="L433" s="16"/>
      <c r="M433" s="16"/>
      <c r="N433" s="100"/>
      <c r="O433" s="100"/>
      <c r="P433" s="100"/>
      <c r="Q433" s="106"/>
      <c r="R433" s="107"/>
      <c r="S433" s="104"/>
      <c r="T433" s="108"/>
      <c r="U433" s="74" t="str">
        <f t="array" ref="U433">IFERROR(index('3. Công thức lab theo từng mã h'!J:J,MATCH(C433,'3. Công thức lab theo từng mã h'!L:L,0)),"")</f>
        <v/>
      </c>
      <c r="V433" s="74"/>
      <c r="W433" s="75"/>
    </row>
    <row r="434">
      <c r="A434" s="76">
        <f t="shared" si="1"/>
        <v>0</v>
      </c>
      <c r="B434" s="88"/>
      <c r="C434" s="76"/>
      <c r="D434" s="86"/>
      <c r="E434" s="86"/>
      <c r="F434" s="90"/>
      <c r="G434" s="91"/>
      <c r="H434" s="86"/>
      <c r="I434" s="86"/>
      <c r="J434" s="86"/>
      <c r="K434" s="86"/>
      <c r="L434" s="86"/>
      <c r="M434" s="86"/>
      <c r="N434" s="90"/>
      <c r="O434" s="90"/>
      <c r="P434" s="90"/>
      <c r="Q434" s="106"/>
      <c r="R434" s="95"/>
      <c r="S434" s="96"/>
      <c r="T434" s="97"/>
      <c r="U434" s="85" t="str">
        <f t="array" ref="U434">IFERROR(index('3. Công thức lab theo từng mã h'!J:J,MATCH(C434,'3. Công thức lab theo từng mã h'!L:L,0)),"")</f>
        <v/>
      </c>
      <c r="V434" s="85"/>
      <c r="W434" s="75"/>
    </row>
    <row r="435">
      <c r="A435" s="64">
        <f t="shared" si="1"/>
        <v>0</v>
      </c>
      <c r="B435" s="98"/>
      <c r="C435" s="64"/>
      <c r="D435" s="16"/>
      <c r="E435" s="16"/>
      <c r="F435" s="100"/>
      <c r="G435" s="101"/>
      <c r="H435" s="16"/>
      <c r="I435" s="16"/>
      <c r="J435" s="16"/>
      <c r="K435" s="16"/>
      <c r="L435" s="16"/>
      <c r="M435" s="16"/>
      <c r="N435" s="100"/>
      <c r="O435" s="100"/>
      <c r="P435" s="100"/>
      <c r="Q435" s="106"/>
      <c r="R435" s="107"/>
      <c r="S435" s="104"/>
      <c r="T435" s="108"/>
      <c r="U435" s="74" t="str">
        <f t="array" ref="U435">IFERROR(index('3. Công thức lab theo từng mã h'!J:J,MATCH(C435,'3. Công thức lab theo từng mã h'!L:L,0)),"")</f>
        <v/>
      </c>
      <c r="V435" s="74"/>
      <c r="W435" s="75"/>
    </row>
    <row r="436">
      <c r="A436" s="76">
        <f t="shared" si="1"/>
        <v>0</v>
      </c>
      <c r="B436" s="88"/>
      <c r="C436" s="76"/>
      <c r="D436" s="86"/>
      <c r="E436" s="86"/>
      <c r="F436" s="90"/>
      <c r="G436" s="91"/>
      <c r="H436" s="86"/>
      <c r="I436" s="86"/>
      <c r="J436" s="86"/>
      <c r="K436" s="86"/>
      <c r="L436" s="86"/>
      <c r="M436" s="86"/>
      <c r="N436" s="90"/>
      <c r="O436" s="90"/>
      <c r="P436" s="90"/>
      <c r="Q436" s="106"/>
      <c r="R436" s="95"/>
      <c r="S436" s="96"/>
      <c r="T436" s="97"/>
      <c r="U436" s="85" t="str">
        <f t="array" ref="U436">IFERROR(index('3. Công thức lab theo từng mã h'!J:J,MATCH(C436,'3. Công thức lab theo từng mã h'!L:L,0)),"")</f>
        <v/>
      </c>
      <c r="V436" s="85"/>
      <c r="W436" s="75"/>
    </row>
    <row r="437">
      <c r="A437" s="64">
        <f t="shared" si="1"/>
        <v>0</v>
      </c>
      <c r="B437" s="98"/>
      <c r="C437" s="64"/>
      <c r="D437" s="16"/>
      <c r="E437" s="16"/>
      <c r="F437" s="100"/>
      <c r="G437" s="101"/>
      <c r="H437" s="16"/>
      <c r="I437" s="16"/>
      <c r="J437" s="16"/>
      <c r="K437" s="16"/>
      <c r="L437" s="16"/>
      <c r="M437" s="16"/>
      <c r="N437" s="100"/>
      <c r="O437" s="100"/>
      <c r="P437" s="100"/>
      <c r="Q437" s="106"/>
      <c r="R437" s="107"/>
      <c r="S437" s="104"/>
      <c r="T437" s="108"/>
      <c r="U437" s="74" t="str">
        <f t="array" ref="U437">IFERROR(index('3. Công thức lab theo từng mã h'!J:J,MATCH(C437,'3. Công thức lab theo từng mã h'!L:L,0)),"")</f>
        <v/>
      </c>
      <c r="V437" s="74"/>
      <c r="W437" s="75"/>
    </row>
    <row r="438">
      <c r="A438" s="76">
        <f t="shared" si="1"/>
        <v>0</v>
      </c>
      <c r="B438" s="88"/>
      <c r="C438" s="76"/>
      <c r="D438" s="86"/>
      <c r="E438" s="86"/>
      <c r="F438" s="90"/>
      <c r="G438" s="91"/>
      <c r="H438" s="86"/>
      <c r="I438" s="86"/>
      <c r="J438" s="86"/>
      <c r="K438" s="86"/>
      <c r="L438" s="86"/>
      <c r="M438" s="86"/>
      <c r="N438" s="90"/>
      <c r="O438" s="90"/>
      <c r="P438" s="90"/>
      <c r="Q438" s="106"/>
      <c r="R438" s="95"/>
      <c r="S438" s="96"/>
      <c r="T438" s="97"/>
      <c r="U438" s="85" t="str">
        <f t="array" ref="U438">IFERROR(index('3. Công thức lab theo từng mã h'!J:J,MATCH(C438,'3. Công thức lab theo từng mã h'!L:L,0)),"")</f>
        <v/>
      </c>
      <c r="V438" s="85"/>
      <c r="W438" s="75"/>
    </row>
    <row r="439">
      <c r="A439" s="64">
        <f t="shared" si="1"/>
        <v>0</v>
      </c>
      <c r="B439" s="98"/>
      <c r="C439" s="64"/>
      <c r="D439" s="16"/>
      <c r="E439" s="16"/>
      <c r="F439" s="100"/>
      <c r="G439" s="101"/>
      <c r="H439" s="16"/>
      <c r="I439" s="16"/>
      <c r="J439" s="16"/>
      <c r="K439" s="16"/>
      <c r="L439" s="16"/>
      <c r="M439" s="16"/>
      <c r="N439" s="100"/>
      <c r="O439" s="100"/>
      <c r="P439" s="100"/>
      <c r="Q439" s="106"/>
      <c r="R439" s="107"/>
      <c r="S439" s="104"/>
      <c r="T439" s="108"/>
      <c r="U439" s="74" t="str">
        <f t="array" ref="U439">IFERROR(index('3. Công thức lab theo từng mã h'!J:J,MATCH(C439,'3. Công thức lab theo từng mã h'!L:L,0)),"")</f>
        <v/>
      </c>
      <c r="V439" s="74"/>
      <c r="W439" s="75"/>
    </row>
    <row r="440">
      <c r="A440" s="76">
        <f t="shared" si="1"/>
        <v>0</v>
      </c>
      <c r="B440" s="88"/>
      <c r="C440" s="76"/>
      <c r="D440" s="86"/>
      <c r="E440" s="86"/>
      <c r="F440" s="90"/>
      <c r="G440" s="91"/>
      <c r="H440" s="86"/>
      <c r="I440" s="86"/>
      <c r="J440" s="86"/>
      <c r="K440" s="86"/>
      <c r="L440" s="86"/>
      <c r="M440" s="86"/>
      <c r="N440" s="90"/>
      <c r="O440" s="90"/>
      <c r="P440" s="90"/>
      <c r="Q440" s="106"/>
      <c r="R440" s="95"/>
      <c r="S440" s="96"/>
      <c r="T440" s="97"/>
      <c r="U440" s="85" t="str">
        <f t="array" ref="U440">IFERROR(index('3. Công thức lab theo từng mã h'!J:J,MATCH(C440,'3. Công thức lab theo từng mã h'!L:L,0)),"")</f>
        <v/>
      </c>
      <c r="V440" s="85"/>
      <c r="W440" s="75"/>
    </row>
    <row r="441">
      <c r="A441" s="64">
        <f t="shared" si="1"/>
        <v>0</v>
      </c>
      <c r="B441" s="98"/>
      <c r="C441" s="64"/>
      <c r="D441" s="16"/>
      <c r="E441" s="16"/>
      <c r="F441" s="100"/>
      <c r="G441" s="101"/>
      <c r="H441" s="16"/>
      <c r="I441" s="16"/>
      <c r="J441" s="16"/>
      <c r="K441" s="16"/>
      <c r="L441" s="16"/>
      <c r="M441" s="16"/>
      <c r="N441" s="100"/>
      <c r="O441" s="100"/>
      <c r="P441" s="100"/>
      <c r="Q441" s="106"/>
      <c r="R441" s="107"/>
      <c r="S441" s="104"/>
      <c r="T441" s="108"/>
      <c r="U441" s="74" t="str">
        <f t="array" ref="U441">IFERROR(index('3. Công thức lab theo từng mã h'!J:J,MATCH(C441,'3. Công thức lab theo từng mã h'!L:L,0)),"")</f>
        <v/>
      </c>
      <c r="V441" s="74"/>
      <c r="W441" s="75"/>
    </row>
    <row r="442">
      <c r="A442" s="76">
        <f t="shared" si="1"/>
        <v>0</v>
      </c>
      <c r="B442" s="88"/>
      <c r="C442" s="76"/>
      <c r="D442" s="86"/>
      <c r="E442" s="86"/>
      <c r="F442" s="90"/>
      <c r="G442" s="91"/>
      <c r="H442" s="86"/>
      <c r="I442" s="86"/>
      <c r="J442" s="86"/>
      <c r="K442" s="86"/>
      <c r="L442" s="86"/>
      <c r="M442" s="86"/>
      <c r="N442" s="90"/>
      <c r="O442" s="90"/>
      <c r="P442" s="90"/>
      <c r="Q442" s="106"/>
      <c r="R442" s="95"/>
      <c r="S442" s="96"/>
      <c r="T442" s="97"/>
      <c r="U442" s="85" t="str">
        <f t="array" ref="U442">IFERROR(index('3. Công thức lab theo từng mã h'!J:J,MATCH(C442,'3. Công thức lab theo từng mã h'!L:L,0)),"")</f>
        <v/>
      </c>
      <c r="V442" s="85"/>
      <c r="W442" s="75"/>
    </row>
    <row r="443">
      <c r="A443" s="64">
        <f t="shared" si="1"/>
        <v>0</v>
      </c>
      <c r="B443" s="98"/>
      <c r="C443" s="64"/>
      <c r="D443" s="16"/>
      <c r="E443" s="16"/>
      <c r="F443" s="100"/>
      <c r="G443" s="101"/>
      <c r="H443" s="16"/>
      <c r="I443" s="16"/>
      <c r="J443" s="16"/>
      <c r="K443" s="16"/>
      <c r="L443" s="16"/>
      <c r="M443" s="16"/>
      <c r="N443" s="100"/>
      <c r="O443" s="100"/>
      <c r="P443" s="100"/>
      <c r="Q443" s="106"/>
      <c r="R443" s="107"/>
      <c r="S443" s="104"/>
      <c r="T443" s="108"/>
      <c r="U443" s="74" t="str">
        <f t="array" ref="U443">IFERROR(index('3. Công thức lab theo từng mã h'!J:J,MATCH(C443,'3. Công thức lab theo từng mã h'!L:L,0)),"")</f>
        <v/>
      </c>
      <c r="V443" s="74"/>
      <c r="W443" s="75"/>
    </row>
    <row r="444">
      <c r="A444" s="76">
        <f t="shared" si="1"/>
        <v>0</v>
      </c>
      <c r="B444" s="88"/>
      <c r="C444" s="76"/>
      <c r="D444" s="86"/>
      <c r="E444" s="86"/>
      <c r="F444" s="90"/>
      <c r="G444" s="91"/>
      <c r="H444" s="86"/>
      <c r="I444" s="86"/>
      <c r="J444" s="86"/>
      <c r="K444" s="86"/>
      <c r="L444" s="86"/>
      <c r="M444" s="86"/>
      <c r="N444" s="90"/>
      <c r="O444" s="90"/>
      <c r="P444" s="90"/>
      <c r="Q444" s="106"/>
      <c r="R444" s="95"/>
      <c r="S444" s="96"/>
      <c r="T444" s="97"/>
      <c r="U444" s="85" t="str">
        <f t="array" ref="U444">IFERROR(index('3. Công thức lab theo từng mã h'!J:J,MATCH(C444,'3. Công thức lab theo từng mã h'!L:L,0)),"")</f>
        <v/>
      </c>
      <c r="V444" s="85"/>
      <c r="W444" s="75"/>
    </row>
    <row r="445">
      <c r="A445" s="64">
        <f t="shared" si="1"/>
        <v>0</v>
      </c>
      <c r="B445" s="98"/>
      <c r="C445" s="64"/>
      <c r="D445" s="16"/>
      <c r="E445" s="16"/>
      <c r="F445" s="100"/>
      <c r="G445" s="101"/>
      <c r="H445" s="16"/>
      <c r="I445" s="16"/>
      <c r="J445" s="16"/>
      <c r="K445" s="16"/>
      <c r="L445" s="16"/>
      <c r="M445" s="16"/>
      <c r="N445" s="100"/>
      <c r="O445" s="100"/>
      <c r="P445" s="100"/>
      <c r="Q445" s="106"/>
      <c r="R445" s="107"/>
      <c r="S445" s="104"/>
      <c r="T445" s="108"/>
      <c r="U445" s="74" t="str">
        <f t="array" ref="U445">IFERROR(index('3. Công thức lab theo từng mã h'!J:J,MATCH(C445,'3. Công thức lab theo từng mã h'!L:L,0)),"")</f>
        <v/>
      </c>
      <c r="V445" s="74"/>
      <c r="W445" s="75"/>
    </row>
    <row r="446">
      <c r="A446" s="76">
        <f t="shared" si="1"/>
        <v>0</v>
      </c>
      <c r="B446" s="88"/>
      <c r="C446" s="76"/>
      <c r="D446" s="86"/>
      <c r="E446" s="86"/>
      <c r="F446" s="90"/>
      <c r="G446" s="91"/>
      <c r="H446" s="86"/>
      <c r="I446" s="86"/>
      <c r="J446" s="86"/>
      <c r="K446" s="86"/>
      <c r="L446" s="86"/>
      <c r="M446" s="86"/>
      <c r="N446" s="90"/>
      <c r="O446" s="90"/>
      <c r="P446" s="90"/>
      <c r="Q446" s="106"/>
      <c r="R446" s="95"/>
      <c r="S446" s="96"/>
      <c r="T446" s="97"/>
      <c r="U446" s="85" t="str">
        <f t="array" ref="U446">IFERROR(index('3. Công thức lab theo từng mã h'!J:J,MATCH(C446,'3. Công thức lab theo từng mã h'!L:L,0)),"")</f>
        <v/>
      </c>
      <c r="V446" s="85"/>
      <c r="W446" s="75"/>
    </row>
    <row r="447">
      <c r="A447" s="64">
        <f t="shared" si="1"/>
        <v>0</v>
      </c>
      <c r="B447" s="98"/>
      <c r="C447" s="64"/>
      <c r="D447" s="16"/>
      <c r="E447" s="16"/>
      <c r="F447" s="100"/>
      <c r="G447" s="101"/>
      <c r="H447" s="16"/>
      <c r="I447" s="16"/>
      <c r="J447" s="16"/>
      <c r="K447" s="16"/>
      <c r="L447" s="16"/>
      <c r="M447" s="16"/>
      <c r="N447" s="100"/>
      <c r="O447" s="100"/>
      <c r="P447" s="100"/>
      <c r="Q447" s="106"/>
      <c r="R447" s="107"/>
      <c r="S447" s="104"/>
      <c r="T447" s="108"/>
      <c r="U447" s="74" t="str">
        <f t="array" ref="U447">IFERROR(index('3. Công thức lab theo từng mã h'!J:J,MATCH(C447,'3. Công thức lab theo từng mã h'!L:L,0)),"")</f>
        <v/>
      </c>
      <c r="V447" s="74"/>
      <c r="W447" s="75"/>
    </row>
    <row r="448">
      <c r="A448" s="76">
        <f t="shared" si="1"/>
        <v>0</v>
      </c>
      <c r="B448" s="88"/>
      <c r="C448" s="76"/>
      <c r="D448" s="86"/>
      <c r="E448" s="86"/>
      <c r="F448" s="90"/>
      <c r="G448" s="91"/>
      <c r="H448" s="86"/>
      <c r="I448" s="86"/>
      <c r="J448" s="86"/>
      <c r="K448" s="86"/>
      <c r="L448" s="86"/>
      <c r="M448" s="86"/>
      <c r="N448" s="90"/>
      <c r="O448" s="90"/>
      <c r="P448" s="90"/>
      <c r="Q448" s="106"/>
      <c r="R448" s="95"/>
      <c r="S448" s="96"/>
      <c r="T448" s="97"/>
      <c r="U448" s="85" t="str">
        <f t="array" ref="U448">IFERROR(index('3. Công thức lab theo từng mã h'!J:J,MATCH(C448,'3. Công thức lab theo từng mã h'!L:L,0)),"")</f>
        <v/>
      </c>
      <c r="V448" s="85"/>
      <c r="W448" s="75"/>
    </row>
    <row r="449">
      <c r="A449" s="64">
        <f t="shared" si="1"/>
        <v>0</v>
      </c>
      <c r="B449" s="98"/>
      <c r="C449" s="64"/>
      <c r="D449" s="16"/>
      <c r="E449" s="16"/>
      <c r="F449" s="100"/>
      <c r="G449" s="101"/>
      <c r="H449" s="16"/>
      <c r="I449" s="16"/>
      <c r="J449" s="16"/>
      <c r="K449" s="16"/>
      <c r="L449" s="16"/>
      <c r="M449" s="16"/>
      <c r="N449" s="100"/>
      <c r="O449" s="100"/>
      <c r="P449" s="100"/>
      <c r="Q449" s="106"/>
      <c r="R449" s="107"/>
      <c r="S449" s="104"/>
      <c r="T449" s="108"/>
      <c r="U449" s="74" t="str">
        <f t="array" ref="U449">IFERROR(index('3. Công thức lab theo từng mã h'!J:J,MATCH(C449,'3. Công thức lab theo từng mã h'!L:L,0)),"")</f>
        <v/>
      </c>
      <c r="V449" s="74"/>
      <c r="W449" s="75"/>
    </row>
    <row r="450">
      <c r="A450" s="76">
        <f t="shared" si="1"/>
        <v>0</v>
      </c>
      <c r="B450" s="88"/>
      <c r="C450" s="76"/>
      <c r="D450" s="86"/>
      <c r="E450" s="86"/>
      <c r="F450" s="90"/>
      <c r="G450" s="91"/>
      <c r="H450" s="86"/>
      <c r="I450" s="86"/>
      <c r="J450" s="86"/>
      <c r="K450" s="86"/>
      <c r="L450" s="86"/>
      <c r="M450" s="86"/>
      <c r="N450" s="90"/>
      <c r="O450" s="90"/>
      <c r="P450" s="90"/>
      <c r="Q450" s="106"/>
      <c r="R450" s="95"/>
      <c r="S450" s="96"/>
      <c r="T450" s="97"/>
      <c r="U450" s="85" t="str">
        <f t="array" ref="U450">IFERROR(index('3. Công thức lab theo từng mã h'!J:J,MATCH(C450,'3. Công thức lab theo từng mã h'!L:L,0)),"")</f>
        <v/>
      </c>
      <c r="V450" s="85"/>
      <c r="W450" s="75"/>
    </row>
    <row r="451">
      <c r="A451" s="64">
        <f t="shared" si="1"/>
        <v>0</v>
      </c>
      <c r="B451" s="98"/>
      <c r="C451" s="64"/>
      <c r="D451" s="16"/>
      <c r="E451" s="16"/>
      <c r="F451" s="100"/>
      <c r="G451" s="101"/>
      <c r="H451" s="16"/>
      <c r="I451" s="16"/>
      <c r="J451" s="16"/>
      <c r="K451" s="16"/>
      <c r="L451" s="16"/>
      <c r="M451" s="16"/>
      <c r="N451" s="100"/>
      <c r="O451" s="100"/>
      <c r="P451" s="100"/>
      <c r="Q451" s="106"/>
      <c r="R451" s="107"/>
      <c r="S451" s="104"/>
      <c r="T451" s="108"/>
      <c r="U451" s="74" t="str">
        <f t="array" ref="U451">IFERROR(index('3. Công thức lab theo từng mã h'!J:J,MATCH(C451,'3. Công thức lab theo từng mã h'!L:L,0)),"")</f>
        <v/>
      </c>
      <c r="V451" s="74"/>
      <c r="W451" s="75"/>
    </row>
    <row r="452">
      <c r="A452" s="76">
        <f t="shared" si="1"/>
        <v>0</v>
      </c>
      <c r="B452" s="88"/>
      <c r="C452" s="76"/>
      <c r="D452" s="86"/>
      <c r="E452" s="86"/>
      <c r="F452" s="90"/>
      <c r="G452" s="91"/>
      <c r="H452" s="86"/>
      <c r="I452" s="86"/>
      <c r="J452" s="86"/>
      <c r="K452" s="86"/>
      <c r="L452" s="86"/>
      <c r="M452" s="86"/>
      <c r="N452" s="90"/>
      <c r="O452" s="90"/>
      <c r="P452" s="90"/>
      <c r="Q452" s="106"/>
      <c r="R452" s="95"/>
      <c r="S452" s="96"/>
      <c r="T452" s="97"/>
      <c r="U452" s="85" t="str">
        <f t="array" ref="U452">IFERROR(index('3. Công thức lab theo từng mã h'!J:J,MATCH(C452,'3. Công thức lab theo từng mã h'!L:L,0)),"")</f>
        <v/>
      </c>
      <c r="V452" s="85"/>
      <c r="W452" s="75"/>
    </row>
    <row r="453">
      <c r="A453" s="64">
        <f t="shared" si="1"/>
        <v>0</v>
      </c>
      <c r="B453" s="98"/>
      <c r="C453" s="64"/>
      <c r="D453" s="16"/>
      <c r="E453" s="16"/>
      <c r="F453" s="100"/>
      <c r="G453" s="101"/>
      <c r="H453" s="16"/>
      <c r="I453" s="16"/>
      <c r="J453" s="16"/>
      <c r="K453" s="16"/>
      <c r="L453" s="16"/>
      <c r="M453" s="16"/>
      <c r="N453" s="100"/>
      <c r="O453" s="100"/>
      <c r="P453" s="100"/>
      <c r="Q453" s="106"/>
      <c r="R453" s="107"/>
      <c r="S453" s="104"/>
      <c r="T453" s="108"/>
      <c r="U453" s="74" t="str">
        <f t="array" ref="U453">IFERROR(index('3. Công thức lab theo từng mã h'!J:J,MATCH(C453,'3. Công thức lab theo từng mã h'!L:L,0)),"")</f>
        <v/>
      </c>
      <c r="V453" s="74"/>
      <c r="W453" s="75"/>
    </row>
    <row r="454">
      <c r="A454" s="76">
        <f t="shared" si="1"/>
        <v>0</v>
      </c>
      <c r="B454" s="88"/>
      <c r="C454" s="76"/>
      <c r="D454" s="86"/>
      <c r="E454" s="86"/>
      <c r="F454" s="90"/>
      <c r="G454" s="91"/>
      <c r="H454" s="86"/>
      <c r="I454" s="86"/>
      <c r="J454" s="86"/>
      <c r="K454" s="86"/>
      <c r="L454" s="86"/>
      <c r="M454" s="86"/>
      <c r="N454" s="90"/>
      <c r="O454" s="90"/>
      <c r="P454" s="90"/>
      <c r="Q454" s="106"/>
      <c r="R454" s="95"/>
      <c r="S454" s="96"/>
      <c r="T454" s="97"/>
      <c r="U454" s="85" t="str">
        <f t="array" ref="U454">IFERROR(index('3. Công thức lab theo từng mã h'!J:J,MATCH(C454,'3. Công thức lab theo từng mã h'!L:L,0)),"")</f>
        <v/>
      </c>
      <c r="V454" s="85"/>
      <c r="W454" s="75"/>
    </row>
    <row r="455">
      <c r="A455" s="64">
        <f t="shared" si="1"/>
        <v>0</v>
      </c>
      <c r="B455" s="98"/>
      <c r="C455" s="64"/>
      <c r="D455" s="16"/>
      <c r="E455" s="16"/>
      <c r="F455" s="100"/>
      <c r="G455" s="101"/>
      <c r="H455" s="16"/>
      <c r="I455" s="16"/>
      <c r="J455" s="16"/>
      <c r="K455" s="16"/>
      <c r="L455" s="16"/>
      <c r="M455" s="16"/>
      <c r="N455" s="100"/>
      <c r="O455" s="100"/>
      <c r="P455" s="100"/>
      <c r="Q455" s="106"/>
      <c r="R455" s="107"/>
      <c r="S455" s="104"/>
      <c r="T455" s="108"/>
      <c r="U455" s="74" t="str">
        <f t="array" ref="U455">IFERROR(index('3. Công thức lab theo từng mã h'!J:J,MATCH(C455,'3. Công thức lab theo từng mã h'!L:L,0)),"")</f>
        <v/>
      </c>
      <c r="V455" s="74"/>
      <c r="W455" s="75"/>
    </row>
    <row r="456">
      <c r="A456" s="76">
        <f t="shared" si="1"/>
        <v>0</v>
      </c>
      <c r="B456" s="88"/>
      <c r="C456" s="76"/>
      <c r="D456" s="86"/>
      <c r="E456" s="86"/>
      <c r="F456" s="90"/>
      <c r="G456" s="91"/>
      <c r="H456" s="86"/>
      <c r="I456" s="86"/>
      <c r="J456" s="86"/>
      <c r="K456" s="86"/>
      <c r="L456" s="86"/>
      <c r="M456" s="86"/>
      <c r="N456" s="90"/>
      <c r="O456" s="90"/>
      <c r="P456" s="90"/>
      <c r="Q456" s="106"/>
      <c r="R456" s="95"/>
      <c r="S456" s="96"/>
      <c r="T456" s="97"/>
      <c r="U456" s="85" t="str">
        <f t="array" ref="U456">IFERROR(index('3. Công thức lab theo từng mã h'!J:J,MATCH(C456,'3. Công thức lab theo từng mã h'!L:L,0)),"")</f>
        <v/>
      </c>
      <c r="V456" s="85"/>
      <c r="W456" s="75"/>
    </row>
    <row r="457">
      <c r="A457" s="64">
        <f t="shared" si="1"/>
        <v>0</v>
      </c>
      <c r="B457" s="98"/>
      <c r="C457" s="64"/>
      <c r="D457" s="16"/>
      <c r="E457" s="16"/>
      <c r="F457" s="100"/>
      <c r="G457" s="101"/>
      <c r="H457" s="16"/>
      <c r="I457" s="16"/>
      <c r="J457" s="16"/>
      <c r="K457" s="16"/>
      <c r="L457" s="16"/>
      <c r="M457" s="16"/>
      <c r="N457" s="100"/>
      <c r="O457" s="100"/>
      <c r="P457" s="100"/>
      <c r="Q457" s="106"/>
      <c r="R457" s="107"/>
      <c r="S457" s="104"/>
      <c r="T457" s="108"/>
      <c r="U457" s="74" t="str">
        <f t="array" ref="U457">IFERROR(index('3. Công thức lab theo từng mã h'!J:J,MATCH(C457,'3. Công thức lab theo từng mã h'!L:L,0)),"")</f>
        <v/>
      </c>
      <c r="V457" s="74"/>
      <c r="W457" s="75"/>
    </row>
    <row r="458">
      <c r="A458" s="76">
        <f t="shared" si="1"/>
        <v>0</v>
      </c>
      <c r="B458" s="88"/>
      <c r="C458" s="76"/>
      <c r="D458" s="86"/>
      <c r="E458" s="86"/>
      <c r="F458" s="90"/>
      <c r="G458" s="91"/>
      <c r="H458" s="86"/>
      <c r="I458" s="86"/>
      <c r="J458" s="86"/>
      <c r="K458" s="86"/>
      <c r="L458" s="86"/>
      <c r="M458" s="86"/>
      <c r="N458" s="90"/>
      <c r="O458" s="90"/>
      <c r="P458" s="90"/>
      <c r="Q458" s="106"/>
      <c r="R458" s="95"/>
      <c r="S458" s="96"/>
      <c r="T458" s="97"/>
      <c r="U458" s="85" t="str">
        <f t="array" ref="U458">IFERROR(index('3. Công thức lab theo từng mã h'!J:J,MATCH(C458,'3. Công thức lab theo từng mã h'!L:L,0)),"")</f>
        <v/>
      </c>
      <c r="V458" s="85"/>
      <c r="W458" s="75"/>
    </row>
    <row r="459">
      <c r="A459" s="64">
        <f t="shared" si="1"/>
        <v>0</v>
      </c>
      <c r="B459" s="98"/>
      <c r="C459" s="64"/>
      <c r="D459" s="16"/>
      <c r="E459" s="16"/>
      <c r="F459" s="100"/>
      <c r="G459" s="101"/>
      <c r="H459" s="16"/>
      <c r="I459" s="16"/>
      <c r="J459" s="16"/>
      <c r="K459" s="16"/>
      <c r="L459" s="16"/>
      <c r="M459" s="16"/>
      <c r="N459" s="100"/>
      <c r="O459" s="100"/>
      <c r="P459" s="100"/>
      <c r="Q459" s="106"/>
      <c r="R459" s="107"/>
      <c r="S459" s="104"/>
      <c r="T459" s="108"/>
      <c r="U459" s="74" t="str">
        <f t="array" ref="U459">IFERROR(index('3. Công thức lab theo từng mã h'!J:J,MATCH(C459,'3. Công thức lab theo từng mã h'!L:L,0)),"")</f>
        <v/>
      </c>
      <c r="V459" s="74"/>
      <c r="W459" s="75"/>
    </row>
    <row r="460">
      <c r="A460" s="76">
        <f t="shared" si="1"/>
        <v>0</v>
      </c>
      <c r="B460" s="88"/>
      <c r="C460" s="76"/>
      <c r="D460" s="86"/>
      <c r="E460" s="86"/>
      <c r="F460" s="90"/>
      <c r="G460" s="91"/>
      <c r="H460" s="86"/>
      <c r="I460" s="86"/>
      <c r="J460" s="86"/>
      <c r="K460" s="86"/>
      <c r="L460" s="86"/>
      <c r="M460" s="86"/>
      <c r="N460" s="90"/>
      <c r="O460" s="90"/>
      <c r="P460" s="90"/>
      <c r="Q460" s="106"/>
      <c r="R460" s="95"/>
      <c r="S460" s="96"/>
      <c r="T460" s="97"/>
      <c r="U460" s="85" t="str">
        <f t="array" ref="U460">IFERROR(index('3. Công thức lab theo từng mã h'!J:J,MATCH(C460,'3. Công thức lab theo từng mã h'!L:L,0)),"")</f>
        <v/>
      </c>
      <c r="V460" s="85"/>
      <c r="W460" s="75"/>
    </row>
    <row r="461">
      <c r="A461" s="64">
        <f t="shared" si="1"/>
        <v>0</v>
      </c>
      <c r="B461" s="98"/>
      <c r="C461" s="64"/>
      <c r="D461" s="16"/>
      <c r="E461" s="16"/>
      <c r="F461" s="100"/>
      <c r="G461" s="101"/>
      <c r="H461" s="16"/>
      <c r="I461" s="16"/>
      <c r="J461" s="16"/>
      <c r="K461" s="16"/>
      <c r="L461" s="16"/>
      <c r="M461" s="16"/>
      <c r="N461" s="100"/>
      <c r="O461" s="100"/>
      <c r="P461" s="100"/>
      <c r="Q461" s="106"/>
      <c r="R461" s="107"/>
      <c r="S461" s="104"/>
      <c r="T461" s="108"/>
      <c r="U461" s="74" t="str">
        <f t="array" ref="U461">IFERROR(index('3. Công thức lab theo từng mã h'!J:J,MATCH(C461,'3. Công thức lab theo từng mã h'!L:L,0)),"")</f>
        <v/>
      </c>
      <c r="V461" s="74"/>
      <c r="W461" s="75"/>
    </row>
    <row r="462">
      <c r="A462" s="76">
        <f t="shared" si="1"/>
        <v>0</v>
      </c>
      <c r="B462" s="88"/>
      <c r="C462" s="76"/>
      <c r="D462" s="86"/>
      <c r="E462" s="86"/>
      <c r="F462" s="90"/>
      <c r="G462" s="91"/>
      <c r="H462" s="86"/>
      <c r="I462" s="86"/>
      <c r="J462" s="86"/>
      <c r="K462" s="86"/>
      <c r="L462" s="86"/>
      <c r="M462" s="86"/>
      <c r="N462" s="90"/>
      <c r="O462" s="90"/>
      <c r="P462" s="90"/>
      <c r="Q462" s="106"/>
      <c r="R462" s="95"/>
      <c r="S462" s="96"/>
      <c r="T462" s="97"/>
      <c r="U462" s="85" t="str">
        <f t="array" ref="U462">IFERROR(index('3. Công thức lab theo từng mã h'!J:J,MATCH(C462,'3. Công thức lab theo từng mã h'!L:L,0)),"")</f>
        <v/>
      </c>
      <c r="V462" s="85"/>
      <c r="W462" s="75"/>
    </row>
    <row r="463">
      <c r="A463" s="64">
        <f t="shared" si="1"/>
        <v>0</v>
      </c>
      <c r="B463" s="98"/>
      <c r="C463" s="64"/>
      <c r="D463" s="16"/>
      <c r="E463" s="16"/>
      <c r="F463" s="100"/>
      <c r="G463" s="101"/>
      <c r="H463" s="16"/>
      <c r="I463" s="16"/>
      <c r="J463" s="16"/>
      <c r="K463" s="16"/>
      <c r="L463" s="16"/>
      <c r="M463" s="16"/>
      <c r="N463" s="100"/>
      <c r="O463" s="100"/>
      <c r="P463" s="100"/>
      <c r="Q463" s="106"/>
      <c r="R463" s="107"/>
      <c r="S463" s="104"/>
      <c r="T463" s="108"/>
      <c r="U463" s="74" t="str">
        <f t="array" ref="U463">IFERROR(index('3. Công thức lab theo từng mã h'!J:J,MATCH(C463,'3. Công thức lab theo từng mã h'!L:L,0)),"")</f>
        <v/>
      </c>
      <c r="V463" s="74"/>
      <c r="W463" s="75"/>
    </row>
    <row r="464">
      <c r="A464" s="76">
        <f t="shared" si="1"/>
        <v>0</v>
      </c>
      <c r="B464" s="88"/>
      <c r="C464" s="76"/>
      <c r="D464" s="86"/>
      <c r="E464" s="86"/>
      <c r="F464" s="90"/>
      <c r="G464" s="91"/>
      <c r="H464" s="86"/>
      <c r="I464" s="86"/>
      <c r="J464" s="86"/>
      <c r="K464" s="86"/>
      <c r="L464" s="86"/>
      <c r="M464" s="86"/>
      <c r="N464" s="90"/>
      <c r="O464" s="90"/>
      <c r="P464" s="90"/>
      <c r="Q464" s="106"/>
      <c r="R464" s="95"/>
      <c r="S464" s="96"/>
      <c r="T464" s="97"/>
      <c r="U464" s="85" t="str">
        <f t="array" ref="U464">IFERROR(index('3. Công thức lab theo từng mã h'!J:J,MATCH(C464,'3. Công thức lab theo từng mã h'!L:L,0)),"")</f>
        <v/>
      </c>
      <c r="V464" s="85"/>
      <c r="W464" s="75"/>
    </row>
    <row r="465">
      <c r="A465" s="64">
        <f t="shared" si="1"/>
        <v>0</v>
      </c>
      <c r="B465" s="98"/>
      <c r="C465" s="64"/>
      <c r="D465" s="16"/>
      <c r="E465" s="16"/>
      <c r="F465" s="100"/>
      <c r="G465" s="101"/>
      <c r="H465" s="16"/>
      <c r="I465" s="16"/>
      <c r="J465" s="16"/>
      <c r="K465" s="16"/>
      <c r="L465" s="16"/>
      <c r="M465" s="16"/>
      <c r="N465" s="100"/>
      <c r="O465" s="100"/>
      <c r="P465" s="100"/>
      <c r="Q465" s="106"/>
      <c r="R465" s="107"/>
      <c r="S465" s="104"/>
      <c r="T465" s="108"/>
      <c r="U465" s="74" t="str">
        <f t="array" ref="U465">IFERROR(index('3. Công thức lab theo từng mã h'!J:J,MATCH(C465,'3. Công thức lab theo từng mã h'!L:L,0)),"")</f>
        <v/>
      </c>
      <c r="V465" s="74"/>
      <c r="W465" s="75"/>
    </row>
    <row r="466">
      <c r="A466" s="76">
        <f t="shared" si="1"/>
        <v>0</v>
      </c>
      <c r="B466" s="88"/>
      <c r="C466" s="76"/>
      <c r="D466" s="86"/>
      <c r="E466" s="86"/>
      <c r="F466" s="90"/>
      <c r="G466" s="91"/>
      <c r="H466" s="86"/>
      <c r="I466" s="86"/>
      <c r="J466" s="86"/>
      <c r="K466" s="86"/>
      <c r="L466" s="86"/>
      <c r="M466" s="86"/>
      <c r="N466" s="90"/>
      <c r="O466" s="90"/>
      <c r="P466" s="90"/>
      <c r="Q466" s="106"/>
      <c r="R466" s="95"/>
      <c r="S466" s="96"/>
      <c r="T466" s="97"/>
      <c r="U466" s="85" t="str">
        <f t="array" ref="U466">IFERROR(index('3. Công thức lab theo từng mã h'!J:J,MATCH(C466,'3. Công thức lab theo từng mã h'!L:L,0)),"")</f>
        <v/>
      </c>
      <c r="V466" s="85"/>
      <c r="W466" s="75"/>
    </row>
    <row r="467">
      <c r="A467" s="64">
        <f t="shared" si="1"/>
        <v>0</v>
      </c>
      <c r="B467" s="98"/>
      <c r="C467" s="64"/>
      <c r="D467" s="16"/>
      <c r="E467" s="16"/>
      <c r="F467" s="100"/>
      <c r="G467" s="101"/>
      <c r="H467" s="16"/>
      <c r="I467" s="16"/>
      <c r="J467" s="16"/>
      <c r="K467" s="16"/>
      <c r="L467" s="16"/>
      <c r="M467" s="16"/>
      <c r="N467" s="100"/>
      <c r="O467" s="100"/>
      <c r="P467" s="100"/>
      <c r="Q467" s="106"/>
      <c r="R467" s="107"/>
      <c r="S467" s="104"/>
      <c r="T467" s="108"/>
      <c r="U467" s="74" t="str">
        <f t="array" ref="U467">IFERROR(index('3. Công thức lab theo từng mã h'!J:J,MATCH(C467,'3. Công thức lab theo từng mã h'!L:L,0)),"")</f>
        <v/>
      </c>
      <c r="V467" s="74"/>
      <c r="W467" s="75"/>
    </row>
    <row r="468">
      <c r="A468" s="76">
        <f t="shared" si="1"/>
        <v>0</v>
      </c>
      <c r="B468" s="88"/>
      <c r="C468" s="76"/>
      <c r="D468" s="86"/>
      <c r="E468" s="86"/>
      <c r="F468" s="90"/>
      <c r="G468" s="91"/>
      <c r="H468" s="86"/>
      <c r="I468" s="86"/>
      <c r="J468" s="86"/>
      <c r="K468" s="86"/>
      <c r="L468" s="86"/>
      <c r="M468" s="86"/>
      <c r="N468" s="90"/>
      <c r="O468" s="90"/>
      <c r="P468" s="90"/>
      <c r="Q468" s="106"/>
      <c r="R468" s="95"/>
      <c r="S468" s="96"/>
      <c r="T468" s="97"/>
      <c r="U468" s="85" t="str">
        <f t="array" ref="U468">IFERROR(index('3. Công thức lab theo từng mã h'!J:J,MATCH(C468,'3. Công thức lab theo từng mã h'!L:L,0)),"")</f>
        <v/>
      </c>
      <c r="V468" s="85"/>
      <c r="W468" s="75"/>
    </row>
    <row r="469">
      <c r="A469" s="64">
        <f t="shared" si="1"/>
        <v>0</v>
      </c>
      <c r="B469" s="98"/>
      <c r="C469" s="64"/>
      <c r="D469" s="16"/>
      <c r="E469" s="16"/>
      <c r="F469" s="100"/>
      <c r="G469" s="101"/>
      <c r="H469" s="16"/>
      <c r="I469" s="16"/>
      <c r="J469" s="16"/>
      <c r="K469" s="16"/>
      <c r="L469" s="16"/>
      <c r="M469" s="16"/>
      <c r="N469" s="100"/>
      <c r="O469" s="100"/>
      <c r="P469" s="100"/>
      <c r="Q469" s="106"/>
      <c r="R469" s="107"/>
      <c r="S469" s="104"/>
      <c r="T469" s="108"/>
      <c r="U469" s="74" t="str">
        <f t="array" ref="U469">IFERROR(index('3. Công thức lab theo từng mã h'!J:J,MATCH(C469,'3. Công thức lab theo từng mã h'!L:L,0)),"")</f>
        <v/>
      </c>
      <c r="V469" s="74"/>
      <c r="W469" s="75"/>
    </row>
    <row r="470">
      <c r="A470" s="76">
        <f t="shared" si="1"/>
        <v>0</v>
      </c>
      <c r="B470" s="88"/>
      <c r="C470" s="76"/>
      <c r="D470" s="86"/>
      <c r="E470" s="86"/>
      <c r="F470" s="90"/>
      <c r="G470" s="91"/>
      <c r="H470" s="86"/>
      <c r="I470" s="86"/>
      <c r="J470" s="86"/>
      <c r="K470" s="86"/>
      <c r="L470" s="86"/>
      <c r="M470" s="86"/>
      <c r="N470" s="90"/>
      <c r="O470" s="90"/>
      <c r="P470" s="90"/>
      <c r="Q470" s="106"/>
      <c r="R470" s="95"/>
      <c r="S470" s="96"/>
      <c r="T470" s="97"/>
      <c r="U470" s="85" t="str">
        <f t="array" ref="U470">IFERROR(index('3. Công thức lab theo từng mã h'!J:J,MATCH(C470,'3. Công thức lab theo từng mã h'!L:L,0)),"")</f>
        <v/>
      </c>
      <c r="V470" s="85"/>
      <c r="W470" s="75"/>
    </row>
    <row r="471">
      <c r="A471" s="64">
        <f t="shared" si="1"/>
        <v>0</v>
      </c>
      <c r="B471" s="98"/>
      <c r="C471" s="64"/>
      <c r="D471" s="16"/>
      <c r="E471" s="16"/>
      <c r="F471" s="100"/>
      <c r="G471" s="101"/>
      <c r="H471" s="16"/>
      <c r="I471" s="16"/>
      <c r="J471" s="16"/>
      <c r="K471" s="16"/>
      <c r="L471" s="16"/>
      <c r="M471" s="16"/>
      <c r="N471" s="100"/>
      <c r="O471" s="100"/>
      <c r="P471" s="100"/>
      <c r="Q471" s="106"/>
      <c r="R471" s="107"/>
      <c r="S471" s="104"/>
      <c r="T471" s="108"/>
      <c r="U471" s="74" t="str">
        <f t="array" ref="U471">IFERROR(index('3. Công thức lab theo từng mã h'!J:J,MATCH(C471,'3. Công thức lab theo từng mã h'!L:L,0)),"")</f>
        <v/>
      </c>
      <c r="V471" s="74"/>
      <c r="W471" s="75"/>
    </row>
    <row r="472">
      <c r="A472" s="76">
        <f t="shared" si="1"/>
        <v>0</v>
      </c>
      <c r="B472" s="88"/>
      <c r="C472" s="76"/>
      <c r="D472" s="86"/>
      <c r="E472" s="86"/>
      <c r="F472" s="90"/>
      <c r="G472" s="91"/>
      <c r="H472" s="86"/>
      <c r="I472" s="86"/>
      <c r="J472" s="86"/>
      <c r="K472" s="86"/>
      <c r="L472" s="86"/>
      <c r="M472" s="86"/>
      <c r="N472" s="90"/>
      <c r="O472" s="90"/>
      <c r="P472" s="90"/>
      <c r="Q472" s="106"/>
      <c r="R472" s="95"/>
      <c r="S472" s="96"/>
      <c r="T472" s="97"/>
      <c r="U472" s="85" t="str">
        <f t="array" ref="U472">IFERROR(index('3. Công thức lab theo từng mã h'!J:J,MATCH(C472,'3. Công thức lab theo từng mã h'!L:L,0)),"")</f>
        <v/>
      </c>
      <c r="V472" s="85"/>
      <c r="W472" s="75"/>
    </row>
    <row r="473">
      <c r="A473" s="64">
        <f t="shared" si="1"/>
        <v>0</v>
      </c>
      <c r="B473" s="98"/>
      <c r="C473" s="64"/>
      <c r="D473" s="16"/>
      <c r="E473" s="16"/>
      <c r="F473" s="100"/>
      <c r="G473" s="101"/>
      <c r="H473" s="16"/>
      <c r="I473" s="16"/>
      <c r="J473" s="16"/>
      <c r="K473" s="16"/>
      <c r="L473" s="16"/>
      <c r="M473" s="16"/>
      <c r="N473" s="100"/>
      <c r="O473" s="100"/>
      <c r="P473" s="100"/>
      <c r="Q473" s="106"/>
      <c r="R473" s="107"/>
      <c r="S473" s="104"/>
      <c r="T473" s="108"/>
      <c r="U473" s="74" t="str">
        <f t="array" ref="U473">IFERROR(index('3. Công thức lab theo từng mã h'!J:J,MATCH(C473,'3. Công thức lab theo từng mã h'!L:L,0)),"")</f>
        <v/>
      </c>
      <c r="V473" s="74"/>
      <c r="W473" s="75"/>
    </row>
    <row r="474">
      <c r="A474" s="76">
        <f t="shared" si="1"/>
        <v>0</v>
      </c>
      <c r="B474" s="88"/>
      <c r="C474" s="76"/>
      <c r="D474" s="86"/>
      <c r="E474" s="86"/>
      <c r="F474" s="90"/>
      <c r="G474" s="91"/>
      <c r="H474" s="86"/>
      <c r="I474" s="86"/>
      <c r="J474" s="86"/>
      <c r="K474" s="86"/>
      <c r="L474" s="86"/>
      <c r="M474" s="86"/>
      <c r="N474" s="90"/>
      <c r="O474" s="90"/>
      <c r="P474" s="90"/>
      <c r="Q474" s="106"/>
      <c r="R474" s="95"/>
      <c r="S474" s="96"/>
      <c r="T474" s="97"/>
      <c r="U474" s="85" t="str">
        <f t="array" ref="U474">IFERROR(index('3. Công thức lab theo từng mã h'!J:J,MATCH(C474,'3. Công thức lab theo từng mã h'!L:L,0)),"")</f>
        <v/>
      </c>
      <c r="V474" s="85"/>
      <c r="W474" s="75"/>
    </row>
    <row r="475">
      <c r="A475" s="64">
        <f t="shared" si="1"/>
        <v>0</v>
      </c>
      <c r="B475" s="98"/>
      <c r="C475" s="64"/>
      <c r="D475" s="16"/>
      <c r="E475" s="16"/>
      <c r="F475" s="100"/>
      <c r="G475" s="101"/>
      <c r="H475" s="16"/>
      <c r="I475" s="16"/>
      <c r="J475" s="16"/>
      <c r="K475" s="16"/>
      <c r="L475" s="16"/>
      <c r="M475" s="16"/>
      <c r="N475" s="100"/>
      <c r="O475" s="100"/>
      <c r="P475" s="100"/>
      <c r="Q475" s="106"/>
      <c r="R475" s="107"/>
      <c r="S475" s="104"/>
      <c r="T475" s="108"/>
      <c r="U475" s="74" t="str">
        <f t="array" ref="U475">IFERROR(index('3. Công thức lab theo từng mã h'!J:J,MATCH(C475,'3. Công thức lab theo từng mã h'!L:L,0)),"")</f>
        <v/>
      </c>
      <c r="V475" s="74"/>
      <c r="W475" s="75"/>
    </row>
    <row r="476">
      <c r="A476" s="76">
        <f t="shared" si="1"/>
        <v>0</v>
      </c>
      <c r="B476" s="88"/>
      <c r="C476" s="76"/>
      <c r="D476" s="86"/>
      <c r="E476" s="86"/>
      <c r="F476" s="90"/>
      <c r="G476" s="91"/>
      <c r="H476" s="86"/>
      <c r="I476" s="86"/>
      <c r="J476" s="86"/>
      <c r="K476" s="86"/>
      <c r="L476" s="86"/>
      <c r="M476" s="86"/>
      <c r="N476" s="90"/>
      <c r="O476" s="90"/>
      <c r="P476" s="90"/>
      <c r="Q476" s="106"/>
      <c r="R476" s="95"/>
      <c r="S476" s="96"/>
      <c r="T476" s="97"/>
      <c r="U476" s="85" t="str">
        <f t="array" ref="U476">IFERROR(index('3. Công thức lab theo từng mã h'!J:J,MATCH(C476,'3. Công thức lab theo từng mã h'!L:L,0)),"")</f>
        <v/>
      </c>
      <c r="V476" s="85"/>
      <c r="W476" s="75"/>
    </row>
    <row r="477">
      <c r="A477" s="64">
        <f t="shared" si="1"/>
        <v>0</v>
      </c>
      <c r="B477" s="98"/>
      <c r="C477" s="64"/>
      <c r="D477" s="16"/>
      <c r="E477" s="16"/>
      <c r="F477" s="100"/>
      <c r="G477" s="101"/>
      <c r="H477" s="16"/>
      <c r="I477" s="16"/>
      <c r="J477" s="16"/>
      <c r="K477" s="16"/>
      <c r="L477" s="16"/>
      <c r="M477" s="16"/>
      <c r="N477" s="100"/>
      <c r="O477" s="100"/>
      <c r="P477" s="100"/>
      <c r="Q477" s="106"/>
      <c r="R477" s="107"/>
      <c r="S477" s="104"/>
      <c r="T477" s="108"/>
      <c r="U477" s="74" t="str">
        <f t="array" ref="U477">IFERROR(index('3. Công thức lab theo từng mã h'!J:J,MATCH(C477,'3. Công thức lab theo từng mã h'!L:L,0)),"")</f>
        <v/>
      </c>
      <c r="V477" s="74"/>
      <c r="W477" s="75"/>
    </row>
    <row r="478">
      <c r="A478" s="76">
        <f t="shared" si="1"/>
        <v>0</v>
      </c>
      <c r="B478" s="88"/>
      <c r="C478" s="76"/>
      <c r="D478" s="86"/>
      <c r="E478" s="86"/>
      <c r="F478" s="90"/>
      <c r="G478" s="91"/>
      <c r="H478" s="86"/>
      <c r="I478" s="86"/>
      <c r="J478" s="86"/>
      <c r="K478" s="86"/>
      <c r="L478" s="86"/>
      <c r="M478" s="86"/>
      <c r="N478" s="90"/>
      <c r="O478" s="90"/>
      <c r="P478" s="90"/>
      <c r="Q478" s="106"/>
      <c r="R478" s="95"/>
      <c r="S478" s="96"/>
      <c r="T478" s="97"/>
      <c r="U478" s="85" t="str">
        <f t="array" ref="U478">IFERROR(index('3. Công thức lab theo từng mã h'!J:J,MATCH(C478,'3. Công thức lab theo từng mã h'!L:L,0)),"")</f>
        <v/>
      </c>
      <c r="V478" s="85"/>
      <c r="W478" s="75"/>
    </row>
    <row r="479">
      <c r="A479" s="64">
        <f t="shared" si="1"/>
        <v>0</v>
      </c>
      <c r="B479" s="98"/>
      <c r="C479" s="64"/>
      <c r="D479" s="16"/>
      <c r="E479" s="16"/>
      <c r="F479" s="100"/>
      <c r="G479" s="101"/>
      <c r="H479" s="16"/>
      <c r="I479" s="16"/>
      <c r="J479" s="16"/>
      <c r="K479" s="16"/>
      <c r="L479" s="16"/>
      <c r="M479" s="16"/>
      <c r="N479" s="100"/>
      <c r="O479" s="100"/>
      <c r="P479" s="100"/>
      <c r="Q479" s="106"/>
      <c r="R479" s="107"/>
      <c r="S479" s="104"/>
      <c r="T479" s="108"/>
      <c r="U479" s="74" t="str">
        <f t="array" ref="U479">IFERROR(index('3. Công thức lab theo từng mã h'!J:J,MATCH(C479,'3. Công thức lab theo từng mã h'!L:L,0)),"")</f>
        <v/>
      </c>
      <c r="V479" s="74"/>
      <c r="W479" s="75"/>
    </row>
    <row r="480">
      <c r="A480" s="76">
        <f t="shared" si="1"/>
        <v>0</v>
      </c>
      <c r="B480" s="88"/>
      <c r="C480" s="76"/>
      <c r="D480" s="86"/>
      <c r="E480" s="86"/>
      <c r="F480" s="90"/>
      <c r="G480" s="91"/>
      <c r="H480" s="86"/>
      <c r="I480" s="86"/>
      <c r="J480" s="86"/>
      <c r="K480" s="86"/>
      <c r="L480" s="86"/>
      <c r="M480" s="86"/>
      <c r="N480" s="90"/>
      <c r="O480" s="90"/>
      <c r="P480" s="90"/>
      <c r="Q480" s="106"/>
      <c r="R480" s="95"/>
      <c r="S480" s="96"/>
      <c r="T480" s="97"/>
      <c r="U480" s="85" t="str">
        <f t="array" ref="U480">IFERROR(index('3. Công thức lab theo từng mã h'!J:J,MATCH(C480,'3. Công thức lab theo từng mã h'!L:L,0)),"")</f>
        <v/>
      </c>
      <c r="V480" s="85"/>
      <c r="W480" s="75"/>
    </row>
    <row r="481">
      <c r="A481" s="64">
        <f t="shared" si="1"/>
        <v>0</v>
      </c>
      <c r="B481" s="98"/>
      <c r="C481" s="64"/>
      <c r="D481" s="16"/>
      <c r="E481" s="16"/>
      <c r="F481" s="100"/>
      <c r="G481" s="101"/>
      <c r="H481" s="16"/>
      <c r="I481" s="16"/>
      <c r="J481" s="16"/>
      <c r="K481" s="16"/>
      <c r="L481" s="16"/>
      <c r="M481" s="16"/>
      <c r="N481" s="100"/>
      <c r="O481" s="100"/>
      <c r="P481" s="100"/>
      <c r="Q481" s="106"/>
      <c r="R481" s="107"/>
      <c r="S481" s="104"/>
      <c r="T481" s="108"/>
      <c r="U481" s="74" t="str">
        <f t="array" ref="U481">IFERROR(index('3. Công thức lab theo từng mã h'!J:J,MATCH(C481,'3. Công thức lab theo từng mã h'!L:L,0)),"")</f>
        <v/>
      </c>
      <c r="V481" s="74"/>
      <c r="W481" s="75"/>
    </row>
    <row r="482">
      <c r="A482" s="76">
        <f t="shared" si="1"/>
        <v>0</v>
      </c>
      <c r="B482" s="88"/>
      <c r="C482" s="76"/>
      <c r="D482" s="86"/>
      <c r="E482" s="86"/>
      <c r="F482" s="90"/>
      <c r="G482" s="91"/>
      <c r="H482" s="86"/>
      <c r="I482" s="86"/>
      <c r="J482" s="86"/>
      <c r="K482" s="86"/>
      <c r="L482" s="86"/>
      <c r="M482" s="86"/>
      <c r="N482" s="90"/>
      <c r="O482" s="90"/>
      <c r="P482" s="90"/>
      <c r="Q482" s="106"/>
      <c r="R482" s="95"/>
      <c r="S482" s="96"/>
      <c r="T482" s="97"/>
      <c r="U482" s="85" t="str">
        <f t="array" ref="U482">IFERROR(index('3. Công thức lab theo từng mã h'!J:J,MATCH(C482,'3. Công thức lab theo từng mã h'!L:L,0)),"")</f>
        <v/>
      </c>
      <c r="V482" s="85"/>
      <c r="W482" s="75"/>
    </row>
    <row r="483">
      <c r="A483" s="64">
        <f t="shared" si="1"/>
        <v>0</v>
      </c>
      <c r="B483" s="98"/>
      <c r="C483" s="64"/>
      <c r="D483" s="16"/>
      <c r="E483" s="16"/>
      <c r="F483" s="100"/>
      <c r="G483" s="101"/>
      <c r="H483" s="16"/>
      <c r="I483" s="16"/>
      <c r="J483" s="16"/>
      <c r="K483" s="16"/>
      <c r="L483" s="16"/>
      <c r="M483" s="16"/>
      <c r="N483" s="100"/>
      <c r="O483" s="100"/>
      <c r="P483" s="100"/>
      <c r="Q483" s="106"/>
      <c r="R483" s="107"/>
      <c r="S483" s="104"/>
      <c r="T483" s="108"/>
      <c r="U483" s="74" t="str">
        <f t="array" ref="U483">IFERROR(index('3. Công thức lab theo từng mã h'!J:J,MATCH(C483,'3. Công thức lab theo từng mã h'!L:L,0)),"")</f>
        <v/>
      </c>
      <c r="V483" s="74"/>
      <c r="W483" s="75"/>
    </row>
    <row r="484">
      <c r="A484" s="76">
        <f t="shared" si="1"/>
        <v>0</v>
      </c>
      <c r="B484" s="88"/>
      <c r="C484" s="76"/>
      <c r="D484" s="86"/>
      <c r="E484" s="86"/>
      <c r="F484" s="90"/>
      <c r="G484" s="91"/>
      <c r="H484" s="86"/>
      <c r="I484" s="86"/>
      <c r="J484" s="86"/>
      <c r="K484" s="86"/>
      <c r="L484" s="86"/>
      <c r="M484" s="86"/>
      <c r="N484" s="90"/>
      <c r="O484" s="90"/>
      <c r="P484" s="90"/>
      <c r="Q484" s="106"/>
      <c r="R484" s="95"/>
      <c r="S484" s="96"/>
      <c r="T484" s="97"/>
      <c r="U484" s="85" t="str">
        <f t="array" ref="U484">IFERROR(index('3. Công thức lab theo từng mã h'!J:J,MATCH(C484,'3. Công thức lab theo từng mã h'!L:L,0)),"")</f>
        <v/>
      </c>
      <c r="V484" s="85"/>
      <c r="W484" s="75"/>
    </row>
    <row r="485">
      <c r="A485" s="64">
        <f t="shared" si="1"/>
        <v>0</v>
      </c>
      <c r="B485" s="98"/>
      <c r="C485" s="64"/>
      <c r="D485" s="16"/>
      <c r="E485" s="16"/>
      <c r="F485" s="100"/>
      <c r="G485" s="101"/>
      <c r="H485" s="16"/>
      <c r="I485" s="16"/>
      <c r="J485" s="16"/>
      <c r="K485" s="16"/>
      <c r="L485" s="16"/>
      <c r="M485" s="16"/>
      <c r="N485" s="100"/>
      <c r="O485" s="100"/>
      <c r="P485" s="100"/>
      <c r="Q485" s="106"/>
      <c r="R485" s="107"/>
      <c r="S485" s="104"/>
      <c r="T485" s="108"/>
      <c r="U485" s="74" t="str">
        <f t="array" ref="U485">IFERROR(index('3. Công thức lab theo từng mã h'!J:J,MATCH(C485,'3. Công thức lab theo từng mã h'!L:L,0)),"")</f>
        <v/>
      </c>
      <c r="V485" s="74"/>
      <c r="W485" s="75"/>
    </row>
    <row r="486">
      <c r="A486" s="76">
        <f t="shared" si="1"/>
        <v>0</v>
      </c>
      <c r="B486" s="88"/>
      <c r="C486" s="76"/>
      <c r="D486" s="86"/>
      <c r="E486" s="86"/>
      <c r="F486" s="90"/>
      <c r="G486" s="91"/>
      <c r="H486" s="86"/>
      <c r="I486" s="86"/>
      <c r="J486" s="86"/>
      <c r="K486" s="86"/>
      <c r="L486" s="86"/>
      <c r="M486" s="86"/>
      <c r="N486" s="90"/>
      <c r="O486" s="90"/>
      <c r="P486" s="90"/>
      <c r="Q486" s="106"/>
      <c r="R486" s="95"/>
      <c r="S486" s="96"/>
      <c r="T486" s="97"/>
      <c r="U486" s="85" t="str">
        <f t="array" ref="U486">IFERROR(index('3. Công thức lab theo từng mã h'!J:J,MATCH(C486,'3. Công thức lab theo từng mã h'!L:L,0)),"")</f>
        <v/>
      </c>
      <c r="V486" s="85"/>
      <c r="W486" s="75"/>
    </row>
    <row r="487">
      <c r="A487" s="64">
        <f t="shared" si="1"/>
        <v>0</v>
      </c>
      <c r="B487" s="98"/>
      <c r="C487" s="64"/>
      <c r="D487" s="16"/>
      <c r="E487" s="16"/>
      <c r="F487" s="100"/>
      <c r="G487" s="101"/>
      <c r="H487" s="16"/>
      <c r="I487" s="16"/>
      <c r="J487" s="16"/>
      <c r="K487" s="16"/>
      <c r="L487" s="16"/>
      <c r="M487" s="16"/>
      <c r="N487" s="100"/>
      <c r="O487" s="100"/>
      <c r="P487" s="100"/>
      <c r="Q487" s="106"/>
      <c r="R487" s="107"/>
      <c r="S487" s="104"/>
      <c r="T487" s="108"/>
      <c r="U487" s="74" t="str">
        <f t="array" ref="U487">IFERROR(index('3. Công thức lab theo từng mã h'!J:J,MATCH(C487,'3. Công thức lab theo từng mã h'!L:L,0)),"")</f>
        <v/>
      </c>
      <c r="V487" s="74"/>
      <c r="W487" s="75"/>
    </row>
    <row r="488">
      <c r="A488" s="76">
        <f t="shared" si="1"/>
        <v>0</v>
      </c>
      <c r="B488" s="88"/>
      <c r="C488" s="76"/>
      <c r="D488" s="86"/>
      <c r="E488" s="86"/>
      <c r="F488" s="90"/>
      <c r="G488" s="91"/>
      <c r="H488" s="86"/>
      <c r="I488" s="86"/>
      <c r="J488" s="86"/>
      <c r="K488" s="86"/>
      <c r="L488" s="86"/>
      <c r="M488" s="86"/>
      <c r="N488" s="90"/>
      <c r="O488" s="90"/>
      <c r="P488" s="90"/>
      <c r="Q488" s="106"/>
      <c r="R488" s="95"/>
      <c r="S488" s="96"/>
      <c r="T488" s="97"/>
      <c r="U488" s="85" t="str">
        <f t="array" ref="U488">IFERROR(index('3. Công thức lab theo từng mã h'!J:J,MATCH(C488,'3. Công thức lab theo từng mã h'!L:L,0)),"")</f>
        <v/>
      </c>
      <c r="V488" s="85"/>
      <c r="W488" s="75"/>
    </row>
    <row r="489">
      <c r="A489" s="64">
        <f t="shared" si="1"/>
        <v>0</v>
      </c>
      <c r="B489" s="98"/>
      <c r="C489" s="64"/>
      <c r="D489" s="16"/>
      <c r="E489" s="16"/>
      <c r="F489" s="100"/>
      <c r="G489" s="101"/>
      <c r="H489" s="16"/>
      <c r="I489" s="16"/>
      <c r="J489" s="16"/>
      <c r="K489" s="16"/>
      <c r="L489" s="16"/>
      <c r="M489" s="16"/>
      <c r="N489" s="100"/>
      <c r="O489" s="100"/>
      <c r="P489" s="100"/>
      <c r="Q489" s="106"/>
      <c r="R489" s="107"/>
      <c r="S489" s="104"/>
      <c r="T489" s="108"/>
      <c r="U489" s="74" t="str">
        <f t="array" ref="U489">IFERROR(index('3. Công thức lab theo từng mã h'!J:J,MATCH(C489,'3. Công thức lab theo từng mã h'!L:L,0)),"")</f>
        <v/>
      </c>
      <c r="V489" s="74"/>
      <c r="W489" s="75"/>
    </row>
    <row r="490">
      <c r="A490" s="76">
        <f t="shared" si="1"/>
        <v>0</v>
      </c>
      <c r="B490" s="88"/>
      <c r="C490" s="76"/>
      <c r="D490" s="86"/>
      <c r="E490" s="86"/>
      <c r="F490" s="90"/>
      <c r="G490" s="91"/>
      <c r="H490" s="86"/>
      <c r="I490" s="86"/>
      <c r="J490" s="86"/>
      <c r="K490" s="86"/>
      <c r="L490" s="86"/>
      <c r="M490" s="86"/>
      <c r="N490" s="90"/>
      <c r="O490" s="90"/>
      <c r="P490" s="90"/>
      <c r="Q490" s="106"/>
      <c r="R490" s="95"/>
      <c r="S490" s="96"/>
      <c r="T490" s="97"/>
      <c r="U490" s="85" t="str">
        <f t="array" ref="U490">IFERROR(index('3. Công thức lab theo từng mã h'!J:J,MATCH(C490,'3. Công thức lab theo từng mã h'!L:L,0)),"")</f>
        <v/>
      </c>
      <c r="V490" s="85"/>
      <c r="W490" s="75"/>
    </row>
    <row r="491">
      <c r="A491" s="64">
        <f t="shared" si="1"/>
        <v>0</v>
      </c>
      <c r="B491" s="98"/>
      <c r="C491" s="64"/>
      <c r="D491" s="16"/>
      <c r="E491" s="16"/>
      <c r="F491" s="100"/>
      <c r="G491" s="101"/>
      <c r="H491" s="16"/>
      <c r="I491" s="16"/>
      <c r="J491" s="16"/>
      <c r="K491" s="16"/>
      <c r="L491" s="16"/>
      <c r="M491" s="16"/>
      <c r="N491" s="100"/>
      <c r="O491" s="100"/>
      <c r="P491" s="100"/>
      <c r="Q491" s="106"/>
      <c r="R491" s="107"/>
      <c r="S491" s="104"/>
      <c r="T491" s="108"/>
      <c r="U491" s="74" t="str">
        <f t="array" ref="U491">IFERROR(index('3. Công thức lab theo từng mã h'!J:J,MATCH(C491,'3. Công thức lab theo từng mã h'!L:L,0)),"")</f>
        <v/>
      </c>
      <c r="V491" s="74"/>
      <c r="W491" s="75"/>
    </row>
    <row r="492">
      <c r="A492" s="76">
        <f t="shared" si="1"/>
        <v>0</v>
      </c>
      <c r="B492" s="88"/>
      <c r="C492" s="76"/>
      <c r="D492" s="86"/>
      <c r="E492" s="86"/>
      <c r="F492" s="90"/>
      <c r="G492" s="91"/>
      <c r="H492" s="86"/>
      <c r="I492" s="86"/>
      <c r="J492" s="86"/>
      <c r="K492" s="86"/>
      <c r="L492" s="86"/>
      <c r="M492" s="86"/>
      <c r="N492" s="90"/>
      <c r="O492" s="90"/>
      <c r="P492" s="90"/>
      <c r="Q492" s="106"/>
      <c r="R492" s="95"/>
      <c r="S492" s="96"/>
      <c r="T492" s="97"/>
      <c r="U492" s="85" t="str">
        <f t="array" ref="U492">IFERROR(index('3. Công thức lab theo từng mã h'!J:J,MATCH(C492,'3. Công thức lab theo từng mã h'!L:L,0)),"")</f>
        <v/>
      </c>
      <c r="V492" s="85"/>
      <c r="W492" s="75"/>
    </row>
    <row r="493">
      <c r="A493" s="64">
        <f t="shared" si="1"/>
        <v>0</v>
      </c>
      <c r="B493" s="98"/>
      <c r="C493" s="64"/>
      <c r="D493" s="16"/>
      <c r="E493" s="16"/>
      <c r="F493" s="100"/>
      <c r="G493" s="101"/>
      <c r="H493" s="16"/>
      <c r="I493" s="16"/>
      <c r="J493" s="16"/>
      <c r="K493" s="16"/>
      <c r="L493" s="16"/>
      <c r="M493" s="16"/>
      <c r="N493" s="100"/>
      <c r="O493" s="100"/>
      <c r="P493" s="100"/>
      <c r="Q493" s="106"/>
      <c r="R493" s="107"/>
      <c r="S493" s="104"/>
      <c r="T493" s="108"/>
      <c r="U493" s="74" t="str">
        <f t="array" ref="U493">IFERROR(index('3. Công thức lab theo từng mã h'!J:J,MATCH(C493,'3. Công thức lab theo từng mã h'!L:L,0)),"")</f>
        <v/>
      </c>
      <c r="V493" s="74"/>
      <c r="W493" s="75"/>
    </row>
    <row r="494">
      <c r="A494" s="76">
        <f t="shared" si="1"/>
        <v>0</v>
      </c>
      <c r="B494" s="88"/>
      <c r="C494" s="76"/>
      <c r="D494" s="86"/>
      <c r="E494" s="86"/>
      <c r="F494" s="90"/>
      <c r="G494" s="91"/>
      <c r="H494" s="86"/>
      <c r="I494" s="86"/>
      <c r="J494" s="86"/>
      <c r="K494" s="86"/>
      <c r="L494" s="86"/>
      <c r="M494" s="86"/>
      <c r="N494" s="90"/>
      <c r="O494" s="90"/>
      <c r="P494" s="90"/>
      <c r="Q494" s="106"/>
      <c r="R494" s="95"/>
      <c r="S494" s="96"/>
      <c r="T494" s="97"/>
      <c r="U494" s="85" t="str">
        <f t="array" ref="U494">IFERROR(index('3. Công thức lab theo từng mã h'!J:J,MATCH(C494,'3. Công thức lab theo từng mã h'!L:L,0)),"")</f>
        <v/>
      </c>
      <c r="V494" s="85"/>
      <c r="W494" s="75"/>
    </row>
    <row r="495">
      <c r="A495" s="64">
        <f t="shared" si="1"/>
        <v>0</v>
      </c>
      <c r="B495" s="98"/>
      <c r="C495" s="64"/>
      <c r="D495" s="16"/>
      <c r="E495" s="16"/>
      <c r="F495" s="100"/>
      <c r="G495" s="101"/>
      <c r="H495" s="16"/>
      <c r="I495" s="16"/>
      <c r="J495" s="16"/>
      <c r="K495" s="16"/>
      <c r="L495" s="16"/>
      <c r="M495" s="16"/>
      <c r="N495" s="100"/>
      <c r="O495" s="100"/>
      <c r="P495" s="100"/>
      <c r="Q495" s="106"/>
      <c r="R495" s="107"/>
      <c r="S495" s="104"/>
      <c r="T495" s="108"/>
      <c r="U495" s="74" t="str">
        <f t="array" ref="U495">IFERROR(index('3. Công thức lab theo từng mã h'!J:J,MATCH(C495,'3. Công thức lab theo từng mã h'!L:L,0)),"")</f>
        <v/>
      </c>
      <c r="V495" s="74"/>
      <c r="W495" s="75"/>
    </row>
    <row r="496">
      <c r="A496" s="76">
        <f t="shared" si="1"/>
        <v>0</v>
      </c>
      <c r="B496" s="88"/>
      <c r="C496" s="76"/>
      <c r="D496" s="86"/>
      <c r="E496" s="86"/>
      <c r="F496" s="90"/>
      <c r="G496" s="91"/>
      <c r="H496" s="86"/>
      <c r="I496" s="86"/>
      <c r="J496" s="86"/>
      <c r="K496" s="86"/>
      <c r="L496" s="86"/>
      <c r="M496" s="86"/>
      <c r="N496" s="90"/>
      <c r="O496" s="90"/>
      <c r="P496" s="90"/>
      <c r="Q496" s="106"/>
      <c r="R496" s="95"/>
      <c r="S496" s="96"/>
      <c r="T496" s="97"/>
      <c r="U496" s="85" t="str">
        <f t="array" ref="U496">IFERROR(index('3. Công thức lab theo từng mã h'!J:J,MATCH(C496,'3. Công thức lab theo từng mã h'!L:L,0)),"")</f>
        <v/>
      </c>
      <c r="V496" s="85"/>
      <c r="W496" s="75"/>
    </row>
    <row r="497">
      <c r="A497" s="64">
        <f t="shared" si="1"/>
        <v>0</v>
      </c>
      <c r="B497" s="98"/>
      <c r="C497" s="64"/>
      <c r="D497" s="16"/>
      <c r="E497" s="16"/>
      <c r="F497" s="100"/>
      <c r="G497" s="101"/>
      <c r="H497" s="16"/>
      <c r="I497" s="16"/>
      <c r="J497" s="16"/>
      <c r="K497" s="16"/>
      <c r="L497" s="16"/>
      <c r="M497" s="16"/>
      <c r="N497" s="100"/>
      <c r="O497" s="100"/>
      <c r="P497" s="100"/>
      <c r="Q497" s="106"/>
      <c r="R497" s="107"/>
      <c r="S497" s="104"/>
      <c r="T497" s="108"/>
      <c r="U497" s="74" t="str">
        <f t="array" ref="U497">IFERROR(index('3. Công thức lab theo từng mã h'!J:J,MATCH(C497,'3. Công thức lab theo từng mã h'!L:L,0)),"")</f>
        <v/>
      </c>
      <c r="V497" s="74"/>
      <c r="W497" s="75"/>
    </row>
    <row r="498">
      <c r="A498" s="76">
        <f t="shared" si="1"/>
        <v>0</v>
      </c>
      <c r="B498" s="88"/>
      <c r="C498" s="76"/>
      <c r="D498" s="86"/>
      <c r="E498" s="86"/>
      <c r="F498" s="90"/>
      <c r="G498" s="91"/>
      <c r="H498" s="86"/>
      <c r="I498" s="86"/>
      <c r="J498" s="86"/>
      <c r="K498" s="86"/>
      <c r="L498" s="86"/>
      <c r="M498" s="86"/>
      <c r="N498" s="90"/>
      <c r="O498" s="90"/>
      <c r="P498" s="90"/>
      <c r="Q498" s="106"/>
      <c r="R498" s="95"/>
      <c r="S498" s="96"/>
      <c r="T498" s="97"/>
      <c r="U498" s="85" t="str">
        <f t="array" ref="U498">IFERROR(index('3. Công thức lab theo từng mã h'!J:J,MATCH(C498,'3. Công thức lab theo từng mã h'!L:L,0)),"")</f>
        <v/>
      </c>
      <c r="V498" s="85"/>
      <c r="W498" s="75"/>
    </row>
    <row r="499">
      <c r="A499" s="64">
        <f t="shared" si="1"/>
        <v>0</v>
      </c>
      <c r="B499" s="98"/>
      <c r="C499" s="64"/>
      <c r="D499" s="16"/>
      <c r="E499" s="16"/>
      <c r="F499" s="100"/>
      <c r="G499" s="101"/>
      <c r="H499" s="16"/>
      <c r="I499" s="16"/>
      <c r="J499" s="16"/>
      <c r="K499" s="16"/>
      <c r="L499" s="16"/>
      <c r="M499" s="16"/>
      <c r="N499" s="100"/>
      <c r="O499" s="100"/>
      <c r="P499" s="100"/>
      <c r="Q499" s="106"/>
      <c r="R499" s="107"/>
      <c r="S499" s="104"/>
      <c r="T499" s="108"/>
      <c r="U499" s="74" t="str">
        <f t="array" ref="U499">IFERROR(index('3. Công thức lab theo từng mã h'!J:J,MATCH(C499,'3. Công thức lab theo từng mã h'!L:L,0)),"")</f>
        <v/>
      </c>
      <c r="V499" s="74"/>
      <c r="W499" s="75"/>
    </row>
    <row r="500">
      <c r="A500" s="76">
        <f t="shared" si="1"/>
        <v>0</v>
      </c>
      <c r="B500" s="88"/>
      <c r="C500" s="76"/>
      <c r="D500" s="86"/>
      <c r="E500" s="86"/>
      <c r="F500" s="90"/>
      <c r="G500" s="91"/>
      <c r="H500" s="86"/>
      <c r="I500" s="86"/>
      <c r="J500" s="86"/>
      <c r="K500" s="86"/>
      <c r="L500" s="86"/>
      <c r="M500" s="86"/>
      <c r="N500" s="90"/>
      <c r="O500" s="90"/>
      <c r="P500" s="90"/>
      <c r="Q500" s="106"/>
      <c r="R500" s="95"/>
      <c r="S500" s="96"/>
      <c r="T500" s="97"/>
      <c r="U500" s="85" t="str">
        <f t="array" ref="U500">IFERROR(index('3. Công thức lab theo từng mã h'!J:J,MATCH(C500,'3. Công thức lab theo từng mã h'!L:L,0)),"")</f>
        <v/>
      </c>
      <c r="V500" s="85"/>
      <c r="W500" s="75"/>
    </row>
    <row r="501">
      <c r="A501" s="64">
        <f t="shared" si="1"/>
        <v>0</v>
      </c>
      <c r="B501" s="98"/>
      <c r="C501" s="64"/>
      <c r="D501" s="16"/>
      <c r="E501" s="16"/>
      <c r="F501" s="100"/>
      <c r="G501" s="101"/>
      <c r="H501" s="16"/>
      <c r="I501" s="16"/>
      <c r="J501" s="16"/>
      <c r="K501" s="16"/>
      <c r="L501" s="16"/>
      <c r="M501" s="16"/>
      <c r="N501" s="100"/>
      <c r="O501" s="100"/>
      <c r="P501" s="100"/>
      <c r="Q501" s="106"/>
      <c r="R501" s="107"/>
      <c r="S501" s="104"/>
      <c r="T501" s="108"/>
      <c r="U501" s="74" t="str">
        <f t="array" ref="U501">IFERROR(index('3. Công thức lab theo từng mã h'!J:J,MATCH(C501,'3. Công thức lab theo từng mã h'!L:L,0)),"")</f>
        <v/>
      </c>
      <c r="V501" s="74"/>
      <c r="W501" s="75"/>
    </row>
    <row r="502">
      <c r="A502" s="76">
        <f t="shared" si="1"/>
        <v>0</v>
      </c>
      <c r="B502" s="88"/>
      <c r="C502" s="76"/>
      <c r="D502" s="86"/>
      <c r="E502" s="86"/>
      <c r="F502" s="90"/>
      <c r="G502" s="91"/>
      <c r="H502" s="86"/>
      <c r="I502" s="86"/>
      <c r="J502" s="86"/>
      <c r="K502" s="86"/>
      <c r="L502" s="86"/>
      <c r="M502" s="86"/>
      <c r="N502" s="90"/>
      <c r="O502" s="90"/>
      <c r="P502" s="90"/>
      <c r="Q502" s="106"/>
      <c r="R502" s="95"/>
      <c r="S502" s="96"/>
      <c r="T502" s="97"/>
      <c r="U502" s="85" t="str">
        <f t="array" ref="U502">IFERROR(index('3. Công thức lab theo từng mã h'!J:J,MATCH(C502,'3. Công thức lab theo từng mã h'!L:L,0)),"")</f>
        <v/>
      </c>
      <c r="V502" s="85"/>
      <c r="W502" s="75"/>
    </row>
    <row r="503">
      <c r="A503" s="64">
        <f t="shared" si="1"/>
        <v>0</v>
      </c>
      <c r="B503" s="98"/>
      <c r="C503" s="64"/>
      <c r="D503" s="16"/>
      <c r="E503" s="16"/>
      <c r="F503" s="100"/>
      <c r="G503" s="101"/>
      <c r="H503" s="16"/>
      <c r="I503" s="16"/>
      <c r="J503" s="16"/>
      <c r="K503" s="16"/>
      <c r="L503" s="16"/>
      <c r="M503" s="16"/>
      <c r="N503" s="100"/>
      <c r="O503" s="100"/>
      <c r="P503" s="100"/>
      <c r="Q503" s="106"/>
      <c r="R503" s="107"/>
      <c r="S503" s="104"/>
      <c r="T503" s="108"/>
      <c r="U503" s="74" t="str">
        <f t="array" ref="U503">IFERROR(index('3. Công thức lab theo từng mã h'!J:J,MATCH(C503,'3. Công thức lab theo từng mã h'!L:L,0)),"")</f>
        <v/>
      </c>
      <c r="V503" s="74"/>
      <c r="W503" s="75"/>
    </row>
    <row r="504">
      <c r="A504" s="76">
        <f t="shared" si="1"/>
        <v>0</v>
      </c>
      <c r="B504" s="88"/>
      <c r="C504" s="76"/>
      <c r="D504" s="86"/>
      <c r="E504" s="86"/>
      <c r="F504" s="90"/>
      <c r="G504" s="91"/>
      <c r="H504" s="86"/>
      <c r="I504" s="86"/>
      <c r="J504" s="86"/>
      <c r="K504" s="86"/>
      <c r="L504" s="86"/>
      <c r="M504" s="86"/>
      <c r="N504" s="90"/>
      <c r="O504" s="90"/>
      <c r="P504" s="90"/>
      <c r="Q504" s="106"/>
      <c r="R504" s="95"/>
      <c r="S504" s="96"/>
      <c r="T504" s="97"/>
      <c r="U504" s="85" t="str">
        <f t="array" ref="U504">IFERROR(index('3. Công thức lab theo từng mã h'!J:J,MATCH(C504,'3. Công thức lab theo từng mã h'!L:L,0)),"")</f>
        <v/>
      </c>
      <c r="V504" s="85"/>
      <c r="W504" s="75"/>
    </row>
    <row r="505">
      <c r="A505" s="64">
        <f t="shared" si="1"/>
        <v>0</v>
      </c>
      <c r="B505" s="98"/>
      <c r="C505" s="64"/>
      <c r="D505" s="16"/>
      <c r="E505" s="16"/>
      <c r="F505" s="100"/>
      <c r="G505" s="101"/>
      <c r="H505" s="16"/>
      <c r="I505" s="16"/>
      <c r="J505" s="16"/>
      <c r="K505" s="16"/>
      <c r="L505" s="16"/>
      <c r="M505" s="16"/>
      <c r="N505" s="100"/>
      <c r="O505" s="100"/>
      <c r="P505" s="100"/>
      <c r="Q505" s="106"/>
      <c r="R505" s="107"/>
      <c r="S505" s="104"/>
      <c r="T505" s="108"/>
      <c r="U505" s="74" t="str">
        <f t="array" ref="U505">IFERROR(index('3. Công thức lab theo từng mã h'!J:J,MATCH(C505,'3. Công thức lab theo từng mã h'!L:L,0)),"")</f>
        <v/>
      </c>
      <c r="V505" s="74"/>
      <c r="W505" s="75"/>
    </row>
    <row r="506">
      <c r="A506" s="76">
        <f t="shared" si="1"/>
        <v>0</v>
      </c>
      <c r="B506" s="88"/>
      <c r="C506" s="76"/>
      <c r="D506" s="86"/>
      <c r="E506" s="86"/>
      <c r="F506" s="90"/>
      <c r="G506" s="91"/>
      <c r="H506" s="86"/>
      <c r="I506" s="86"/>
      <c r="J506" s="86"/>
      <c r="K506" s="86"/>
      <c r="L506" s="86"/>
      <c r="M506" s="86"/>
      <c r="N506" s="90"/>
      <c r="O506" s="90"/>
      <c r="P506" s="90"/>
      <c r="Q506" s="106"/>
      <c r="R506" s="95"/>
      <c r="S506" s="96"/>
      <c r="T506" s="97"/>
      <c r="U506" s="85" t="str">
        <f t="array" ref="U506">IFERROR(index('3. Công thức lab theo từng mã h'!J:J,MATCH(C506,'3. Công thức lab theo từng mã h'!L:L,0)),"")</f>
        <v/>
      </c>
      <c r="V506" s="85"/>
      <c r="W506" s="75"/>
    </row>
    <row r="507">
      <c r="A507" s="64">
        <f t="shared" si="1"/>
        <v>0</v>
      </c>
      <c r="B507" s="98"/>
      <c r="C507" s="64"/>
      <c r="D507" s="16"/>
      <c r="E507" s="16"/>
      <c r="F507" s="100"/>
      <c r="G507" s="101"/>
      <c r="H507" s="16"/>
      <c r="I507" s="16"/>
      <c r="J507" s="16"/>
      <c r="K507" s="16"/>
      <c r="L507" s="16"/>
      <c r="M507" s="16"/>
      <c r="N507" s="100"/>
      <c r="O507" s="100"/>
      <c r="P507" s="100"/>
      <c r="Q507" s="106"/>
      <c r="R507" s="107"/>
      <c r="S507" s="104"/>
      <c r="T507" s="108"/>
      <c r="U507" s="74" t="str">
        <f t="array" ref="U507">IFERROR(index('3. Công thức lab theo từng mã h'!J:J,MATCH(C507,'3. Công thức lab theo từng mã h'!L:L,0)),"")</f>
        <v/>
      </c>
      <c r="V507" s="74"/>
      <c r="W507" s="75"/>
    </row>
    <row r="508">
      <c r="A508" s="76">
        <f t="shared" si="1"/>
        <v>0</v>
      </c>
      <c r="B508" s="88"/>
      <c r="C508" s="76"/>
      <c r="D508" s="86"/>
      <c r="E508" s="86"/>
      <c r="F508" s="90"/>
      <c r="G508" s="91"/>
      <c r="H508" s="86"/>
      <c r="I508" s="86"/>
      <c r="J508" s="86"/>
      <c r="K508" s="86"/>
      <c r="L508" s="86"/>
      <c r="M508" s="86"/>
      <c r="N508" s="90"/>
      <c r="O508" s="90"/>
      <c r="P508" s="90"/>
      <c r="Q508" s="106"/>
      <c r="R508" s="95"/>
      <c r="S508" s="96"/>
      <c r="T508" s="97"/>
      <c r="U508" s="85" t="str">
        <f t="array" ref="U508">IFERROR(index('3. Công thức lab theo từng mã h'!J:J,MATCH(C508,'3. Công thức lab theo từng mã h'!L:L,0)),"")</f>
        <v/>
      </c>
      <c r="V508" s="85"/>
      <c r="W508" s="75"/>
    </row>
    <row r="509">
      <c r="A509" s="64">
        <f t="shared" si="1"/>
        <v>0</v>
      </c>
      <c r="B509" s="98"/>
      <c r="C509" s="64"/>
      <c r="D509" s="16"/>
      <c r="E509" s="16"/>
      <c r="F509" s="100"/>
      <c r="G509" s="101"/>
      <c r="H509" s="16"/>
      <c r="I509" s="16"/>
      <c r="J509" s="16"/>
      <c r="K509" s="16"/>
      <c r="L509" s="16"/>
      <c r="M509" s="16"/>
      <c r="N509" s="100"/>
      <c r="O509" s="100"/>
      <c r="P509" s="100"/>
      <c r="Q509" s="106"/>
      <c r="R509" s="107"/>
      <c r="S509" s="104"/>
      <c r="T509" s="108"/>
      <c r="U509" s="74" t="str">
        <f t="array" ref="U509">IFERROR(index('3. Công thức lab theo từng mã h'!J:J,MATCH(C509,'3. Công thức lab theo từng mã h'!L:L,0)),"")</f>
        <v/>
      </c>
      <c r="V509" s="74"/>
      <c r="W509" s="75"/>
    </row>
    <row r="510">
      <c r="A510" s="76">
        <f t="shared" si="1"/>
        <v>0</v>
      </c>
      <c r="B510" s="88"/>
      <c r="C510" s="76"/>
      <c r="D510" s="86"/>
      <c r="E510" s="86"/>
      <c r="F510" s="90"/>
      <c r="G510" s="91"/>
      <c r="H510" s="86"/>
      <c r="I510" s="86"/>
      <c r="J510" s="86"/>
      <c r="K510" s="86"/>
      <c r="L510" s="86"/>
      <c r="M510" s="86"/>
      <c r="N510" s="90"/>
      <c r="O510" s="90"/>
      <c r="P510" s="90"/>
      <c r="Q510" s="106"/>
      <c r="R510" s="95"/>
      <c r="S510" s="96"/>
      <c r="T510" s="97"/>
      <c r="U510" s="85" t="str">
        <f t="array" ref="U510">IFERROR(index('3. Công thức lab theo từng mã h'!J:J,MATCH(C510,'3. Công thức lab theo từng mã h'!L:L,0)),"")</f>
        <v/>
      </c>
      <c r="V510" s="85"/>
      <c r="W510" s="75"/>
    </row>
    <row r="511">
      <c r="A511" s="64">
        <f t="shared" si="1"/>
        <v>0</v>
      </c>
      <c r="B511" s="98"/>
      <c r="C511" s="64"/>
      <c r="D511" s="16"/>
      <c r="E511" s="16"/>
      <c r="F511" s="100"/>
      <c r="G511" s="101"/>
      <c r="H511" s="16"/>
      <c r="I511" s="16"/>
      <c r="J511" s="16"/>
      <c r="K511" s="16"/>
      <c r="L511" s="16"/>
      <c r="M511" s="16"/>
      <c r="N511" s="100"/>
      <c r="O511" s="100"/>
      <c r="P511" s="100"/>
      <c r="Q511" s="106"/>
      <c r="R511" s="107"/>
      <c r="S511" s="104"/>
      <c r="T511" s="108"/>
      <c r="U511" s="74" t="str">
        <f t="array" ref="U511">IFERROR(index('3. Công thức lab theo từng mã h'!J:J,MATCH(C511,'3. Công thức lab theo từng mã h'!L:L,0)),"")</f>
        <v/>
      </c>
      <c r="V511" s="74"/>
      <c r="W511" s="75"/>
    </row>
    <row r="512">
      <c r="A512" s="76">
        <f t="shared" si="1"/>
        <v>0</v>
      </c>
      <c r="B512" s="88"/>
      <c r="C512" s="76"/>
      <c r="D512" s="86"/>
      <c r="E512" s="86"/>
      <c r="F512" s="90"/>
      <c r="G512" s="91"/>
      <c r="H512" s="86"/>
      <c r="I512" s="86"/>
      <c r="J512" s="86"/>
      <c r="K512" s="86"/>
      <c r="L512" s="86"/>
      <c r="M512" s="86"/>
      <c r="N512" s="90"/>
      <c r="O512" s="90"/>
      <c r="P512" s="90"/>
      <c r="Q512" s="106"/>
      <c r="R512" s="95"/>
      <c r="S512" s="96"/>
      <c r="T512" s="97"/>
      <c r="U512" s="85" t="str">
        <f t="array" ref="U512">IFERROR(index('3. Công thức lab theo từng mã h'!J:J,MATCH(C512,'3. Công thức lab theo từng mã h'!L:L,0)),"")</f>
        <v/>
      </c>
      <c r="V512" s="85"/>
      <c r="W512" s="75"/>
    </row>
    <row r="513">
      <c r="A513" s="64">
        <f t="shared" si="1"/>
        <v>0</v>
      </c>
      <c r="B513" s="98"/>
      <c r="C513" s="64"/>
      <c r="D513" s="16"/>
      <c r="E513" s="16"/>
      <c r="F513" s="100"/>
      <c r="G513" s="101"/>
      <c r="H513" s="16"/>
      <c r="I513" s="16"/>
      <c r="J513" s="16"/>
      <c r="K513" s="16"/>
      <c r="L513" s="16"/>
      <c r="M513" s="16"/>
      <c r="N513" s="100"/>
      <c r="O513" s="100"/>
      <c r="P513" s="100"/>
      <c r="Q513" s="106"/>
      <c r="R513" s="107"/>
      <c r="S513" s="104"/>
      <c r="T513" s="108"/>
      <c r="U513" s="74" t="str">
        <f t="array" ref="U513">IFERROR(index('3. Công thức lab theo từng mã h'!J:J,MATCH(C513,'3. Công thức lab theo từng mã h'!L:L,0)),"")</f>
        <v/>
      </c>
      <c r="V513" s="74"/>
      <c r="W513" s="75"/>
    </row>
    <row r="514">
      <c r="A514" s="76">
        <f t="shared" si="1"/>
        <v>0</v>
      </c>
      <c r="B514" s="88"/>
      <c r="C514" s="76"/>
      <c r="D514" s="86"/>
      <c r="E514" s="86"/>
      <c r="F514" s="90"/>
      <c r="G514" s="91"/>
      <c r="H514" s="86"/>
      <c r="I514" s="86"/>
      <c r="J514" s="86"/>
      <c r="K514" s="86"/>
      <c r="L514" s="86"/>
      <c r="M514" s="86"/>
      <c r="N514" s="90"/>
      <c r="O514" s="90"/>
      <c r="P514" s="90"/>
      <c r="Q514" s="106"/>
      <c r="R514" s="95"/>
      <c r="S514" s="96"/>
      <c r="T514" s="97"/>
      <c r="U514" s="85" t="str">
        <f t="array" ref="U514">IFERROR(index('3. Công thức lab theo từng mã h'!J:J,MATCH(C514,'3. Công thức lab theo từng mã h'!L:L,0)),"")</f>
        <v/>
      </c>
      <c r="V514" s="85"/>
      <c r="W514" s="75"/>
    </row>
    <row r="515">
      <c r="A515" s="64">
        <f t="shared" si="1"/>
        <v>0</v>
      </c>
      <c r="B515" s="98"/>
      <c r="C515" s="64"/>
      <c r="D515" s="16"/>
      <c r="E515" s="16"/>
      <c r="F515" s="100"/>
      <c r="G515" s="101"/>
      <c r="H515" s="16"/>
      <c r="I515" s="16"/>
      <c r="J515" s="16"/>
      <c r="K515" s="16"/>
      <c r="L515" s="16"/>
      <c r="M515" s="16"/>
      <c r="N515" s="100"/>
      <c r="O515" s="100"/>
      <c r="P515" s="100"/>
      <c r="Q515" s="106"/>
      <c r="R515" s="107"/>
      <c r="S515" s="104"/>
      <c r="T515" s="108"/>
      <c r="U515" s="74" t="str">
        <f t="array" ref="U515">IFERROR(index('3. Công thức lab theo từng mã h'!J:J,MATCH(C515,'3. Công thức lab theo từng mã h'!L:L,0)),"")</f>
        <v/>
      </c>
      <c r="V515" s="74"/>
      <c r="W515" s="75"/>
    </row>
    <row r="516">
      <c r="A516" s="76">
        <f t="shared" si="1"/>
        <v>0</v>
      </c>
      <c r="B516" s="88"/>
      <c r="C516" s="76"/>
      <c r="D516" s="86"/>
      <c r="E516" s="86"/>
      <c r="F516" s="90"/>
      <c r="G516" s="91"/>
      <c r="H516" s="86"/>
      <c r="I516" s="86"/>
      <c r="J516" s="86"/>
      <c r="K516" s="86"/>
      <c r="L516" s="86"/>
      <c r="M516" s="86"/>
      <c r="N516" s="90"/>
      <c r="O516" s="90"/>
      <c r="P516" s="90"/>
      <c r="Q516" s="106"/>
      <c r="R516" s="95"/>
      <c r="S516" s="96"/>
      <c r="T516" s="97"/>
      <c r="U516" s="85" t="str">
        <f t="array" ref="U516">IFERROR(index('3. Công thức lab theo từng mã h'!J:J,MATCH(C516,'3. Công thức lab theo từng mã h'!L:L,0)),"")</f>
        <v/>
      </c>
      <c r="V516" s="85"/>
      <c r="W516" s="75"/>
    </row>
    <row r="517">
      <c r="A517" s="64">
        <f t="shared" si="1"/>
        <v>0</v>
      </c>
      <c r="B517" s="98"/>
      <c r="C517" s="64"/>
      <c r="D517" s="16"/>
      <c r="E517" s="16"/>
      <c r="F517" s="100"/>
      <c r="G517" s="101"/>
      <c r="H517" s="16"/>
      <c r="I517" s="16"/>
      <c r="J517" s="16"/>
      <c r="K517" s="16"/>
      <c r="L517" s="16"/>
      <c r="M517" s="16"/>
      <c r="N517" s="100"/>
      <c r="O517" s="100"/>
      <c r="P517" s="100"/>
      <c r="Q517" s="106"/>
      <c r="R517" s="107"/>
      <c r="S517" s="104"/>
      <c r="T517" s="108"/>
      <c r="U517" s="74" t="str">
        <f t="array" ref="U517">IFERROR(index('3. Công thức lab theo từng mã h'!J:J,MATCH(C517,'3. Công thức lab theo từng mã h'!L:L,0)),"")</f>
        <v/>
      </c>
      <c r="V517" s="74"/>
      <c r="W517" s="75"/>
    </row>
    <row r="518">
      <c r="A518" s="76">
        <f t="shared" si="1"/>
        <v>0</v>
      </c>
      <c r="B518" s="88"/>
      <c r="C518" s="76"/>
      <c r="D518" s="86"/>
      <c r="E518" s="86"/>
      <c r="F518" s="90"/>
      <c r="G518" s="91"/>
      <c r="H518" s="86"/>
      <c r="I518" s="86"/>
      <c r="J518" s="86"/>
      <c r="K518" s="86"/>
      <c r="L518" s="86"/>
      <c r="M518" s="86"/>
      <c r="N518" s="90"/>
      <c r="O518" s="90"/>
      <c r="P518" s="90"/>
      <c r="Q518" s="106"/>
      <c r="R518" s="95"/>
      <c r="S518" s="96"/>
      <c r="T518" s="97"/>
      <c r="U518" s="85" t="str">
        <f t="array" ref="U518">IFERROR(index('3. Công thức lab theo từng mã h'!J:J,MATCH(C518,'3. Công thức lab theo từng mã h'!L:L,0)),"")</f>
        <v/>
      </c>
      <c r="V518" s="85"/>
      <c r="W518" s="75"/>
    </row>
    <row r="519">
      <c r="A519" s="64">
        <f t="shared" si="1"/>
        <v>0</v>
      </c>
      <c r="B519" s="98"/>
      <c r="C519" s="64"/>
      <c r="D519" s="16"/>
      <c r="E519" s="16"/>
      <c r="F519" s="100"/>
      <c r="G519" s="101"/>
      <c r="H519" s="16"/>
      <c r="I519" s="16"/>
      <c r="J519" s="16"/>
      <c r="K519" s="16"/>
      <c r="L519" s="16"/>
      <c r="M519" s="16"/>
      <c r="N519" s="100"/>
      <c r="O519" s="100"/>
      <c r="P519" s="100"/>
      <c r="Q519" s="106"/>
      <c r="R519" s="107"/>
      <c r="S519" s="104"/>
      <c r="T519" s="108"/>
      <c r="U519" s="74" t="str">
        <f t="array" ref="U519">IFERROR(index('3. Công thức lab theo từng mã h'!J:J,MATCH(C519,'3. Công thức lab theo từng mã h'!L:L,0)),"")</f>
        <v/>
      </c>
      <c r="V519" s="74"/>
      <c r="W519" s="75"/>
    </row>
    <row r="520">
      <c r="A520" s="76">
        <f t="shared" si="1"/>
        <v>0</v>
      </c>
      <c r="B520" s="88"/>
      <c r="C520" s="76"/>
      <c r="D520" s="86"/>
      <c r="E520" s="86"/>
      <c r="F520" s="90"/>
      <c r="G520" s="91"/>
      <c r="H520" s="86"/>
      <c r="I520" s="86"/>
      <c r="J520" s="86"/>
      <c r="K520" s="86"/>
      <c r="L520" s="86"/>
      <c r="M520" s="86"/>
      <c r="N520" s="90"/>
      <c r="O520" s="90"/>
      <c r="P520" s="90"/>
      <c r="Q520" s="106"/>
      <c r="R520" s="95"/>
      <c r="S520" s="96"/>
      <c r="T520" s="97"/>
      <c r="U520" s="85" t="str">
        <f t="array" ref="U520">IFERROR(index('3. Công thức lab theo từng mã h'!J:J,MATCH(C520,'3. Công thức lab theo từng mã h'!L:L,0)),"")</f>
        <v/>
      </c>
      <c r="V520" s="85"/>
      <c r="W520" s="75"/>
    </row>
    <row r="521">
      <c r="A521" s="64">
        <f t="shared" si="1"/>
        <v>0</v>
      </c>
      <c r="B521" s="98"/>
      <c r="C521" s="64"/>
      <c r="D521" s="16"/>
      <c r="E521" s="16"/>
      <c r="F521" s="100"/>
      <c r="G521" s="101"/>
      <c r="H521" s="16"/>
      <c r="I521" s="16"/>
      <c r="J521" s="16"/>
      <c r="K521" s="16"/>
      <c r="L521" s="16"/>
      <c r="M521" s="16"/>
      <c r="N521" s="100"/>
      <c r="O521" s="100"/>
      <c r="P521" s="100"/>
      <c r="Q521" s="106"/>
      <c r="R521" s="107"/>
      <c r="S521" s="104"/>
      <c r="T521" s="108"/>
      <c r="U521" s="74" t="str">
        <f t="array" ref="U521">IFERROR(index('3. Công thức lab theo từng mã h'!J:J,MATCH(C521,'3. Công thức lab theo từng mã h'!L:L,0)),"")</f>
        <v/>
      </c>
      <c r="V521" s="74"/>
      <c r="W521" s="75"/>
    </row>
    <row r="522">
      <c r="A522" s="76">
        <f t="shared" si="1"/>
        <v>0</v>
      </c>
      <c r="B522" s="88"/>
      <c r="C522" s="76"/>
      <c r="D522" s="86"/>
      <c r="E522" s="86"/>
      <c r="F522" s="90"/>
      <c r="G522" s="91"/>
      <c r="H522" s="86"/>
      <c r="I522" s="86"/>
      <c r="J522" s="86"/>
      <c r="K522" s="86"/>
      <c r="L522" s="86"/>
      <c r="M522" s="86"/>
      <c r="N522" s="90"/>
      <c r="O522" s="90"/>
      <c r="P522" s="90"/>
      <c r="Q522" s="106"/>
      <c r="R522" s="95"/>
      <c r="S522" s="96"/>
      <c r="T522" s="97"/>
      <c r="U522" s="85" t="str">
        <f t="array" ref="U522">IFERROR(index('3. Công thức lab theo từng mã h'!J:J,MATCH(C522,'3. Công thức lab theo từng mã h'!L:L,0)),"")</f>
        <v/>
      </c>
      <c r="V522" s="85"/>
      <c r="W522" s="75"/>
    </row>
    <row r="523">
      <c r="A523" s="64">
        <f t="shared" si="1"/>
        <v>0</v>
      </c>
      <c r="B523" s="98"/>
      <c r="C523" s="64"/>
      <c r="D523" s="16"/>
      <c r="E523" s="16"/>
      <c r="F523" s="100"/>
      <c r="G523" s="101"/>
      <c r="H523" s="16"/>
      <c r="I523" s="16"/>
      <c r="J523" s="16"/>
      <c r="K523" s="16"/>
      <c r="L523" s="16"/>
      <c r="M523" s="16"/>
      <c r="N523" s="100"/>
      <c r="O523" s="100"/>
      <c r="P523" s="100"/>
      <c r="Q523" s="106"/>
      <c r="R523" s="107"/>
      <c r="S523" s="104"/>
      <c r="T523" s="108"/>
      <c r="U523" s="74" t="str">
        <f t="array" ref="U523">IFERROR(index('3. Công thức lab theo từng mã h'!J:J,MATCH(C523,'3. Công thức lab theo từng mã h'!L:L,0)),"")</f>
        <v/>
      </c>
      <c r="V523" s="74"/>
      <c r="W523" s="75"/>
    </row>
    <row r="524">
      <c r="A524" s="76">
        <f t="shared" si="1"/>
        <v>0</v>
      </c>
      <c r="B524" s="88"/>
      <c r="C524" s="76"/>
      <c r="D524" s="86"/>
      <c r="E524" s="86"/>
      <c r="F524" s="90"/>
      <c r="G524" s="91"/>
      <c r="H524" s="86"/>
      <c r="I524" s="86"/>
      <c r="J524" s="86"/>
      <c r="K524" s="86"/>
      <c r="L524" s="86"/>
      <c r="M524" s="86"/>
      <c r="N524" s="90"/>
      <c r="O524" s="90"/>
      <c r="P524" s="90"/>
      <c r="Q524" s="106"/>
      <c r="R524" s="95"/>
      <c r="S524" s="96"/>
      <c r="T524" s="97"/>
      <c r="U524" s="85" t="str">
        <f t="array" ref="U524">IFERROR(index('3. Công thức lab theo từng mã h'!J:J,MATCH(C524,'3. Công thức lab theo từng mã h'!L:L,0)),"")</f>
        <v/>
      </c>
      <c r="V524" s="85"/>
      <c r="W524" s="75"/>
    </row>
    <row r="525">
      <c r="A525" s="64">
        <f t="shared" si="1"/>
        <v>0</v>
      </c>
      <c r="B525" s="98"/>
      <c r="C525" s="64"/>
      <c r="D525" s="16"/>
      <c r="E525" s="16"/>
      <c r="F525" s="100"/>
      <c r="G525" s="101"/>
      <c r="H525" s="16"/>
      <c r="I525" s="16"/>
      <c r="J525" s="16"/>
      <c r="K525" s="16"/>
      <c r="L525" s="16"/>
      <c r="M525" s="16"/>
      <c r="N525" s="100"/>
      <c r="O525" s="100"/>
      <c r="P525" s="100"/>
      <c r="Q525" s="106"/>
      <c r="R525" s="107"/>
      <c r="S525" s="104"/>
      <c r="T525" s="108"/>
      <c r="U525" s="74" t="str">
        <f t="array" ref="U525">IFERROR(index('3. Công thức lab theo từng mã h'!J:J,MATCH(C525,'3. Công thức lab theo từng mã h'!L:L,0)),"")</f>
        <v/>
      </c>
      <c r="V525" s="74"/>
      <c r="W525" s="75"/>
    </row>
    <row r="526">
      <c r="A526" s="76">
        <f t="shared" si="1"/>
        <v>0</v>
      </c>
      <c r="B526" s="88"/>
      <c r="C526" s="76"/>
      <c r="D526" s="86"/>
      <c r="E526" s="86"/>
      <c r="F526" s="90"/>
      <c r="G526" s="91"/>
      <c r="H526" s="86"/>
      <c r="I526" s="86"/>
      <c r="J526" s="86"/>
      <c r="K526" s="86"/>
      <c r="L526" s="86"/>
      <c r="M526" s="86"/>
      <c r="N526" s="90"/>
      <c r="O526" s="90"/>
      <c r="P526" s="90"/>
      <c r="Q526" s="106"/>
      <c r="R526" s="95"/>
      <c r="S526" s="96"/>
      <c r="T526" s="97"/>
      <c r="U526" s="85" t="str">
        <f t="array" ref="U526">IFERROR(index('3. Công thức lab theo từng mã h'!J:J,MATCH(C526,'3. Công thức lab theo từng mã h'!L:L,0)),"")</f>
        <v/>
      </c>
      <c r="V526" s="85"/>
      <c r="W526" s="75"/>
    </row>
    <row r="527">
      <c r="A527" s="64">
        <f t="shared" si="1"/>
        <v>0</v>
      </c>
      <c r="B527" s="98"/>
      <c r="C527" s="64"/>
      <c r="D527" s="16"/>
      <c r="E527" s="16"/>
      <c r="F527" s="100"/>
      <c r="G527" s="101"/>
      <c r="H527" s="16"/>
      <c r="I527" s="16"/>
      <c r="J527" s="16"/>
      <c r="K527" s="16"/>
      <c r="L527" s="16"/>
      <c r="M527" s="16"/>
      <c r="N527" s="100"/>
      <c r="O527" s="100"/>
      <c r="P527" s="100"/>
      <c r="Q527" s="106"/>
      <c r="R527" s="107"/>
      <c r="S527" s="104"/>
      <c r="T527" s="108"/>
      <c r="U527" s="74" t="str">
        <f t="array" ref="U527">IFERROR(index('3. Công thức lab theo từng mã h'!J:J,MATCH(C527,'3. Công thức lab theo từng mã h'!L:L,0)),"")</f>
        <v/>
      </c>
      <c r="V527" s="74"/>
      <c r="W527" s="75"/>
    </row>
    <row r="528">
      <c r="A528" s="76">
        <f t="shared" si="1"/>
        <v>0</v>
      </c>
      <c r="B528" s="88"/>
      <c r="C528" s="76"/>
      <c r="D528" s="86"/>
      <c r="E528" s="86"/>
      <c r="F528" s="90"/>
      <c r="G528" s="91"/>
      <c r="H528" s="86"/>
      <c r="I528" s="86"/>
      <c r="J528" s="86"/>
      <c r="K528" s="86"/>
      <c r="L528" s="86"/>
      <c r="M528" s="86"/>
      <c r="N528" s="90"/>
      <c r="O528" s="90"/>
      <c r="P528" s="90"/>
      <c r="Q528" s="106"/>
      <c r="R528" s="95"/>
      <c r="S528" s="96"/>
      <c r="T528" s="97"/>
      <c r="U528" s="85" t="str">
        <f t="array" ref="U528">IFERROR(index('3. Công thức lab theo từng mã h'!J:J,MATCH(C528,'3. Công thức lab theo từng mã h'!L:L,0)),"")</f>
        <v/>
      </c>
      <c r="V528" s="85"/>
      <c r="W528" s="75"/>
    </row>
    <row r="529">
      <c r="A529" s="64">
        <f t="shared" si="1"/>
        <v>0</v>
      </c>
      <c r="B529" s="98"/>
      <c r="C529" s="64"/>
      <c r="D529" s="16"/>
      <c r="E529" s="16"/>
      <c r="F529" s="100"/>
      <c r="G529" s="101"/>
      <c r="H529" s="16"/>
      <c r="I529" s="16"/>
      <c r="J529" s="16"/>
      <c r="K529" s="16"/>
      <c r="L529" s="16"/>
      <c r="M529" s="16"/>
      <c r="N529" s="100"/>
      <c r="O529" s="100"/>
      <c r="P529" s="100"/>
      <c r="Q529" s="106"/>
      <c r="R529" s="107"/>
      <c r="S529" s="104"/>
      <c r="T529" s="108"/>
      <c r="U529" s="74" t="str">
        <f t="array" ref="U529">IFERROR(index('3. Công thức lab theo từng mã h'!J:J,MATCH(C529,'3. Công thức lab theo từng mã h'!L:L,0)),"")</f>
        <v/>
      </c>
      <c r="V529" s="74"/>
      <c r="W529" s="75"/>
    </row>
    <row r="530">
      <c r="A530" s="76">
        <f t="shared" si="1"/>
        <v>0</v>
      </c>
      <c r="B530" s="88"/>
      <c r="C530" s="76"/>
      <c r="D530" s="86"/>
      <c r="E530" s="86"/>
      <c r="F530" s="90"/>
      <c r="G530" s="91"/>
      <c r="H530" s="86"/>
      <c r="I530" s="86"/>
      <c r="J530" s="86"/>
      <c r="K530" s="86"/>
      <c r="L530" s="86"/>
      <c r="M530" s="86"/>
      <c r="N530" s="90"/>
      <c r="O530" s="90"/>
      <c r="P530" s="90"/>
      <c r="Q530" s="106"/>
      <c r="R530" s="95"/>
      <c r="S530" s="96"/>
      <c r="T530" s="97"/>
      <c r="U530" s="85" t="str">
        <f t="array" ref="U530">IFERROR(index('3. Công thức lab theo từng mã h'!J:J,MATCH(C530,'3. Công thức lab theo từng mã h'!L:L,0)),"")</f>
        <v/>
      </c>
      <c r="V530" s="85"/>
      <c r="W530" s="75"/>
    </row>
    <row r="531">
      <c r="A531" s="64">
        <f t="shared" si="1"/>
        <v>0</v>
      </c>
      <c r="B531" s="98"/>
      <c r="C531" s="64"/>
      <c r="D531" s="16"/>
      <c r="E531" s="16"/>
      <c r="F531" s="100"/>
      <c r="G531" s="101"/>
      <c r="H531" s="16"/>
      <c r="I531" s="16"/>
      <c r="J531" s="16"/>
      <c r="K531" s="16"/>
      <c r="L531" s="16"/>
      <c r="M531" s="16"/>
      <c r="N531" s="100"/>
      <c r="O531" s="100"/>
      <c r="P531" s="100"/>
      <c r="Q531" s="106"/>
      <c r="R531" s="107"/>
      <c r="S531" s="104"/>
      <c r="T531" s="108"/>
      <c r="U531" s="74" t="str">
        <f t="array" ref="U531">IFERROR(index('3. Công thức lab theo từng mã h'!J:J,MATCH(C531,'3. Công thức lab theo từng mã h'!L:L,0)),"")</f>
        <v/>
      </c>
      <c r="V531" s="74"/>
      <c r="W531" s="75"/>
    </row>
    <row r="532">
      <c r="A532" s="76">
        <f t="shared" si="1"/>
        <v>0</v>
      </c>
      <c r="B532" s="88"/>
      <c r="C532" s="76"/>
      <c r="D532" s="86"/>
      <c r="E532" s="86"/>
      <c r="F532" s="90"/>
      <c r="G532" s="91"/>
      <c r="H532" s="86"/>
      <c r="I532" s="86"/>
      <c r="J532" s="86"/>
      <c r="K532" s="86"/>
      <c r="L532" s="86"/>
      <c r="M532" s="86"/>
      <c r="N532" s="90"/>
      <c r="O532" s="90"/>
      <c r="P532" s="90"/>
      <c r="Q532" s="106"/>
      <c r="R532" s="95"/>
      <c r="S532" s="96"/>
      <c r="T532" s="97"/>
      <c r="U532" s="85" t="str">
        <f t="array" ref="U532">IFERROR(index('3. Công thức lab theo từng mã h'!J:J,MATCH(C532,'3. Công thức lab theo từng mã h'!L:L,0)),"")</f>
        <v/>
      </c>
      <c r="V532" s="85"/>
      <c r="W532" s="75"/>
    </row>
    <row r="533">
      <c r="A533" s="64">
        <f t="shared" si="1"/>
        <v>0</v>
      </c>
      <c r="B533" s="98"/>
      <c r="C533" s="64"/>
      <c r="D533" s="16"/>
      <c r="E533" s="16"/>
      <c r="F533" s="100"/>
      <c r="G533" s="101"/>
      <c r="H533" s="16"/>
      <c r="I533" s="16"/>
      <c r="J533" s="16"/>
      <c r="K533" s="16"/>
      <c r="L533" s="16"/>
      <c r="M533" s="16"/>
      <c r="N533" s="100"/>
      <c r="O533" s="100"/>
      <c r="P533" s="100"/>
      <c r="Q533" s="106"/>
      <c r="R533" s="107"/>
      <c r="S533" s="104"/>
      <c r="T533" s="108"/>
      <c r="U533" s="74" t="str">
        <f t="array" ref="U533">IFERROR(index('3. Công thức lab theo từng mã h'!J:J,MATCH(C533,'3. Công thức lab theo từng mã h'!L:L,0)),"")</f>
        <v/>
      </c>
      <c r="V533" s="74"/>
      <c r="W533" s="75"/>
    </row>
    <row r="534">
      <c r="A534" s="76">
        <f t="shared" si="1"/>
        <v>0</v>
      </c>
      <c r="B534" s="88"/>
      <c r="C534" s="76"/>
      <c r="D534" s="86"/>
      <c r="E534" s="86"/>
      <c r="F534" s="90"/>
      <c r="G534" s="91"/>
      <c r="H534" s="86"/>
      <c r="I534" s="86"/>
      <c r="J534" s="86"/>
      <c r="K534" s="86"/>
      <c r="L534" s="86"/>
      <c r="M534" s="86"/>
      <c r="N534" s="90"/>
      <c r="O534" s="90"/>
      <c r="P534" s="90"/>
      <c r="Q534" s="106"/>
      <c r="R534" s="95"/>
      <c r="S534" s="96"/>
      <c r="T534" s="97"/>
      <c r="U534" s="85" t="str">
        <f t="array" ref="U534">IFERROR(index('3. Công thức lab theo từng mã h'!J:J,MATCH(C534,'3. Công thức lab theo từng mã h'!L:L,0)),"")</f>
        <v/>
      </c>
      <c r="V534" s="85"/>
      <c r="W534" s="75"/>
    </row>
    <row r="535">
      <c r="A535" s="64">
        <f t="shared" si="1"/>
        <v>0</v>
      </c>
      <c r="B535" s="98"/>
      <c r="C535" s="64"/>
      <c r="D535" s="16"/>
      <c r="E535" s="16"/>
      <c r="F535" s="100"/>
      <c r="G535" s="101"/>
      <c r="H535" s="16"/>
      <c r="I535" s="16"/>
      <c r="J535" s="16"/>
      <c r="K535" s="16"/>
      <c r="L535" s="16"/>
      <c r="M535" s="16"/>
      <c r="N535" s="100"/>
      <c r="O535" s="100"/>
      <c r="P535" s="100"/>
      <c r="Q535" s="106"/>
      <c r="R535" s="107"/>
      <c r="S535" s="104"/>
      <c r="T535" s="108"/>
      <c r="U535" s="74" t="str">
        <f t="array" ref="U535">IFERROR(index('3. Công thức lab theo từng mã h'!J:J,MATCH(C535,'3. Công thức lab theo từng mã h'!L:L,0)),"")</f>
        <v/>
      </c>
      <c r="V535" s="74"/>
      <c r="W535" s="75"/>
    </row>
    <row r="536">
      <c r="A536" s="76">
        <f t="shared" si="1"/>
        <v>0</v>
      </c>
      <c r="B536" s="88"/>
      <c r="C536" s="76"/>
      <c r="D536" s="86"/>
      <c r="E536" s="86"/>
      <c r="F536" s="90"/>
      <c r="G536" s="91"/>
      <c r="H536" s="86"/>
      <c r="I536" s="86"/>
      <c r="J536" s="86"/>
      <c r="K536" s="86"/>
      <c r="L536" s="86"/>
      <c r="M536" s="86"/>
      <c r="N536" s="90"/>
      <c r="O536" s="90"/>
      <c r="P536" s="90"/>
      <c r="Q536" s="106"/>
      <c r="R536" s="95"/>
      <c r="S536" s="96"/>
      <c r="T536" s="97"/>
      <c r="U536" s="85" t="str">
        <f t="array" ref="U536">IFERROR(index('3. Công thức lab theo từng mã h'!J:J,MATCH(C536,'3. Công thức lab theo từng mã h'!L:L,0)),"")</f>
        <v/>
      </c>
      <c r="V536" s="85"/>
      <c r="W536" s="75"/>
    </row>
    <row r="537">
      <c r="A537" s="64">
        <f t="shared" si="1"/>
        <v>0</v>
      </c>
      <c r="B537" s="98"/>
      <c r="C537" s="64"/>
      <c r="D537" s="16"/>
      <c r="E537" s="16"/>
      <c r="F537" s="100"/>
      <c r="G537" s="101"/>
      <c r="H537" s="16"/>
      <c r="I537" s="16"/>
      <c r="J537" s="16"/>
      <c r="K537" s="16"/>
      <c r="L537" s="16"/>
      <c r="M537" s="16"/>
      <c r="N537" s="100"/>
      <c r="O537" s="100"/>
      <c r="P537" s="100"/>
      <c r="Q537" s="106"/>
      <c r="R537" s="107"/>
      <c r="S537" s="104"/>
      <c r="T537" s="108"/>
      <c r="U537" s="74" t="str">
        <f t="array" ref="U537">IFERROR(index('3. Công thức lab theo từng mã h'!J:J,MATCH(C537,'3. Công thức lab theo từng mã h'!L:L,0)),"")</f>
        <v/>
      </c>
      <c r="V537" s="74"/>
      <c r="W537" s="75"/>
    </row>
    <row r="538">
      <c r="A538" s="76">
        <f t="shared" si="1"/>
        <v>0</v>
      </c>
      <c r="B538" s="88"/>
      <c r="C538" s="76"/>
      <c r="D538" s="86"/>
      <c r="E538" s="86"/>
      <c r="F538" s="90"/>
      <c r="G538" s="91"/>
      <c r="H538" s="86"/>
      <c r="I538" s="86"/>
      <c r="J538" s="86"/>
      <c r="K538" s="86"/>
      <c r="L538" s="86"/>
      <c r="M538" s="86"/>
      <c r="N538" s="90"/>
      <c r="O538" s="90"/>
      <c r="P538" s="90"/>
      <c r="Q538" s="106"/>
      <c r="R538" s="95"/>
      <c r="S538" s="96"/>
      <c r="T538" s="97"/>
      <c r="U538" s="85" t="str">
        <f t="array" ref="U538">IFERROR(index('3. Công thức lab theo từng mã h'!J:J,MATCH(C538,'3. Công thức lab theo từng mã h'!L:L,0)),"")</f>
        <v/>
      </c>
      <c r="V538" s="85"/>
      <c r="W538" s="75"/>
    </row>
    <row r="539">
      <c r="A539" s="64">
        <f t="shared" si="1"/>
        <v>0</v>
      </c>
      <c r="B539" s="98"/>
      <c r="C539" s="64"/>
      <c r="D539" s="16"/>
      <c r="E539" s="16"/>
      <c r="F539" s="100"/>
      <c r="G539" s="101"/>
      <c r="H539" s="16"/>
      <c r="I539" s="16"/>
      <c r="J539" s="16"/>
      <c r="K539" s="16"/>
      <c r="L539" s="16"/>
      <c r="M539" s="16"/>
      <c r="N539" s="100"/>
      <c r="O539" s="100"/>
      <c r="P539" s="100"/>
      <c r="Q539" s="106"/>
      <c r="R539" s="107"/>
      <c r="S539" s="104"/>
      <c r="T539" s="108"/>
      <c r="U539" s="74" t="str">
        <f t="array" ref="U539">IFERROR(index('3. Công thức lab theo từng mã h'!J:J,MATCH(C539,'3. Công thức lab theo từng mã h'!L:L,0)),"")</f>
        <v/>
      </c>
      <c r="V539" s="74"/>
      <c r="W539" s="75"/>
    </row>
    <row r="540">
      <c r="A540" s="76">
        <f t="shared" si="1"/>
        <v>0</v>
      </c>
      <c r="B540" s="88"/>
      <c r="C540" s="76"/>
      <c r="D540" s="86"/>
      <c r="E540" s="86"/>
      <c r="F540" s="90"/>
      <c r="G540" s="91"/>
      <c r="H540" s="86"/>
      <c r="I540" s="86"/>
      <c r="J540" s="86"/>
      <c r="K540" s="86"/>
      <c r="L540" s="86"/>
      <c r="M540" s="86"/>
      <c r="N540" s="90"/>
      <c r="O540" s="90"/>
      <c r="P540" s="90"/>
      <c r="Q540" s="106"/>
      <c r="R540" s="95"/>
      <c r="S540" s="96"/>
      <c r="T540" s="97"/>
      <c r="U540" s="85" t="str">
        <f t="array" ref="U540">IFERROR(index('3. Công thức lab theo từng mã h'!J:J,MATCH(C540,'3. Công thức lab theo từng mã h'!L:L,0)),"")</f>
        <v/>
      </c>
      <c r="V540" s="85"/>
      <c r="W540" s="75"/>
    </row>
    <row r="541">
      <c r="A541" s="64">
        <f t="shared" si="1"/>
        <v>0</v>
      </c>
      <c r="B541" s="98"/>
      <c r="C541" s="64"/>
      <c r="D541" s="16"/>
      <c r="E541" s="16"/>
      <c r="F541" s="100"/>
      <c r="G541" s="101"/>
      <c r="H541" s="16"/>
      <c r="I541" s="16"/>
      <c r="J541" s="16"/>
      <c r="K541" s="16"/>
      <c r="L541" s="16"/>
      <c r="M541" s="16"/>
      <c r="N541" s="100"/>
      <c r="O541" s="100"/>
      <c r="P541" s="100"/>
      <c r="Q541" s="106"/>
      <c r="R541" s="107"/>
      <c r="S541" s="104"/>
      <c r="T541" s="108"/>
      <c r="U541" s="74" t="str">
        <f t="array" ref="U541">IFERROR(index('3. Công thức lab theo từng mã h'!J:J,MATCH(C541,'3. Công thức lab theo từng mã h'!L:L,0)),"")</f>
        <v/>
      </c>
      <c r="V541" s="74"/>
      <c r="W541" s="75"/>
    </row>
    <row r="542">
      <c r="A542" s="76">
        <f t="shared" si="1"/>
        <v>0</v>
      </c>
      <c r="B542" s="88"/>
      <c r="C542" s="76"/>
      <c r="D542" s="86"/>
      <c r="E542" s="86"/>
      <c r="F542" s="90"/>
      <c r="G542" s="91"/>
      <c r="H542" s="86"/>
      <c r="I542" s="86"/>
      <c r="J542" s="86"/>
      <c r="K542" s="86"/>
      <c r="L542" s="86"/>
      <c r="M542" s="86"/>
      <c r="N542" s="90"/>
      <c r="O542" s="90"/>
      <c r="P542" s="90"/>
      <c r="Q542" s="106"/>
      <c r="R542" s="95"/>
      <c r="S542" s="96"/>
      <c r="T542" s="97"/>
      <c r="U542" s="85" t="str">
        <f t="array" ref="U542">IFERROR(index('3. Công thức lab theo từng mã h'!J:J,MATCH(C542,'3. Công thức lab theo từng mã h'!L:L,0)),"")</f>
        <v/>
      </c>
      <c r="V542" s="85"/>
      <c r="W542" s="75"/>
    </row>
    <row r="543">
      <c r="A543" s="64">
        <f t="shared" si="1"/>
        <v>0</v>
      </c>
      <c r="B543" s="98"/>
      <c r="C543" s="64"/>
      <c r="D543" s="16"/>
      <c r="E543" s="16"/>
      <c r="F543" s="100"/>
      <c r="G543" s="101"/>
      <c r="H543" s="16"/>
      <c r="I543" s="16"/>
      <c r="J543" s="16"/>
      <c r="K543" s="16"/>
      <c r="L543" s="16"/>
      <c r="M543" s="16"/>
      <c r="N543" s="100"/>
      <c r="O543" s="100"/>
      <c r="P543" s="100"/>
      <c r="Q543" s="106"/>
      <c r="R543" s="107"/>
      <c r="S543" s="104"/>
      <c r="T543" s="108"/>
      <c r="U543" s="74" t="str">
        <f t="array" ref="U543">IFERROR(index('3. Công thức lab theo từng mã h'!J:J,MATCH(C543,'3. Công thức lab theo từng mã h'!L:L,0)),"")</f>
        <v/>
      </c>
      <c r="V543" s="74"/>
      <c r="W543" s="75"/>
    </row>
    <row r="544">
      <c r="A544" s="76">
        <f t="shared" si="1"/>
        <v>0</v>
      </c>
      <c r="B544" s="88"/>
      <c r="C544" s="76"/>
      <c r="D544" s="86"/>
      <c r="E544" s="86"/>
      <c r="F544" s="90"/>
      <c r="G544" s="91"/>
      <c r="H544" s="86"/>
      <c r="I544" s="86"/>
      <c r="J544" s="86"/>
      <c r="K544" s="86"/>
      <c r="L544" s="86"/>
      <c r="M544" s="86"/>
      <c r="N544" s="90"/>
      <c r="O544" s="90"/>
      <c r="P544" s="90"/>
      <c r="Q544" s="106"/>
      <c r="R544" s="95"/>
      <c r="S544" s="96"/>
      <c r="T544" s="97"/>
      <c r="U544" s="85" t="str">
        <f t="array" ref="U544">IFERROR(index('3. Công thức lab theo từng mã h'!J:J,MATCH(C544,'3. Công thức lab theo từng mã h'!L:L,0)),"")</f>
        <v/>
      </c>
      <c r="V544" s="85"/>
      <c r="W544" s="75"/>
    </row>
    <row r="545">
      <c r="A545" s="64">
        <f t="shared" si="1"/>
        <v>0</v>
      </c>
      <c r="B545" s="98"/>
      <c r="C545" s="64"/>
      <c r="D545" s="16"/>
      <c r="E545" s="16"/>
      <c r="F545" s="100"/>
      <c r="G545" s="101"/>
      <c r="H545" s="16"/>
      <c r="I545" s="16"/>
      <c r="J545" s="16"/>
      <c r="K545" s="16"/>
      <c r="L545" s="16"/>
      <c r="M545" s="16"/>
      <c r="N545" s="100"/>
      <c r="O545" s="100"/>
      <c r="P545" s="100"/>
      <c r="Q545" s="106"/>
      <c r="R545" s="107"/>
      <c r="S545" s="104"/>
      <c r="T545" s="108"/>
      <c r="U545" s="74" t="str">
        <f t="array" ref="U545">IFERROR(index('3. Công thức lab theo từng mã h'!J:J,MATCH(C545,'3. Công thức lab theo từng mã h'!L:L,0)),"")</f>
        <v/>
      </c>
      <c r="V545" s="74"/>
      <c r="W545" s="75"/>
    </row>
    <row r="546">
      <c r="A546" s="76">
        <f t="shared" si="1"/>
        <v>0</v>
      </c>
      <c r="B546" s="88"/>
      <c r="C546" s="76"/>
      <c r="D546" s="86"/>
      <c r="E546" s="86"/>
      <c r="F546" s="90"/>
      <c r="G546" s="91"/>
      <c r="H546" s="86"/>
      <c r="I546" s="86"/>
      <c r="J546" s="86"/>
      <c r="K546" s="86"/>
      <c r="L546" s="86"/>
      <c r="M546" s="86"/>
      <c r="N546" s="90"/>
      <c r="O546" s="90"/>
      <c r="P546" s="90"/>
      <c r="Q546" s="106"/>
      <c r="R546" s="95"/>
      <c r="S546" s="96"/>
      <c r="T546" s="97"/>
      <c r="U546" s="85" t="str">
        <f t="array" ref="U546">IFERROR(index('3. Công thức lab theo từng mã h'!J:J,MATCH(C546,'3. Công thức lab theo từng mã h'!L:L,0)),"")</f>
        <v/>
      </c>
      <c r="V546" s="85"/>
      <c r="W546" s="75"/>
    </row>
    <row r="547">
      <c r="A547" s="64">
        <f t="shared" si="1"/>
        <v>0</v>
      </c>
      <c r="B547" s="98"/>
      <c r="C547" s="64"/>
      <c r="D547" s="16"/>
      <c r="E547" s="16"/>
      <c r="F547" s="100"/>
      <c r="G547" s="101"/>
      <c r="H547" s="16"/>
      <c r="I547" s="16"/>
      <c r="J547" s="16"/>
      <c r="K547" s="16"/>
      <c r="L547" s="16"/>
      <c r="M547" s="16"/>
      <c r="N547" s="100"/>
      <c r="O547" s="100"/>
      <c r="P547" s="100"/>
      <c r="Q547" s="106"/>
      <c r="R547" s="107"/>
      <c r="S547" s="104"/>
      <c r="T547" s="108"/>
      <c r="U547" s="74" t="str">
        <f t="array" ref="U547">IFERROR(index('3. Công thức lab theo từng mã h'!J:J,MATCH(C547,'3. Công thức lab theo từng mã h'!L:L,0)),"")</f>
        <v/>
      </c>
      <c r="V547" s="74"/>
      <c r="W547" s="75"/>
    </row>
    <row r="548">
      <c r="A548" s="76">
        <f t="shared" si="1"/>
        <v>0</v>
      </c>
      <c r="B548" s="88"/>
      <c r="C548" s="76"/>
      <c r="D548" s="86"/>
      <c r="E548" s="86"/>
      <c r="F548" s="90"/>
      <c r="G548" s="91"/>
      <c r="H548" s="86"/>
      <c r="I548" s="86"/>
      <c r="J548" s="86"/>
      <c r="K548" s="86"/>
      <c r="L548" s="86"/>
      <c r="M548" s="86"/>
      <c r="N548" s="90"/>
      <c r="O548" s="90"/>
      <c r="P548" s="90"/>
      <c r="Q548" s="106"/>
      <c r="R548" s="95"/>
      <c r="S548" s="96"/>
      <c r="T548" s="97"/>
      <c r="U548" s="85" t="str">
        <f t="array" ref="U548">IFERROR(index('3. Công thức lab theo từng mã h'!J:J,MATCH(C548,'3. Công thức lab theo từng mã h'!L:L,0)),"")</f>
        <v/>
      </c>
      <c r="V548" s="85"/>
      <c r="W548" s="75"/>
    </row>
    <row r="549">
      <c r="A549" s="64">
        <f t="shared" si="1"/>
        <v>0</v>
      </c>
      <c r="B549" s="98"/>
      <c r="C549" s="64"/>
      <c r="D549" s="16"/>
      <c r="E549" s="16"/>
      <c r="F549" s="100"/>
      <c r="G549" s="101"/>
      <c r="H549" s="16"/>
      <c r="I549" s="16"/>
      <c r="J549" s="16"/>
      <c r="K549" s="16"/>
      <c r="L549" s="16"/>
      <c r="M549" s="16"/>
      <c r="N549" s="100"/>
      <c r="O549" s="100"/>
      <c r="P549" s="100"/>
      <c r="Q549" s="106"/>
      <c r="R549" s="107"/>
      <c r="S549" s="104"/>
      <c r="T549" s="108"/>
      <c r="U549" s="74" t="str">
        <f t="array" ref="U549">IFERROR(index('3. Công thức lab theo từng mã h'!J:J,MATCH(C549,'3. Công thức lab theo từng mã h'!L:L,0)),"")</f>
        <v/>
      </c>
      <c r="V549" s="74"/>
      <c r="W549" s="75"/>
    </row>
    <row r="550">
      <c r="A550" s="76">
        <f t="shared" si="1"/>
        <v>0</v>
      </c>
      <c r="B550" s="88"/>
      <c r="C550" s="76"/>
      <c r="D550" s="86"/>
      <c r="E550" s="86"/>
      <c r="F550" s="90"/>
      <c r="G550" s="91"/>
      <c r="H550" s="86"/>
      <c r="I550" s="86"/>
      <c r="J550" s="86"/>
      <c r="K550" s="86"/>
      <c r="L550" s="86"/>
      <c r="M550" s="86"/>
      <c r="N550" s="90"/>
      <c r="O550" s="90"/>
      <c r="P550" s="90"/>
      <c r="Q550" s="106"/>
      <c r="R550" s="95"/>
      <c r="S550" s="96"/>
      <c r="T550" s="97"/>
      <c r="U550" s="85" t="str">
        <f t="array" ref="U550">IFERROR(index('3. Công thức lab theo từng mã h'!J:J,MATCH(C550,'3. Công thức lab theo từng mã h'!L:L,0)),"")</f>
        <v/>
      </c>
      <c r="V550" s="85"/>
      <c r="W550" s="75"/>
    </row>
    <row r="551">
      <c r="A551" s="64">
        <f t="shared" si="1"/>
        <v>0</v>
      </c>
      <c r="B551" s="98"/>
      <c r="C551" s="64"/>
      <c r="D551" s="16"/>
      <c r="E551" s="16"/>
      <c r="F551" s="100"/>
      <c r="G551" s="101"/>
      <c r="H551" s="16"/>
      <c r="I551" s="16"/>
      <c r="J551" s="16"/>
      <c r="K551" s="16"/>
      <c r="L551" s="16"/>
      <c r="M551" s="16"/>
      <c r="N551" s="100"/>
      <c r="O551" s="100"/>
      <c r="P551" s="100"/>
      <c r="Q551" s="106"/>
      <c r="R551" s="107"/>
      <c r="S551" s="104"/>
      <c r="T551" s="108"/>
      <c r="U551" s="74" t="str">
        <f t="array" ref="U551">IFERROR(index('3. Công thức lab theo từng mã h'!J:J,MATCH(C551,'3. Công thức lab theo từng mã h'!L:L,0)),"")</f>
        <v/>
      </c>
      <c r="V551" s="74"/>
      <c r="W551" s="75"/>
    </row>
    <row r="552">
      <c r="A552" s="76">
        <f t="shared" si="1"/>
        <v>0</v>
      </c>
      <c r="B552" s="88"/>
      <c r="C552" s="76"/>
      <c r="D552" s="86"/>
      <c r="E552" s="86"/>
      <c r="F552" s="90"/>
      <c r="G552" s="91"/>
      <c r="H552" s="86"/>
      <c r="I552" s="86"/>
      <c r="J552" s="86"/>
      <c r="K552" s="86"/>
      <c r="L552" s="86"/>
      <c r="M552" s="86"/>
      <c r="N552" s="90"/>
      <c r="O552" s="90"/>
      <c r="P552" s="90"/>
      <c r="Q552" s="106"/>
      <c r="R552" s="95"/>
      <c r="S552" s="96"/>
      <c r="T552" s="97"/>
      <c r="U552" s="85" t="str">
        <f t="array" ref="U552">IFERROR(index('3. Công thức lab theo từng mã h'!J:J,MATCH(C552,'3. Công thức lab theo từng mã h'!L:L,0)),"")</f>
        <v/>
      </c>
      <c r="V552" s="85"/>
      <c r="W552" s="75"/>
    </row>
    <row r="553">
      <c r="A553" s="64">
        <f t="shared" si="1"/>
        <v>0</v>
      </c>
      <c r="B553" s="98"/>
      <c r="C553" s="64"/>
      <c r="D553" s="16"/>
      <c r="E553" s="16"/>
      <c r="F553" s="100"/>
      <c r="G553" s="101"/>
      <c r="H553" s="16"/>
      <c r="I553" s="16"/>
      <c r="J553" s="16"/>
      <c r="K553" s="16"/>
      <c r="L553" s="16"/>
      <c r="M553" s="16"/>
      <c r="N553" s="100"/>
      <c r="O553" s="100"/>
      <c r="P553" s="100"/>
      <c r="Q553" s="106"/>
      <c r="R553" s="107"/>
      <c r="S553" s="104"/>
      <c r="T553" s="108"/>
      <c r="U553" s="74" t="str">
        <f t="array" ref="U553">IFERROR(index('3. Công thức lab theo từng mã h'!J:J,MATCH(C553,'3. Công thức lab theo từng mã h'!L:L,0)),"")</f>
        <v/>
      </c>
      <c r="V553" s="74"/>
      <c r="W553" s="75"/>
    </row>
    <row r="554">
      <c r="A554" s="76">
        <f t="shared" si="1"/>
        <v>0</v>
      </c>
      <c r="B554" s="88"/>
      <c r="C554" s="76"/>
      <c r="D554" s="86"/>
      <c r="E554" s="86"/>
      <c r="F554" s="90"/>
      <c r="G554" s="91"/>
      <c r="H554" s="86"/>
      <c r="I554" s="86"/>
      <c r="J554" s="86"/>
      <c r="K554" s="86"/>
      <c r="L554" s="86"/>
      <c r="M554" s="86"/>
      <c r="N554" s="90"/>
      <c r="O554" s="90"/>
      <c r="P554" s="90"/>
      <c r="Q554" s="106"/>
      <c r="R554" s="95"/>
      <c r="S554" s="96"/>
      <c r="T554" s="97"/>
      <c r="U554" s="85" t="str">
        <f t="array" ref="U554">IFERROR(index('3. Công thức lab theo từng mã h'!J:J,MATCH(C554,'3. Công thức lab theo từng mã h'!L:L,0)),"")</f>
        <v/>
      </c>
      <c r="V554" s="85"/>
      <c r="W554" s="75"/>
    </row>
    <row r="555">
      <c r="A555" s="64">
        <f t="shared" si="1"/>
        <v>0</v>
      </c>
      <c r="B555" s="98"/>
      <c r="C555" s="64"/>
      <c r="D555" s="16"/>
      <c r="E555" s="16"/>
      <c r="F555" s="100"/>
      <c r="G555" s="101"/>
      <c r="H555" s="16"/>
      <c r="I555" s="16"/>
      <c r="J555" s="16"/>
      <c r="K555" s="16"/>
      <c r="L555" s="16"/>
      <c r="M555" s="16"/>
      <c r="N555" s="100"/>
      <c r="O555" s="100"/>
      <c r="P555" s="100"/>
      <c r="Q555" s="106"/>
      <c r="R555" s="107"/>
      <c r="S555" s="104"/>
      <c r="T555" s="108"/>
      <c r="U555" s="74" t="str">
        <f t="array" ref="U555">IFERROR(index('3. Công thức lab theo từng mã h'!J:J,MATCH(C555,'3. Công thức lab theo từng mã h'!L:L,0)),"")</f>
        <v/>
      </c>
      <c r="V555" s="74"/>
      <c r="W555" s="75"/>
    </row>
    <row r="556">
      <c r="A556" s="76">
        <f t="shared" si="1"/>
        <v>0</v>
      </c>
      <c r="B556" s="88"/>
      <c r="C556" s="76"/>
      <c r="D556" s="86"/>
      <c r="E556" s="86"/>
      <c r="F556" s="90"/>
      <c r="G556" s="91"/>
      <c r="H556" s="86"/>
      <c r="I556" s="86"/>
      <c r="J556" s="86"/>
      <c r="K556" s="86"/>
      <c r="L556" s="86"/>
      <c r="M556" s="86"/>
      <c r="N556" s="90"/>
      <c r="O556" s="90"/>
      <c r="P556" s="90"/>
      <c r="Q556" s="106"/>
      <c r="R556" s="95"/>
      <c r="S556" s="96"/>
      <c r="T556" s="97"/>
      <c r="U556" s="85" t="str">
        <f t="array" ref="U556">IFERROR(index('3. Công thức lab theo từng mã h'!J:J,MATCH(C556,'3. Công thức lab theo từng mã h'!L:L,0)),"")</f>
        <v/>
      </c>
      <c r="V556" s="85"/>
      <c r="W556" s="75"/>
    </row>
    <row r="557">
      <c r="A557" s="64">
        <f t="shared" si="1"/>
        <v>0</v>
      </c>
      <c r="B557" s="98"/>
      <c r="C557" s="64"/>
      <c r="D557" s="16"/>
      <c r="E557" s="16"/>
      <c r="F557" s="100"/>
      <c r="G557" s="101"/>
      <c r="H557" s="16"/>
      <c r="I557" s="16"/>
      <c r="J557" s="16"/>
      <c r="K557" s="16"/>
      <c r="L557" s="16"/>
      <c r="M557" s="16"/>
      <c r="N557" s="100"/>
      <c r="O557" s="100"/>
      <c r="P557" s="100"/>
      <c r="Q557" s="106"/>
      <c r="R557" s="107"/>
      <c r="S557" s="104"/>
      <c r="T557" s="108"/>
      <c r="U557" s="74" t="str">
        <f t="array" ref="U557">IFERROR(index('3. Công thức lab theo từng mã h'!J:J,MATCH(C557,'3. Công thức lab theo từng mã h'!L:L,0)),"")</f>
        <v/>
      </c>
      <c r="V557" s="74"/>
      <c r="W557" s="75"/>
    </row>
    <row r="558">
      <c r="A558" s="76">
        <f t="shared" si="1"/>
        <v>0</v>
      </c>
      <c r="B558" s="88"/>
      <c r="C558" s="76"/>
      <c r="D558" s="86"/>
      <c r="E558" s="86"/>
      <c r="F558" s="90"/>
      <c r="G558" s="91"/>
      <c r="H558" s="86"/>
      <c r="I558" s="86"/>
      <c r="J558" s="86"/>
      <c r="K558" s="86"/>
      <c r="L558" s="86"/>
      <c r="M558" s="86"/>
      <c r="N558" s="90"/>
      <c r="O558" s="90"/>
      <c r="P558" s="90"/>
      <c r="Q558" s="106"/>
      <c r="R558" s="95"/>
      <c r="S558" s="96"/>
      <c r="T558" s="97"/>
      <c r="U558" s="85" t="str">
        <f t="array" ref="U558">IFERROR(index('3. Công thức lab theo từng mã h'!J:J,MATCH(C558,'3. Công thức lab theo từng mã h'!L:L,0)),"")</f>
        <v/>
      </c>
      <c r="V558" s="85"/>
      <c r="W558" s="75"/>
    </row>
    <row r="559">
      <c r="A559" s="64">
        <f t="shared" si="1"/>
        <v>0</v>
      </c>
      <c r="B559" s="98"/>
      <c r="C559" s="64"/>
      <c r="D559" s="16"/>
      <c r="E559" s="16"/>
      <c r="F559" s="100"/>
      <c r="G559" s="101"/>
      <c r="H559" s="16"/>
      <c r="I559" s="16"/>
      <c r="J559" s="16"/>
      <c r="K559" s="16"/>
      <c r="L559" s="16"/>
      <c r="M559" s="16"/>
      <c r="N559" s="100"/>
      <c r="O559" s="100"/>
      <c r="P559" s="100"/>
      <c r="Q559" s="106"/>
      <c r="R559" s="107"/>
      <c r="S559" s="104"/>
      <c r="T559" s="108"/>
      <c r="U559" s="74" t="str">
        <f t="array" ref="U559">IFERROR(index('3. Công thức lab theo từng mã h'!J:J,MATCH(C559,'3. Công thức lab theo từng mã h'!L:L,0)),"")</f>
        <v/>
      </c>
      <c r="V559" s="74"/>
      <c r="W559" s="75"/>
    </row>
    <row r="560">
      <c r="A560" s="76">
        <f t="shared" si="1"/>
        <v>0</v>
      </c>
      <c r="B560" s="88"/>
      <c r="C560" s="76"/>
      <c r="D560" s="86"/>
      <c r="E560" s="86"/>
      <c r="F560" s="90"/>
      <c r="G560" s="91"/>
      <c r="H560" s="86"/>
      <c r="I560" s="86"/>
      <c r="J560" s="86"/>
      <c r="K560" s="86"/>
      <c r="L560" s="86"/>
      <c r="M560" s="86"/>
      <c r="N560" s="90"/>
      <c r="O560" s="90"/>
      <c r="P560" s="90"/>
      <c r="Q560" s="106"/>
      <c r="R560" s="95"/>
      <c r="S560" s="96"/>
      <c r="T560" s="97"/>
      <c r="U560" s="85" t="str">
        <f t="array" ref="U560">IFERROR(index('3. Công thức lab theo từng mã h'!J:J,MATCH(C560,'3. Công thức lab theo từng mã h'!L:L,0)),"")</f>
        <v/>
      </c>
      <c r="V560" s="85"/>
      <c r="W560" s="75"/>
    </row>
    <row r="561">
      <c r="A561" s="64">
        <f t="shared" si="1"/>
        <v>0</v>
      </c>
      <c r="B561" s="98"/>
      <c r="C561" s="64"/>
      <c r="D561" s="16"/>
      <c r="E561" s="16"/>
      <c r="F561" s="100"/>
      <c r="G561" s="101"/>
      <c r="H561" s="16"/>
      <c r="I561" s="16"/>
      <c r="J561" s="16"/>
      <c r="K561" s="16"/>
      <c r="L561" s="16"/>
      <c r="M561" s="16"/>
      <c r="N561" s="100"/>
      <c r="O561" s="100"/>
      <c r="P561" s="100"/>
      <c r="Q561" s="106"/>
      <c r="R561" s="107"/>
      <c r="S561" s="104"/>
      <c r="T561" s="108"/>
      <c r="U561" s="74" t="str">
        <f t="array" ref="U561">IFERROR(index('3. Công thức lab theo từng mã h'!J:J,MATCH(C561,'3. Công thức lab theo từng mã h'!L:L,0)),"")</f>
        <v/>
      </c>
      <c r="V561" s="74"/>
      <c r="W561" s="75"/>
    </row>
    <row r="562">
      <c r="A562" s="76">
        <f t="shared" si="1"/>
        <v>0</v>
      </c>
      <c r="B562" s="88"/>
      <c r="C562" s="76"/>
      <c r="D562" s="86"/>
      <c r="E562" s="86"/>
      <c r="F562" s="90"/>
      <c r="G562" s="91"/>
      <c r="H562" s="86"/>
      <c r="I562" s="86"/>
      <c r="J562" s="86"/>
      <c r="K562" s="86"/>
      <c r="L562" s="86"/>
      <c r="M562" s="86"/>
      <c r="N562" s="90"/>
      <c r="O562" s="90"/>
      <c r="P562" s="90"/>
      <c r="Q562" s="106"/>
      <c r="R562" s="95"/>
      <c r="S562" s="96"/>
      <c r="T562" s="97"/>
      <c r="U562" s="85" t="str">
        <f t="array" ref="U562">IFERROR(index('3. Công thức lab theo từng mã h'!J:J,MATCH(C562,'3. Công thức lab theo từng mã h'!L:L,0)),"")</f>
        <v/>
      </c>
      <c r="V562" s="85"/>
      <c r="W562" s="75"/>
    </row>
    <row r="563">
      <c r="A563" s="64">
        <f t="shared" si="1"/>
        <v>0</v>
      </c>
      <c r="B563" s="98"/>
      <c r="C563" s="64"/>
      <c r="D563" s="16"/>
      <c r="E563" s="16"/>
      <c r="F563" s="100"/>
      <c r="G563" s="101"/>
      <c r="H563" s="16"/>
      <c r="I563" s="16"/>
      <c r="J563" s="16"/>
      <c r="K563" s="16"/>
      <c r="L563" s="16"/>
      <c r="M563" s="16"/>
      <c r="N563" s="100"/>
      <c r="O563" s="100"/>
      <c r="P563" s="100"/>
      <c r="Q563" s="106"/>
      <c r="R563" s="107"/>
      <c r="S563" s="104"/>
      <c r="T563" s="108"/>
      <c r="U563" s="74" t="str">
        <f t="array" ref="U563">IFERROR(index('3. Công thức lab theo từng mã h'!J:J,MATCH(C563,'3. Công thức lab theo từng mã h'!L:L,0)),"")</f>
        <v/>
      </c>
      <c r="V563" s="74"/>
      <c r="W563" s="75"/>
    </row>
    <row r="564">
      <c r="A564" s="76">
        <f t="shared" si="1"/>
        <v>0</v>
      </c>
      <c r="B564" s="88"/>
      <c r="C564" s="76"/>
      <c r="D564" s="86"/>
      <c r="E564" s="86"/>
      <c r="F564" s="90"/>
      <c r="G564" s="91"/>
      <c r="H564" s="86"/>
      <c r="I564" s="86"/>
      <c r="J564" s="86"/>
      <c r="K564" s="86"/>
      <c r="L564" s="86"/>
      <c r="M564" s="86"/>
      <c r="N564" s="90"/>
      <c r="O564" s="90"/>
      <c r="P564" s="90"/>
      <c r="Q564" s="106"/>
      <c r="R564" s="95"/>
      <c r="S564" s="96"/>
      <c r="T564" s="97"/>
      <c r="U564" s="85" t="str">
        <f t="array" ref="U564">IFERROR(index('3. Công thức lab theo từng mã h'!J:J,MATCH(C564,'3. Công thức lab theo từng mã h'!L:L,0)),"")</f>
        <v/>
      </c>
      <c r="V564" s="85"/>
      <c r="W564" s="75"/>
    </row>
    <row r="565">
      <c r="A565" s="64">
        <f t="shared" si="1"/>
        <v>0</v>
      </c>
      <c r="B565" s="98"/>
      <c r="C565" s="64"/>
      <c r="D565" s="16"/>
      <c r="E565" s="16"/>
      <c r="F565" s="100"/>
      <c r="G565" s="101"/>
      <c r="H565" s="16"/>
      <c r="I565" s="16"/>
      <c r="J565" s="16"/>
      <c r="K565" s="16"/>
      <c r="L565" s="16"/>
      <c r="M565" s="16"/>
      <c r="N565" s="100"/>
      <c r="O565" s="100"/>
      <c r="P565" s="100"/>
      <c r="Q565" s="106"/>
      <c r="R565" s="107"/>
      <c r="S565" s="104"/>
      <c r="T565" s="108"/>
      <c r="U565" s="74" t="str">
        <f t="array" ref="U565">IFERROR(index('3. Công thức lab theo từng mã h'!J:J,MATCH(C565,'3. Công thức lab theo từng mã h'!L:L,0)),"")</f>
        <v/>
      </c>
      <c r="V565" s="74"/>
      <c r="W565" s="75"/>
    </row>
    <row r="566">
      <c r="A566" s="76">
        <f t="shared" si="1"/>
        <v>0</v>
      </c>
      <c r="B566" s="88"/>
      <c r="C566" s="76"/>
      <c r="D566" s="86"/>
      <c r="E566" s="86"/>
      <c r="F566" s="90"/>
      <c r="G566" s="91"/>
      <c r="H566" s="86"/>
      <c r="I566" s="86"/>
      <c r="J566" s="86"/>
      <c r="K566" s="86"/>
      <c r="L566" s="86"/>
      <c r="M566" s="86"/>
      <c r="N566" s="90"/>
      <c r="O566" s="90"/>
      <c r="P566" s="90"/>
      <c r="Q566" s="106"/>
      <c r="R566" s="95"/>
      <c r="S566" s="96"/>
      <c r="T566" s="97"/>
      <c r="U566" s="85" t="str">
        <f t="array" ref="U566">IFERROR(index('3. Công thức lab theo từng mã h'!J:J,MATCH(C566,'3. Công thức lab theo từng mã h'!L:L,0)),"")</f>
        <v/>
      </c>
      <c r="V566" s="85"/>
      <c r="W566" s="75"/>
    </row>
    <row r="567">
      <c r="A567" s="64">
        <f t="shared" si="1"/>
        <v>0</v>
      </c>
      <c r="B567" s="98"/>
      <c r="C567" s="64"/>
      <c r="D567" s="16"/>
      <c r="E567" s="16"/>
      <c r="F567" s="100"/>
      <c r="G567" s="101"/>
      <c r="H567" s="16"/>
      <c r="I567" s="16"/>
      <c r="J567" s="16"/>
      <c r="K567" s="16"/>
      <c r="L567" s="16"/>
      <c r="M567" s="16"/>
      <c r="N567" s="100"/>
      <c r="O567" s="100"/>
      <c r="P567" s="100"/>
      <c r="Q567" s="106"/>
      <c r="R567" s="107"/>
      <c r="S567" s="104"/>
      <c r="T567" s="108"/>
      <c r="U567" s="74" t="str">
        <f t="array" ref="U567">IFERROR(index('3. Công thức lab theo từng mã h'!J:J,MATCH(C567,'3. Công thức lab theo từng mã h'!L:L,0)),"")</f>
        <v/>
      </c>
      <c r="V567" s="74"/>
      <c r="W567" s="75"/>
    </row>
    <row r="568">
      <c r="A568" s="76">
        <f t="shared" si="1"/>
        <v>0</v>
      </c>
      <c r="B568" s="88"/>
      <c r="C568" s="76"/>
      <c r="D568" s="86"/>
      <c r="E568" s="86"/>
      <c r="F568" s="90"/>
      <c r="G568" s="91"/>
      <c r="H568" s="86"/>
      <c r="I568" s="86"/>
      <c r="J568" s="86"/>
      <c r="K568" s="86"/>
      <c r="L568" s="86"/>
      <c r="M568" s="86"/>
      <c r="N568" s="90"/>
      <c r="O568" s="90"/>
      <c r="P568" s="90"/>
      <c r="Q568" s="106"/>
      <c r="R568" s="95"/>
      <c r="S568" s="96"/>
      <c r="T568" s="97"/>
      <c r="U568" s="85" t="str">
        <f t="array" ref="U568">IFERROR(index('3. Công thức lab theo từng mã h'!J:J,MATCH(C568,'3. Công thức lab theo từng mã h'!L:L,0)),"")</f>
        <v/>
      </c>
      <c r="V568" s="85"/>
      <c r="W568" s="75"/>
    </row>
    <row r="569">
      <c r="A569" s="64">
        <f t="shared" si="1"/>
        <v>0</v>
      </c>
      <c r="B569" s="98"/>
      <c r="C569" s="64"/>
      <c r="D569" s="16"/>
      <c r="E569" s="16"/>
      <c r="F569" s="100"/>
      <c r="G569" s="101"/>
      <c r="H569" s="16"/>
      <c r="I569" s="16"/>
      <c r="J569" s="16"/>
      <c r="K569" s="16"/>
      <c r="L569" s="16"/>
      <c r="M569" s="16"/>
      <c r="N569" s="100"/>
      <c r="O569" s="100"/>
      <c r="P569" s="100"/>
      <c r="Q569" s="106"/>
      <c r="R569" s="107"/>
      <c r="S569" s="104"/>
      <c r="T569" s="108"/>
      <c r="U569" s="74" t="str">
        <f t="array" ref="U569">IFERROR(index('3. Công thức lab theo từng mã h'!J:J,MATCH(C569,'3. Công thức lab theo từng mã h'!L:L,0)),"")</f>
        <v/>
      </c>
      <c r="V569" s="74"/>
      <c r="W569" s="75"/>
    </row>
    <row r="570">
      <c r="A570" s="76">
        <f t="shared" si="1"/>
        <v>0</v>
      </c>
      <c r="B570" s="88"/>
      <c r="C570" s="76"/>
      <c r="D570" s="86"/>
      <c r="E570" s="86"/>
      <c r="F570" s="90"/>
      <c r="G570" s="91"/>
      <c r="H570" s="86"/>
      <c r="I570" s="86"/>
      <c r="J570" s="86"/>
      <c r="K570" s="86"/>
      <c r="L570" s="86"/>
      <c r="M570" s="86"/>
      <c r="N570" s="90"/>
      <c r="O570" s="90"/>
      <c r="P570" s="90"/>
      <c r="Q570" s="106"/>
      <c r="R570" s="95"/>
      <c r="S570" s="96"/>
      <c r="T570" s="97"/>
      <c r="U570" s="85" t="str">
        <f t="array" ref="U570">IFERROR(index('3. Công thức lab theo từng mã h'!J:J,MATCH(C570,'3. Công thức lab theo từng mã h'!L:L,0)),"")</f>
        <v/>
      </c>
      <c r="V570" s="85"/>
      <c r="W570" s="75"/>
    </row>
    <row r="571">
      <c r="A571" s="64">
        <f t="shared" si="1"/>
        <v>0</v>
      </c>
      <c r="B571" s="98"/>
      <c r="C571" s="64"/>
      <c r="D571" s="16"/>
      <c r="E571" s="16"/>
      <c r="F571" s="100"/>
      <c r="G571" s="101"/>
      <c r="H571" s="16"/>
      <c r="I571" s="16"/>
      <c r="J571" s="16"/>
      <c r="K571" s="16"/>
      <c r="L571" s="16"/>
      <c r="M571" s="16"/>
      <c r="N571" s="100"/>
      <c r="O571" s="100"/>
      <c r="P571" s="100"/>
      <c r="Q571" s="106"/>
      <c r="R571" s="107"/>
      <c r="S571" s="104"/>
      <c r="T571" s="108"/>
      <c r="U571" s="74" t="str">
        <f t="array" ref="U571">IFERROR(index('3. Công thức lab theo từng mã h'!J:J,MATCH(C571,'3. Công thức lab theo từng mã h'!L:L,0)),"")</f>
        <v/>
      </c>
      <c r="V571" s="74"/>
      <c r="W571" s="75"/>
    </row>
    <row r="572">
      <c r="A572" s="76">
        <f t="shared" si="1"/>
        <v>0</v>
      </c>
      <c r="B572" s="88"/>
      <c r="C572" s="76"/>
      <c r="D572" s="86"/>
      <c r="E572" s="86"/>
      <c r="F572" s="90"/>
      <c r="G572" s="91"/>
      <c r="H572" s="86"/>
      <c r="I572" s="86"/>
      <c r="J572" s="86"/>
      <c r="K572" s="86"/>
      <c r="L572" s="86"/>
      <c r="M572" s="86"/>
      <c r="N572" s="90"/>
      <c r="O572" s="90"/>
      <c r="P572" s="90"/>
      <c r="Q572" s="106"/>
      <c r="R572" s="95"/>
      <c r="S572" s="96"/>
      <c r="T572" s="97"/>
      <c r="U572" s="85" t="str">
        <f t="array" ref="U572">IFERROR(index('3. Công thức lab theo từng mã h'!J:J,MATCH(C572,'3. Công thức lab theo từng mã h'!L:L,0)),"")</f>
        <v/>
      </c>
      <c r="V572" s="85"/>
      <c r="W572" s="75"/>
    </row>
    <row r="573">
      <c r="A573" s="64">
        <f t="shared" si="1"/>
        <v>0</v>
      </c>
      <c r="B573" s="98"/>
      <c r="C573" s="64"/>
      <c r="D573" s="16"/>
      <c r="E573" s="16"/>
      <c r="F573" s="100"/>
      <c r="G573" s="101"/>
      <c r="H573" s="16"/>
      <c r="I573" s="16"/>
      <c r="J573" s="16"/>
      <c r="K573" s="16"/>
      <c r="L573" s="16"/>
      <c r="M573" s="16"/>
      <c r="N573" s="100"/>
      <c r="O573" s="100"/>
      <c r="P573" s="100"/>
      <c r="Q573" s="106"/>
      <c r="R573" s="107"/>
      <c r="S573" s="104"/>
      <c r="T573" s="108"/>
      <c r="U573" s="74" t="str">
        <f t="array" ref="U573">IFERROR(index('3. Công thức lab theo từng mã h'!J:J,MATCH(C573,'3. Công thức lab theo từng mã h'!L:L,0)),"")</f>
        <v/>
      </c>
      <c r="V573" s="74"/>
      <c r="W573" s="75"/>
    </row>
    <row r="574">
      <c r="A574" s="76">
        <f t="shared" si="1"/>
        <v>0</v>
      </c>
      <c r="B574" s="88"/>
      <c r="C574" s="76"/>
      <c r="D574" s="86"/>
      <c r="E574" s="86"/>
      <c r="F574" s="90"/>
      <c r="G574" s="91"/>
      <c r="H574" s="86"/>
      <c r="I574" s="86"/>
      <c r="J574" s="86"/>
      <c r="K574" s="86"/>
      <c r="L574" s="86"/>
      <c r="M574" s="86"/>
      <c r="N574" s="90"/>
      <c r="O574" s="90"/>
      <c r="P574" s="90"/>
      <c r="Q574" s="106"/>
      <c r="R574" s="95"/>
      <c r="S574" s="96"/>
      <c r="T574" s="97"/>
      <c r="U574" s="85" t="str">
        <f t="array" ref="U574">IFERROR(index('3. Công thức lab theo từng mã h'!J:J,MATCH(C574,'3. Công thức lab theo từng mã h'!L:L,0)),"")</f>
        <v/>
      </c>
      <c r="V574" s="85"/>
      <c r="W574" s="75"/>
    </row>
    <row r="575">
      <c r="A575" s="64">
        <f t="shared" si="1"/>
        <v>0</v>
      </c>
      <c r="B575" s="98"/>
      <c r="C575" s="64"/>
      <c r="D575" s="16"/>
      <c r="E575" s="16"/>
      <c r="F575" s="100"/>
      <c r="G575" s="101"/>
      <c r="H575" s="16"/>
      <c r="I575" s="16"/>
      <c r="J575" s="16"/>
      <c r="K575" s="16"/>
      <c r="L575" s="16"/>
      <c r="M575" s="16"/>
      <c r="N575" s="100"/>
      <c r="O575" s="100"/>
      <c r="P575" s="100"/>
      <c r="Q575" s="106"/>
      <c r="R575" s="107"/>
      <c r="S575" s="104"/>
      <c r="T575" s="108"/>
      <c r="U575" s="74" t="str">
        <f t="array" ref="U575">IFERROR(index('3. Công thức lab theo từng mã h'!J:J,MATCH(C575,'3. Công thức lab theo từng mã h'!L:L,0)),"")</f>
        <v/>
      </c>
      <c r="V575" s="74"/>
      <c r="W575" s="75"/>
    </row>
    <row r="576">
      <c r="A576" s="76">
        <f t="shared" si="1"/>
        <v>0</v>
      </c>
      <c r="B576" s="88"/>
      <c r="C576" s="76"/>
      <c r="D576" s="86"/>
      <c r="E576" s="86"/>
      <c r="F576" s="90"/>
      <c r="G576" s="91"/>
      <c r="H576" s="86"/>
      <c r="I576" s="86"/>
      <c r="J576" s="86"/>
      <c r="K576" s="86"/>
      <c r="L576" s="86"/>
      <c r="M576" s="86"/>
      <c r="N576" s="90"/>
      <c r="O576" s="90"/>
      <c r="P576" s="90"/>
      <c r="Q576" s="106"/>
      <c r="R576" s="95"/>
      <c r="S576" s="96"/>
      <c r="T576" s="97"/>
      <c r="U576" s="85" t="str">
        <f t="array" ref="U576">IFERROR(index('3. Công thức lab theo từng mã h'!J:J,MATCH(C576,'3. Công thức lab theo từng mã h'!L:L,0)),"")</f>
        <v/>
      </c>
      <c r="V576" s="85"/>
      <c r="W576" s="75"/>
    </row>
    <row r="577">
      <c r="A577" s="64">
        <f t="shared" si="1"/>
        <v>0</v>
      </c>
      <c r="B577" s="98"/>
      <c r="C577" s="64"/>
      <c r="D577" s="16"/>
      <c r="E577" s="16"/>
      <c r="F577" s="100"/>
      <c r="G577" s="101"/>
      <c r="H577" s="16"/>
      <c r="I577" s="16"/>
      <c r="J577" s="16"/>
      <c r="K577" s="16"/>
      <c r="L577" s="16"/>
      <c r="M577" s="16"/>
      <c r="N577" s="100"/>
      <c r="O577" s="100"/>
      <c r="P577" s="100"/>
      <c r="Q577" s="106"/>
      <c r="R577" s="107"/>
      <c r="S577" s="104"/>
      <c r="T577" s="108"/>
      <c r="U577" s="74" t="str">
        <f t="array" ref="U577">IFERROR(index('3. Công thức lab theo từng mã h'!J:J,MATCH(C577,'3. Công thức lab theo từng mã h'!L:L,0)),"")</f>
        <v/>
      </c>
      <c r="V577" s="74"/>
      <c r="W577" s="75"/>
    </row>
    <row r="578">
      <c r="A578" s="76">
        <f t="shared" si="1"/>
        <v>0</v>
      </c>
      <c r="B578" s="88"/>
      <c r="C578" s="76"/>
      <c r="D578" s="86"/>
      <c r="E578" s="86"/>
      <c r="F578" s="90"/>
      <c r="G578" s="91"/>
      <c r="H578" s="86"/>
      <c r="I578" s="86"/>
      <c r="J578" s="86"/>
      <c r="K578" s="86"/>
      <c r="L578" s="86"/>
      <c r="M578" s="86"/>
      <c r="N578" s="90"/>
      <c r="O578" s="90"/>
      <c r="P578" s="90"/>
      <c r="Q578" s="106"/>
      <c r="R578" s="95"/>
      <c r="S578" s="96"/>
      <c r="T578" s="97"/>
      <c r="U578" s="85" t="str">
        <f t="array" ref="U578">IFERROR(index('3. Công thức lab theo từng mã h'!J:J,MATCH(C578,'3. Công thức lab theo từng mã h'!L:L,0)),"")</f>
        <v/>
      </c>
      <c r="V578" s="85"/>
      <c r="W578" s="75"/>
    </row>
    <row r="579">
      <c r="A579" s="64">
        <f t="shared" si="1"/>
        <v>0</v>
      </c>
      <c r="B579" s="98"/>
      <c r="C579" s="64"/>
      <c r="D579" s="16"/>
      <c r="E579" s="16"/>
      <c r="F579" s="100"/>
      <c r="G579" s="101"/>
      <c r="H579" s="16"/>
      <c r="I579" s="16"/>
      <c r="J579" s="16"/>
      <c r="K579" s="16"/>
      <c r="L579" s="16"/>
      <c r="M579" s="16"/>
      <c r="N579" s="100"/>
      <c r="O579" s="100"/>
      <c r="P579" s="100"/>
      <c r="Q579" s="106"/>
      <c r="R579" s="107"/>
      <c r="S579" s="104"/>
      <c r="T579" s="108"/>
      <c r="U579" s="74" t="str">
        <f t="array" ref="U579">IFERROR(index('3. Công thức lab theo từng mã h'!J:J,MATCH(C579,'3. Công thức lab theo từng mã h'!L:L,0)),"")</f>
        <v/>
      </c>
      <c r="V579" s="74"/>
      <c r="W579" s="75"/>
    </row>
    <row r="580">
      <c r="A580" s="76">
        <f t="shared" si="1"/>
        <v>0</v>
      </c>
      <c r="B580" s="88"/>
      <c r="C580" s="76"/>
      <c r="D580" s="86"/>
      <c r="E580" s="86"/>
      <c r="F580" s="90"/>
      <c r="G580" s="91"/>
      <c r="H580" s="86"/>
      <c r="I580" s="86"/>
      <c r="J580" s="86"/>
      <c r="K580" s="86"/>
      <c r="L580" s="86"/>
      <c r="M580" s="86"/>
      <c r="N580" s="90"/>
      <c r="O580" s="90"/>
      <c r="P580" s="90"/>
      <c r="Q580" s="106"/>
      <c r="R580" s="95"/>
      <c r="S580" s="96"/>
      <c r="T580" s="97"/>
      <c r="U580" s="85" t="str">
        <f t="array" ref="U580">IFERROR(index('3. Công thức lab theo từng mã h'!J:J,MATCH(C580,'3. Công thức lab theo từng mã h'!L:L,0)),"")</f>
        <v/>
      </c>
      <c r="V580" s="85"/>
      <c r="W580" s="75"/>
    </row>
    <row r="581">
      <c r="A581" s="64">
        <f t="shared" si="1"/>
        <v>0</v>
      </c>
      <c r="B581" s="98"/>
      <c r="C581" s="64"/>
      <c r="D581" s="16"/>
      <c r="E581" s="16"/>
      <c r="F581" s="100"/>
      <c r="G581" s="101"/>
      <c r="H581" s="16"/>
      <c r="I581" s="16"/>
      <c r="J581" s="16"/>
      <c r="K581" s="16"/>
      <c r="L581" s="16"/>
      <c r="M581" s="16"/>
      <c r="N581" s="100"/>
      <c r="O581" s="100"/>
      <c r="P581" s="100"/>
      <c r="Q581" s="106"/>
      <c r="R581" s="107"/>
      <c r="S581" s="104"/>
      <c r="T581" s="108"/>
      <c r="U581" s="74" t="str">
        <f t="array" ref="U581">IFERROR(index('3. Công thức lab theo từng mã h'!J:J,MATCH(C581,'3. Công thức lab theo từng mã h'!L:L,0)),"")</f>
        <v/>
      </c>
      <c r="V581" s="74"/>
      <c r="W581" s="75"/>
    </row>
    <row r="582">
      <c r="A582" s="76">
        <f t="shared" si="1"/>
        <v>0</v>
      </c>
      <c r="B582" s="88"/>
      <c r="C582" s="76"/>
      <c r="D582" s="86"/>
      <c r="E582" s="86"/>
      <c r="F582" s="90"/>
      <c r="G582" s="91"/>
      <c r="H582" s="86"/>
      <c r="I582" s="86"/>
      <c r="J582" s="86"/>
      <c r="K582" s="86"/>
      <c r="L582" s="86"/>
      <c r="M582" s="86"/>
      <c r="N582" s="90"/>
      <c r="O582" s="90"/>
      <c r="P582" s="90"/>
      <c r="Q582" s="106"/>
      <c r="R582" s="95"/>
      <c r="S582" s="96"/>
      <c r="T582" s="97"/>
      <c r="U582" s="85" t="str">
        <f t="array" ref="U582">IFERROR(index('3. Công thức lab theo từng mã h'!J:J,MATCH(C582,'3. Công thức lab theo từng mã h'!L:L,0)),"")</f>
        <v/>
      </c>
      <c r="V582" s="85"/>
      <c r="W582" s="75"/>
    </row>
    <row r="583">
      <c r="A583" s="64">
        <f t="shared" si="1"/>
        <v>0</v>
      </c>
      <c r="B583" s="98"/>
      <c r="C583" s="64"/>
      <c r="D583" s="16"/>
      <c r="E583" s="16"/>
      <c r="F583" s="100"/>
      <c r="G583" s="101"/>
      <c r="H583" s="16"/>
      <c r="I583" s="16"/>
      <c r="J583" s="16"/>
      <c r="K583" s="16"/>
      <c r="L583" s="16"/>
      <c r="M583" s="16"/>
      <c r="N583" s="100"/>
      <c r="O583" s="100"/>
      <c r="P583" s="100"/>
      <c r="Q583" s="106"/>
      <c r="R583" s="107"/>
      <c r="S583" s="104"/>
      <c r="T583" s="108"/>
      <c r="U583" s="74" t="str">
        <f t="array" ref="U583">IFERROR(index('3. Công thức lab theo từng mã h'!J:J,MATCH(C583,'3. Công thức lab theo từng mã h'!L:L,0)),"")</f>
        <v/>
      </c>
      <c r="V583" s="74"/>
      <c r="W583" s="75"/>
    </row>
    <row r="584">
      <c r="A584" s="76">
        <f t="shared" si="1"/>
        <v>0</v>
      </c>
      <c r="B584" s="88"/>
      <c r="C584" s="76"/>
      <c r="D584" s="86"/>
      <c r="E584" s="86"/>
      <c r="F584" s="90"/>
      <c r="G584" s="91"/>
      <c r="H584" s="86"/>
      <c r="I584" s="86"/>
      <c r="J584" s="86"/>
      <c r="K584" s="86"/>
      <c r="L584" s="86"/>
      <c r="M584" s="86"/>
      <c r="N584" s="90"/>
      <c r="O584" s="90"/>
      <c r="P584" s="90"/>
      <c r="Q584" s="106"/>
      <c r="R584" s="95"/>
      <c r="S584" s="96"/>
      <c r="T584" s="97"/>
      <c r="U584" s="85" t="str">
        <f t="array" ref="U584">IFERROR(index('3. Công thức lab theo từng mã h'!J:J,MATCH(C584,'3. Công thức lab theo từng mã h'!L:L,0)),"")</f>
        <v/>
      </c>
      <c r="V584" s="85"/>
      <c r="W584" s="75"/>
    </row>
    <row r="585">
      <c r="A585" s="64">
        <f t="shared" si="1"/>
        <v>0</v>
      </c>
      <c r="B585" s="98"/>
      <c r="C585" s="64"/>
      <c r="D585" s="16"/>
      <c r="E585" s="16"/>
      <c r="F585" s="100"/>
      <c r="G585" s="101"/>
      <c r="H585" s="16"/>
      <c r="I585" s="16"/>
      <c r="J585" s="16"/>
      <c r="K585" s="16"/>
      <c r="L585" s="16"/>
      <c r="M585" s="16"/>
      <c r="N585" s="100"/>
      <c r="O585" s="100"/>
      <c r="P585" s="100"/>
      <c r="Q585" s="106"/>
      <c r="R585" s="107"/>
      <c r="S585" s="104"/>
      <c r="T585" s="108"/>
      <c r="U585" s="74" t="str">
        <f t="array" ref="U585">IFERROR(index('3. Công thức lab theo từng mã h'!J:J,MATCH(C585,'3. Công thức lab theo từng mã h'!L:L,0)),"")</f>
        <v/>
      </c>
      <c r="V585" s="74"/>
      <c r="W585" s="75"/>
    </row>
    <row r="586">
      <c r="A586" s="76">
        <f t="shared" si="1"/>
        <v>0</v>
      </c>
      <c r="B586" s="88"/>
      <c r="C586" s="76"/>
      <c r="D586" s="86"/>
      <c r="E586" s="86"/>
      <c r="F586" s="90"/>
      <c r="G586" s="91"/>
      <c r="H586" s="86"/>
      <c r="I586" s="86"/>
      <c r="J586" s="86"/>
      <c r="K586" s="86"/>
      <c r="L586" s="86"/>
      <c r="M586" s="86"/>
      <c r="N586" s="90"/>
      <c r="O586" s="90"/>
      <c r="P586" s="90"/>
      <c r="Q586" s="106"/>
      <c r="R586" s="95"/>
      <c r="S586" s="96"/>
      <c r="T586" s="97"/>
      <c r="U586" s="85" t="str">
        <f t="array" ref="U586">IFERROR(index('3. Công thức lab theo từng mã h'!J:J,MATCH(C586,'3. Công thức lab theo từng mã h'!L:L,0)),"")</f>
        <v/>
      </c>
      <c r="V586" s="85"/>
      <c r="W586" s="75"/>
    </row>
    <row r="587">
      <c r="A587" s="64">
        <f t="shared" si="1"/>
        <v>0</v>
      </c>
      <c r="B587" s="98"/>
      <c r="C587" s="64"/>
      <c r="D587" s="16"/>
      <c r="E587" s="16"/>
      <c r="F587" s="100"/>
      <c r="G587" s="101"/>
      <c r="H587" s="16"/>
      <c r="I587" s="16"/>
      <c r="J587" s="16"/>
      <c r="K587" s="16"/>
      <c r="L587" s="16"/>
      <c r="M587" s="16"/>
      <c r="N587" s="100"/>
      <c r="O587" s="100"/>
      <c r="P587" s="100"/>
      <c r="Q587" s="106"/>
      <c r="R587" s="107"/>
      <c r="S587" s="104"/>
      <c r="T587" s="108"/>
      <c r="U587" s="74" t="str">
        <f t="array" ref="U587">IFERROR(index('3. Công thức lab theo từng mã h'!J:J,MATCH(C587,'3. Công thức lab theo từng mã h'!L:L,0)),"")</f>
        <v/>
      </c>
      <c r="V587" s="74"/>
      <c r="W587" s="75"/>
    </row>
    <row r="588">
      <c r="A588" s="76">
        <f t="shared" si="1"/>
        <v>0</v>
      </c>
      <c r="B588" s="88"/>
      <c r="C588" s="76"/>
      <c r="D588" s="86"/>
      <c r="E588" s="86"/>
      <c r="F588" s="90"/>
      <c r="G588" s="91"/>
      <c r="H588" s="86"/>
      <c r="I588" s="86"/>
      <c r="J588" s="86"/>
      <c r="K588" s="86"/>
      <c r="L588" s="86"/>
      <c r="M588" s="86"/>
      <c r="N588" s="90"/>
      <c r="O588" s="90"/>
      <c r="P588" s="90"/>
      <c r="Q588" s="106"/>
      <c r="R588" s="95"/>
      <c r="S588" s="96"/>
      <c r="T588" s="97"/>
      <c r="U588" s="85" t="str">
        <f t="array" ref="U588">IFERROR(index('3. Công thức lab theo từng mã h'!J:J,MATCH(C588,'3. Công thức lab theo từng mã h'!L:L,0)),"")</f>
        <v/>
      </c>
      <c r="V588" s="85"/>
      <c r="W588" s="75"/>
    </row>
    <row r="589">
      <c r="A589" s="64">
        <f t="shared" si="1"/>
        <v>0</v>
      </c>
      <c r="B589" s="98"/>
      <c r="C589" s="64"/>
      <c r="D589" s="16"/>
      <c r="E589" s="16"/>
      <c r="F589" s="100"/>
      <c r="G589" s="101"/>
      <c r="H589" s="16"/>
      <c r="I589" s="16"/>
      <c r="J589" s="16"/>
      <c r="K589" s="16"/>
      <c r="L589" s="16"/>
      <c r="M589" s="16"/>
      <c r="N589" s="100"/>
      <c r="O589" s="100"/>
      <c r="P589" s="100"/>
      <c r="Q589" s="106"/>
      <c r="R589" s="107"/>
      <c r="S589" s="104"/>
      <c r="T589" s="108"/>
      <c r="U589" s="74" t="str">
        <f t="array" ref="U589">IFERROR(index('3. Công thức lab theo từng mã h'!J:J,MATCH(C589,'3. Công thức lab theo từng mã h'!L:L,0)),"")</f>
        <v/>
      </c>
      <c r="V589" s="74"/>
      <c r="W589" s="75"/>
    </row>
    <row r="590">
      <c r="A590" s="76">
        <f t="shared" si="1"/>
        <v>0</v>
      </c>
      <c r="B590" s="88"/>
      <c r="C590" s="76"/>
      <c r="D590" s="86"/>
      <c r="E590" s="86"/>
      <c r="F590" s="90"/>
      <c r="G590" s="91"/>
      <c r="H590" s="86"/>
      <c r="I590" s="86"/>
      <c r="J590" s="86"/>
      <c r="K590" s="86"/>
      <c r="L590" s="86"/>
      <c r="M590" s="86"/>
      <c r="N590" s="90"/>
      <c r="O590" s="90"/>
      <c r="P590" s="90"/>
      <c r="Q590" s="106"/>
      <c r="R590" s="95"/>
      <c r="S590" s="96"/>
      <c r="T590" s="97"/>
      <c r="U590" s="85" t="str">
        <f t="array" ref="U590">IFERROR(index('3. Công thức lab theo từng mã h'!J:J,MATCH(C590,'3. Công thức lab theo từng mã h'!L:L,0)),"")</f>
        <v/>
      </c>
      <c r="V590" s="85"/>
      <c r="W590" s="75"/>
    </row>
    <row r="591">
      <c r="A591" s="64">
        <f t="shared" si="1"/>
        <v>0</v>
      </c>
      <c r="B591" s="98"/>
      <c r="C591" s="64"/>
      <c r="D591" s="16"/>
      <c r="E591" s="16"/>
      <c r="F591" s="100"/>
      <c r="G591" s="101"/>
      <c r="H591" s="16"/>
      <c r="I591" s="16"/>
      <c r="J591" s="16"/>
      <c r="K591" s="16"/>
      <c r="L591" s="16"/>
      <c r="M591" s="16"/>
      <c r="N591" s="100"/>
      <c r="O591" s="100"/>
      <c r="P591" s="100"/>
      <c r="Q591" s="106"/>
      <c r="R591" s="107"/>
      <c r="S591" s="104"/>
      <c r="T591" s="108"/>
      <c r="U591" s="74" t="str">
        <f t="array" ref="U591">IFERROR(index('3. Công thức lab theo từng mã h'!J:J,MATCH(C591,'3. Công thức lab theo từng mã h'!L:L,0)),"")</f>
        <v/>
      </c>
      <c r="V591" s="74"/>
      <c r="W591" s="75"/>
    </row>
    <row r="592">
      <c r="A592" s="76">
        <f t="shared" si="1"/>
        <v>0</v>
      </c>
      <c r="B592" s="88"/>
      <c r="C592" s="76"/>
      <c r="D592" s="86"/>
      <c r="E592" s="86"/>
      <c r="F592" s="90"/>
      <c r="G592" s="91"/>
      <c r="H592" s="86"/>
      <c r="I592" s="86"/>
      <c r="J592" s="86"/>
      <c r="K592" s="86"/>
      <c r="L592" s="86"/>
      <c r="M592" s="86"/>
      <c r="N592" s="90"/>
      <c r="O592" s="90"/>
      <c r="P592" s="90"/>
      <c r="Q592" s="106"/>
      <c r="R592" s="95"/>
      <c r="S592" s="96"/>
      <c r="T592" s="97"/>
      <c r="U592" s="85" t="str">
        <f t="array" ref="U592">IFERROR(index('3. Công thức lab theo từng mã h'!J:J,MATCH(C592,'3. Công thức lab theo từng mã h'!L:L,0)),"")</f>
        <v/>
      </c>
      <c r="V592" s="85"/>
      <c r="W592" s="75"/>
    </row>
    <row r="593">
      <c r="A593" s="64">
        <f t="shared" si="1"/>
        <v>0</v>
      </c>
      <c r="B593" s="98"/>
      <c r="C593" s="64"/>
      <c r="D593" s="16"/>
      <c r="E593" s="16"/>
      <c r="F593" s="100"/>
      <c r="G593" s="101"/>
      <c r="H593" s="16"/>
      <c r="I593" s="16"/>
      <c r="J593" s="16"/>
      <c r="K593" s="16"/>
      <c r="L593" s="16"/>
      <c r="M593" s="16"/>
      <c r="N593" s="100"/>
      <c r="O593" s="100"/>
      <c r="P593" s="100"/>
      <c r="Q593" s="106"/>
      <c r="R593" s="107"/>
      <c r="S593" s="104"/>
      <c r="T593" s="108"/>
      <c r="U593" s="74" t="str">
        <f t="array" ref="U593">IFERROR(index('3. Công thức lab theo từng mã h'!J:J,MATCH(C593,'3. Công thức lab theo từng mã h'!L:L,0)),"")</f>
        <v/>
      </c>
      <c r="V593" s="74"/>
      <c r="W593" s="75"/>
    </row>
    <row r="594">
      <c r="A594" s="76">
        <f t="shared" si="1"/>
        <v>0</v>
      </c>
      <c r="B594" s="88"/>
      <c r="C594" s="76"/>
      <c r="D594" s="86"/>
      <c r="E594" s="86"/>
      <c r="F594" s="90"/>
      <c r="G594" s="91"/>
      <c r="H594" s="86"/>
      <c r="I594" s="86"/>
      <c r="J594" s="86"/>
      <c r="K594" s="86"/>
      <c r="L594" s="86"/>
      <c r="M594" s="86"/>
      <c r="N594" s="90"/>
      <c r="O594" s="90"/>
      <c r="P594" s="90"/>
      <c r="Q594" s="106"/>
      <c r="R594" s="95"/>
      <c r="S594" s="96"/>
      <c r="T594" s="97"/>
      <c r="U594" s="85" t="str">
        <f t="array" ref="U594">IFERROR(index('3. Công thức lab theo từng mã h'!J:J,MATCH(C594,'3. Công thức lab theo từng mã h'!L:L,0)),"")</f>
        <v/>
      </c>
      <c r="V594" s="85"/>
      <c r="W594" s="75"/>
    </row>
    <row r="595">
      <c r="A595" s="64">
        <f t="shared" si="1"/>
        <v>0</v>
      </c>
      <c r="B595" s="98"/>
      <c r="C595" s="64"/>
      <c r="D595" s="16"/>
      <c r="E595" s="16"/>
      <c r="F595" s="100"/>
      <c r="G595" s="101"/>
      <c r="H595" s="16"/>
      <c r="I595" s="16"/>
      <c r="J595" s="16"/>
      <c r="K595" s="16"/>
      <c r="L595" s="16"/>
      <c r="M595" s="16"/>
      <c r="N595" s="100"/>
      <c r="O595" s="100"/>
      <c r="P595" s="100"/>
      <c r="Q595" s="106"/>
      <c r="R595" s="107"/>
      <c r="S595" s="104"/>
      <c r="T595" s="108"/>
      <c r="U595" s="74" t="str">
        <f t="array" ref="U595">IFERROR(index('3. Công thức lab theo từng mã h'!J:J,MATCH(C595,'3. Công thức lab theo từng mã h'!L:L,0)),"")</f>
        <v/>
      </c>
      <c r="V595" s="74"/>
      <c r="W595" s="75"/>
    </row>
    <row r="596">
      <c r="A596" s="76">
        <f t="shared" si="1"/>
        <v>0</v>
      </c>
      <c r="B596" s="88"/>
      <c r="C596" s="76"/>
      <c r="D596" s="86"/>
      <c r="E596" s="86"/>
      <c r="F596" s="90"/>
      <c r="G596" s="91"/>
      <c r="H596" s="86"/>
      <c r="I596" s="86"/>
      <c r="J596" s="86"/>
      <c r="K596" s="86"/>
      <c r="L596" s="86"/>
      <c r="M596" s="86"/>
      <c r="N596" s="90"/>
      <c r="O596" s="90"/>
      <c r="P596" s="90"/>
      <c r="Q596" s="106"/>
      <c r="R596" s="95"/>
      <c r="S596" s="96"/>
      <c r="T596" s="97"/>
      <c r="U596" s="85" t="str">
        <f t="array" ref="U596">IFERROR(index('3. Công thức lab theo từng mã h'!J:J,MATCH(C596,'3. Công thức lab theo từng mã h'!L:L,0)),"")</f>
        <v/>
      </c>
      <c r="V596" s="85"/>
      <c r="W596" s="75"/>
    </row>
    <row r="597">
      <c r="A597" s="64">
        <f t="shared" si="1"/>
        <v>0</v>
      </c>
      <c r="B597" s="98"/>
      <c r="C597" s="64"/>
      <c r="D597" s="16"/>
      <c r="E597" s="16"/>
      <c r="F597" s="100"/>
      <c r="G597" s="101"/>
      <c r="H597" s="16"/>
      <c r="I597" s="16"/>
      <c r="J597" s="16"/>
      <c r="K597" s="16"/>
      <c r="L597" s="16"/>
      <c r="M597" s="16"/>
      <c r="N597" s="100"/>
      <c r="O597" s="100"/>
      <c r="P597" s="100"/>
      <c r="Q597" s="106"/>
      <c r="R597" s="107"/>
      <c r="S597" s="104"/>
      <c r="T597" s="108"/>
      <c r="U597" s="74" t="str">
        <f t="array" ref="U597">IFERROR(index('3. Công thức lab theo từng mã h'!J:J,MATCH(C597,'3. Công thức lab theo từng mã h'!L:L,0)),"")</f>
        <v/>
      </c>
      <c r="V597" s="74"/>
      <c r="W597" s="75"/>
    </row>
    <row r="598">
      <c r="A598" s="76">
        <f t="shared" si="1"/>
        <v>0</v>
      </c>
      <c r="B598" s="88"/>
      <c r="C598" s="76"/>
      <c r="D598" s="86"/>
      <c r="E598" s="86"/>
      <c r="F598" s="90"/>
      <c r="G598" s="91"/>
      <c r="H598" s="86"/>
      <c r="I598" s="86"/>
      <c r="J598" s="86"/>
      <c r="K598" s="86"/>
      <c r="L598" s="86"/>
      <c r="M598" s="86"/>
      <c r="N598" s="90"/>
      <c r="O598" s="90"/>
      <c r="P598" s="90"/>
      <c r="Q598" s="106"/>
      <c r="R598" s="95"/>
      <c r="S598" s="96"/>
      <c r="T598" s="97"/>
      <c r="U598" s="85" t="str">
        <f t="array" ref="U598">IFERROR(index('3. Công thức lab theo từng mã h'!J:J,MATCH(C598,'3. Công thức lab theo từng mã h'!L:L,0)),"")</f>
        <v/>
      </c>
      <c r="V598" s="85"/>
      <c r="W598" s="75"/>
    </row>
    <row r="599">
      <c r="A599" s="64">
        <f t="shared" si="1"/>
        <v>0</v>
      </c>
      <c r="B599" s="98"/>
      <c r="C599" s="64"/>
      <c r="D599" s="16"/>
      <c r="E599" s="16"/>
      <c r="F599" s="100"/>
      <c r="G599" s="101"/>
      <c r="H599" s="16"/>
      <c r="I599" s="16"/>
      <c r="J599" s="16"/>
      <c r="K599" s="16"/>
      <c r="L599" s="16"/>
      <c r="M599" s="16"/>
      <c r="N599" s="100"/>
      <c r="O599" s="100"/>
      <c r="P599" s="100"/>
      <c r="Q599" s="106"/>
      <c r="R599" s="107"/>
      <c r="S599" s="104"/>
      <c r="T599" s="108"/>
      <c r="U599" s="74" t="str">
        <f t="array" ref="U599">IFERROR(index('3. Công thức lab theo từng mã h'!J:J,MATCH(C599,'3. Công thức lab theo từng mã h'!L:L,0)),"")</f>
        <v/>
      </c>
      <c r="V599" s="74"/>
      <c r="W599" s="75"/>
    </row>
    <row r="600">
      <c r="A600" s="76">
        <f t="shared" si="1"/>
        <v>0</v>
      </c>
      <c r="B600" s="88"/>
      <c r="C600" s="76"/>
      <c r="D600" s="86"/>
      <c r="E600" s="86"/>
      <c r="F600" s="90"/>
      <c r="G600" s="91"/>
      <c r="H600" s="86"/>
      <c r="I600" s="86"/>
      <c r="J600" s="86"/>
      <c r="K600" s="86"/>
      <c r="L600" s="86"/>
      <c r="M600" s="86"/>
      <c r="N600" s="90"/>
      <c r="O600" s="90"/>
      <c r="P600" s="90"/>
      <c r="Q600" s="106"/>
      <c r="R600" s="95"/>
      <c r="S600" s="96"/>
      <c r="T600" s="97"/>
      <c r="U600" s="85" t="str">
        <f t="array" ref="U600">IFERROR(index('3. Công thức lab theo từng mã h'!J:J,MATCH(C600,'3. Công thức lab theo từng mã h'!L:L,0)),"")</f>
        <v/>
      </c>
      <c r="V600" s="85"/>
      <c r="W600" s="75"/>
    </row>
    <row r="601">
      <c r="A601" s="64">
        <f t="shared" si="1"/>
        <v>0</v>
      </c>
      <c r="B601" s="98"/>
      <c r="C601" s="64"/>
      <c r="D601" s="16"/>
      <c r="E601" s="16"/>
      <c r="F601" s="100"/>
      <c r="G601" s="101"/>
      <c r="H601" s="16"/>
      <c r="I601" s="16"/>
      <c r="J601" s="16"/>
      <c r="K601" s="16"/>
      <c r="L601" s="16"/>
      <c r="M601" s="16"/>
      <c r="N601" s="100"/>
      <c r="O601" s="100"/>
      <c r="P601" s="100"/>
      <c r="Q601" s="106"/>
      <c r="R601" s="107"/>
      <c r="S601" s="104"/>
      <c r="T601" s="108"/>
      <c r="U601" s="74" t="str">
        <f t="array" ref="U601">IFERROR(index('3. Công thức lab theo từng mã h'!J:J,MATCH(C601,'3. Công thức lab theo từng mã h'!L:L,0)),"")</f>
        <v/>
      </c>
      <c r="V601" s="74"/>
      <c r="W601" s="75"/>
    </row>
    <row r="602">
      <c r="A602" s="76">
        <f t="shared" si="1"/>
        <v>0</v>
      </c>
      <c r="B602" s="88"/>
      <c r="C602" s="76"/>
      <c r="D602" s="86"/>
      <c r="E602" s="86"/>
      <c r="F602" s="90"/>
      <c r="G602" s="91"/>
      <c r="H602" s="86"/>
      <c r="I602" s="86"/>
      <c r="J602" s="86"/>
      <c r="K602" s="86"/>
      <c r="L602" s="86"/>
      <c r="M602" s="86"/>
      <c r="N602" s="90"/>
      <c r="O602" s="90"/>
      <c r="P602" s="90"/>
      <c r="Q602" s="106"/>
      <c r="R602" s="95"/>
      <c r="S602" s="96"/>
      <c r="T602" s="97"/>
      <c r="U602" s="85" t="str">
        <f t="array" ref="U602">IFERROR(index('3. Công thức lab theo từng mã h'!J:J,MATCH(C602,'3. Công thức lab theo từng mã h'!L:L,0)),"")</f>
        <v/>
      </c>
      <c r="V602" s="85"/>
      <c r="W602" s="75"/>
    </row>
    <row r="603">
      <c r="A603" s="64">
        <f t="shared" si="1"/>
        <v>0</v>
      </c>
      <c r="B603" s="98"/>
      <c r="C603" s="64"/>
      <c r="D603" s="16"/>
      <c r="E603" s="16"/>
      <c r="F603" s="100"/>
      <c r="G603" s="101"/>
      <c r="H603" s="16"/>
      <c r="I603" s="16"/>
      <c r="J603" s="16"/>
      <c r="K603" s="16"/>
      <c r="L603" s="16"/>
      <c r="M603" s="16"/>
      <c r="N603" s="100"/>
      <c r="O603" s="100"/>
      <c r="P603" s="100"/>
      <c r="Q603" s="106"/>
      <c r="R603" s="107"/>
      <c r="S603" s="104"/>
      <c r="T603" s="108"/>
      <c r="U603" s="74" t="str">
        <f t="array" ref="U603">IFERROR(index('3. Công thức lab theo từng mã h'!J:J,MATCH(C603,'3. Công thức lab theo từng mã h'!L:L,0)),"")</f>
        <v/>
      </c>
      <c r="V603" s="74"/>
      <c r="W603" s="75"/>
    </row>
    <row r="604">
      <c r="A604" s="76">
        <f t="shared" si="1"/>
        <v>0</v>
      </c>
      <c r="B604" s="88"/>
      <c r="C604" s="76"/>
      <c r="D604" s="86"/>
      <c r="E604" s="86"/>
      <c r="F604" s="90"/>
      <c r="G604" s="91"/>
      <c r="H604" s="86"/>
      <c r="I604" s="86"/>
      <c r="J604" s="86"/>
      <c r="K604" s="86"/>
      <c r="L604" s="86"/>
      <c r="M604" s="86"/>
      <c r="N604" s="90"/>
      <c r="O604" s="90"/>
      <c r="P604" s="90"/>
      <c r="Q604" s="106"/>
      <c r="R604" s="95"/>
      <c r="S604" s="96"/>
      <c r="T604" s="97"/>
      <c r="U604" s="85" t="str">
        <f t="array" ref="U604">IFERROR(index('3. Công thức lab theo từng mã h'!J:J,MATCH(C604,'3. Công thức lab theo từng mã h'!L:L,0)),"")</f>
        <v/>
      </c>
      <c r="V604" s="85"/>
      <c r="W604" s="75"/>
    </row>
    <row r="605">
      <c r="A605" s="64">
        <f t="shared" si="1"/>
        <v>0</v>
      </c>
      <c r="B605" s="98"/>
      <c r="C605" s="64"/>
      <c r="D605" s="16"/>
      <c r="E605" s="16"/>
      <c r="F605" s="100"/>
      <c r="G605" s="101"/>
      <c r="H605" s="16"/>
      <c r="I605" s="16"/>
      <c r="J605" s="16"/>
      <c r="K605" s="16"/>
      <c r="L605" s="16"/>
      <c r="M605" s="16"/>
      <c r="N605" s="100"/>
      <c r="O605" s="100"/>
      <c r="P605" s="100"/>
      <c r="Q605" s="106"/>
      <c r="R605" s="107"/>
      <c r="S605" s="104"/>
      <c r="T605" s="108"/>
      <c r="U605" s="74" t="str">
        <f t="array" ref="U605">IFERROR(index('3. Công thức lab theo từng mã h'!J:J,MATCH(C605,'3. Công thức lab theo từng mã h'!L:L,0)),"")</f>
        <v/>
      </c>
      <c r="V605" s="74"/>
      <c r="W605" s="75"/>
    </row>
    <row r="606">
      <c r="A606" s="76">
        <f t="shared" si="1"/>
        <v>0</v>
      </c>
      <c r="B606" s="88"/>
      <c r="C606" s="76"/>
      <c r="D606" s="86"/>
      <c r="E606" s="86"/>
      <c r="F606" s="90"/>
      <c r="G606" s="91"/>
      <c r="H606" s="86"/>
      <c r="I606" s="86"/>
      <c r="J606" s="86"/>
      <c r="K606" s="86"/>
      <c r="L606" s="86"/>
      <c r="M606" s="86"/>
      <c r="N606" s="90"/>
      <c r="O606" s="90"/>
      <c r="P606" s="90"/>
      <c r="Q606" s="106"/>
      <c r="R606" s="95"/>
      <c r="S606" s="96"/>
      <c r="T606" s="97"/>
      <c r="U606" s="85" t="str">
        <f t="array" ref="U606">IFERROR(index('3. Công thức lab theo từng mã h'!J:J,MATCH(C606,'3. Công thức lab theo từng mã h'!L:L,0)),"")</f>
        <v/>
      </c>
      <c r="V606" s="85"/>
      <c r="W606" s="75"/>
    </row>
    <row r="607">
      <c r="A607" s="64">
        <f t="shared" si="1"/>
        <v>0</v>
      </c>
      <c r="B607" s="98"/>
      <c r="C607" s="64"/>
      <c r="D607" s="16"/>
      <c r="E607" s="16"/>
      <c r="F607" s="100"/>
      <c r="G607" s="101"/>
      <c r="H607" s="16"/>
      <c r="I607" s="16"/>
      <c r="J607" s="16"/>
      <c r="K607" s="16"/>
      <c r="L607" s="16"/>
      <c r="M607" s="16"/>
      <c r="N607" s="100"/>
      <c r="O607" s="100"/>
      <c r="P607" s="100"/>
      <c r="Q607" s="106"/>
      <c r="R607" s="107"/>
      <c r="S607" s="104"/>
      <c r="T607" s="108"/>
      <c r="U607" s="74" t="str">
        <f t="array" ref="U607">IFERROR(index('3. Công thức lab theo từng mã h'!J:J,MATCH(C607,'3. Công thức lab theo từng mã h'!L:L,0)),"")</f>
        <v/>
      </c>
      <c r="V607" s="74"/>
      <c r="W607" s="75"/>
    </row>
    <row r="608">
      <c r="A608" s="76">
        <f t="shared" si="1"/>
        <v>0</v>
      </c>
      <c r="B608" s="88"/>
      <c r="C608" s="76"/>
      <c r="D608" s="86"/>
      <c r="E608" s="86"/>
      <c r="F608" s="90"/>
      <c r="G608" s="91"/>
      <c r="H608" s="86"/>
      <c r="I608" s="86"/>
      <c r="J608" s="86"/>
      <c r="K608" s="86"/>
      <c r="L608" s="86"/>
      <c r="M608" s="86"/>
      <c r="N608" s="90"/>
      <c r="O608" s="90"/>
      <c r="P608" s="90"/>
      <c r="Q608" s="106"/>
      <c r="R608" s="95"/>
      <c r="S608" s="96"/>
      <c r="T608" s="97"/>
      <c r="U608" s="85" t="str">
        <f t="array" ref="U608">IFERROR(index('3. Công thức lab theo từng mã h'!J:J,MATCH(C608,'3. Công thức lab theo từng mã h'!L:L,0)),"")</f>
        <v/>
      </c>
      <c r="V608" s="85"/>
      <c r="W608" s="75"/>
    </row>
    <row r="609">
      <c r="A609" s="64">
        <f t="shared" si="1"/>
        <v>0</v>
      </c>
      <c r="B609" s="98"/>
      <c r="C609" s="64"/>
      <c r="D609" s="16"/>
      <c r="E609" s="16"/>
      <c r="F609" s="100"/>
      <c r="G609" s="101"/>
      <c r="H609" s="16"/>
      <c r="I609" s="16"/>
      <c r="J609" s="16"/>
      <c r="K609" s="16"/>
      <c r="L609" s="16"/>
      <c r="M609" s="16"/>
      <c r="N609" s="100"/>
      <c r="O609" s="100"/>
      <c r="P609" s="100"/>
      <c r="Q609" s="106"/>
      <c r="R609" s="107"/>
      <c r="S609" s="104"/>
      <c r="T609" s="108"/>
      <c r="U609" s="74" t="str">
        <f t="array" ref="U609">IFERROR(index('3. Công thức lab theo từng mã h'!J:J,MATCH(C609,'3. Công thức lab theo từng mã h'!L:L,0)),"")</f>
        <v/>
      </c>
      <c r="V609" s="74"/>
      <c r="W609" s="75"/>
    </row>
    <row r="610">
      <c r="A610" s="76">
        <f t="shared" si="1"/>
        <v>0</v>
      </c>
      <c r="B610" s="88"/>
      <c r="C610" s="76"/>
      <c r="D610" s="86"/>
      <c r="E610" s="86"/>
      <c r="F610" s="90"/>
      <c r="G610" s="91"/>
      <c r="H610" s="86"/>
      <c r="I610" s="86"/>
      <c r="J610" s="86"/>
      <c r="K610" s="86"/>
      <c r="L610" s="86"/>
      <c r="M610" s="86"/>
      <c r="N610" s="90"/>
      <c r="O610" s="90"/>
      <c r="P610" s="90"/>
      <c r="Q610" s="106"/>
      <c r="R610" s="95"/>
      <c r="S610" s="96"/>
      <c r="T610" s="97"/>
      <c r="U610" s="85" t="str">
        <f t="array" ref="U610">IFERROR(index('3. Công thức lab theo từng mã h'!J:J,MATCH(C610,'3. Công thức lab theo từng mã h'!L:L,0)),"")</f>
        <v/>
      </c>
      <c r="V610" s="85"/>
      <c r="W610" s="75"/>
    </row>
    <row r="611">
      <c r="A611" s="64">
        <f t="shared" si="1"/>
        <v>0</v>
      </c>
      <c r="B611" s="98"/>
      <c r="C611" s="64"/>
      <c r="D611" s="16"/>
      <c r="E611" s="16"/>
      <c r="F611" s="100"/>
      <c r="G611" s="101"/>
      <c r="H611" s="16"/>
      <c r="I611" s="16"/>
      <c r="J611" s="16"/>
      <c r="K611" s="16"/>
      <c r="L611" s="16"/>
      <c r="M611" s="16"/>
      <c r="N611" s="100"/>
      <c r="O611" s="100"/>
      <c r="P611" s="100"/>
      <c r="Q611" s="106"/>
      <c r="R611" s="107"/>
      <c r="S611" s="104"/>
      <c r="T611" s="108"/>
      <c r="U611" s="74" t="str">
        <f t="array" ref="U611">IFERROR(index('3. Công thức lab theo từng mã h'!J:J,MATCH(C611,'3. Công thức lab theo từng mã h'!L:L,0)),"")</f>
        <v/>
      </c>
      <c r="V611" s="74"/>
      <c r="W611" s="75"/>
    </row>
    <row r="612">
      <c r="A612" s="76">
        <f t="shared" si="1"/>
        <v>0</v>
      </c>
      <c r="B612" s="88"/>
      <c r="C612" s="76"/>
      <c r="D612" s="86"/>
      <c r="E612" s="86"/>
      <c r="F612" s="90"/>
      <c r="G612" s="91"/>
      <c r="H612" s="86"/>
      <c r="I612" s="86"/>
      <c r="J612" s="86"/>
      <c r="K612" s="86"/>
      <c r="L612" s="86"/>
      <c r="M612" s="86"/>
      <c r="N612" s="90"/>
      <c r="O612" s="90"/>
      <c r="P612" s="90"/>
      <c r="Q612" s="106"/>
      <c r="R612" s="95"/>
      <c r="S612" s="96"/>
      <c r="T612" s="97"/>
      <c r="U612" s="85" t="str">
        <f t="array" ref="U612">IFERROR(index('3. Công thức lab theo từng mã h'!J:J,MATCH(C612,'3. Công thức lab theo từng mã h'!L:L,0)),"")</f>
        <v/>
      </c>
      <c r="V612" s="85"/>
      <c r="W612" s="75"/>
    </row>
    <row r="613">
      <c r="A613" s="64">
        <f t="shared" si="1"/>
        <v>0</v>
      </c>
      <c r="B613" s="98"/>
      <c r="C613" s="64"/>
      <c r="D613" s="16"/>
      <c r="E613" s="16"/>
      <c r="F613" s="100"/>
      <c r="G613" s="101"/>
      <c r="H613" s="16"/>
      <c r="I613" s="16"/>
      <c r="J613" s="16"/>
      <c r="K613" s="16"/>
      <c r="L613" s="16"/>
      <c r="M613" s="16"/>
      <c r="N613" s="100"/>
      <c r="O613" s="100"/>
      <c r="P613" s="100"/>
      <c r="Q613" s="106"/>
      <c r="R613" s="107"/>
      <c r="S613" s="104"/>
      <c r="T613" s="108"/>
      <c r="U613" s="74" t="str">
        <f t="array" ref="U613">IFERROR(index('3. Công thức lab theo từng mã h'!J:J,MATCH(C613,'3. Công thức lab theo từng mã h'!L:L,0)),"")</f>
        <v/>
      </c>
      <c r="V613" s="74"/>
      <c r="W613" s="75"/>
    </row>
    <row r="614">
      <c r="A614" s="76">
        <f t="shared" si="1"/>
        <v>0</v>
      </c>
      <c r="B614" s="88"/>
      <c r="C614" s="76"/>
      <c r="D614" s="86"/>
      <c r="E614" s="86"/>
      <c r="F614" s="90"/>
      <c r="G614" s="91"/>
      <c r="H614" s="86"/>
      <c r="I614" s="86"/>
      <c r="J614" s="86"/>
      <c r="K614" s="86"/>
      <c r="L614" s="86"/>
      <c r="M614" s="86"/>
      <c r="N614" s="90"/>
      <c r="O614" s="90"/>
      <c r="P614" s="90"/>
      <c r="Q614" s="106"/>
      <c r="R614" s="95"/>
      <c r="S614" s="96"/>
      <c r="T614" s="97"/>
      <c r="U614" s="85" t="str">
        <f t="array" ref="U614">IFERROR(index('3. Công thức lab theo từng mã h'!J:J,MATCH(C614,'3. Công thức lab theo từng mã h'!L:L,0)),"")</f>
        <v/>
      </c>
      <c r="V614" s="85"/>
      <c r="W614" s="75"/>
    </row>
    <row r="615">
      <c r="A615" s="64">
        <f t="shared" si="1"/>
        <v>0</v>
      </c>
      <c r="B615" s="98"/>
      <c r="C615" s="64"/>
      <c r="D615" s="16"/>
      <c r="E615" s="16"/>
      <c r="F615" s="100"/>
      <c r="G615" s="101"/>
      <c r="H615" s="16"/>
      <c r="I615" s="16"/>
      <c r="J615" s="16"/>
      <c r="K615" s="16"/>
      <c r="L615" s="16"/>
      <c r="M615" s="16"/>
      <c r="N615" s="100"/>
      <c r="O615" s="100"/>
      <c r="P615" s="100"/>
      <c r="Q615" s="106"/>
      <c r="R615" s="107"/>
      <c r="S615" s="104"/>
      <c r="T615" s="108"/>
      <c r="U615" s="74" t="str">
        <f t="array" ref="U615">IFERROR(index('3. Công thức lab theo từng mã h'!J:J,MATCH(C615,'3. Công thức lab theo từng mã h'!L:L,0)),"")</f>
        <v/>
      </c>
      <c r="V615" s="74"/>
      <c r="W615" s="75"/>
    </row>
    <row r="616">
      <c r="A616" s="76">
        <f t="shared" si="1"/>
        <v>0</v>
      </c>
      <c r="B616" s="88"/>
      <c r="C616" s="76"/>
      <c r="D616" s="86"/>
      <c r="E616" s="86"/>
      <c r="F616" s="90"/>
      <c r="G616" s="91"/>
      <c r="H616" s="86"/>
      <c r="I616" s="86"/>
      <c r="J616" s="86"/>
      <c r="K616" s="86"/>
      <c r="L616" s="86"/>
      <c r="M616" s="86"/>
      <c r="N616" s="90"/>
      <c r="O616" s="90"/>
      <c r="P616" s="90"/>
      <c r="Q616" s="106"/>
      <c r="R616" s="95"/>
      <c r="S616" s="96"/>
      <c r="T616" s="97"/>
      <c r="U616" s="85" t="str">
        <f t="array" ref="U616">IFERROR(index('3. Công thức lab theo từng mã h'!J:J,MATCH(C616,'3. Công thức lab theo từng mã h'!L:L,0)),"")</f>
        <v/>
      </c>
      <c r="V616" s="85"/>
      <c r="W616" s="75"/>
    </row>
    <row r="617">
      <c r="A617" s="64">
        <f t="shared" si="1"/>
        <v>0</v>
      </c>
      <c r="B617" s="98"/>
      <c r="C617" s="64"/>
      <c r="D617" s="16"/>
      <c r="E617" s="16"/>
      <c r="F617" s="100"/>
      <c r="G617" s="101"/>
      <c r="H617" s="16"/>
      <c r="I617" s="16"/>
      <c r="J617" s="16"/>
      <c r="K617" s="16"/>
      <c r="L617" s="16"/>
      <c r="M617" s="16"/>
      <c r="N617" s="100"/>
      <c r="O617" s="100"/>
      <c r="P617" s="100"/>
      <c r="Q617" s="106"/>
      <c r="R617" s="107"/>
      <c r="S617" s="104"/>
      <c r="T617" s="108"/>
      <c r="U617" s="74" t="str">
        <f t="array" ref="U617">IFERROR(index('3. Công thức lab theo từng mã h'!J:J,MATCH(C617,'3. Công thức lab theo từng mã h'!L:L,0)),"")</f>
        <v/>
      </c>
      <c r="V617" s="74"/>
      <c r="W617" s="75"/>
    </row>
    <row r="618">
      <c r="A618" s="76">
        <f t="shared" si="1"/>
        <v>0</v>
      </c>
      <c r="B618" s="88"/>
      <c r="C618" s="76"/>
      <c r="D618" s="86"/>
      <c r="E618" s="86"/>
      <c r="F618" s="90"/>
      <c r="G618" s="91"/>
      <c r="H618" s="86"/>
      <c r="I618" s="86"/>
      <c r="J618" s="86"/>
      <c r="K618" s="86"/>
      <c r="L618" s="86"/>
      <c r="M618" s="86"/>
      <c r="N618" s="90"/>
      <c r="O618" s="90"/>
      <c r="P618" s="90"/>
      <c r="Q618" s="106"/>
      <c r="R618" s="95"/>
      <c r="S618" s="96"/>
      <c r="T618" s="97"/>
      <c r="U618" s="85" t="str">
        <f t="array" ref="U618">IFERROR(index('3. Công thức lab theo từng mã h'!J:J,MATCH(C618,'3. Công thức lab theo từng mã h'!L:L,0)),"")</f>
        <v/>
      </c>
      <c r="V618" s="85"/>
      <c r="W618" s="75"/>
    </row>
    <row r="619">
      <c r="A619" s="64">
        <f t="shared" si="1"/>
        <v>0</v>
      </c>
      <c r="B619" s="98"/>
      <c r="C619" s="64"/>
      <c r="D619" s="16"/>
      <c r="E619" s="16"/>
      <c r="F619" s="100"/>
      <c r="G619" s="101"/>
      <c r="H619" s="16"/>
      <c r="I619" s="16"/>
      <c r="J619" s="16"/>
      <c r="K619" s="16"/>
      <c r="L619" s="16"/>
      <c r="M619" s="16"/>
      <c r="N619" s="100"/>
      <c r="O619" s="100"/>
      <c r="P619" s="100"/>
      <c r="Q619" s="106"/>
      <c r="R619" s="107"/>
      <c r="S619" s="104"/>
      <c r="T619" s="108"/>
      <c r="U619" s="74" t="str">
        <f t="array" ref="U619">IFERROR(index('3. Công thức lab theo từng mã h'!J:J,MATCH(C619,'3. Công thức lab theo từng mã h'!L:L,0)),"")</f>
        <v/>
      </c>
      <c r="V619" s="74"/>
      <c r="W619" s="75"/>
    </row>
    <row r="620">
      <c r="A620" s="76">
        <f t="shared" si="1"/>
        <v>0</v>
      </c>
      <c r="B620" s="88"/>
      <c r="C620" s="76"/>
      <c r="D620" s="86"/>
      <c r="E620" s="86"/>
      <c r="F620" s="90"/>
      <c r="G620" s="91"/>
      <c r="H620" s="86"/>
      <c r="I620" s="86"/>
      <c r="J620" s="86"/>
      <c r="K620" s="86"/>
      <c r="L620" s="86"/>
      <c r="M620" s="86"/>
      <c r="N620" s="90"/>
      <c r="O620" s="90"/>
      <c r="P620" s="90"/>
      <c r="Q620" s="106"/>
      <c r="R620" s="95"/>
      <c r="S620" s="96"/>
      <c r="T620" s="97"/>
      <c r="U620" s="85" t="str">
        <f t="array" ref="U620">IFERROR(index('3. Công thức lab theo từng mã h'!J:J,MATCH(C620,'3. Công thức lab theo từng mã h'!L:L,0)),"")</f>
        <v/>
      </c>
      <c r="V620" s="85"/>
      <c r="W620" s="75"/>
    </row>
    <row r="621">
      <c r="A621" s="64">
        <f t="shared" si="1"/>
        <v>0</v>
      </c>
      <c r="B621" s="98"/>
      <c r="C621" s="64"/>
      <c r="D621" s="16"/>
      <c r="E621" s="16"/>
      <c r="F621" s="100"/>
      <c r="G621" s="101"/>
      <c r="H621" s="16"/>
      <c r="I621" s="16"/>
      <c r="J621" s="16"/>
      <c r="K621" s="16"/>
      <c r="L621" s="16"/>
      <c r="M621" s="16"/>
      <c r="N621" s="100"/>
      <c r="O621" s="100"/>
      <c r="P621" s="100"/>
      <c r="Q621" s="106"/>
      <c r="R621" s="107"/>
      <c r="S621" s="104"/>
      <c r="T621" s="108"/>
      <c r="U621" s="74" t="str">
        <f t="array" ref="U621">IFERROR(index('3. Công thức lab theo từng mã h'!J:J,MATCH(C621,'3. Công thức lab theo từng mã h'!L:L,0)),"")</f>
        <v/>
      </c>
      <c r="V621" s="74"/>
      <c r="W621" s="75"/>
    </row>
    <row r="622">
      <c r="A622" s="76">
        <f t="shared" si="1"/>
        <v>0</v>
      </c>
      <c r="B622" s="88"/>
      <c r="C622" s="76"/>
      <c r="D622" s="86"/>
      <c r="E622" s="86"/>
      <c r="F622" s="90"/>
      <c r="G622" s="91"/>
      <c r="H622" s="86"/>
      <c r="I622" s="86"/>
      <c r="J622" s="86"/>
      <c r="K622" s="86"/>
      <c r="L622" s="86"/>
      <c r="M622" s="86"/>
      <c r="N622" s="90"/>
      <c r="O622" s="90"/>
      <c r="P622" s="90"/>
      <c r="Q622" s="106"/>
      <c r="R622" s="95"/>
      <c r="S622" s="96"/>
      <c r="T622" s="97"/>
      <c r="U622" s="85" t="str">
        <f t="array" ref="U622">IFERROR(index('3. Công thức lab theo từng mã h'!J:J,MATCH(C622,'3. Công thức lab theo từng mã h'!L:L,0)),"")</f>
        <v/>
      </c>
      <c r="V622" s="85"/>
      <c r="W622" s="75"/>
    </row>
    <row r="623">
      <c r="A623" s="64">
        <f t="shared" si="1"/>
        <v>0</v>
      </c>
      <c r="B623" s="98"/>
      <c r="C623" s="64"/>
      <c r="D623" s="16"/>
      <c r="E623" s="16"/>
      <c r="F623" s="100"/>
      <c r="G623" s="101"/>
      <c r="H623" s="16"/>
      <c r="I623" s="16"/>
      <c r="J623" s="16"/>
      <c r="K623" s="16"/>
      <c r="L623" s="16"/>
      <c r="M623" s="16"/>
      <c r="N623" s="100"/>
      <c r="O623" s="100"/>
      <c r="P623" s="100"/>
      <c r="Q623" s="106"/>
      <c r="R623" s="107"/>
      <c r="S623" s="104"/>
      <c r="T623" s="108"/>
      <c r="U623" s="74" t="str">
        <f t="array" ref="U623">IFERROR(index('3. Công thức lab theo từng mã h'!J:J,MATCH(C623,'3. Công thức lab theo từng mã h'!L:L,0)),"")</f>
        <v/>
      </c>
      <c r="V623" s="74"/>
      <c r="W623" s="75"/>
    </row>
    <row r="624">
      <c r="A624" s="76">
        <f t="shared" si="1"/>
        <v>0</v>
      </c>
      <c r="B624" s="88"/>
      <c r="C624" s="76"/>
      <c r="D624" s="86"/>
      <c r="E624" s="86"/>
      <c r="F624" s="90"/>
      <c r="G624" s="91"/>
      <c r="H624" s="86"/>
      <c r="I624" s="86"/>
      <c r="J624" s="86"/>
      <c r="K624" s="86"/>
      <c r="L624" s="86"/>
      <c r="M624" s="86"/>
      <c r="N624" s="90"/>
      <c r="O624" s="90"/>
      <c r="P624" s="90"/>
      <c r="Q624" s="106"/>
      <c r="R624" s="95"/>
      <c r="S624" s="96"/>
      <c r="T624" s="97"/>
      <c r="U624" s="85" t="str">
        <f t="array" ref="U624">IFERROR(index('3. Công thức lab theo từng mã h'!J:J,MATCH(C624,'3. Công thức lab theo từng mã h'!L:L,0)),"")</f>
        <v/>
      </c>
      <c r="V624" s="85"/>
      <c r="W624" s="75"/>
    </row>
    <row r="625">
      <c r="A625" s="64">
        <f t="shared" si="1"/>
        <v>0</v>
      </c>
      <c r="B625" s="98"/>
      <c r="C625" s="64"/>
      <c r="D625" s="16"/>
      <c r="E625" s="16"/>
      <c r="F625" s="100"/>
      <c r="G625" s="101"/>
      <c r="H625" s="16"/>
      <c r="I625" s="16"/>
      <c r="J625" s="16"/>
      <c r="K625" s="16"/>
      <c r="L625" s="16"/>
      <c r="M625" s="16"/>
      <c r="N625" s="100"/>
      <c r="O625" s="100"/>
      <c r="P625" s="100"/>
      <c r="Q625" s="106"/>
      <c r="R625" s="107"/>
      <c r="S625" s="104"/>
      <c r="T625" s="108"/>
      <c r="U625" s="74" t="str">
        <f t="array" ref="U625">IFERROR(index('3. Công thức lab theo từng mã h'!J:J,MATCH(C625,'3. Công thức lab theo từng mã h'!L:L,0)),"")</f>
        <v/>
      </c>
      <c r="V625" s="74"/>
      <c r="W625" s="75"/>
    </row>
    <row r="626">
      <c r="A626" s="76">
        <f t="shared" si="1"/>
        <v>0</v>
      </c>
      <c r="B626" s="88"/>
      <c r="C626" s="76"/>
      <c r="D626" s="86"/>
      <c r="E626" s="86"/>
      <c r="F626" s="90"/>
      <c r="G626" s="91"/>
      <c r="H626" s="86"/>
      <c r="I626" s="86"/>
      <c r="J626" s="86"/>
      <c r="K626" s="86"/>
      <c r="L626" s="86"/>
      <c r="M626" s="86"/>
      <c r="N626" s="90"/>
      <c r="O626" s="90"/>
      <c r="P626" s="90"/>
      <c r="Q626" s="106"/>
      <c r="R626" s="95"/>
      <c r="S626" s="96"/>
      <c r="T626" s="97"/>
      <c r="U626" s="85" t="str">
        <f t="array" ref="U626">IFERROR(index('3. Công thức lab theo từng mã h'!J:J,MATCH(C626,'3. Công thức lab theo từng mã h'!L:L,0)),"")</f>
        <v/>
      </c>
      <c r="V626" s="85"/>
      <c r="W626" s="75"/>
    </row>
    <row r="627">
      <c r="A627" s="64">
        <f t="shared" si="1"/>
        <v>0</v>
      </c>
      <c r="B627" s="98"/>
      <c r="C627" s="64"/>
      <c r="D627" s="16"/>
      <c r="E627" s="16"/>
      <c r="F627" s="100"/>
      <c r="G627" s="101"/>
      <c r="H627" s="16"/>
      <c r="I627" s="16"/>
      <c r="J627" s="16"/>
      <c r="K627" s="16"/>
      <c r="L627" s="16"/>
      <c r="M627" s="16"/>
      <c r="N627" s="100"/>
      <c r="O627" s="100"/>
      <c r="P627" s="100"/>
      <c r="Q627" s="106"/>
      <c r="R627" s="107"/>
      <c r="S627" s="104"/>
      <c r="T627" s="108"/>
      <c r="U627" s="74" t="str">
        <f t="array" ref="U627">IFERROR(index('3. Công thức lab theo từng mã h'!J:J,MATCH(C627,'3. Công thức lab theo từng mã h'!L:L,0)),"")</f>
        <v/>
      </c>
      <c r="V627" s="74"/>
      <c r="W627" s="75"/>
    </row>
    <row r="628">
      <c r="A628" s="76">
        <f t="shared" si="1"/>
        <v>0</v>
      </c>
      <c r="B628" s="88"/>
      <c r="C628" s="76"/>
      <c r="D628" s="86"/>
      <c r="E628" s="86"/>
      <c r="F628" s="90"/>
      <c r="G628" s="91"/>
      <c r="H628" s="86"/>
      <c r="I628" s="86"/>
      <c r="J628" s="86"/>
      <c r="K628" s="86"/>
      <c r="L628" s="86"/>
      <c r="M628" s="86"/>
      <c r="N628" s="90"/>
      <c r="O628" s="90"/>
      <c r="P628" s="90"/>
      <c r="Q628" s="106"/>
      <c r="R628" s="95"/>
      <c r="S628" s="96"/>
      <c r="T628" s="97"/>
      <c r="U628" s="85" t="str">
        <f t="array" ref="U628">IFERROR(index('3. Công thức lab theo từng mã h'!J:J,MATCH(C628,'3. Công thức lab theo từng mã h'!L:L,0)),"")</f>
        <v/>
      </c>
      <c r="V628" s="85"/>
      <c r="W628" s="75"/>
    </row>
    <row r="629">
      <c r="A629" s="64">
        <f t="shared" si="1"/>
        <v>0</v>
      </c>
      <c r="B629" s="98"/>
      <c r="C629" s="64"/>
      <c r="D629" s="16"/>
      <c r="E629" s="16"/>
      <c r="F629" s="100"/>
      <c r="G629" s="101"/>
      <c r="H629" s="16"/>
      <c r="I629" s="16"/>
      <c r="J629" s="16"/>
      <c r="K629" s="16"/>
      <c r="L629" s="16"/>
      <c r="M629" s="16"/>
      <c r="N629" s="100"/>
      <c r="O629" s="100"/>
      <c r="P629" s="100"/>
      <c r="Q629" s="106"/>
      <c r="R629" s="107"/>
      <c r="S629" s="104"/>
      <c r="T629" s="108"/>
      <c r="U629" s="74" t="str">
        <f t="array" ref="U629">IFERROR(index('3. Công thức lab theo từng mã h'!J:J,MATCH(C629,'3. Công thức lab theo từng mã h'!L:L,0)),"")</f>
        <v/>
      </c>
      <c r="V629" s="74"/>
      <c r="W629" s="75"/>
    </row>
    <row r="630">
      <c r="A630" s="76">
        <f t="shared" si="1"/>
        <v>0</v>
      </c>
      <c r="B630" s="88"/>
      <c r="C630" s="76"/>
      <c r="D630" s="86"/>
      <c r="E630" s="86"/>
      <c r="F630" s="90"/>
      <c r="G630" s="91"/>
      <c r="H630" s="86"/>
      <c r="I630" s="86"/>
      <c r="J630" s="86"/>
      <c r="K630" s="86"/>
      <c r="L630" s="86"/>
      <c r="M630" s="86"/>
      <c r="N630" s="90"/>
      <c r="O630" s="90"/>
      <c r="P630" s="90"/>
      <c r="Q630" s="106"/>
      <c r="R630" s="95"/>
      <c r="S630" s="96"/>
      <c r="T630" s="97"/>
      <c r="U630" s="85" t="str">
        <f t="array" ref="U630">IFERROR(index('3. Công thức lab theo từng mã h'!J:J,MATCH(C630,'3. Công thức lab theo từng mã h'!L:L,0)),"")</f>
        <v/>
      </c>
      <c r="V630" s="85"/>
      <c r="W630" s="75"/>
    </row>
    <row r="631">
      <c r="A631" s="64">
        <f t="shared" si="1"/>
        <v>0</v>
      </c>
      <c r="B631" s="98"/>
      <c r="C631" s="64"/>
      <c r="D631" s="16"/>
      <c r="E631" s="16"/>
      <c r="F631" s="100"/>
      <c r="G631" s="101"/>
      <c r="H631" s="16"/>
      <c r="I631" s="16"/>
      <c r="J631" s="16"/>
      <c r="K631" s="16"/>
      <c r="L631" s="16"/>
      <c r="M631" s="16"/>
      <c r="N631" s="100"/>
      <c r="O631" s="100"/>
      <c r="P631" s="100"/>
      <c r="Q631" s="106"/>
      <c r="R631" s="107"/>
      <c r="S631" s="104"/>
      <c r="T631" s="108"/>
      <c r="U631" s="74" t="str">
        <f t="array" ref="U631">IFERROR(index('3. Công thức lab theo từng mã h'!J:J,MATCH(C631,'3. Công thức lab theo từng mã h'!L:L,0)),"")</f>
        <v/>
      </c>
      <c r="V631" s="74"/>
      <c r="W631" s="75"/>
    </row>
    <row r="632">
      <c r="A632" s="76">
        <f t="shared" si="1"/>
        <v>0</v>
      </c>
      <c r="B632" s="88"/>
      <c r="C632" s="76"/>
      <c r="D632" s="86"/>
      <c r="E632" s="86"/>
      <c r="F632" s="90"/>
      <c r="G632" s="91"/>
      <c r="H632" s="86"/>
      <c r="I632" s="86"/>
      <c r="J632" s="86"/>
      <c r="K632" s="86"/>
      <c r="L632" s="86"/>
      <c r="M632" s="86"/>
      <c r="N632" s="90"/>
      <c r="O632" s="90"/>
      <c r="P632" s="90"/>
      <c r="Q632" s="106"/>
      <c r="R632" s="95"/>
      <c r="S632" s="96"/>
      <c r="T632" s="97"/>
      <c r="U632" s="85" t="str">
        <f t="array" ref="U632">IFERROR(index('3. Công thức lab theo từng mã h'!J:J,MATCH(C632,'3. Công thức lab theo từng mã h'!L:L,0)),"")</f>
        <v/>
      </c>
      <c r="V632" s="85"/>
      <c r="W632" s="75"/>
    </row>
    <row r="633">
      <c r="A633" s="64">
        <f t="shared" si="1"/>
        <v>0</v>
      </c>
      <c r="B633" s="98"/>
      <c r="C633" s="64"/>
      <c r="D633" s="16"/>
      <c r="E633" s="16"/>
      <c r="F633" s="100"/>
      <c r="G633" s="101"/>
      <c r="H633" s="16"/>
      <c r="I633" s="16"/>
      <c r="J633" s="16"/>
      <c r="K633" s="16"/>
      <c r="L633" s="16"/>
      <c r="M633" s="16"/>
      <c r="N633" s="100"/>
      <c r="O633" s="100"/>
      <c r="P633" s="100"/>
      <c r="Q633" s="106"/>
      <c r="R633" s="107"/>
      <c r="S633" s="104"/>
      <c r="T633" s="108"/>
      <c r="U633" s="74" t="str">
        <f t="array" ref="U633">IFERROR(index('3. Công thức lab theo từng mã h'!J:J,MATCH(C633,'3. Công thức lab theo từng mã h'!L:L,0)),"")</f>
        <v/>
      </c>
      <c r="V633" s="74"/>
      <c r="W633" s="75"/>
    </row>
    <row r="634">
      <c r="A634" s="76">
        <f t="shared" si="1"/>
        <v>0</v>
      </c>
      <c r="B634" s="88"/>
      <c r="C634" s="76"/>
      <c r="D634" s="86"/>
      <c r="E634" s="86"/>
      <c r="F634" s="90"/>
      <c r="G634" s="91"/>
      <c r="H634" s="86"/>
      <c r="I634" s="86"/>
      <c r="J634" s="86"/>
      <c r="K634" s="86"/>
      <c r="L634" s="86"/>
      <c r="M634" s="86"/>
      <c r="N634" s="90"/>
      <c r="O634" s="90"/>
      <c r="P634" s="90"/>
      <c r="Q634" s="106"/>
      <c r="R634" s="95"/>
      <c r="S634" s="96"/>
      <c r="T634" s="97"/>
      <c r="U634" s="85" t="str">
        <f t="array" ref="U634">IFERROR(index('3. Công thức lab theo từng mã h'!J:J,MATCH(C634,'3. Công thức lab theo từng mã h'!L:L,0)),"")</f>
        <v/>
      </c>
      <c r="V634" s="85"/>
      <c r="W634" s="75"/>
    </row>
    <row r="635">
      <c r="A635" s="64">
        <f t="shared" si="1"/>
        <v>0</v>
      </c>
      <c r="B635" s="98"/>
      <c r="C635" s="64"/>
      <c r="D635" s="16"/>
      <c r="E635" s="16"/>
      <c r="F635" s="100"/>
      <c r="G635" s="101"/>
      <c r="H635" s="16"/>
      <c r="I635" s="16"/>
      <c r="J635" s="16"/>
      <c r="K635" s="16"/>
      <c r="L635" s="16"/>
      <c r="M635" s="16"/>
      <c r="N635" s="100"/>
      <c r="O635" s="100"/>
      <c r="P635" s="100"/>
      <c r="Q635" s="106"/>
      <c r="R635" s="107"/>
      <c r="S635" s="104"/>
      <c r="T635" s="108"/>
      <c r="U635" s="74" t="str">
        <f t="array" ref="U635">IFERROR(index('3. Công thức lab theo từng mã h'!J:J,MATCH(C635,'3. Công thức lab theo từng mã h'!L:L,0)),"")</f>
        <v/>
      </c>
      <c r="V635" s="74"/>
      <c r="W635" s="75"/>
    </row>
    <row r="636">
      <c r="A636" s="76">
        <f t="shared" si="1"/>
        <v>0</v>
      </c>
      <c r="B636" s="88"/>
      <c r="C636" s="76"/>
      <c r="D636" s="86"/>
      <c r="E636" s="86"/>
      <c r="F636" s="90"/>
      <c r="G636" s="91"/>
      <c r="H636" s="86"/>
      <c r="I636" s="86"/>
      <c r="J636" s="86"/>
      <c r="K636" s="86"/>
      <c r="L636" s="86"/>
      <c r="M636" s="86"/>
      <c r="N636" s="90"/>
      <c r="O636" s="90"/>
      <c r="P636" s="90"/>
      <c r="Q636" s="106"/>
      <c r="R636" s="95"/>
      <c r="S636" s="96"/>
      <c r="T636" s="97"/>
      <c r="U636" s="85" t="str">
        <f t="array" ref="U636">IFERROR(index('3. Công thức lab theo từng mã h'!J:J,MATCH(C636,'3. Công thức lab theo từng mã h'!L:L,0)),"")</f>
        <v/>
      </c>
      <c r="V636" s="85"/>
      <c r="W636" s="75"/>
    </row>
    <row r="637">
      <c r="A637" s="64">
        <f t="shared" si="1"/>
        <v>0</v>
      </c>
      <c r="B637" s="98"/>
      <c r="C637" s="64"/>
      <c r="D637" s="16"/>
      <c r="E637" s="16"/>
      <c r="F637" s="100"/>
      <c r="G637" s="101"/>
      <c r="H637" s="16"/>
      <c r="I637" s="16"/>
      <c r="J637" s="16"/>
      <c r="K637" s="16"/>
      <c r="L637" s="16"/>
      <c r="M637" s="16"/>
      <c r="N637" s="100"/>
      <c r="O637" s="100"/>
      <c r="P637" s="100"/>
      <c r="Q637" s="106"/>
      <c r="R637" s="107"/>
      <c r="S637" s="104"/>
      <c r="T637" s="108"/>
      <c r="U637" s="74" t="str">
        <f t="array" ref="U637">IFERROR(index('3. Công thức lab theo từng mã h'!J:J,MATCH(C637,'3. Công thức lab theo từng mã h'!L:L,0)),"")</f>
        <v/>
      </c>
      <c r="V637" s="74"/>
      <c r="W637" s="75"/>
    </row>
    <row r="638">
      <c r="A638" s="76">
        <f t="shared" si="1"/>
        <v>0</v>
      </c>
      <c r="B638" s="88"/>
      <c r="C638" s="76"/>
      <c r="D638" s="86"/>
      <c r="E638" s="86"/>
      <c r="F638" s="90"/>
      <c r="G638" s="91"/>
      <c r="H638" s="86"/>
      <c r="I638" s="86"/>
      <c r="J638" s="86"/>
      <c r="K638" s="86"/>
      <c r="L638" s="86"/>
      <c r="M638" s="86"/>
      <c r="N638" s="90"/>
      <c r="O638" s="90"/>
      <c r="P638" s="90"/>
      <c r="Q638" s="106"/>
      <c r="R638" s="95"/>
      <c r="S638" s="96"/>
      <c r="T638" s="97"/>
      <c r="U638" s="85" t="str">
        <f t="array" ref="U638">IFERROR(index('3. Công thức lab theo từng mã h'!J:J,MATCH(C638,'3. Công thức lab theo từng mã h'!L:L,0)),"")</f>
        <v/>
      </c>
      <c r="V638" s="85"/>
      <c r="W638" s="75"/>
    </row>
    <row r="639">
      <c r="A639" s="64">
        <f t="shared" si="1"/>
        <v>0</v>
      </c>
      <c r="B639" s="98"/>
      <c r="C639" s="64"/>
      <c r="D639" s="16"/>
      <c r="E639" s="16"/>
      <c r="F639" s="100"/>
      <c r="G639" s="101"/>
      <c r="H639" s="16"/>
      <c r="I639" s="16"/>
      <c r="J639" s="16"/>
      <c r="K639" s="16"/>
      <c r="L639" s="16"/>
      <c r="M639" s="16"/>
      <c r="N639" s="100"/>
      <c r="O639" s="100"/>
      <c r="P639" s="100"/>
      <c r="Q639" s="106"/>
      <c r="R639" s="107"/>
      <c r="S639" s="104"/>
      <c r="T639" s="108"/>
      <c r="U639" s="74" t="str">
        <f t="array" ref="U639">IFERROR(index('3. Công thức lab theo từng mã h'!J:J,MATCH(C639,'3. Công thức lab theo từng mã h'!L:L,0)),"")</f>
        <v/>
      </c>
      <c r="V639" s="74"/>
      <c r="W639" s="75"/>
    </row>
    <row r="640">
      <c r="A640" s="76">
        <f t="shared" si="1"/>
        <v>0</v>
      </c>
      <c r="B640" s="88"/>
      <c r="C640" s="76"/>
      <c r="D640" s="86"/>
      <c r="E640" s="86"/>
      <c r="F640" s="90"/>
      <c r="G640" s="91"/>
      <c r="H640" s="86"/>
      <c r="I640" s="86"/>
      <c r="J640" s="86"/>
      <c r="K640" s="86"/>
      <c r="L640" s="86"/>
      <c r="M640" s="86"/>
      <c r="N640" s="90"/>
      <c r="O640" s="90"/>
      <c r="P640" s="90"/>
      <c r="Q640" s="106"/>
      <c r="R640" s="95"/>
      <c r="S640" s="96"/>
      <c r="T640" s="97"/>
      <c r="U640" s="85" t="str">
        <f t="array" ref="U640">IFERROR(index('3. Công thức lab theo từng mã h'!J:J,MATCH(C640,'3. Công thức lab theo từng mã h'!L:L,0)),"")</f>
        <v/>
      </c>
      <c r="V640" s="85"/>
      <c r="W640" s="75"/>
    </row>
    <row r="641">
      <c r="A641" s="64">
        <f t="shared" si="1"/>
        <v>0</v>
      </c>
      <c r="B641" s="98"/>
      <c r="C641" s="64"/>
      <c r="D641" s="16"/>
      <c r="E641" s="16"/>
      <c r="F641" s="100"/>
      <c r="G641" s="101"/>
      <c r="H641" s="16"/>
      <c r="I641" s="16"/>
      <c r="J641" s="16"/>
      <c r="K641" s="16"/>
      <c r="L641" s="16"/>
      <c r="M641" s="16"/>
      <c r="N641" s="100"/>
      <c r="O641" s="100"/>
      <c r="P641" s="100"/>
      <c r="Q641" s="106"/>
      <c r="R641" s="107"/>
      <c r="S641" s="104"/>
      <c r="T641" s="108"/>
      <c r="U641" s="74" t="str">
        <f t="array" ref="U641">IFERROR(index('3. Công thức lab theo từng mã h'!J:J,MATCH(C641,'3. Công thức lab theo từng mã h'!L:L,0)),"")</f>
        <v/>
      </c>
      <c r="V641" s="74"/>
      <c r="W641" s="75"/>
    </row>
    <row r="642">
      <c r="A642" s="76">
        <f t="shared" si="1"/>
        <v>0</v>
      </c>
      <c r="B642" s="88"/>
      <c r="C642" s="76"/>
      <c r="D642" s="86"/>
      <c r="E642" s="86"/>
      <c r="F642" s="90"/>
      <c r="G642" s="91"/>
      <c r="H642" s="86"/>
      <c r="I642" s="86"/>
      <c r="J642" s="86"/>
      <c r="K642" s="86"/>
      <c r="L642" s="86"/>
      <c r="M642" s="86"/>
      <c r="N642" s="90"/>
      <c r="O642" s="90"/>
      <c r="P642" s="90"/>
      <c r="Q642" s="106"/>
      <c r="R642" s="95"/>
      <c r="S642" s="96"/>
      <c r="T642" s="97"/>
      <c r="U642" s="85" t="str">
        <f t="array" ref="U642">IFERROR(index('3. Công thức lab theo từng mã h'!J:J,MATCH(C642,'3. Công thức lab theo từng mã h'!L:L,0)),"")</f>
        <v/>
      </c>
      <c r="V642" s="85"/>
      <c r="W642" s="75"/>
    </row>
    <row r="643">
      <c r="A643" s="64">
        <f t="shared" si="1"/>
        <v>0</v>
      </c>
      <c r="B643" s="98"/>
      <c r="C643" s="64"/>
      <c r="D643" s="16"/>
      <c r="E643" s="16"/>
      <c r="F643" s="100"/>
      <c r="G643" s="101"/>
      <c r="H643" s="16"/>
      <c r="I643" s="16"/>
      <c r="J643" s="16"/>
      <c r="K643" s="16"/>
      <c r="L643" s="16"/>
      <c r="M643" s="16"/>
      <c r="N643" s="100"/>
      <c r="O643" s="100"/>
      <c r="P643" s="100"/>
      <c r="Q643" s="106"/>
      <c r="R643" s="107"/>
      <c r="S643" s="104"/>
      <c r="T643" s="108"/>
      <c r="U643" s="74" t="str">
        <f t="array" ref="U643">IFERROR(index('3. Công thức lab theo từng mã h'!J:J,MATCH(C643,'3. Công thức lab theo từng mã h'!L:L,0)),"")</f>
        <v/>
      </c>
      <c r="V643" s="74"/>
      <c r="W643" s="75"/>
    </row>
    <row r="644">
      <c r="A644" s="76">
        <f t="shared" si="1"/>
        <v>0</v>
      </c>
      <c r="B644" s="88"/>
      <c r="C644" s="76"/>
      <c r="D644" s="86"/>
      <c r="E644" s="86"/>
      <c r="F644" s="90"/>
      <c r="G644" s="91"/>
      <c r="H644" s="86"/>
      <c r="I644" s="86"/>
      <c r="J644" s="86"/>
      <c r="K644" s="86"/>
      <c r="L644" s="86"/>
      <c r="M644" s="86"/>
      <c r="N644" s="90"/>
      <c r="O644" s="90"/>
      <c r="P644" s="90"/>
      <c r="Q644" s="106"/>
      <c r="R644" s="95"/>
      <c r="S644" s="96"/>
      <c r="T644" s="97"/>
      <c r="U644" s="85" t="str">
        <f t="array" ref="U644">IFERROR(index('3. Công thức lab theo từng mã h'!J:J,MATCH(C644,'3. Công thức lab theo từng mã h'!L:L,0)),"")</f>
        <v/>
      </c>
      <c r="V644" s="85"/>
      <c r="W644" s="75"/>
    </row>
    <row r="645">
      <c r="A645" s="64">
        <f t="shared" si="1"/>
        <v>0</v>
      </c>
      <c r="B645" s="98"/>
      <c r="C645" s="64"/>
      <c r="D645" s="16"/>
      <c r="E645" s="16"/>
      <c r="F645" s="100"/>
      <c r="G645" s="101"/>
      <c r="H645" s="16"/>
      <c r="I645" s="16"/>
      <c r="J645" s="16"/>
      <c r="K645" s="16"/>
      <c r="L645" s="16"/>
      <c r="M645" s="16"/>
      <c r="N645" s="100"/>
      <c r="O645" s="100"/>
      <c r="P645" s="100"/>
      <c r="Q645" s="106"/>
      <c r="R645" s="107"/>
      <c r="S645" s="104"/>
      <c r="T645" s="108"/>
      <c r="U645" s="74" t="str">
        <f t="array" ref="U645">IFERROR(index('3. Công thức lab theo từng mã h'!J:J,MATCH(C645,'3. Công thức lab theo từng mã h'!L:L,0)),"")</f>
        <v/>
      </c>
      <c r="V645" s="74"/>
      <c r="W645" s="75"/>
    </row>
    <row r="646">
      <c r="A646" s="76">
        <f t="shared" si="1"/>
        <v>0</v>
      </c>
      <c r="B646" s="88"/>
      <c r="C646" s="76"/>
      <c r="D646" s="86"/>
      <c r="E646" s="86"/>
      <c r="F646" s="90"/>
      <c r="G646" s="91"/>
      <c r="H646" s="86"/>
      <c r="I646" s="86"/>
      <c r="J646" s="86"/>
      <c r="K646" s="86"/>
      <c r="L646" s="86"/>
      <c r="M646" s="86"/>
      <c r="N646" s="90"/>
      <c r="O646" s="90"/>
      <c r="P646" s="90"/>
      <c r="Q646" s="106"/>
      <c r="R646" s="95"/>
      <c r="S646" s="96"/>
      <c r="T646" s="97"/>
      <c r="U646" s="85" t="str">
        <f t="array" ref="U646">IFERROR(index('3. Công thức lab theo từng mã h'!J:J,MATCH(C646,'3. Công thức lab theo từng mã h'!L:L,0)),"")</f>
        <v/>
      </c>
      <c r="V646" s="85"/>
      <c r="W646" s="75"/>
    </row>
    <row r="647">
      <c r="A647" s="64">
        <f t="shared" si="1"/>
        <v>0</v>
      </c>
      <c r="B647" s="98"/>
      <c r="C647" s="64"/>
      <c r="D647" s="16"/>
      <c r="E647" s="16"/>
      <c r="F647" s="100"/>
      <c r="G647" s="101"/>
      <c r="H647" s="16"/>
      <c r="I647" s="16"/>
      <c r="J647" s="16"/>
      <c r="K647" s="16"/>
      <c r="L647" s="16"/>
      <c r="M647" s="16"/>
      <c r="N647" s="100"/>
      <c r="O647" s="100"/>
      <c r="P647" s="100"/>
      <c r="Q647" s="106"/>
      <c r="R647" s="107"/>
      <c r="S647" s="104"/>
      <c r="T647" s="108"/>
      <c r="U647" s="74" t="str">
        <f t="array" ref="U647">IFERROR(index('3. Công thức lab theo từng mã h'!J:J,MATCH(C647,'3. Công thức lab theo từng mã h'!L:L,0)),"")</f>
        <v/>
      </c>
      <c r="V647" s="74"/>
      <c r="W647" s="75"/>
    </row>
    <row r="648">
      <c r="A648" s="76">
        <f t="shared" si="1"/>
        <v>0</v>
      </c>
      <c r="B648" s="88"/>
      <c r="C648" s="76"/>
      <c r="D648" s="86"/>
      <c r="E648" s="86"/>
      <c r="F648" s="90"/>
      <c r="G648" s="91"/>
      <c r="H648" s="86"/>
      <c r="I648" s="86"/>
      <c r="J648" s="86"/>
      <c r="K648" s="86"/>
      <c r="L648" s="86"/>
      <c r="M648" s="86"/>
      <c r="N648" s="90"/>
      <c r="O648" s="90"/>
      <c r="P648" s="90"/>
      <c r="Q648" s="106"/>
      <c r="R648" s="95"/>
      <c r="S648" s="96"/>
      <c r="T648" s="97"/>
      <c r="U648" s="85" t="str">
        <f t="array" ref="U648">IFERROR(index('3. Công thức lab theo từng mã h'!J:J,MATCH(C648,'3. Công thức lab theo từng mã h'!L:L,0)),"")</f>
        <v/>
      </c>
      <c r="V648" s="85"/>
      <c r="W648" s="75"/>
    </row>
    <row r="649">
      <c r="A649" s="64">
        <f t="shared" si="1"/>
        <v>0</v>
      </c>
      <c r="B649" s="98"/>
      <c r="C649" s="64"/>
      <c r="D649" s="16"/>
      <c r="E649" s="16"/>
      <c r="F649" s="100"/>
      <c r="G649" s="101"/>
      <c r="H649" s="16"/>
      <c r="I649" s="16"/>
      <c r="J649" s="16"/>
      <c r="K649" s="16"/>
      <c r="L649" s="16"/>
      <c r="M649" s="16"/>
      <c r="N649" s="100"/>
      <c r="O649" s="100"/>
      <c r="P649" s="100"/>
      <c r="Q649" s="106"/>
      <c r="R649" s="107"/>
      <c r="S649" s="104"/>
      <c r="T649" s="108"/>
      <c r="U649" s="74" t="str">
        <f t="array" ref="U649">IFERROR(index('3. Công thức lab theo từng mã h'!J:J,MATCH(C649,'3. Công thức lab theo từng mã h'!L:L,0)),"")</f>
        <v/>
      </c>
      <c r="V649" s="74"/>
      <c r="W649" s="75"/>
    </row>
    <row r="650">
      <c r="A650" s="76">
        <f t="shared" si="1"/>
        <v>0</v>
      </c>
      <c r="B650" s="88"/>
      <c r="C650" s="76"/>
      <c r="D650" s="86"/>
      <c r="E650" s="86"/>
      <c r="F650" s="90"/>
      <c r="G650" s="91"/>
      <c r="H650" s="86"/>
      <c r="I650" s="86"/>
      <c r="J650" s="86"/>
      <c r="K650" s="86"/>
      <c r="L650" s="86"/>
      <c r="M650" s="86"/>
      <c r="N650" s="90"/>
      <c r="O650" s="90"/>
      <c r="P650" s="90"/>
      <c r="Q650" s="106"/>
      <c r="R650" s="95"/>
      <c r="S650" s="96"/>
      <c r="T650" s="97"/>
      <c r="U650" s="85" t="str">
        <f t="array" ref="U650">IFERROR(index('3. Công thức lab theo từng mã h'!J:J,MATCH(C650,'3. Công thức lab theo từng mã h'!L:L,0)),"")</f>
        <v/>
      </c>
      <c r="V650" s="85"/>
      <c r="W650" s="75"/>
    </row>
    <row r="651">
      <c r="A651" s="64">
        <f t="shared" si="1"/>
        <v>0</v>
      </c>
      <c r="B651" s="98"/>
      <c r="C651" s="64"/>
      <c r="D651" s="16"/>
      <c r="E651" s="16"/>
      <c r="F651" s="100"/>
      <c r="G651" s="101"/>
      <c r="H651" s="16"/>
      <c r="I651" s="16"/>
      <c r="J651" s="16"/>
      <c r="K651" s="16"/>
      <c r="L651" s="16"/>
      <c r="M651" s="16"/>
      <c r="N651" s="100"/>
      <c r="O651" s="100"/>
      <c r="P651" s="100"/>
      <c r="Q651" s="106"/>
      <c r="R651" s="107"/>
      <c r="S651" s="104"/>
      <c r="T651" s="108"/>
      <c r="U651" s="74" t="str">
        <f t="array" ref="U651">IFERROR(index('3. Công thức lab theo từng mã h'!J:J,MATCH(C651,'3. Công thức lab theo từng mã h'!L:L,0)),"")</f>
        <v/>
      </c>
      <c r="V651" s="74"/>
      <c r="W651" s="75"/>
    </row>
    <row r="652">
      <c r="A652" s="76">
        <f t="shared" si="1"/>
        <v>0</v>
      </c>
      <c r="B652" s="88"/>
      <c r="C652" s="76"/>
      <c r="D652" s="86"/>
      <c r="E652" s="86"/>
      <c r="F652" s="90"/>
      <c r="G652" s="91"/>
      <c r="H652" s="86"/>
      <c r="I652" s="86"/>
      <c r="J652" s="86"/>
      <c r="K652" s="86"/>
      <c r="L652" s="86"/>
      <c r="M652" s="86"/>
      <c r="N652" s="90"/>
      <c r="O652" s="90"/>
      <c r="P652" s="90"/>
      <c r="Q652" s="106"/>
      <c r="R652" s="95"/>
      <c r="S652" s="96"/>
      <c r="T652" s="97"/>
      <c r="U652" s="85" t="str">
        <f t="array" ref="U652">IFERROR(index('3. Công thức lab theo từng mã h'!J:J,MATCH(C652,'3. Công thức lab theo từng mã h'!L:L,0)),"")</f>
        <v/>
      </c>
      <c r="V652" s="85"/>
      <c r="W652" s="75"/>
    </row>
    <row r="653">
      <c r="A653" s="64">
        <f t="shared" si="1"/>
        <v>0</v>
      </c>
      <c r="B653" s="98"/>
      <c r="C653" s="64"/>
      <c r="D653" s="16"/>
      <c r="E653" s="16"/>
      <c r="F653" s="100"/>
      <c r="G653" s="101"/>
      <c r="H653" s="16"/>
      <c r="I653" s="16"/>
      <c r="J653" s="16"/>
      <c r="K653" s="16"/>
      <c r="L653" s="16"/>
      <c r="M653" s="16"/>
      <c r="N653" s="100"/>
      <c r="O653" s="100"/>
      <c r="P653" s="100"/>
      <c r="Q653" s="106"/>
      <c r="R653" s="107"/>
      <c r="S653" s="104"/>
      <c r="T653" s="108"/>
      <c r="U653" s="74" t="str">
        <f t="array" ref="U653">IFERROR(index('3. Công thức lab theo từng mã h'!J:J,MATCH(C653,'3. Công thức lab theo từng mã h'!L:L,0)),"")</f>
        <v/>
      </c>
      <c r="V653" s="74"/>
      <c r="W653" s="75"/>
    </row>
    <row r="654">
      <c r="A654" s="76">
        <f t="shared" si="1"/>
        <v>0</v>
      </c>
      <c r="B654" s="88"/>
      <c r="C654" s="76"/>
      <c r="D654" s="86"/>
      <c r="E654" s="86"/>
      <c r="F654" s="90"/>
      <c r="G654" s="91"/>
      <c r="H654" s="86"/>
      <c r="I654" s="86"/>
      <c r="J654" s="86"/>
      <c r="K654" s="86"/>
      <c r="L654" s="86"/>
      <c r="M654" s="86"/>
      <c r="N654" s="90"/>
      <c r="O654" s="90"/>
      <c r="P654" s="90"/>
      <c r="Q654" s="106"/>
      <c r="R654" s="95"/>
      <c r="S654" s="96"/>
      <c r="T654" s="97"/>
      <c r="U654" s="85" t="str">
        <f t="array" ref="U654">IFERROR(index('3. Công thức lab theo từng mã h'!J:J,MATCH(C654,'3. Công thức lab theo từng mã h'!L:L,0)),"")</f>
        <v/>
      </c>
      <c r="V654" s="85"/>
      <c r="W654" s="75"/>
    </row>
    <row r="655">
      <c r="A655" s="64">
        <f t="shared" si="1"/>
        <v>0</v>
      </c>
      <c r="B655" s="98"/>
      <c r="C655" s="64"/>
      <c r="D655" s="16"/>
      <c r="E655" s="16"/>
      <c r="F655" s="100"/>
      <c r="G655" s="101"/>
      <c r="H655" s="16"/>
      <c r="I655" s="16"/>
      <c r="J655" s="16"/>
      <c r="K655" s="16"/>
      <c r="L655" s="16"/>
      <c r="M655" s="16"/>
      <c r="N655" s="100"/>
      <c r="O655" s="100"/>
      <c r="P655" s="100"/>
      <c r="Q655" s="106"/>
      <c r="R655" s="107"/>
      <c r="S655" s="104"/>
      <c r="T655" s="108"/>
      <c r="U655" s="74" t="str">
        <f t="array" ref="U655">IFERROR(index('3. Công thức lab theo từng mã h'!J:J,MATCH(C655,'3. Công thức lab theo từng mã h'!L:L,0)),"")</f>
        <v/>
      </c>
      <c r="V655" s="74"/>
      <c r="W655" s="75"/>
    </row>
    <row r="656">
      <c r="A656" s="76">
        <f t="shared" si="1"/>
        <v>0</v>
      </c>
      <c r="B656" s="88"/>
      <c r="C656" s="76"/>
      <c r="D656" s="86"/>
      <c r="E656" s="86"/>
      <c r="F656" s="90"/>
      <c r="G656" s="91"/>
      <c r="H656" s="86"/>
      <c r="I656" s="86"/>
      <c r="J656" s="86"/>
      <c r="K656" s="86"/>
      <c r="L656" s="86"/>
      <c r="M656" s="86"/>
      <c r="N656" s="90"/>
      <c r="O656" s="90"/>
      <c r="P656" s="90"/>
      <c r="Q656" s="106"/>
      <c r="R656" s="95"/>
      <c r="S656" s="96"/>
      <c r="T656" s="97"/>
      <c r="U656" s="85" t="str">
        <f t="array" ref="U656">IFERROR(index('3. Công thức lab theo từng mã h'!J:J,MATCH(C656,'3. Công thức lab theo từng mã h'!L:L,0)),"")</f>
        <v/>
      </c>
      <c r="V656" s="85"/>
      <c r="W656" s="75"/>
    </row>
    <row r="657">
      <c r="A657" s="64">
        <f t="shared" si="1"/>
        <v>0</v>
      </c>
      <c r="B657" s="98"/>
      <c r="C657" s="64"/>
      <c r="D657" s="16"/>
      <c r="E657" s="16"/>
      <c r="F657" s="100"/>
      <c r="G657" s="101"/>
      <c r="H657" s="16"/>
      <c r="I657" s="16"/>
      <c r="J657" s="16"/>
      <c r="K657" s="16"/>
      <c r="L657" s="16"/>
      <c r="M657" s="16"/>
      <c r="N657" s="100"/>
      <c r="O657" s="100"/>
      <c r="P657" s="100"/>
      <c r="Q657" s="106"/>
      <c r="R657" s="107"/>
      <c r="S657" s="104"/>
      <c r="T657" s="108"/>
      <c r="U657" s="74" t="str">
        <f t="array" ref="U657">IFERROR(index('3. Công thức lab theo từng mã h'!J:J,MATCH(C657,'3. Công thức lab theo từng mã h'!L:L,0)),"")</f>
        <v/>
      </c>
      <c r="V657" s="74"/>
      <c r="W657" s="75"/>
    </row>
    <row r="658">
      <c r="A658" s="76">
        <f t="shared" si="1"/>
        <v>0</v>
      </c>
      <c r="B658" s="88"/>
      <c r="C658" s="76"/>
      <c r="D658" s="86"/>
      <c r="E658" s="86"/>
      <c r="F658" s="90"/>
      <c r="G658" s="91"/>
      <c r="H658" s="86"/>
      <c r="I658" s="86"/>
      <c r="J658" s="86"/>
      <c r="K658" s="86"/>
      <c r="L658" s="86"/>
      <c r="M658" s="86"/>
      <c r="N658" s="90"/>
      <c r="O658" s="90"/>
      <c r="P658" s="90"/>
      <c r="Q658" s="106"/>
      <c r="R658" s="95"/>
      <c r="S658" s="96"/>
      <c r="T658" s="97"/>
      <c r="U658" s="85" t="str">
        <f t="array" ref="U658">IFERROR(index('3. Công thức lab theo từng mã h'!J:J,MATCH(C658,'3. Công thức lab theo từng mã h'!L:L,0)),"")</f>
        <v/>
      </c>
      <c r="V658" s="85"/>
      <c r="W658" s="75"/>
    </row>
    <row r="659">
      <c r="A659" s="64">
        <f t="shared" si="1"/>
        <v>0</v>
      </c>
      <c r="B659" s="98"/>
      <c r="C659" s="64"/>
      <c r="D659" s="16"/>
      <c r="E659" s="16"/>
      <c r="F659" s="100"/>
      <c r="G659" s="101"/>
      <c r="H659" s="16"/>
      <c r="I659" s="16"/>
      <c r="J659" s="16"/>
      <c r="K659" s="16"/>
      <c r="L659" s="16"/>
      <c r="M659" s="16"/>
      <c r="N659" s="100"/>
      <c r="O659" s="100"/>
      <c r="P659" s="100"/>
      <c r="Q659" s="106"/>
      <c r="R659" s="107"/>
      <c r="S659" s="104"/>
      <c r="T659" s="108"/>
      <c r="U659" s="74" t="str">
        <f t="array" ref="U659">IFERROR(index('3. Công thức lab theo từng mã h'!J:J,MATCH(C659,'3. Công thức lab theo từng mã h'!L:L,0)),"")</f>
        <v/>
      </c>
      <c r="V659" s="74"/>
      <c r="W659" s="75"/>
    </row>
  </sheetData>
  <autoFilter ref="$A$2:$W$659"/>
  <dataValidations>
    <dataValidation type="list" allowBlank="1" showErrorMessage="1" sqref="T3:T659">
      <formula1>"Có công thức,Chưa có công thức lab,x,Ghi chú,Huỷ đơn"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75"/>
  <cols>
    <col customWidth="1" min="1" max="1" width="6.38"/>
    <col customWidth="1" min="2" max="2" width="11.88"/>
    <col customWidth="1" min="3" max="3" width="13.63"/>
    <col customWidth="1" min="4" max="4" width="10.25"/>
    <col customWidth="1" min="5" max="5" width="9.5"/>
    <col customWidth="1" min="6" max="6" width="12.0"/>
    <col customWidth="1" min="7" max="7" width="10.38"/>
    <col customWidth="1" min="8" max="8" width="28.5"/>
    <col hidden="1" min="9" max="9" width="12.63"/>
    <col customWidth="1" min="10" max="10" width="22.38"/>
    <col customWidth="1" min="11" max="11" width="14.0"/>
    <col customWidth="1" min="13" max="13" width="8.75"/>
    <col customWidth="1" min="14" max="15" width="7.0"/>
    <col customWidth="1" min="16" max="16" width="10.75"/>
    <col customWidth="1" min="17" max="17" width="13.63"/>
    <col customWidth="1" min="18" max="18" width="23.0"/>
    <col customWidth="1" min="19" max="19" width="14.5"/>
    <col customWidth="1" min="20" max="20" width="23.63"/>
    <col customWidth="1" min="21" max="21" width="17.75"/>
    <col customWidth="1" min="22" max="24" width="14.88"/>
  </cols>
  <sheetData>
    <row r="1">
      <c r="A1" s="47"/>
      <c r="B1" s="48"/>
      <c r="C1" s="49"/>
      <c r="D1" s="47"/>
      <c r="E1" s="47"/>
      <c r="F1" s="50"/>
      <c r="G1" s="51"/>
      <c r="H1" s="47"/>
      <c r="I1" s="47"/>
      <c r="J1" s="47"/>
      <c r="K1" s="47"/>
      <c r="L1" s="47"/>
      <c r="M1" s="47"/>
      <c r="N1" s="50"/>
      <c r="O1" s="50"/>
      <c r="P1" s="50"/>
      <c r="Q1" s="52"/>
      <c r="R1" s="53"/>
      <c r="S1" s="54"/>
      <c r="T1" s="47"/>
      <c r="U1" s="50"/>
      <c r="V1" s="47"/>
      <c r="W1" s="47"/>
      <c r="X1" s="55"/>
    </row>
    <row r="2">
      <c r="A2" s="56" t="s">
        <v>3</v>
      </c>
      <c r="B2" s="56" t="s">
        <v>48</v>
      </c>
      <c r="C2" s="56" t="s">
        <v>49</v>
      </c>
      <c r="D2" s="57" t="s">
        <v>50</v>
      </c>
      <c r="E2" s="56" t="s">
        <v>51</v>
      </c>
      <c r="F2" s="56" t="s">
        <v>52</v>
      </c>
      <c r="G2" s="56" t="s">
        <v>53</v>
      </c>
      <c r="H2" s="56" t="s">
        <v>54</v>
      </c>
      <c r="I2" s="56" t="s">
        <v>55</v>
      </c>
      <c r="J2" s="56" t="s">
        <v>56</v>
      </c>
      <c r="K2" s="56" t="s">
        <v>57</v>
      </c>
      <c r="L2" s="56" t="s">
        <v>58</v>
      </c>
      <c r="M2" s="56" t="s">
        <v>59</v>
      </c>
      <c r="N2" s="58" t="s">
        <v>60</v>
      </c>
      <c r="O2" s="59" t="s">
        <v>61</v>
      </c>
      <c r="P2" s="58" t="s">
        <v>62</v>
      </c>
      <c r="Q2" s="58" t="s">
        <v>63</v>
      </c>
      <c r="R2" s="60" t="s">
        <v>64</v>
      </c>
      <c r="S2" s="61" t="s">
        <v>65</v>
      </c>
      <c r="T2" s="109" t="s">
        <v>135</v>
      </c>
      <c r="U2" s="62" t="s">
        <v>9</v>
      </c>
      <c r="V2" s="62" t="s">
        <v>66</v>
      </c>
      <c r="W2" s="62" t="s">
        <v>67</v>
      </c>
      <c r="X2" s="63" t="s">
        <v>68</v>
      </c>
    </row>
    <row r="3" hidden="1">
      <c r="A3" s="64">
        <f t="shared" ref="A3:A64" si="1">COUNTIF($S3:S$7,S3)</f>
        <v>4</v>
      </c>
      <c r="B3" s="98" t="s">
        <v>136</v>
      </c>
      <c r="C3" s="64" t="s">
        <v>137</v>
      </c>
      <c r="D3" s="99">
        <v>45899.0</v>
      </c>
      <c r="E3" s="16" t="s">
        <v>71</v>
      </c>
      <c r="F3" s="100" t="s">
        <v>72</v>
      </c>
      <c r="G3" s="101" t="s">
        <v>138</v>
      </c>
      <c r="H3" s="16" t="s">
        <v>139</v>
      </c>
      <c r="I3" s="16" t="s">
        <v>75</v>
      </c>
      <c r="J3" s="102" t="s">
        <v>140</v>
      </c>
      <c r="K3" s="110" t="s">
        <v>141</v>
      </c>
      <c r="L3" s="16" t="s">
        <v>142</v>
      </c>
      <c r="M3" s="16" t="s">
        <v>79</v>
      </c>
      <c r="N3" s="103">
        <v>40.0</v>
      </c>
      <c r="O3" s="103">
        <v>5.0</v>
      </c>
      <c r="P3" s="103">
        <v>200.0</v>
      </c>
      <c r="Q3" s="94">
        <v>45910.0</v>
      </c>
      <c r="R3" s="72" t="s">
        <v>143</v>
      </c>
      <c r="S3" s="111">
        <v>45903.0</v>
      </c>
      <c r="T3" s="74"/>
      <c r="U3" s="68" t="s">
        <v>144</v>
      </c>
      <c r="V3" s="74"/>
      <c r="W3" s="74"/>
      <c r="X3" s="75"/>
    </row>
    <row r="4" hidden="1">
      <c r="A4" s="76">
        <f t="shared" si="1"/>
        <v>3</v>
      </c>
      <c r="B4" s="88" t="s">
        <v>136</v>
      </c>
      <c r="C4" s="76" t="s">
        <v>145</v>
      </c>
      <c r="D4" s="89">
        <v>45899.0</v>
      </c>
      <c r="E4" s="86"/>
      <c r="F4" s="90" t="s">
        <v>93</v>
      </c>
      <c r="G4" s="91" t="s">
        <v>146</v>
      </c>
      <c r="H4" s="86" t="s">
        <v>147</v>
      </c>
      <c r="I4" s="86" t="s">
        <v>75</v>
      </c>
      <c r="J4" s="92" t="s">
        <v>148</v>
      </c>
      <c r="K4" s="86"/>
      <c r="L4" s="86" t="s">
        <v>105</v>
      </c>
      <c r="M4" s="86" t="s">
        <v>79</v>
      </c>
      <c r="N4" s="93">
        <v>40.0</v>
      </c>
      <c r="O4" s="93">
        <v>50.0</v>
      </c>
      <c r="P4" s="93">
        <v>2000.0</v>
      </c>
      <c r="Q4" s="94">
        <v>45915.0</v>
      </c>
      <c r="R4" s="83" t="s">
        <v>149</v>
      </c>
      <c r="S4" s="112">
        <v>45903.0</v>
      </c>
      <c r="T4" s="85"/>
      <c r="U4" s="81" t="s">
        <v>144</v>
      </c>
      <c r="V4" s="85"/>
      <c r="W4" s="85"/>
      <c r="X4" s="75"/>
    </row>
    <row r="5" hidden="1">
      <c r="A5" s="64">
        <f t="shared" si="1"/>
        <v>2</v>
      </c>
      <c r="B5" s="98" t="s">
        <v>136</v>
      </c>
      <c r="C5" s="64" t="s">
        <v>150</v>
      </c>
      <c r="D5" s="99">
        <v>45899.0</v>
      </c>
      <c r="E5" s="16"/>
      <c r="F5" s="100" t="s">
        <v>93</v>
      </c>
      <c r="G5" s="101" t="s">
        <v>151</v>
      </c>
      <c r="H5" s="16" t="s">
        <v>152</v>
      </c>
      <c r="I5" s="16" t="s">
        <v>75</v>
      </c>
      <c r="J5" s="102" t="s">
        <v>148</v>
      </c>
      <c r="K5" s="16"/>
      <c r="L5" s="16" t="s">
        <v>105</v>
      </c>
      <c r="M5" s="16" t="s">
        <v>79</v>
      </c>
      <c r="N5" s="103">
        <v>20.0</v>
      </c>
      <c r="O5" s="103">
        <v>10.0</v>
      </c>
      <c r="P5" s="103">
        <v>200.0</v>
      </c>
      <c r="Q5" s="94">
        <v>45911.0</v>
      </c>
      <c r="R5" s="72" t="s">
        <v>153</v>
      </c>
      <c r="S5" s="111">
        <v>45903.0</v>
      </c>
      <c r="T5" s="74"/>
      <c r="U5" s="68" t="s">
        <v>144</v>
      </c>
      <c r="V5" s="74"/>
      <c r="W5" s="74"/>
      <c r="X5" s="75"/>
    </row>
    <row r="6" hidden="1">
      <c r="A6" s="76">
        <f t="shared" si="1"/>
        <v>1</v>
      </c>
      <c r="B6" s="88" t="s">
        <v>136</v>
      </c>
      <c r="C6" s="76" t="s">
        <v>154</v>
      </c>
      <c r="D6" s="89">
        <v>45899.0</v>
      </c>
      <c r="E6" s="86"/>
      <c r="F6" s="90" t="s">
        <v>93</v>
      </c>
      <c r="G6" s="91" t="s">
        <v>155</v>
      </c>
      <c r="H6" s="86" t="s">
        <v>156</v>
      </c>
      <c r="I6" s="86" t="s">
        <v>75</v>
      </c>
      <c r="J6" s="92" t="s">
        <v>157</v>
      </c>
      <c r="K6" s="86"/>
      <c r="L6" s="86" t="s">
        <v>158</v>
      </c>
      <c r="M6" s="86" t="s">
        <v>79</v>
      </c>
      <c r="N6" s="93">
        <v>40.0</v>
      </c>
      <c r="O6" s="93">
        <v>15.0</v>
      </c>
      <c r="P6" s="93">
        <v>600.0</v>
      </c>
      <c r="Q6" s="94">
        <v>45912.0</v>
      </c>
      <c r="R6" s="83" t="s">
        <v>159</v>
      </c>
      <c r="S6" s="112">
        <v>45903.0</v>
      </c>
      <c r="T6" s="85"/>
      <c r="U6" s="81" t="s">
        <v>144</v>
      </c>
      <c r="V6" s="85"/>
      <c r="W6" s="85"/>
      <c r="X6" s="75"/>
    </row>
    <row r="7" hidden="1">
      <c r="A7" s="64">
        <f t="shared" si="1"/>
        <v>1</v>
      </c>
      <c r="B7" s="98" t="s">
        <v>136</v>
      </c>
      <c r="C7" s="64" t="s">
        <v>160</v>
      </c>
      <c r="D7" s="99">
        <v>45892.0</v>
      </c>
      <c r="E7" s="16" t="s">
        <v>161</v>
      </c>
      <c r="F7" s="100" t="s">
        <v>72</v>
      </c>
      <c r="G7" s="101" t="s">
        <v>162</v>
      </c>
      <c r="H7" s="16" t="s">
        <v>163</v>
      </c>
      <c r="I7" s="16" t="s">
        <v>75</v>
      </c>
      <c r="J7" s="102" t="s">
        <v>164</v>
      </c>
      <c r="K7" s="110" t="s">
        <v>165</v>
      </c>
      <c r="L7" s="16" t="s">
        <v>105</v>
      </c>
      <c r="M7" s="113" t="s">
        <v>166</v>
      </c>
      <c r="N7" s="103">
        <v>1.0</v>
      </c>
      <c r="O7" s="103">
        <v>30.0</v>
      </c>
      <c r="P7" s="103">
        <v>30.0</v>
      </c>
      <c r="Q7" s="94">
        <v>45903.0</v>
      </c>
      <c r="R7" s="72" t="s">
        <v>167</v>
      </c>
      <c r="S7" s="111">
        <v>45905.0</v>
      </c>
      <c r="T7" s="74"/>
      <c r="U7" s="68" t="s">
        <v>144</v>
      </c>
      <c r="V7" s="74"/>
      <c r="W7" s="74"/>
      <c r="X7" s="75"/>
    </row>
    <row r="8" hidden="1">
      <c r="A8" s="76">
        <f t="shared" si="1"/>
        <v>2</v>
      </c>
      <c r="B8" s="88" t="s">
        <v>136</v>
      </c>
      <c r="C8" s="76" t="s">
        <v>168</v>
      </c>
      <c r="D8" s="89">
        <v>45895.0</v>
      </c>
      <c r="E8" s="86" t="s">
        <v>71</v>
      </c>
      <c r="F8" s="90" t="s">
        <v>72</v>
      </c>
      <c r="G8" s="91" t="s">
        <v>169</v>
      </c>
      <c r="H8" s="86" t="s">
        <v>170</v>
      </c>
      <c r="I8" s="86" t="s">
        <v>75</v>
      </c>
      <c r="J8" s="92" t="s">
        <v>171</v>
      </c>
      <c r="K8" s="114" t="s">
        <v>172</v>
      </c>
      <c r="L8" s="86" t="s">
        <v>105</v>
      </c>
      <c r="M8" s="86" t="s">
        <v>79</v>
      </c>
      <c r="N8" s="93">
        <v>40.0</v>
      </c>
      <c r="O8" s="93">
        <v>25.0</v>
      </c>
      <c r="P8" s="93">
        <v>1000.0</v>
      </c>
      <c r="Q8" s="94">
        <v>45909.0</v>
      </c>
      <c r="R8" s="83" t="s">
        <v>173</v>
      </c>
      <c r="S8" s="112">
        <v>45905.0</v>
      </c>
      <c r="T8" s="85"/>
      <c r="U8" s="81" t="s">
        <v>144</v>
      </c>
      <c r="V8" s="85"/>
      <c r="W8" s="85"/>
      <c r="X8" s="75"/>
    </row>
    <row r="9" hidden="1">
      <c r="A9" s="64">
        <f t="shared" si="1"/>
        <v>3</v>
      </c>
      <c r="B9" s="98" t="s">
        <v>136</v>
      </c>
      <c r="C9" s="64" t="s">
        <v>174</v>
      </c>
      <c r="D9" s="99">
        <v>45897.0</v>
      </c>
      <c r="E9" s="16" t="s">
        <v>71</v>
      </c>
      <c r="F9" s="100" t="s">
        <v>72</v>
      </c>
      <c r="G9" s="101" t="s">
        <v>175</v>
      </c>
      <c r="H9" s="16" t="s">
        <v>176</v>
      </c>
      <c r="I9" s="16" t="s">
        <v>75</v>
      </c>
      <c r="J9" s="102" t="s">
        <v>148</v>
      </c>
      <c r="K9" s="16"/>
      <c r="L9" s="16" t="s">
        <v>105</v>
      </c>
      <c r="M9" s="16" t="s">
        <v>166</v>
      </c>
      <c r="N9" s="103">
        <v>4.0</v>
      </c>
      <c r="O9" s="103">
        <v>0.75</v>
      </c>
      <c r="P9" s="103">
        <v>3.0</v>
      </c>
      <c r="Q9" s="94">
        <v>45908.0</v>
      </c>
      <c r="R9" s="72" t="s">
        <v>177</v>
      </c>
      <c r="S9" s="111">
        <v>45905.0</v>
      </c>
      <c r="T9" s="74"/>
      <c r="U9" s="68" t="s">
        <v>144</v>
      </c>
      <c r="V9" s="74"/>
      <c r="W9" s="74"/>
      <c r="X9" s="75"/>
    </row>
    <row r="10" hidden="1">
      <c r="A10" s="76">
        <f t="shared" si="1"/>
        <v>4</v>
      </c>
      <c r="B10" s="88" t="s">
        <v>136</v>
      </c>
      <c r="C10" s="76" t="s">
        <v>178</v>
      </c>
      <c r="D10" s="89">
        <v>45904.0</v>
      </c>
      <c r="E10" s="86" t="s">
        <v>71</v>
      </c>
      <c r="F10" s="90" t="s">
        <v>72</v>
      </c>
      <c r="G10" s="91" t="s">
        <v>179</v>
      </c>
      <c r="H10" s="86" t="s">
        <v>180</v>
      </c>
      <c r="I10" s="86" t="s">
        <v>75</v>
      </c>
      <c r="J10" s="92" t="s">
        <v>181</v>
      </c>
      <c r="K10" s="114" t="s">
        <v>182</v>
      </c>
      <c r="L10" s="86" t="s">
        <v>183</v>
      </c>
      <c r="M10" s="86" t="s">
        <v>79</v>
      </c>
      <c r="N10" s="93">
        <v>40.0</v>
      </c>
      <c r="O10" s="93">
        <v>20.0</v>
      </c>
      <c r="P10" s="93">
        <v>800.0</v>
      </c>
      <c r="Q10" s="94">
        <v>45918.0</v>
      </c>
      <c r="R10" s="83" t="s">
        <v>184</v>
      </c>
      <c r="S10" s="112">
        <v>45905.0</v>
      </c>
      <c r="T10" s="85"/>
      <c r="U10" s="81" t="s">
        <v>144</v>
      </c>
      <c r="V10" s="85"/>
      <c r="W10" s="85"/>
      <c r="X10" s="75"/>
    </row>
    <row r="11" hidden="1">
      <c r="A11" s="64">
        <f t="shared" si="1"/>
        <v>5</v>
      </c>
      <c r="B11" s="98" t="s">
        <v>136</v>
      </c>
      <c r="C11" s="64" t="s">
        <v>185</v>
      </c>
      <c r="D11" s="99">
        <v>45904.0</v>
      </c>
      <c r="E11" s="16"/>
      <c r="F11" s="100" t="s">
        <v>186</v>
      </c>
      <c r="G11" s="101" t="s">
        <v>187</v>
      </c>
      <c r="H11" s="16" t="s">
        <v>188</v>
      </c>
      <c r="I11" s="16" t="s">
        <v>75</v>
      </c>
      <c r="J11" s="102" t="s">
        <v>189</v>
      </c>
      <c r="K11" s="110" t="s">
        <v>112</v>
      </c>
      <c r="L11" s="16" t="s">
        <v>90</v>
      </c>
      <c r="M11" s="16" t="s">
        <v>79</v>
      </c>
      <c r="N11" s="103">
        <v>40.0</v>
      </c>
      <c r="O11" s="103">
        <v>10.0</v>
      </c>
      <c r="P11" s="103">
        <v>400.0</v>
      </c>
      <c r="Q11" s="94">
        <v>45908.0</v>
      </c>
      <c r="R11" s="72" t="s">
        <v>190</v>
      </c>
      <c r="S11" s="111">
        <v>45905.0</v>
      </c>
      <c r="T11" s="74"/>
      <c r="U11" s="68" t="s">
        <v>144</v>
      </c>
      <c r="V11" s="74"/>
      <c r="W11" s="74"/>
      <c r="X11" s="75"/>
    </row>
    <row r="12" hidden="1">
      <c r="A12" s="76">
        <f t="shared" si="1"/>
        <v>6</v>
      </c>
      <c r="B12" s="88" t="s">
        <v>136</v>
      </c>
      <c r="C12" s="76" t="s">
        <v>191</v>
      </c>
      <c r="D12" s="89">
        <v>45905.0</v>
      </c>
      <c r="E12" s="86" t="s">
        <v>71</v>
      </c>
      <c r="F12" s="90" t="s">
        <v>72</v>
      </c>
      <c r="G12" s="91" t="s">
        <v>192</v>
      </c>
      <c r="H12" s="86" t="s">
        <v>193</v>
      </c>
      <c r="I12" s="86" t="s">
        <v>75</v>
      </c>
      <c r="J12" s="92" t="s">
        <v>88</v>
      </c>
      <c r="K12" s="114" t="s">
        <v>194</v>
      </c>
      <c r="L12" s="86" t="s">
        <v>195</v>
      </c>
      <c r="M12" s="86" t="s">
        <v>79</v>
      </c>
      <c r="N12" s="93">
        <v>40.0</v>
      </c>
      <c r="O12" s="93">
        <v>10.0</v>
      </c>
      <c r="P12" s="93">
        <v>400.0</v>
      </c>
      <c r="Q12" s="94">
        <v>45912.0</v>
      </c>
      <c r="R12" s="83" t="s">
        <v>196</v>
      </c>
      <c r="S12" s="112">
        <v>45905.0</v>
      </c>
      <c r="T12" s="85"/>
      <c r="U12" s="81" t="s">
        <v>144</v>
      </c>
      <c r="V12" s="85"/>
      <c r="W12" s="85"/>
      <c r="X12" s="75"/>
    </row>
    <row r="13" hidden="1">
      <c r="A13" s="64">
        <f t="shared" si="1"/>
        <v>7</v>
      </c>
      <c r="B13" s="98" t="s">
        <v>136</v>
      </c>
      <c r="C13" s="64" t="s">
        <v>197</v>
      </c>
      <c r="D13" s="99">
        <v>45905.0</v>
      </c>
      <c r="E13" s="16" t="s">
        <v>71</v>
      </c>
      <c r="F13" s="100" t="s">
        <v>72</v>
      </c>
      <c r="G13" s="101" t="s">
        <v>198</v>
      </c>
      <c r="H13" s="16" t="s">
        <v>199</v>
      </c>
      <c r="I13" s="16" t="s">
        <v>75</v>
      </c>
      <c r="J13" s="102" t="s">
        <v>148</v>
      </c>
      <c r="K13" s="16"/>
      <c r="L13" s="16" t="s">
        <v>105</v>
      </c>
      <c r="M13" s="16" t="s">
        <v>166</v>
      </c>
      <c r="N13" s="103">
        <v>1.0</v>
      </c>
      <c r="O13" s="103">
        <v>20.0</v>
      </c>
      <c r="P13" s="103">
        <v>20.0</v>
      </c>
      <c r="Q13" s="94">
        <v>45913.0</v>
      </c>
      <c r="R13" s="72" t="s">
        <v>200</v>
      </c>
      <c r="S13" s="111">
        <v>45905.0</v>
      </c>
      <c r="T13" s="74"/>
      <c r="U13" s="68" t="s">
        <v>144</v>
      </c>
      <c r="V13" s="74"/>
      <c r="W13" s="74"/>
      <c r="X13" s="75"/>
    </row>
    <row r="14" hidden="1">
      <c r="A14" s="76">
        <f t="shared" si="1"/>
        <v>8</v>
      </c>
      <c r="B14" s="88" t="s">
        <v>136</v>
      </c>
      <c r="C14" s="76" t="s">
        <v>201</v>
      </c>
      <c r="D14" s="89">
        <v>45905.0</v>
      </c>
      <c r="E14" s="86" t="s">
        <v>71</v>
      </c>
      <c r="F14" s="90" t="s">
        <v>72</v>
      </c>
      <c r="G14" s="91" t="s">
        <v>202</v>
      </c>
      <c r="H14" s="86" t="s">
        <v>203</v>
      </c>
      <c r="I14" s="86" t="s">
        <v>75</v>
      </c>
      <c r="J14" s="92" t="s">
        <v>157</v>
      </c>
      <c r="K14" s="114" t="s">
        <v>204</v>
      </c>
      <c r="L14" s="86" t="s">
        <v>105</v>
      </c>
      <c r="M14" s="86" t="s">
        <v>79</v>
      </c>
      <c r="N14" s="93">
        <v>20.0</v>
      </c>
      <c r="O14" s="93">
        <v>10.0</v>
      </c>
      <c r="P14" s="93">
        <v>200.0</v>
      </c>
      <c r="Q14" s="94">
        <v>45910.0</v>
      </c>
      <c r="R14" s="83" t="s">
        <v>205</v>
      </c>
      <c r="S14" s="112">
        <v>45905.0</v>
      </c>
      <c r="T14" s="85"/>
      <c r="U14" s="81" t="s">
        <v>144</v>
      </c>
      <c r="V14" s="85"/>
      <c r="W14" s="85"/>
      <c r="X14" s="75"/>
    </row>
    <row r="15" hidden="1">
      <c r="A15" s="64">
        <f t="shared" si="1"/>
        <v>0</v>
      </c>
      <c r="B15" s="98" t="s">
        <v>136</v>
      </c>
      <c r="C15" s="64" t="s">
        <v>206</v>
      </c>
      <c r="D15" s="99">
        <v>45898.0</v>
      </c>
      <c r="E15" s="16"/>
      <c r="F15" s="100" t="s">
        <v>93</v>
      </c>
      <c r="G15" s="101" t="s">
        <v>207</v>
      </c>
      <c r="H15" s="16" t="s">
        <v>208</v>
      </c>
      <c r="I15" s="16" t="s">
        <v>75</v>
      </c>
      <c r="J15" s="102" t="s">
        <v>209</v>
      </c>
      <c r="K15" s="16"/>
      <c r="L15" s="16" t="s">
        <v>210</v>
      </c>
      <c r="M15" s="16" t="s">
        <v>79</v>
      </c>
      <c r="N15" s="103">
        <v>40.0</v>
      </c>
      <c r="O15" s="103">
        <v>30.0</v>
      </c>
      <c r="P15" s="103">
        <v>1200.0</v>
      </c>
      <c r="Q15" s="94">
        <v>45909.0</v>
      </c>
      <c r="R15" s="72" t="s">
        <v>211</v>
      </c>
      <c r="S15" s="108"/>
      <c r="T15" s="74"/>
      <c r="U15" s="68" t="s">
        <v>144</v>
      </c>
      <c r="V15" s="74"/>
      <c r="W15" s="74"/>
      <c r="X15" s="75"/>
    </row>
    <row r="16" hidden="1">
      <c r="A16" s="76">
        <f t="shared" si="1"/>
        <v>0</v>
      </c>
      <c r="B16" s="88" t="s">
        <v>136</v>
      </c>
      <c r="C16" s="76" t="s">
        <v>212</v>
      </c>
      <c r="D16" s="89">
        <v>45898.0</v>
      </c>
      <c r="E16" s="86"/>
      <c r="F16" s="90" t="s">
        <v>93</v>
      </c>
      <c r="G16" s="91" t="s">
        <v>213</v>
      </c>
      <c r="H16" s="86" t="s">
        <v>214</v>
      </c>
      <c r="I16" s="86" t="s">
        <v>75</v>
      </c>
      <c r="J16" s="92" t="s">
        <v>215</v>
      </c>
      <c r="K16" s="86"/>
      <c r="L16" s="86" t="s">
        <v>216</v>
      </c>
      <c r="M16" s="86" t="s">
        <v>79</v>
      </c>
      <c r="N16" s="93">
        <v>40.0</v>
      </c>
      <c r="O16" s="93">
        <v>30.0</v>
      </c>
      <c r="P16" s="93">
        <v>1200.0</v>
      </c>
      <c r="Q16" s="94">
        <v>45906.0</v>
      </c>
      <c r="R16" s="83" t="s">
        <v>217</v>
      </c>
      <c r="S16" s="97"/>
      <c r="T16" s="85"/>
      <c r="U16" s="81" t="s">
        <v>144</v>
      </c>
      <c r="V16" s="85"/>
      <c r="W16" s="85"/>
      <c r="X16" s="75"/>
    </row>
    <row r="17" hidden="1">
      <c r="A17" s="64">
        <f t="shared" si="1"/>
        <v>0</v>
      </c>
      <c r="B17" s="98" t="s">
        <v>136</v>
      </c>
      <c r="C17" s="64" t="s">
        <v>218</v>
      </c>
      <c r="D17" s="99">
        <v>45898.0</v>
      </c>
      <c r="E17" s="16"/>
      <c r="F17" s="100" t="s">
        <v>93</v>
      </c>
      <c r="G17" s="101" t="s">
        <v>213</v>
      </c>
      <c r="H17" s="16" t="s">
        <v>214</v>
      </c>
      <c r="I17" s="16" t="s">
        <v>75</v>
      </c>
      <c r="J17" s="102" t="s">
        <v>215</v>
      </c>
      <c r="K17" s="16"/>
      <c r="L17" s="16" t="s">
        <v>216</v>
      </c>
      <c r="M17" s="16" t="s">
        <v>79</v>
      </c>
      <c r="N17" s="103">
        <v>40.0</v>
      </c>
      <c r="O17" s="103">
        <v>20.0</v>
      </c>
      <c r="P17" s="103">
        <v>800.0</v>
      </c>
      <c r="Q17" s="94">
        <v>45910.0</v>
      </c>
      <c r="R17" s="72" t="s">
        <v>217</v>
      </c>
      <c r="S17" s="108"/>
      <c r="T17" s="74"/>
      <c r="U17" s="68" t="s">
        <v>144</v>
      </c>
      <c r="V17" s="74"/>
      <c r="W17" s="74"/>
      <c r="X17" s="75"/>
    </row>
    <row r="18" hidden="1">
      <c r="A18" s="76">
        <f t="shared" si="1"/>
        <v>1</v>
      </c>
      <c r="B18" s="88" t="s">
        <v>136</v>
      </c>
      <c r="C18" s="76" t="s">
        <v>219</v>
      </c>
      <c r="D18" s="89">
        <v>45905.0</v>
      </c>
      <c r="E18" s="86"/>
      <c r="F18" s="90" t="s">
        <v>186</v>
      </c>
      <c r="G18" s="91" t="s">
        <v>220</v>
      </c>
      <c r="H18" s="86" t="s">
        <v>221</v>
      </c>
      <c r="I18" s="86" t="s">
        <v>75</v>
      </c>
      <c r="J18" s="92" t="s">
        <v>222</v>
      </c>
      <c r="K18" s="114" t="s">
        <v>223</v>
      </c>
      <c r="L18" s="86" t="s">
        <v>105</v>
      </c>
      <c r="M18" s="86" t="s">
        <v>79</v>
      </c>
      <c r="N18" s="93">
        <v>40.0</v>
      </c>
      <c r="O18" s="93">
        <v>50.0</v>
      </c>
      <c r="P18" s="93">
        <v>2000.0</v>
      </c>
      <c r="Q18" s="94">
        <v>45908.0</v>
      </c>
      <c r="R18" s="83" t="s">
        <v>224</v>
      </c>
      <c r="S18" s="112">
        <v>45906.0</v>
      </c>
      <c r="T18" s="85"/>
      <c r="U18" s="81" t="s">
        <v>144</v>
      </c>
      <c r="V18" s="85"/>
      <c r="W18" s="85"/>
      <c r="X18" s="75"/>
    </row>
    <row r="19" hidden="1">
      <c r="A19" s="64">
        <f t="shared" si="1"/>
        <v>2</v>
      </c>
      <c r="B19" s="98" t="s">
        <v>136</v>
      </c>
      <c r="C19" s="64" t="s">
        <v>225</v>
      </c>
      <c r="D19" s="99">
        <v>45906.0</v>
      </c>
      <c r="E19" s="16"/>
      <c r="F19" s="100" t="s">
        <v>93</v>
      </c>
      <c r="G19" s="101" t="s">
        <v>226</v>
      </c>
      <c r="H19" s="16" t="s">
        <v>227</v>
      </c>
      <c r="I19" s="16" t="s">
        <v>75</v>
      </c>
      <c r="J19" s="102" t="s">
        <v>148</v>
      </c>
      <c r="K19" s="16"/>
      <c r="L19" s="16" t="s">
        <v>105</v>
      </c>
      <c r="M19" s="16" t="s">
        <v>79</v>
      </c>
      <c r="N19" s="103">
        <v>20.0</v>
      </c>
      <c r="O19" s="103">
        <v>20.0</v>
      </c>
      <c r="P19" s="103">
        <v>400.0</v>
      </c>
      <c r="Q19" s="94">
        <v>45913.0</v>
      </c>
      <c r="R19" s="72" t="s">
        <v>153</v>
      </c>
      <c r="S19" s="111">
        <v>45906.0</v>
      </c>
      <c r="T19" s="74"/>
      <c r="U19" s="68" t="s">
        <v>144</v>
      </c>
      <c r="V19" s="74"/>
      <c r="W19" s="74"/>
      <c r="X19" s="75"/>
    </row>
    <row r="20" hidden="1">
      <c r="A20" s="76">
        <f t="shared" si="1"/>
        <v>1</v>
      </c>
      <c r="B20" s="88" t="s">
        <v>136</v>
      </c>
      <c r="C20" s="76" t="s">
        <v>228</v>
      </c>
      <c r="D20" s="89">
        <v>45906.0</v>
      </c>
      <c r="E20" s="86" t="s">
        <v>71</v>
      </c>
      <c r="F20" s="90" t="s">
        <v>72</v>
      </c>
      <c r="G20" s="91" t="s">
        <v>229</v>
      </c>
      <c r="H20" s="86" t="s">
        <v>230</v>
      </c>
      <c r="I20" s="86" t="s">
        <v>75</v>
      </c>
      <c r="J20" s="92" t="s">
        <v>181</v>
      </c>
      <c r="K20" s="114" t="s">
        <v>182</v>
      </c>
      <c r="L20" s="86" t="s">
        <v>125</v>
      </c>
      <c r="M20" s="86" t="s">
        <v>79</v>
      </c>
      <c r="N20" s="93">
        <v>40.0</v>
      </c>
      <c r="O20" s="93">
        <v>20.0</v>
      </c>
      <c r="P20" s="93">
        <v>800.0</v>
      </c>
      <c r="Q20" s="94">
        <v>45913.0</v>
      </c>
      <c r="R20" s="83" t="s">
        <v>184</v>
      </c>
      <c r="S20" s="112">
        <v>45908.0</v>
      </c>
      <c r="T20" s="85"/>
      <c r="U20" s="81" t="s">
        <v>144</v>
      </c>
      <c r="V20" s="85"/>
      <c r="W20" s="85"/>
      <c r="X20" s="75"/>
    </row>
    <row r="21" hidden="1">
      <c r="A21" s="64">
        <f t="shared" si="1"/>
        <v>2</v>
      </c>
      <c r="B21" s="98" t="s">
        <v>136</v>
      </c>
      <c r="C21" s="64" t="s">
        <v>231</v>
      </c>
      <c r="D21" s="99">
        <v>45908.0</v>
      </c>
      <c r="E21" s="16" t="s">
        <v>71</v>
      </c>
      <c r="F21" s="100" t="s">
        <v>72</v>
      </c>
      <c r="G21" s="101" t="s">
        <v>232</v>
      </c>
      <c r="H21" s="16" t="s">
        <v>233</v>
      </c>
      <c r="I21" s="16" t="s">
        <v>75</v>
      </c>
      <c r="J21" s="102" t="s">
        <v>157</v>
      </c>
      <c r="K21" s="110" t="s">
        <v>234</v>
      </c>
      <c r="L21" s="16" t="s">
        <v>105</v>
      </c>
      <c r="M21" s="16" t="s">
        <v>79</v>
      </c>
      <c r="N21" s="103">
        <v>40.0</v>
      </c>
      <c r="O21" s="103">
        <v>10.0</v>
      </c>
      <c r="P21" s="103">
        <v>400.0</v>
      </c>
      <c r="Q21" s="94">
        <v>45919.0</v>
      </c>
      <c r="R21" s="72" t="s">
        <v>234</v>
      </c>
      <c r="S21" s="111">
        <v>45908.0</v>
      </c>
      <c r="T21" s="74"/>
      <c r="U21" s="68" t="s">
        <v>144</v>
      </c>
      <c r="V21" s="74"/>
      <c r="W21" s="74"/>
      <c r="X21" s="75"/>
    </row>
    <row r="22" hidden="1">
      <c r="A22" s="76">
        <f t="shared" si="1"/>
        <v>3</v>
      </c>
      <c r="B22" s="88" t="s">
        <v>136</v>
      </c>
      <c r="C22" s="76" t="s">
        <v>235</v>
      </c>
      <c r="D22" s="89">
        <v>45908.0</v>
      </c>
      <c r="E22" s="86"/>
      <c r="F22" s="90" t="s">
        <v>93</v>
      </c>
      <c r="G22" s="91" t="s">
        <v>236</v>
      </c>
      <c r="H22" s="86" t="s">
        <v>237</v>
      </c>
      <c r="I22" s="86" t="s">
        <v>75</v>
      </c>
      <c r="J22" s="92" t="s">
        <v>148</v>
      </c>
      <c r="K22" s="114" t="s">
        <v>238</v>
      </c>
      <c r="L22" s="86" t="s">
        <v>105</v>
      </c>
      <c r="M22" s="86" t="s">
        <v>79</v>
      </c>
      <c r="N22" s="93">
        <v>20.0</v>
      </c>
      <c r="O22" s="93">
        <v>10.0</v>
      </c>
      <c r="P22" s="93">
        <v>200.0</v>
      </c>
      <c r="Q22" s="94">
        <v>45915.0</v>
      </c>
      <c r="R22" s="83" t="s">
        <v>153</v>
      </c>
      <c r="S22" s="112">
        <v>45908.0</v>
      </c>
      <c r="T22" s="85"/>
      <c r="U22" s="81" t="s">
        <v>144</v>
      </c>
      <c r="V22" s="85"/>
      <c r="W22" s="85"/>
      <c r="X22" s="75"/>
    </row>
    <row r="23" hidden="1">
      <c r="A23" s="64">
        <f t="shared" si="1"/>
        <v>1</v>
      </c>
      <c r="B23" s="98" t="s">
        <v>136</v>
      </c>
      <c r="C23" s="64" t="s">
        <v>239</v>
      </c>
      <c r="D23" s="99">
        <v>45908.0</v>
      </c>
      <c r="E23" s="16"/>
      <c r="F23" s="100" t="s">
        <v>186</v>
      </c>
      <c r="G23" s="101" t="s">
        <v>187</v>
      </c>
      <c r="H23" s="16" t="s">
        <v>188</v>
      </c>
      <c r="I23" s="16" t="s">
        <v>75</v>
      </c>
      <c r="J23" s="102" t="s">
        <v>189</v>
      </c>
      <c r="K23" s="110" t="s">
        <v>112</v>
      </c>
      <c r="L23" s="16" t="s">
        <v>90</v>
      </c>
      <c r="M23" s="16" t="s">
        <v>79</v>
      </c>
      <c r="N23" s="103">
        <v>40.0</v>
      </c>
      <c r="O23" s="103">
        <v>50.0</v>
      </c>
      <c r="P23" s="103">
        <v>2000.0</v>
      </c>
      <c r="Q23" s="94">
        <v>45920.0</v>
      </c>
      <c r="R23" s="72" t="s">
        <v>115</v>
      </c>
      <c r="S23" s="111">
        <v>45909.0</v>
      </c>
      <c r="T23" s="74"/>
      <c r="U23" s="68" t="s">
        <v>144</v>
      </c>
      <c r="V23" s="74"/>
      <c r="W23" s="74"/>
      <c r="X23" s="75"/>
    </row>
    <row r="24" hidden="1">
      <c r="A24" s="76">
        <f t="shared" si="1"/>
        <v>2</v>
      </c>
      <c r="B24" s="88" t="s">
        <v>136</v>
      </c>
      <c r="C24" s="76" t="s">
        <v>240</v>
      </c>
      <c r="D24" s="89">
        <v>45909.0</v>
      </c>
      <c r="E24" s="86" t="s">
        <v>71</v>
      </c>
      <c r="F24" s="90" t="s">
        <v>72</v>
      </c>
      <c r="G24" s="91" t="s">
        <v>241</v>
      </c>
      <c r="H24" s="86" t="s">
        <v>242</v>
      </c>
      <c r="I24" s="86" t="s">
        <v>75</v>
      </c>
      <c r="J24" s="92" t="s">
        <v>148</v>
      </c>
      <c r="K24" s="114" t="s">
        <v>243</v>
      </c>
      <c r="L24" s="86" t="s">
        <v>105</v>
      </c>
      <c r="M24" s="86" t="s">
        <v>79</v>
      </c>
      <c r="N24" s="93">
        <v>40.0</v>
      </c>
      <c r="O24" s="93">
        <v>10.0</v>
      </c>
      <c r="P24" s="93">
        <v>400.0</v>
      </c>
      <c r="Q24" s="94">
        <v>45915.0</v>
      </c>
      <c r="R24" s="83" t="s">
        <v>244</v>
      </c>
      <c r="S24" s="112">
        <v>45909.0</v>
      </c>
      <c r="T24" s="85"/>
      <c r="U24" s="81" t="s">
        <v>144</v>
      </c>
      <c r="V24" s="85"/>
      <c r="W24" s="85"/>
      <c r="X24" s="75"/>
    </row>
    <row r="25" hidden="1">
      <c r="A25" s="64">
        <f t="shared" si="1"/>
        <v>1</v>
      </c>
      <c r="B25" s="98" t="s">
        <v>136</v>
      </c>
      <c r="C25" s="64" t="s">
        <v>245</v>
      </c>
      <c r="D25" s="99">
        <v>45904.0</v>
      </c>
      <c r="E25" s="16" t="s">
        <v>71</v>
      </c>
      <c r="F25" s="100" t="s">
        <v>72</v>
      </c>
      <c r="G25" s="101" t="s">
        <v>246</v>
      </c>
      <c r="H25" s="16" t="s">
        <v>247</v>
      </c>
      <c r="I25" s="16" t="s">
        <v>75</v>
      </c>
      <c r="J25" s="102" t="s">
        <v>123</v>
      </c>
      <c r="K25" s="110" t="s">
        <v>248</v>
      </c>
      <c r="L25" s="16" t="s">
        <v>249</v>
      </c>
      <c r="M25" s="16" t="s">
        <v>79</v>
      </c>
      <c r="N25" s="103">
        <v>40.0</v>
      </c>
      <c r="O25" s="103">
        <v>20.0</v>
      </c>
      <c r="P25" s="103">
        <v>800.0</v>
      </c>
      <c r="Q25" s="94">
        <v>45918.0</v>
      </c>
      <c r="R25" s="72" t="s">
        <v>250</v>
      </c>
      <c r="S25" s="111">
        <v>45910.0</v>
      </c>
      <c r="T25" s="74"/>
      <c r="U25" s="68" t="s">
        <v>144</v>
      </c>
      <c r="V25" s="74"/>
      <c r="W25" s="74"/>
      <c r="X25" s="75"/>
    </row>
    <row r="26" hidden="1">
      <c r="A26" s="76">
        <f t="shared" si="1"/>
        <v>2</v>
      </c>
      <c r="B26" s="88" t="s">
        <v>136</v>
      </c>
      <c r="C26" s="76" t="s">
        <v>251</v>
      </c>
      <c r="D26" s="89">
        <v>45910.0</v>
      </c>
      <c r="E26" s="86"/>
      <c r="F26" s="90" t="s">
        <v>93</v>
      </c>
      <c r="G26" s="91" t="s">
        <v>252</v>
      </c>
      <c r="H26" s="86" t="s">
        <v>253</v>
      </c>
      <c r="I26" s="86" t="s">
        <v>75</v>
      </c>
      <c r="J26" s="92" t="s">
        <v>88</v>
      </c>
      <c r="K26" s="86"/>
      <c r="L26" s="86" t="s">
        <v>105</v>
      </c>
      <c r="M26" s="86" t="s">
        <v>79</v>
      </c>
      <c r="N26" s="93">
        <v>20.0</v>
      </c>
      <c r="O26" s="93">
        <v>30.0</v>
      </c>
      <c r="P26" s="93">
        <v>600.0</v>
      </c>
      <c r="Q26" s="94">
        <v>45922.0</v>
      </c>
      <c r="R26" s="83" t="s">
        <v>254</v>
      </c>
      <c r="S26" s="112">
        <v>45910.0</v>
      </c>
      <c r="T26" s="85"/>
      <c r="U26" s="81" t="s">
        <v>144</v>
      </c>
      <c r="V26" s="85"/>
      <c r="W26" s="85"/>
      <c r="X26" s="75"/>
    </row>
    <row r="27" hidden="1">
      <c r="A27" s="64">
        <f t="shared" si="1"/>
        <v>3</v>
      </c>
      <c r="B27" s="98" t="s">
        <v>136</v>
      </c>
      <c r="C27" s="64" t="s">
        <v>255</v>
      </c>
      <c r="D27" s="99">
        <v>45910.0</v>
      </c>
      <c r="E27" s="16" t="s">
        <v>71</v>
      </c>
      <c r="F27" s="100" t="s">
        <v>72</v>
      </c>
      <c r="G27" s="101" t="s">
        <v>256</v>
      </c>
      <c r="H27" s="16" t="s">
        <v>257</v>
      </c>
      <c r="I27" s="16" t="s">
        <v>75</v>
      </c>
      <c r="J27" s="102" t="s">
        <v>258</v>
      </c>
      <c r="K27" s="110" t="s">
        <v>259</v>
      </c>
      <c r="L27" s="16" t="s">
        <v>105</v>
      </c>
      <c r="M27" s="16" t="s">
        <v>79</v>
      </c>
      <c r="N27" s="103">
        <v>40.0</v>
      </c>
      <c r="O27" s="103">
        <v>7.0</v>
      </c>
      <c r="P27" s="103">
        <v>280.0</v>
      </c>
      <c r="Q27" s="94">
        <v>45916.0</v>
      </c>
      <c r="R27" s="72" t="s">
        <v>260</v>
      </c>
      <c r="S27" s="111">
        <v>45910.0</v>
      </c>
      <c r="T27" s="74"/>
      <c r="U27" s="68" t="s">
        <v>144</v>
      </c>
      <c r="V27" s="74"/>
      <c r="W27" s="74"/>
      <c r="X27" s="75"/>
    </row>
    <row r="28" hidden="1">
      <c r="A28" s="76">
        <f t="shared" si="1"/>
        <v>1</v>
      </c>
      <c r="B28" s="88" t="s">
        <v>136</v>
      </c>
      <c r="C28" s="76" t="s">
        <v>261</v>
      </c>
      <c r="D28" s="89">
        <v>45913.0</v>
      </c>
      <c r="E28" s="86" t="s">
        <v>161</v>
      </c>
      <c r="F28" s="90" t="s">
        <v>72</v>
      </c>
      <c r="G28" s="91" t="s">
        <v>262</v>
      </c>
      <c r="H28" s="86" t="s">
        <v>263</v>
      </c>
      <c r="I28" s="86" t="s">
        <v>75</v>
      </c>
      <c r="J28" s="92" t="s">
        <v>88</v>
      </c>
      <c r="K28" s="114" t="s">
        <v>264</v>
      </c>
      <c r="L28" s="86" t="s">
        <v>90</v>
      </c>
      <c r="M28" s="115" t="s">
        <v>265</v>
      </c>
      <c r="N28" s="93">
        <v>1.0</v>
      </c>
      <c r="O28" s="93">
        <v>1.0</v>
      </c>
      <c r="P28" s="93">
        <v>1.0</v>
      </c>
      <c r="Q28" s="94">
        <v>45903.0</v>
      </c>
      <c r="R28" s="83" t="s">
        <v>266</v>
      </c>
      <c r="S28" s="112">
        <v>45915.0</v>
      </c>
      <c r="T28" s="85"/>
      <c r="U28" s="81" t="s">
        <v>144</v>
      </c>
      <c r="V28" s="85"/>
      <c r="W28" s="85"/>
      <c r="X28" s="75"/>
    </row>
    <row r="29" hidden="1">
      <c r="A29" s="64">
        <f t="shared" si="1"/>
        <v>2</v>
      </c>
      <c r="B29" s="98" t="s">
        <v>136</v>
      </c>
      <c r="C29" s="64" t="s">
        <v>267</v>
      </c>
      <c r="D29" s="99">
        <v>45915.0</v>
      </c>
      <c r="E29" s="16" t="s">
        <v>71</v>
      </c>
      <c r="F29" s="100" t="s">
        <v>72</v>
      </c>
      <c r="G29" s="101" t="s">
        <v>268</v>
      </c>
      <c r="H29" s="16" t="s">
        <v>269</v>
      </c>
      <c r="I29" s="16" t="s">
        <v>75</v>
      </c>
      <c r="J29" s="102" t="s">
        <v>88</v>
      </c>
      <c r="K29" s="110" t="s">
        <v>270</v>
      </c>
      <c r="L29" s="16" t="s">
        <v>90</v>
      </c>
      <c r="M29" s="16" t="s">
        <v>79</v>
      </c>
      <c r="N29" s="103">
        <v>20.0</v>
      </c>
      <c r="O29" s="103">
        <v>10.0</v>
      </c>
      <c r="P29" s="103">
        <v>200.0</v>
      </c>
      <c r="Q29" s="94">
        <v>45920.0</v>
      </c>
      <c r="R29" s="72" t="s">
        <v>270</v>
      </c>
      <c r="S29" s="111">
        <v>45915.0</v>
      </c>
      <c r="T29" s="74"/>
      <c r="U29" s="68" t="s">
        <v>144</v>
      </c>
      <c r="V29" s="74"/>
      <c r="W29" s="74"/>
      <c r="X29" s="75"/>
    </row>
    <row r="30" hidden="1">
      <c r="A30" s="76">
        <f t="shared" si="1"/>
        <v>3</v>
      </c>
      <c r="B30" s="88" t="s">
        <v>136</v>
      </c>
      <c r="C30" s="76" t="s">
        <v>271</v>
      </c>
      <c r="D30" s="89">
        <v>45915.0</v>
      </c>
      <c r="E30" s="86" t="s">
        <v>71</v>
      </c>
      <c r="F30" s="90" t="s">
        <v>72</v>
      </c>
      <c r="G30" s="91" t="s">
        <v>272</v>
      </c>
      <c r="H30" s="86" t="s">
        <v>273</v>
      </c>
      <c r="I30" s="86" t="s">
        <v>75</v>
      </c>
      <c r="J30" s="92" t="s">
        <v>140</v>
      </c>
      <c r="K30" s="114" t="s">
        <v>274</v>
      </c>
      <c r="L30" s="86" t="s">
        <v>275</v>
      </c>
      <c r="M30" s="86" t="s">
        <v>79</v>
      </c>
      <c r="N30" s="93">
        <v>40.0</v>
      </c>
      <c r="O30" s="93">
        <v>5.0</v>
      </c>
      <c r="P30" s="93">
        <v>200.0</v>
      </c>
      <c r="Q30" s="94">
        <v>45920.0</v>
      </c>
      <c r="R30" s="83" t="s">
        <v>143</v>
      </c>
      <c r="S30" s="112">
        <v>45915.0</v>
      </c>
      <c r="T30" s="85"/>
      <c r="U30" s="81" t="s">
        <v>144</v>
      </c>
      <c r="V30" s="85"/>
      <c r="W30" s="85"/>
      <c r="X30" s="75"/>
    </row>
    <row r="31" hidden="1">
      <c r="A31" s="64">
        <f t="shared" si="1"/>
        <v>1</v>
      </c>
      <c r="B31" s="98" t="s">
        <v>136</v>
      </c>
      <c r="C31" s="64" t="s">
        <v>276</v>
      </c>
      <c r="D31" s="99">
        <v>45911.0</v>
      </c>
      <c r="E31" s="16" t="s">
        <v>71</v>
      </c>
      <c r="F31" s="100" t="s">
        <v>72</v>
      </c>
      <c r="G31" s="101" t="s">
        <v>277</v>
      </c>
      <c r="H31" s="16" t="s">
        <v>278</v>
      </c>
      <c r="I31" s="16" t="s">
        <v>75</v>
      </c>
      <c r="J31" s="102" t="s">
        <v>279</v>
      </c>
      <c r="K31" s="110" t="s">
        <v>280</v>
      </c>
      <c r="L31" s="16" t="s">
        <v>105</v>
      </c>
      <c r="M31" s="16" t="s">
        <v>79</v>
      </c>
      <c r="N31" s="103">
        <v>40.0</v>
      </c>
      <c r="O31" s="103">
        <v>10.0</v>
      </c>
      <c r="P31" s="103">
        <v>400.0</v>
      </c>
      <c r="Q31" s="94">
        <v>45923.0</v>
      </c>
      <c r="R31" s="72" t="s">
        <v>281</v>
      </c>
      <c r="S31" s="111">
        <v>45916.0</v>
      </c>
      <c r="T31" s="74"/>
      <c r="U31" s="68" t="s">
        <v>144</v>
      </c>
      <c r="V31" s="74"/>
      <c r="W31" s="74"/>
      <c r="X31" s="75"/>
    </row>
    <row r="32" hidden="1">
      <c r="A32" s="76">
        <f t="shared" si="1"/>
        <v>2</v>
      </c>
      <c r="B32" s="88" t="s">
        <v>136</v>
      </c>
      <c r="C32" s="76" t="s">
        <v>282</v>
      </c>
      <c r="D32" s="89">
        <v>45916.0</v>
      </c>
      <c r="E32" s="86" t="s">
        <v>161</v>
      </c>
      <c r="F32" s="90" t="s">
        <v>72</v>
      </c>
      <c r="G32" s="91" t="s">
        <v>283</v>
      </c>
      <c r="H32" s="86" t="s">
        <v>284</v>
      </c>
      <c r="I32" s="86" t="s">
        <v>75</v>
      </c>
      <c r="J32" s="92" t="s">
        <v>157</v>
      </c>
      <c r="K32" s="114" t="s">
        <v>285</v>
      </c>
      <c r="L32" s="86" t="s">
        <v>105</v>
      </c>
      <c r="M32" s="86" t="s">
        <v>79</v>
      </c>
      <c r="N32" s="93">
        <v>40.0</v>
      </c>
      <c r="O32" s="93">
        <v>20.0</v>
      </c>
      <c r="P32" s="93">
        <v>800.0</v>
      </c>
      <c r="Q32" s="94">
        <v>45924.0</v>
      </c>
      <c r="R32" s="83" t="s">
        <v>205</v>
      </c>
      <c r="S32" s="112">
        <v>45916.0</v>
      </c>
      <c r="T32" s="85"/>
      <c r="U32" s="81" t="s">
        <v>144</v>
      </c>
      <c r="V32" s="85"/>
      <c r="W32" s="85"/>
      <c r="X32" s="75"/>
    </row>
    <row r="33" hidden="1">
      <c r="A33" s="64">
        <f t="shared" si="1"/>
        <v>3</v>
      </c>
      <c r="B33" s="98" t="s">
        <v>136</v>
      </c>
      <c r="C33" s="64" t="s">
        <v>286</v>
      </c>
      <c r="D33" s="99">
        <v>45916.0</v>
      </c>
      <c r="E33" s="16" t="s">
        <v>71</v>
      </c>
      <c r="F33" s="100" t="s">
        <v>72</v>
      </c>
      <c r="G33" s="101" t="s">
        <v>287</v>
      </c>
      <c r="H33" s="16" t="s">
        <v>288</v>
      </c>
      <c r="I33" s="16" t="s">
        <v>75</v>
      </c>
      <c r="J33" s="102" t="s">
        <v>88</v>
      </c>
      <c r="K33" s="110" t="s">
        <v>289</v>
      </c>
      <c r="L33" s="16" t="s">
        <v>105</v>
      </c>
      <c r="M33" s="16" t="s">
        <v>79</v>
      </c>
      <c r="N33" s="103">
        <v>20.0</v>
      </c>
      <c r="O33" s="103">
        <v>10.0</v>
      </c>
      <c r="P33" s="103">
        <v>200.0</v>
      </c>
      <c r="Q33" s="94">
        <v>45923.0</v>
      </c>
      <c r="R33" s="72" t="s">
        <v>290</v>
      </c>
      <c r="S33" s="111">
        <v>45916.0</v>
      </c>
      <c r="T33" s="74"/>
      <c r="U33" s="68" t="s">
        <v>144</v>
      </c>
      <c r="V33" s="74"/>
      <c r="W33" s="74"/>
      <c r="X33" s="75"/>
    </row>
    <row r="34" hidden="1">
      <c r="A34" s="76">
        <f t="shared" si="1"/>
        <v>4</v>
      </c>
      <c r="B34" s="88" t="s">
        <v>136</v>
      </c>
      <c r="C34" s="76" t="s">
        <v>291</v>
      </c>
      <c r="D34" s="89">
        <v>45916.0</v>
      </c>
      <c r="E34" s="86" t="s">
        <v>71</v>
      </c>
      <c r="F34" s="90" t="s">
        <v>72</v>
      </c>
      <c r="G34" s="91" t="s">
        <v>292</v>
      </c>
      <c r="H34" s="86" t="s">
        <v>293</v>
      </c>
      <c r="I34" s="86" t="s">
        <v>75</v>
      </c>
      <c r="J34" s="92" t="s">
        <v>148</v>
      </c>
      <c r="K34" s="114" t="s">
        <v>294</v>
      </c>
      <c r="L34" s="86" t="s">
        <v>105</v>
      </c>
      <c r="M34" s="86" t="s">
        <v>79</v>
      </c>
      <c r="N34" s="93">
        <v>40.0</v>
      </c>
      <c r="O34" s="93">
        <v>10.0</v>
      </c>
      <c r="P34" s="93">
        <v>400.0</v>
      </c>
      <c r="Q34" s="94">
        <v>45925.0</v>
      </c>
      <c r="R34" s="83" t="s">
        <v>295</v>
      </c>
      <c r="S34" s="112">
        <v>45916.0</v>
      </c>
      <c r="T34" s="85"/>
      <c r="U34" s="81" t="s">
        <v>144</v>
      </c>
      <c r="V34" s="85"/>
      <c r="W34" s="85"/>
      <c r="X34" s="75"/>
    </row>
    <row r="35" hidden="1">
      <c r="A35" s="64">
        <f t="shared" si="1"/>
        <v>5</v>
      </c>
      <c r="B35" s="98" t="s">
        <v>136</v>
      </c>
      <c r="C35" s="64" t="s">
        <v>296</v>
      </c>
      <c r="D35" s="99">
        <v>45916.0</v>
      </c>
      <c r="E35" s="16" t="s">
        <v>71</v>
      </c>
      <c r="F35" s="100" t="s">
        <v>72</v>
      </c>
      <c r="G35" s="101" t="s">
        <v>297</v>
      </c>
      <c r="H35" s="16" t="s">
        <v>298</v>
      </c>
      <c r="I35" s="16" t="s">
        <v>75</v>
      </c>
      <c r="J35" s="102" t="s">
        <v>88</v>
      </c>
      <c r="K35" s="110" t="s">
        <v>299</v>
      </c>
      <c r="L35" s="16" t="s">
        <v>90</v>
      </c>
      <c r="M35" s="16" t="s">
        <v>79</v>
      </c>
      <c r="N35" s="103">
        <v>40.0</v>
      </c>
      <c r="O35" s="103">
        <v>10.0</v>
      </c>
      <c r="P35" s="103">
        <v>400.0</v>
      </c>
      <c r="Q35" s="94">
        <v>45924.0</v>
      </c>
      <c r="R35" s="72" t="s">
        <v>300</v>
      </c>
      <c r="S35" s="111">
        <v>45916.0</v>
      </c>
      <c r="T35" s="74"/>
      <c r="U35" s="68" t="s">
        <v>144</v>
      </c>
      <c r="V35" s="74"/>
      <c r="W35" s="74"/>
      <c r="X35" s="75"/>
    </row>
    <row r="36" hidden="1">
      <c r="A36" s="76">
        <f t="shared" si="1"/>
        <v>6</v>
      </c>
      <c r="B36" s="88" t="s">
        <v>136</v>
      </c>
      <c r="C36" s="76" t="s">
        <v>301</v>
      </c>
      <c r="D36" s="89">
        <v>45916.0</v>
      </c>
      <c r="E36" s="86" t="s">
        <v>71</v>
      </c>
      <c r="F36" s="90" t="s">
        <v>72</v>
      </c>
      <c r="G36" s="91" t="s">
        <v>302</v>
      </c>
      <c r="H36" s="86" t="s">
        <v>303</v>
      </c>
      <c r="I36" s="86" t="s">
        <v>75</v>
      </c>
      <c r="J36" s="92" t="s">
        <v>140</v>
      </c>
      <c r="K36" s="114" t="s">
        <v>304</v>
      </c>
      <c r="L36" s="86" t="s">
        <v>90</v>
      </c>
      <c r="M36" s="86" t="s">
        <v>79</v>
      </c>
      <c r="N36" s="93">
        <v>40.0</v>
      </c>
      <c r="O36" s="93">
        <v>15.0</v>
      </c>
      <c r="P36" s="93">
        <v>600.0</v>
      </c>
      <c r="Q36" s="94">
        <v>45927.0</v>
      </c>
      <c r="R36" s="83" t="s">
        <v>305</v>
      </c>
      <c r="S36" s="112">
        <v>45916.0</v>
      </c>
      <c r="T36" s="85"/>
      <c r="U36" s="81" t="s">
        <v>144</v>
      </c>
      <c r="V36" s="85"/>
      <c r="W36" s="85"/>
      <c r="X36" s="75"/>
    </row>
    <row r="37" hidden="1">
      <c r="A37" s="64">
        <f t="shared" si="1"/>
        <v>7</v>
      </c>
      <c r="B37" s="98" t="s">
        <v>136</v>
      </c>
      <c r="C37" s="64" t="s">
        <v>306</v>
      </c>
      <c r="D37" s="99">
        <v>45916.0</v>
      </c>
      <c r="E37" s="16"/>
      <c r="F37" s="100" t="s">
        <v>93</v>
      </c>
      <c r="G37" s="101" t="s">
        <v>307</v>
      </c>
      <c r="H37" s="16" t="s">
        <v>308</v>
      </c>
      <c r="I37" s="16" t="s">
        <v>75</v>
      </c>
      <c r="J37" s="102" t="s">
        <v>148</v>
      </c>
      <c r="K37" s="16"/>
      <c r="L37" s="16" t="s">
        <v>105</v>
      </c>
      <c r="M37" s="16" t="s">
        <v>79</v>
      </c>
      <c r="N37" s="103">
        <v>40.0</v>
      </c>
      <c r="O37" s="103">
        <v>34.0</v>
      </c>
      <c r="P37" s="103">
        <v>1360.0</v>
      </c>
      <c r="Q37" s="94">
        <v>45923.0</v>
      </c>
      <c r="R37" s="72" t="s">
        <v>149</v>
      </c>
      <c r="S37" s="111">
        <v>45916.0</v>
      </c>
      <c r="T37" s="74"/>
      <c r="U37" s="68" t="s">
        <v>144</v>
      </c>
      <c r="V37" s="74"/>
      <c r="W37" s="74"/>
      <c r="X37" s="75"/>
    </row>
    <row r="38" hidden="1">
      <c r="A38" s="76">
        <f t="shared" si="1"/>
        <v>1</v>
      </c>
      <c r="B38" s="88" t="s">
        <v>136</v>
      </c>
      <c r="C38" s="76" t="s">
        <v>309</v>
      </c>
      <c r="D38" s="89">
        <v>45918.0</v>
      </c>
      <c r="E38" s="86" t="s">
        <v>161</v>
      </c>
      <c r="F38" s="90" t="s">
        <v>72</v>
      </c>
      <c r="G38" s="91" t="s">
        <v>310</v>
      </c>
      <c r="H38" s="86" t="s">
        <v>311</v>
      </c>
      <c r="I38" s="86" t="s">
        <v>75</v>
      </c>
      <c r="J38" s="92" t="s">
        <v>88</v>
      </c>
      <c r="K38" s="114" t="s">
        <v>312</v>
      </c>
      <c r="L38" s="86" t="s">
        <v>90</v>
      </c>
      <c r="M38" s="86" t="s">
        <v>79</v>
      </c>
      <c r="N38" s="93">
        <v>30.0</v>
      </c>
      <c r="O38" s="93">
        <v>20.0</v>
      </c>
      <c r="P38" s="93">
        <v>600.0</v>
      </c>
      <c r="Q38" s="94">
        <v>45925.0</v>
      </c>
      <c r="R38" s="83" t="s">
        <v>313</v>
      </c>
      <c r="S38" s="112">
        <v>45922.0</v>
      </c>
      <c r="T38" s="85"/>
      <c r="U38" s="81" t="s">
        <v>144</v>
      </c>
      <c r="V38" s="85"/>
      <c r="W38" s="85"/>
      <c r="X38" s="75"/>
    </row>
    <row r="39" hidden="1">
      <c r="A39" s="64">
        <f t="shared" si="1"/>
        <v>2</v>
      </c>
      <c r="B39" s="98" t="s">
        <v>136</v>
      </c>
      <c r="C39" s="64" t="s">
        <v>314</v>
      </c>
      <c r="D39" s="99">
        <v>45919.0</v>
      </c>
      <c r="E39" s="16"/>
      <c r="F39" s="100" t="s">
        <v>315</v>
      </c>
      <c r="G39" s="101" t="s">
        <v>316</v>
      </c>
      <c r="H39" s="16" t="s">
        <v>317</v>
      </c>
      <c r="I39" s="16" t="s">
        <v>75</v>
      </c>
      <c r="J39" s="102" t="s">
        <v>123</v>
      </c>
      <c r="K39" s="110" t="s">
        <v>318</v>
      </c>
      <c r="L39" s="16" t="s">
        <v>195</v>
      </c>
      <c r="M39" s="16" t="s">
        <v>79</v>
      </c>
      <c r="N39" s="103">
        <v>40.0</v>
      </c>
      <c r="O39" s="103">
        <v>10.0</v>
      </c>
      <c r="P39" s="103">
        <v>400.0</v>
      </c>
      <c r="Q39" s="94">
        <v>45923.0</v>
      </c>
      <c r="R39" s="72" t="s">
        <v>319</v>
      </c>
      <c r="S39" s="111">
        <v>45922.0</v>
      </c>
      <c r="T39" s="74"/>
      <c r="U39" s="68" t="s">
        <v>144</v>
      </c>
      <c r="V39" s="74"/>
      <c r="W39" s="74"/>
      <c r="X39" s="75"/>
    </row>
    <row r="40" hidden="1">
      <c r="A40" s="76">
        <f t="shared" si="1"/>
        <v>3</v>
      </c>
      <c r="B40" s="88" t="s">
        <v>136</v>
      </c>
      <c r="C40" s="76" t="s">
        <v>320</v>
      </c>
      <c r="D40" s="89">
        <v>45922.0</v>
      </c>
      <c r="E40" s="86" t="s">
        <v>71</v>
      </c>
      <c r="F40" s="90" t="s">
        <v>72</v>
      </c>
      <c r="G40" s="91" t="s">
        <v>321</v>
      </c>
      <c r="H40" s="86" t="s">
        <v>322</v>
      </c>
      <c r="I40" s="86" t="s">
        <v>75</v>
      </c>
      <c r="J40" s="92" t="s">
        <v>323</v>
      </c>
      <c r="K40" s="114" t="s">
        <v>324</v>
      </c>
      <c r="L40" s="86" t="s">
        <v>325</v>
      </c>
      <c r="M40" s="86" t="s">
        <v>79</v>
      </c>
      <c r="N40" s="93">
        <v>40.0</v>
      </c>
      <c r="O40" s="93">
        <v>30.0</v>
      </c>
      <c r="P40" s="93">
        <v>1200.0</v>
      </c>
      <c r="Q40" s="94">
        <v>45929.0</v>
      </c>
      <c r="R40" s="83" t="s">
        <v>326</v>
      </c>
      <c r="S40" s="112">
        <v>45922.0</v>
      </c>
      <c r="T40" s="85"/>
      <c r="U40" s="81" t="s">
        <v>144</v>
      </c>
      <c r="V40" s="85"/>
      <c r="W40" s="85"/>
      <c r="X40" s="75"/>
    </row>
    <row r="41" hidden="1">
      <c r="A41" s="64">
        <f t="shared" si="1"/>
        <v>1</v>
      </c>
      <c r="B41" s="98" t="s">
        <v>136</v>
      </c>
      <c r="C41" s="64" t="s">
        <v>327</v>
      </c>
      <c r="D41" s="99">
        <v>45922.0</v>
      </c>
      <c r="E41" s="16" t="s">
        <v>161</v>
      </c>
      <c r="F41" s="100" t="s">
        <v>72</v>
      </c>
      <c r="G41" s="101" t="s">
        <v>328</v>
      </c>
      <c r="H41" s="16" t="s">
        <v>329</v>
      </c>
      <c r="I41" s="16" t="s">
        <v>75</v>
      </c>
      <c r="J41" s="102" t="s">
        <v>88</v>
      </c>
      <c r="K41" s="110" t="s">
        <v>330</v>
      </c>
      <c r="L41" s="16" t="s">
        <v>105</v>
      </c>
      <c r="M41" s="16" t="s">
        <v>79</v>
      </c>
      <c r="N41" s="103">
        <v>40.0</v>
      </c>
      <c r="O41" s="103">
        <v>5.0</v>
      </c>
      <c r="P41" s="103">
        <v>200.0</v>
      </c>
      <c r="Q41" s="94">
        <v>45929.0</v>
      </c>
      <c r="R41" s="72" t="s">
        <v>331</v>
      </c>
      <c r="S41" s="111">
        <v>45923.0</v>
      </c>
      <c r="T41" s="74"/>
      <c r="U41" s="68" t="s">
        <v>144</v>
      </c>
      <c r="V41" s="74"/>
      <c r="W41" s="74"/>
      <c r="X41" s="75"/>
    </row>
    <row r="42" hidden="1">
      <c r="A42" s="76">
        <f t="shared" si="1"/>
        <v>2</v>
      </c>
      <c r="B42" s="88" t="s">
        <v>136</v>
      </c>
      <c r="C42" s="76" t="s">
        <v>332</v>
      </c>
      <c r="D42" s="89">
        <v>45923.0</v>
      </c>
      <c r="E42" s="86" t="s">
        <v>71</v>
      </c>
      <c r="F42" s="90" t="s">
        <v>72</v>
      </c>
      <c r="G42" s="91" t="s">
        <v>333</v>
      </c>
      <c r="H42" s="86" t="s">
        <v>334</v>
      </c>
      <c r="I42" s="86" t="s">
        <v>75</v>
      </c>
      <c r="J42" s="92" t="s">
        <v>88</v>
      </c>
      <c r="K42" s="114" t="s">
        <v>335</v>
      </c>
      <c r="L42" s="86" t="s">
        <v>336</v>
      </c>
      <c r="M42" s="86" t="s">
        <v>79</v>
      </c>
      <c r="N42" s="93">
        <v>20.0</v>
      </c>
      <c r="O42" s="93">
        <v>5.0</v>
      </c>
      <c r="P42" s="93">
        <v>100.0</v>
      </c>
      <c r="Q42" s="94">
        <v>45933.0</v>
      </c>
      <c r="R42" s="83" t="s">
        <v>254</v>
      </c>
      <c r="S42" s="112">
        <v>45923.0</v>
      </c>
      <c r="T42" s="85"/>
      <c r="U42" s="81" t="s">
        <v>144</v>
      </c>
      <c r="V42" s="85"/>
      <c r="W42" s="85"/>
      <c r="X42" s="75"/>
    </row>
    <row r="43" hidden="1">
      <c r="A43" s="64">
        <f t="shared" si="1"/>
        <v>3</v>
      </c>
      <c r="B43" s="98" t="s">
        <v>136</v>
      </c>
      <c r="C43" s="64" t="s">
        <v>337</v>
      </c>
      <c r="D43" s="99">
        <v>45923.0</v>
      </c>
      <c r="E43" s="16" t="s">
        <v>71</v>
      </c>
      <c r="F43" s="100" t="s">
        <v>72</v>
      </c>
      <c r="G43" s="101" t="s">
        <v>338</v>
      </c>
      <c r="H43" s="16" t="s">
        <v>339</v>
      </c>
      <c r="I43" s="16" t="s">
        <v>75</v>
      </c>
      <c r="J43" s="102" t="s">
        <v>88</v>
      </c>
      <c r="K43" s="110" t="s">
        <v>335</v>
      </c>
      <c r="L43" s="16" t="s">
        <v>336</v>
      </c>
      <c r="M43" s="16" t="s">
        <v>79</v>
      </c>
      <c r="N43" s="103">
        <v>20.0</v>
      </c>
      <c r="O43" s="103">
        <v>25.0</v>
      </c>
      <c r="P43" s="103">
        <v>500.0</v>
      </c>
      <c r="Q43" s="94">
        <v>45933.0</v>
      </c>
      <c r="R43" s="72" t="s">
        <v>254</v>
      </c>
      <c r="S43" s="111">
        <v>45923.0</v>
      </c>
      <c r="T43" s="74"/>
      <c r="U43" s="68" t="s">
        <v>144</v>
      </c>
      <c r="V43" s="74"/>
      <c r="W43" s="74"/>
      <c r="X43" s="75"/>
    </row>
    <row r="44" hidden="1">
      <c r="A44" s="76">
        <f t="shared" si="1"/>
        <v>4</v>
      </c>
      <c r="B44" s="88" t="s">
        <v>136</v>
      </c>
      <c r="C44" s="76" t="s">
        <v>340</v>
      </c>
      <c r="D44" s="89">
        <v>45923.0</v>
      </c>
      <c r="E44" s="86"/>
      <c r="F44" s="90" t="s">
        <v>93</v>
      </c>
      <c r="G44" s="91" t="s">
        <v>252</v>
      </c>
      <c r="H44" s="86" t="s">
        <v>253</v>
      </c>
      <c r="I44" s="86" t="s">
        <v>75</v>
      </c>
      <c r="J44" s="92" t="s">
        <v>88</v>
      </c>
      <c r="K44" s="86"/>
      <c r="L44" s="86" t="s">
        <v>105</v>
      </c>
      <c r="M44" s="86" t="s">
        <v>79</v>
      </c>
      <c r="N44" s="93">
        <v>20.0</v>
      </c>
      <c r="O44" s="93">
        <v>20.0</v>
      </c>
      <c r="P44" s="93">
        <v>400.0</v>
      </c>
      <c r="Q44" s="94">
        <v>45929.0</v>
      </c>
      <c r="R44" s="83" t="s">
        <v>254</v>
      </c>
      <c r="S44" s="112">
        <v>45923.0</v>
      </c>
      <c r="T44" s="85"/>
      <c r="U44" s="81" t="s">
        <v>144</v>
      </c>
      <c r="V44" s="85"/>
      <c r="W44" s="85"/>
      <c r="X44" s="75"/>
    </row>
    <row r="45" hidden="1">
      <c r="A45" s="64">
        <f t="shared" si="1"/>
        <v>1</v>
      </c>
      <c r="B45" s="98" t="s">
        <v>136</v>
      </c>
      <c r="C45" s="64" t="s">
        <v>341</v>
      </c>
      <c r="D45" s="99">
        <v>45924.0</v>
      </c>
      <c r="E45" s="16" t="s">
        <v>71</v>
      </c>
      <c r="F45" s="100" t="s">
        <v>72</v>
      </c>
      <c r="G45" s="101" t="s">
        <v>287</v>
      </c>
      <c r="H45" s="16" t="s">
        <v>288</v>
      </c>
      <c r="I45" s="16" t="s">
        <v>75</v>
      </c>
      <c r="J45" s="102" t="s">
        <v>88</v>
      </c>
      <c r="K45" s="110" t="s">
        <v>289</v>
      </c>
      <c r="L45" s="16" t="s">
        <v>105</v>
      </c>
      <c r="M45" s="16" t="s">
        <v>79</v>
      </c>
      <c r="N45" s="103">
        <v>20.0</v>
      </c>
      <c r="O45" s="103">
        <v>10.0</v>
      </c>
      <c r="P45" s="103">
        <v>200.0</v>
      </c>
      <c r="Q45" s="94">
        <v>45923.0</v>
      </c>
      <c r="R45" s="72" t="s">
        <v>290</v>
      </c>
      <c r="S45" s="111">
        <v>45924.0</v>
      </c>
      <c r="T45" s="74"/>
      <c r="U45" s="68" t="s">
        <v>144</v>
      </c>
      <c r="V45" s="74"/>
      <c r="W45" s="74"/>
      <c r="X45" s="75"/>
    </row>
    <row r="46" hidden="1">
      <c r="A46" s="76">
        <f t="shared" si="1"/>
        <v>2</v>
      </c>
      <c r="B46" s="88" t="s">
        <v>136</v>
      </c>
      <c r="C46" s="76" t="s">
        <v>342</v>
      </c>
      <c r="D46" s="89">
        <v>45924.0</v>
      </c>
      <c r="E46" s="86" t="s">
        <v>71</v>
      </c>
      <c r="F46" s="90" t="s">
        <v>72</v>
      </c>
      <c r="G46" s="91" t="s">
        <v>343</v>
      </c>
      <c r="H46" s="86" t="s">
        <v>344</v>
      </c>
      <c r="I46" s="86" t="s">
        <v>75</v>
      </c>
      <c r="J46" s="92" t="s">
        <v>140</v>
      </c>
      <c r="K46" s="114" t="s">
        <v>345</v>
      </c>
      <c r="L46" s="86" t="s">
        <v>142</v>
      </c>
      <c r="M46" s="86" t="s">
        <v>79</v>
      </c>
      <c r="N46" s="93">
        <v>40.0</v>
      </c>
      <c r="O46" s="93">
        <v>10.0</v>
      </c>
      <c r="P46" s="93">
        <v>400.0</v>
      </c>
      <c r="Q46" s="94">
        <v>45930.0</v>
      </c>
      <c r="R46" s="83" t="s">
        <v>143</v>
      </c>
      <c r="S46" s="112">
        <v>45924.0</v>
      </c>
      <c r="T46" s="85"/>
      <c r="U46" s="81" t="s">
        <v>144</v>
      </c>
      <c r="V46" s="85"/>
      <c r="W46" s="85"/>
      <c r="X46" s="75"/>
    </row>
    <row r="47" hidden="1">
      <c r="A47" s="64">
        <f t="shared" si="1"/>
        <v>3</v>
      </c>
      <c r="B47" s="98" t="s">
        <v>136</v>
      </c>
      <c r="C47" s="64" t="s">
        <v>346</v>
      </c>
      <c r="D47" s="99">
        <v>45924.0</v>
      </c>
      <c r="E47" s="16" t="s">
        <v>71</v>
      </c>
      <c r="F47" s="100" t="s">
        <v>72</v>
      </c>
      <c r="G47" s="101" t="s">
        <v>347</v>
      </c>
      <c r="H47" s="16" t="s">
        <v>348</v>
      </c>
      <c r="I47" s="16" t="s">
        <v>75</v>
      </c>
      <c r="J47" s="102" t="s">
        <v>88</v>
      </c>
      <c r="K47" s="110" t="s">
        <v>335</v>
      </c>
      <c r="L47" s="16" t="s">
        <v>105</v>
      </c>
      <c r="M47" s="16" t="s">
        <v>79</v>
      </c>
      <c r="N47" s="103">
        <v>20.0</v>
      </c>
      <c r="O47" s="103">
        <v>5.0</v>
      </c>
      <c r="P47" s="103">
        <v>100.0</v>
      </c>
      <c r="Q47" s="94">
        <v>45931.0</v>
      </c>
      <c r="R47" s="72" t="s">
        <v>254</v>
      </c>
      <c r="S47" s="111">
        <v>45924.0</v>
      </c>
      <c r="T47" s="74"/>
      <c r="U47" s="68" t="s">
        <v>144</v>
      </c>
      <c r="V47" s="74"/>
      <c r="W47" s="74"/>
      <c r="X47" s="75"/>
    </row>
    <row r="48" hidden="1">
      <c r="A48" s="76">
        <f t="shared" si="1"/>
        <v>4</v>
      </c>
      <c r="B48" s="88" t="s">
        <v>136</v>
      </c>
      <c r="C48" s="76" t="s">
        <v>349</v>
      </c>
      <c r="D48" s="89">
        <v>45923.0</v>
      </c>
      <c r="E48" s="86"/>
      <c r="F48" s="90" t="s">
        <v>315</v>
      </c>
      <c r="G48" s="91" t="s">
        <v>316</v>
      </c>
      <c r="H48" s="86" t="s">
        <v>317</v>
      </c>
      <c r="I48" s="86" t="s">
        <v>75</v>
      </c>
      <c r="J48" s="92" t="s">
        <v>123</v>
      </c>
      <c r="K48" s="114" t="s">
        <v>350</v>
      </c>
      <c r="L48" s="86" t="s">
        <v>195</v>
      </c>
      <c r="M48" s="86" t="s">
        <v>79</v>
      </c>
      <c r="N48" s="93">
        <v>40.0</v>
      </c>
      <c r="O48" s="93">
        <v>15.0</v>
      </c>
      <c r="P48" s="93">
        <v>600.0</v>
      </c>
      <c r="Q48" s="94">
        <v>45929.0</v>
      </c>
      <c r="R48" s="83" t="s">
        <v>319</v>
      </c>
      <c r="S48" s="112">
        <v>45924.0</v>
      </c>
      <c r="T48" s="85"/>
      <c r="U48" s="81" t="s">
        <v>144</v>
      </c>
      <c r="V48" s="85"/>
      <c r="W48" s="85"/>
      <c r="X48" s="75"/>
    </row>
    <row r="49" hidden="1">
      <c r="A49" s="64">
        <f t="shared" si="1"/>
        <v>1</v>
      </c>
      <c r="B49" s="98" t="s">
        <v>136</v>
      </c>
      <c r="C49" s="64" t="s">
        <v>351</v>
      </c>
      <c r="D49" s="99">
        <v>45916.0</v>
      </c>
      <c r="E49" s="16" t="s">
        <v>71</v>
      </c>
      <c r="F49" s="100" t="s">
        <v>72</v>
      </c>
      <c r="G49" s="101" t="s">
        <v>352</v>
      </c>
      <c r="H49" s="16" t="s">
        <v>353</v>
      </c>
      <c r="I49" s="16" t="s">
        <v>75</v>
      </c>
      <c r="J49" s="102" t="s">
        <v>354</v>
      </c>
      <c r="K49" s="110" t="s">
        <v>355</v>
      </c>
      <c r="L49" s="16" t="s">
        <v>356</v>
      </c>
      <c r="M49" s="16" t="s">
        <v>79</v>
      </c>
      <c r="N49" s="103">
        <v>40.0</v>
      </c>
      <c r="O49" s="103">
        <v>10.0</v>
      </c>
      <c r="P49" s="103">
        <v>400.0</v>
      </c>
      <c r="Q49" s="94">
        <v>45925.0</v>
      </c>
      <c r="R49" s="72" t="s">
        <v>357</v>
      </c>
      <c r="S49" s="111">
        <v>45926.0</v>
      </c>
      <c r="T49" s="74"/>
      <c r="U49" s="68" t="s">
        <v>144</v>
      </c>
      <c r="V49" s="74"/>
      <c r="W49" s="74"/>
      <c r="X49" s="75"/>
    </row>
    <row r="50" hidden="1">
      <c r="A50" s="76">
        <f t="shared" si="1"/>
        <v>2</v>
      </c>
      <c r="B50" s="88" t="s">
        <v>136</v>
      </c>
      <c r="C50" s="76" t="s">
        <v>358</v>
      </c>
      <c r="D50" s="89">
        <v>45919.0</v>
      </c>
      <c r="E50" s="86"/>
      <c r="F50" s="90" t="s">
        <v>315</v>
      </c>
      <c r="G50" s="91" t="s">
        <v>359</v>
      </c>
      <c r="H50" s="86" t="s">
        <v>360</v>
      </c>
      <c r="I50" s="86" t="s">
        <v>75</v>
      </c>
      <c r="J50" s="92" t="s">
        <v>361</v>
      </c>
      <c r="K50" s="114" t="s">
        <v>362</v>
      </c>
      <c r="L50" s="86" t="s">
        <v>183</v>
      </c>
      <c r="M50" s="86" t="s">
        <v>79</v>
      </c>
      <c r="N50" s="93">
        <v>20.0</v>
      </c>
      <c r="O50" s="93">
        <v>15.0</v>
      </c>
      <c r="P50" s="93">
        <v>300.0</v>
      </c>
      <c r="Q50" s="94">
        <v>45923.0</v>
      </c>
      <c r="R50" s="83" t="s">
        <v>363</v>
      </c>
      <c r="S50" s="112">
        <v>45926.0</v>
      </c>
      <c r="T50" s="85"/>
      <c r="U50" s="81" t="s">
        <v>144</v>
      </c>
      <c r="V50" s="85"/>
      <c r="W50" s="85"/>
      <c r="X50" s="75"/>
    </row>
    <row r="51" hidden="1">
      <c r="A51" s="64">
        <f t="shared" si="1"/>
        <v>3</v>
      </c>
      <c r="B51" s="98" t="s">
        <v>136</v>
      </c>
      <c r="C51" s="64" t="s">
        <v>341</v>
      </c>
      <c r="D51" s="99">
        <v>45924.0</v>
      </c>
      <c r="E51" s="16" t="s">
        <v>71</v>
      </c>
      <c r="F51" s="100" t="s">
        <v>72</v>
      </c>
      <c r="G51" s="101" t="s">
        <v>287</v>
      </c>
      <c r="H51" s="16" t="s">
        <v>288</v>
      </c>
      <c r="I51" s="16" t="s">
        <v>75</v>
      </c>
      <c r="J51" s="102" t="s">
        <v>88</v>
      </c>
      <c r="K51" s="110" t="s">
        <v>289</v>
      </c>
      <c r="L51" s="16" t="s">
        <v>105</v>
      </c>
      <c r="M51" s="16" t="s">
        <v>79</v>
      </c>
      <c r="N51" s="103">
        <v>20.0</v>
      </c>
      <c r="O51" s="103">
        <v>10.0</v>
      </c>
      <c r="P51" s="103">
        <v>200.0</v>
      </c>
      <c r="Q51" s="94">
        <v>45923.0</v>
      </c>
      <c r="R51" s="72" t="s">
        <v>290</v>
      </c>
      <c r="S51" s="111">
        <v>45926.0</v>
      </c>
      <c r="T51" s="74"/>
      <c r="U51" s="68" t="s">
        <v>144</v>
      </c>
      <c r="V51" s="74"/>
      <c r="W51" s="74"/>
      <c r="X51" s="75"/>
    </row>
    <row r="52" hidden="1">
      <c r="A52" s="76">
        <f t="shared" si="1"/>
        <v>4</v>
      </c>
      <c r="B52" s="88" t="s">
        <v>136</v>
      </c>
      <c r="C52" s="76" t="s">
        <v>342</v>
      </c>
      <c r="D52" s="89">
        <v>45924.0</v>
      </c>
      <c r="E52" s="86" t="s">
        <v>71</v>
      </c>
      <c r="F52" s="90" t="s">
        <v>72</v>
      </c>
      <c r="G52" s="91" t="s">
        <v>343</v>
      </c>
      <c r="H52" s="86" t="s">
        <v>344</v>
      </c>
      <c r="I52" s="86" t="s">
        <v>75</v>
      </c>
      <c r="J52" s="92" t="s">
        <v>140</v>
      </c>
      <c r="K52" s="114" t="s">
        <v>345</v>
      </c>
      <c r="L52" s="86" t="s">
        <v>142</v>
      </c>
      <c r="M52" s="86" t="s">
        <v>79</v>
      </c>
      <c r="N52" s="93">
        <v>40.0</v>
      </c>
      <c r="O52" s="93">
        <v>10.0</v>
      </c>
      <c r="P52" s="93">
        <v>400.0</v>
      </c>
      <c r="Q52" s="94">
        <v>45930.0</v>
      </c>
      <c r="R52" s="83" t="s">
        <v>143</v>
      </c>
      <c r="S52" s="112">
        <v>45926.0</v>
      </c>
      <c r="T52" s="85"/>
      <c r="U52" s="81" t="s">
        <v>144</v>
      </c>
      <c r="V52" s="85"/>
      <c r="W52" s="85"/>
      <c r="X52" s="75"/>
    </row>
    <row r="53" hidden="1">
      <c r="A53" s="64">
        <f t="shared" si="1"/>
        <v>5</v>
      </c>
      <c r="B53" s="98" t="s">
        <v>136</v>
      </c>
      <c r="C53" s="64" t="s">
        <v>346</v>
      </c>
      <c r="D53" s="99">
        <v>45924.0</v>
      </c>
      <c r="E53" s="16" t="s">
        <v>71</v>
      </c>
      <c r="F53" s="100" t="s">
        <v>72</v>
      </c>
      <c r="G53" s="101" t="s">
        <v>347</v>
      </c>
      <c r="H53" s="16" t="s">
        <v>348</v>
      </c>
      <c r="I53" s="16" t="s">
        <v>75</v>
      </c>
      <c r="J53" s="102" t="s">
        <v>88</v>
      </c>
      <c r="K53" s="110" t="s">
        <v>335</v>
      </c>
      <c r="L53" s="16" t="s">
        <v>105</v>
      </c>
      <c r="M53" s="16" t="s">
        <v>79</v>
      </c>
      <c r="N53" s="103">
        <v>20.0</v>
      </c>
      <c r="O53" s="103">
        <v>5.0</v>
      </c>
      <c r="P53" s="103">
        <v>100.0</v>
      </c>
      <c r="Q53" s="94">
        <v>45931.0</v>
      </c>
      <c r="R53" s="72" t="s">
        <v>254</v>
      </c>
      <c r="S53" s="111">
        <v>45926.0</v>
      </c>
      <c r="T53" s="74"/>
      <c r="U53" s="68" t="s">
        <v>144</v>
      </c>
      <c r="V53" s="74"/>
      <c r="W53" s="74"/>
      <c r="X53" s="75"/>
    </row>
    <row r="54" hidden="1">
      <c r="A54" s="76">
        <f t="shared" si="1"/>
        <v>6</v>
      </c>
      <c r="B54" s="88" t="s">
        <v>136</v>
      </c>
      <c r="C54" s="76" t="s">
        <v>364</v>
      </c>
      <c r="D54" s="89">
        <v>45924.0</v>
      </c>
      <c r="E54" s="86" t="s">
        <v>161</v>
      </c>
      <c r="F54" s="90" t="s">
        <v>72</v>
      </c>
      <c r="G54" s="91" t="s">
        <v>365</v>
      </c>
      <c r="H54" s="86" t="s">
        <v>366</v>
      </c>
      <c r="I54" s="86" t="s">
        <v>75</v>
      </c>
      <c r="J54" s="92" t="s">
        <v>88</v>
      </c>
      <c r="K54" s="114" t="s">
        <v>367</v>
      </c>
      <c r="L54" s="86" t="s">
        <v>90</v>
      </c>
      <c r="M54" s="86" t="s">
        <v>79</v>
      </c>
      <c r="N54" s="93">
        <v>30.0</v>
      </c>
      <c r="O54" s="93">
        <v>20.0</v>
      </c>
      <c r="P54" s="93">
        <v>600.0</v>
      </c>
      <c r="Q54" s="94">
        <v>45936.0</v>
      </c>
      <c r="R54" s="83" t="s">
        <v>313</v>
      </c>
      <c r="S54" s="112">
        <v>45926.0</v>
      </c>
      <c r="T54" s="85"/>
      <c r="U54" s="81" t="s">
        <v>144</v>
      </c>
      <c r="V54" s="85"/>
      <c r="W54" s="85"/>
      <c r="X54" s="75"/>
    </row>
    <row r="55" hidden="1">
      <c r="A55" s="64">
        <f t="shared" si="1"/>
        <v>7</v>
      </c>
      <c r="B55" s="98" t="s">
        <v>136</v>
      </c>
      <c r="C55" s="64" t="s">
        <v>368</v>
      </c>
      <c r="D55" s="99">
        <v>45925.0</v>
      </c>
      <c r="E55" s="16"/>
      <c r="F55" s="100" t="s">
        <v>315</v>
      </c>
      <c r="G55" s="101" t="s">
        <v>316</v>
      </c>
      <c r="H55" s="16" t="s">
        <v>317</v>
      </c>
      <c r="I55" s="16" t="s">
        <v>75</v>
      </c>
      <c r="J55" s="102" t="s">
        <v>123</v>
      </c>
      <c r="K55" s="110" t="s">
        <v>318</v>
      </c>
      <c r="L55" s="16" t="s">
        <v>195</v>
      </c>
      <c r="M55" s="16" t="s">
        <v>79</v>
      </c>
      <c r="N55" s="103">
        <v>40.0</v>
      </c>
      <c r="O55" s="103">
        <v>15.0</v>
      </c>
      <c r="P55" s="103">
        <v>600.0</v>
      </c>
      <c r="Q55" s="94">
        <v>45931.0</v>
      </c>
      <c r="R55" s="72" t="s">
        <v>319</v>
      </c>
      <c r="S55" s="111">
        <v>45926.0</v>
      </c>
      <c r="T55" s="74"/>
      <c r="U55" s="68" t="s">
        <v>144</v>
      </c>
      <c r="V55" s="74"/>
      <c r="W55" s="74"/>
      <c r="X55" s="75"/>
    </row>
    <row r="56" hidden="1">
      <c r="A56" s="76">
        <f t="shared" si="1"/>
        <v>8</v>
      </c>
      <c r="B56" s="88" t="s">
        <v>136</v>
      </c>
      <c r="C56" s="76" t="s">
        <v>369</v>
      </c>
      <c r="D56" s="89">
        <v>45924.0</v>
      </c>
      <c r="E56" s="86"/>
      <c r="F56" s="90" t="s">
        <v>370</v>
      </c>
      <c r="G56" s="91" t="s">
        <v>371</v>
      </c>
      <c r="H56" s="86" t="s">
        <v>372</v>
      </c>
      <c r="I56" s="86" t="s">
        <v>75</v>
      </c>
      <c r="J56" s="92" t="s">
        <v>129</v>
      </c>
      <c r="K56" s="86"/>
      <c r="L56" s="86" t="s">
        <v>216</v>
      </c>
      <c r="M56" s="86" t="s">
        <v>79</v>
      </c>
      <c r="N56" s="93">
        <v>20.0</v>
      </c>
      <c r="O56" s="93">
        <v>10.0</v>
      </c>
      <c r="P56" s="93">
        <v>200.0</v>
      </c>
      <c r="Q56" s="94">
        <v>45931.0</v>
      </c>
      <c r="R56" s="83" t="s">
        <v>373</v>
      </c>
      <c r="S56" s="112">
        <v>45926.0</v>
      </c>
      <c r="T56" s="85"/>
      <c r="U56" s="81" t="s">
        <v>144</v>
      </c>
      <c r="V56" s="85"/>
      <c r="W56" s="85"/>
      <c r="X56" s="75"/>
    </row>
    <row r="57" hidden="1">
      <c r="A57" s="64">
        <f t="shared" si="1"/>
        <v>9</v>
      </c>
      <c r="B57" s="98" t="s">
        <v>136</v>
      </c>
      <c r="C57" s="64" t="s">
        <v>374</v>
      </c>
      <c r="D57" s="99">
        <v>45925.0</v>
      </c>
      <c r="E57" s="16" t="s">
        <v>71</v>
      </c>
      <c r="F57" s="100" t="s">
        <v>72</v>
      </c>
      <c r="G57" s="101" t="s">
        <v>375</v>
      </c>
      <c r="H57" s="16" t="s">
        <v>376</v>
      </c>
      <c r="I57" s="16" t="s">
        <v>75</v>
      </c>
      <c r="J57" s="102" t="s">
        <v>88</v>
      </c>
      <c r="K57" s="110" t="s">
        <v>377</v>
      </c>
      <c r="L57" s="16" t="s">
        <v>105</v>
      </c>
      <c r="M57" s="16" t="s">
        <v>79</v>
      </c>
      <c r="N57" s="103">
        <v>20.0</v>
      </c>
      <c r="O57" s="103">
        <v>10.0</v>
      </c>
      <c r="P57" s="103">
        <v>200.0</v>
      </c>
      <c r="Q57" s="94">
        <v>45932.0</v>
      </c>
      <c r="R57" s="72" t="s">
        <v>290</v>
      </c>
      <c r="S57" s="111">
        <v>45926.0</v>
      </c>
      <c r="T57" s="74"/>
      <c r="U57" s="68" t="s">
        <v>144</v>
      </c>
      <c r="V57" s="74"/>
      <c r="W57" s="74"/>
      <c r="X57" s="75"/>
    </row>
    <row r="58" hidden="1">
      <c r="A58" s="76">
        <f t="shared" si="1"/>
        <v>10</v>
      </c>
      <c r="B58" s="88" t="s">
        <v>136</v>
      </c>
      <c r="C58" s="76" t="s">
        <v>378</v>
      </c>
      <c r="D58" s="89">
        <v>45925.0</v>
      </c>
      <c r="E58" s="86" t="s">
        <v>71</v>
      </c>
      <c r="F58" s="90" t="s">
        <v>72</v>
      </c>
      <c r="G58" s="91" t="s">
        <v>379</v>
      </c>
      <c r="H58" s="86" t="s">
        <v>380</v>
      </c>
      <c r="I58" s="86" t="s">
        <v>75</v>
      </c>
      <c r="J58" s="92" t="s">
        <v>181</v>
      </c>
      <c r="K58" s="114" t="s">
        <v>182</v>
      </c>
      <c r="L58" s="86" t="s">
        <v>183</v>
      </c>
      <c r="M58" s="86" t="s">
        <v>79</v>
      </c>
      <c r="N58" s="93">
        <v>40.0</v>
      </c>
      <c r="O58" s="93">
        <v>10.0</v>
      </c>
      <c r="P58" s="93">
        <v>400.0</v>
      </c>
      <c r="Q58" s="94">
        <v>45931.0</v>
      </c>
      <c r="R58" s="83" t="s">
        <v>184</v>
      </c>
      <c r="S58" s="112">
        <v>45926.0</v>
      </c>
      <c r="T58" s="85"/>
      <c r="U58" s="81" t="s">
        <v>144</v>
      </c>
      <c r="V58" s="85"/>
      <c r="W58" s="85"/>
      <c r="X58" s="75"/>
    </row>
    <row r="59" hidden="1">
      <c r="A59" s="64">
        <f t="shared" si="1"/>
        <v>11</v>
      </c>
      <c r="B59" s="98" t="s">
        <v>136</v>
      </c>
      <c r="C59" s="64" t="s">
        <v>381</v>
      </c>
      <c r="D59" s="99">
        <v>45926.0</v>
      </c>
      <c r="E59" s="16" t="s">
        <v>71</v>
      </c>
      <c r="F59" s="100" t="s">
        <v>72</v>
      </c>
      <c r="G59" s="101" t="s">
        <v>382</v>
      </c>
      <c r="H59" s="16" t="s">
        <v>383</v>
      </c>
      <c r="I59" s="16" t="s">
        <v>75</v>
      </c>
      <c r="J59" s="102" t="s">
        <v>209</v>
      </c>
      <c r="K59" s="110" t="s">
        <v>384</v>
      </c>
      <c r="L59" s="16" t="s">
        <v>385</v>
      </c>
      <c r="M59" s="16" t="s">
        <v>79</v>
      </c>
      <c r="N59" s="103">
        <v>40.0</v>
      </c>
      <c r="O59" s="103">
        <v>10.0</v>
      </c>
      <c r="P59" s="103">
        <v>400.0</v>
      </c>
      <c r="Q59" s="94">
        <v>45936.0</v>
      </c>
      <c r="R59" s="72" t="s">
        <v>386</v>
      </c>
      <c r="S59" s="111">
        <v>45926.0</v>
      </c>
      <c r="T59" s="74"/>
      <c r="U59" s="68" t="s">
        <v>144</v>
      </c>
      <c r="V59" s="74"/>
      <c r="W59" s="74"/>
      <c r="X59" s="75"/>
    </row>
    <row r="60" hidden="1">
      <c r="A60" s="76">
        <f t="shared" si="1"/>
        <v>12</v>
      </c>
      <c r="B60" s="88" t="s">
        <v>136</v>
      </c>
      <c r="C60" s="76" t="s">
        <v>387</v>
      </c>
      <c r="D60" s="89">
        <v>45926.0</v>
      </c>
      <c r="E60" s="86" t="s">
        <v>71</v>
      </c>
      <c r="F60" s="90" t="s">
        <v>72</v>
      </c>
      <c r="G60" s="91" t="s">
        <v>388</v>
      </c>
      <c r="H60" s="86" t="s">
        <v>389</v>
      </c>
      <c r="I60" s="86" t="s">
        <v>75</v>
      </c>
      <c r="J60" s="92" t="s">
        <v>181</v>
      </c>
      <c r="K60" s="114" t="s">
        <v>182</v>
      </c>
      <c r="L60" s="86" t="s">
        <v>125</v>
      </c>
      <c r="M60" s="86" t="s">
        <v>79</v>
      </c>
      <c r="N60" s="93">
        <v>40.0</v>
      </c>
      <c r="O60" s="93">
        <v>10.0</v>
      </c>
      <c r="P60" s="93">
        <v>400.0</v>
      </c>
      <c r="Q60" s="94">
        <v>45931.0</v>
      </c>
      <c r="R60" s="83" t="s">
        <v>184</v>
      </c>
      <c r="S60" s="112">
        <v>45926.0</v>
      </c>
      <c r="T60" s="85"/>
      <c r="U60" s="81" t="s">
        <v>144</v>
      </c>
      <c r="V60" s="85"/>
      <c r="W60" s="85"/>
      <c r="X60" s="75"/>
    </row>
    <row r="61" hidden="1">
      <c r="A61" s="64">
        <f t="shared" si="1"/>
        <v>13</v>
      </c>
      <c r="B61" s="98" t="s">
        <v>136</v>
      </c>
      <c r="C61" s="64" t="s">
        <v>390</v>
      </c>
      <c r="D61" s="99">
        <v>45926.0</v>
      </c>
      <c r="E61" s="16"/>
      <c r="F61" s="100" t="s">
        <v>315</v>
      </c>
      <c r="G61" s="101" t="s">
        <v>359</v>
      </c>
      <c r="H61" s="16" t="s">
        <v>360</v>
      </c>
      <c r="I61" s="16" t="s">
        <v>75</v>
      </c>
      <c r="J61" s="102" t="s">
        <v>361</v>
      </c>
      <c r="K61" s="110" t="s">
        <v>362</v>
      </c>
      <c r="L61" s="16" t="s">
        <v>183</v>
      </c>
      <c r="M61" s="16" t="s">
        <v>79</v>
      </c>
      <c r="N61" s="103">
        <v>20.0</v>
      </c>
      <c r="O61" s="103">
        <v>10.0</v>
      </c>
      <c r="P61" s="103">
        <v>200.0</v>
      </c>
      <c r="Q61" s="94">
        <v>45936.0</v>
      </c>
      <c r="R61" s="72" t="s">
        <v>363</v>
      </c>
      <c r="S61" s="111">
        <v>45926.0</v>
      </c>
      <c r="T61" s="74"/>
      <c r="U61" s="68" t="s">
        <v>144</v>
      </c>
      <c r="V61" s="74"/>
      <c r="W61" s="74"/>
      <c r="X61" s="75"/>
    </row>
    <row r="62" hidden="1">
      <c r="A62" s="76">
        <f t="shared" si="1"/>
        <v>1</v>
      </c>
      <c r="B62" s="88" t="s">
        <v>136</v>
      </c>
      <c r="C62" s="76" t="s">
        <v>364</v>
      </c>
      <c r="D62" s="89">
        <v>45924.0</v>
      </c>
      <c r="E62" s="86" t="s">
        <v>161</v>
      </c>
      <c r="F62" s="90" t="s">
        <v>72</v>
      </c>
      <c r="G62" s="91" t="s">
        <v>365</v>
      </c>
      <c r="H62" s="86" t="s">
        <v>366</v>
      </c>
      <c r="I62" s="86" t="s">
        <v>75</v>
      </c>
      <c r="J62" s="92" t="s">
        <v>88</v>
      </c>
      <c r="K62" s="114" t="s">
        <v>367</v>
      </c>
      <c r="L62" s="86" t="s">
        <v>90</v>
      </c>
      <c r="M62" s="86" t="s">
        <v>79</v>
      </c>
      <c r="N62" s="93">
        <v>30.0</v>
      </c>
      <c r="O62" s="93">
        <v>20.0</v>
      </c>
      <c r="P62" s="93">
        <v>600.0</v>
      </c>
      <c r="Q62" s="94">
        <v>45936.0</v>
      </c>
      <c r="R62" s="83" t="s">
        <v>313</v>
      </c>
      <c r="S62" s="112">
        <v>45925.0</v>
      </c>
      <c r="T62" s="85"/>
      <c r="U62" s="81" t="s">
        <v>144</v>
      </c>
      <c r="V62" s="85"/>
      <c r="W62" s="85"/>
      <c r="X62" s="75"/>
    </row>
    <row r="63" hidden="1">
      <c r="A63" s="64">
        <f t="shared" si="1"/>
        <v>2</v>
      </c>
      <c r="B63" s="98" t="s">
        <v>136</v>
      </c>
      <c r="C63" s="64" t="s">
        <v>368</v>
      </c>
      <c r="D63" s="99">
        <v>45925.0</v>
      </c>
      <c r="E63" s="16"/>
      <c r="F63" s="100" t="s">
        <v>315</v>
      </c>
      <c r="G63" s="101" t="s">
        <v>316</v>
      </c>
      <c r="H63" s="16" t="s">
        <v>317</v>
      </c>
      <c r="I63" s="16" t="s">
        <v>75</v>
      </c>
      <c r="J63" s="102" t="s">
        <v>123</v>
      </c>
      <c r="K63" s="110" t="s">
        <v>318</v>
      </c>
      <c r="L63" s="16" t="s">
        <v>195</v>
      </c>
      <c r="M63" s="16" t="s">
        <v>79</v>
      </c>
      <c r="N63" s="103">
        <v>40.0</v>
      </c>
      <c r="O63" s="103">
        <v>15.0</v>
      </c>
      <c r="P63" s="103">
        <v>600.0</v>
      </c>
      <c r="Q63" s="94">
        <v>45931.0</v>
      </c>
      <c r="R63" s="72" t="s">
        <v>319</v>
      </c>
      <c r="S63" s="111">
        <v>45925.0</v>
      </c>
      <c r="T63" s="74"/>
      <c r="U63" s="68" t="s">
        <v>144</v>
      </c>
      <c r="V63" s="74"/>
      <c r="W63" s="74"/>
      <c r="X63" s="75"/>
    </row>
    <row r="64" hidden="1">
      <c r="A64" s="76">
        <f t="shared" si="1"/>
        <v>3</v>
      </c>
      <c r="B64" s="88" t="s">
        <v>136</v>
      </c>
      <c r="C64" s="76" t="s">
        <v>374</v>
      </c>
      <c r="D64" s="89">
        <v>45925.0</v>
      </c>
      <c r="E64" s="86" t="s">
        <v>71</v>
      </c>
      <c r="F64" s="90" t="s">
        <v>72</v>
      </c>
      <c r="G64" s="91" t="s">
        <v>375</v>
      </c>
      <c r="H64" s="86" t="s">
        <v>376</v>
      </c>
      <c r="I64" s="86" t="s">
        <v>75</v>
      </c>
      <c r="J64" s="92" t="s">
        <v>88</v>
      </c>
      <c r="K64" s="114" t="s">
        <v>377</v>
      </c>
      <c r="L64" s="86" t="s">
        <v>105</v>
      </c>
      <c r="M64" s="86" t="s">
        <v>79</v>
      </c>
      <c r="N64" s="93">
        <v>20.0</v>
      </c>
      <c r="O64" s="93">
        <v>10.0</v>
      </c>
      <c r="P64" s="93">
        <v>200.0</v>
      </c>
      <c r="Q64" s="94">
        <v>45932.0</v>
      </c>
      <c r="R64" s="83" t="s">
        <v>290</v>
      </c>
      <c r="S64" s="112">
        <v>45925.0</v>
      </c>
      <c r="T64" s="85"/>
      <c r="U64" s="81" t="s">
        <v>144</v>
      </c>
      <c r="V64" s="85"/>
      <c r="W64" s="85"/>
      <c r="X64" s="75"/>
    </row>
    <row r="65" hidden="1">
      <c r="A65" s="66">
        <v>1.0</v>
      </c>
      <c r="B65" s="98" t="s">
        <v>136</v>
      </c>
      <c r="C65" s="64" t="s">
        <v>351</v>
      </c>
      <c r="D65" s="99">
        <v>45916.0</v>
      </c>
      <c r="E65" s="16" t="s">
        <v>71</v>
      </c>
      <c r="F65" s="100" t="s">
        <v>72</v>
      </c>
      <c r="G65" s="101" t="s">
        <v>352</v>
      </c>
      <c r="H65" s="16" t="s">
        <v>353</v>
      </c>
      <c r="I65" s="16" t="s">
        <v>75</v>
      </c>
      <c r="J65" s="102" t="s">
        <v>354</v>
      </c>
      <c r="K65" s="110" t="s">
        <v>355</v>
      </c>
      <c r="L65" s="16" t="s">
        <v>356</v>
      </c>
      <c r="M65" s="16" t="s">
        <v>79</v>
      </c>
      <c r="N65" s="103">
        <v>40.0</v>
      </c>
      <c r="O65" s="103">
        <v>10.0</v>
      </c>
      <c r="P65" s="103">
        <v>400.0</v>
      </c>
      <c r="Q65" s="94">
        <v>45925.0</v>
      </c>
      <c r="R65" s="72" t="s">
        <v>357</v>
      </c>
      <c r="S65" s="111">
        <v>45926.0</v>
      </c>
      <c r="T65" s="16" t="s">
        <v>391</v>
      </c>
      <c r="U65" s="68" t="s">
        <v>144</v>
      </c>
      <c r="V65" s="16"/>
      <c r="W65" s="16"/>
      <c r="X65" s="116"/>
    </row>
    <row r="66" hidden="1">
      <c r="A66" s="78">
        <v>2.0</v>
      </c>
      <c r="B66" s="88" t="s">
        <v>136</v>
      </c>
      <c r="C66" s="76" t="s">
        <v>358</v>
      </c>
      <c r="D66" s="89">
        <v>45919.0</v>
      </c>
      <c r="E66" s="86"/>
      <c r="F66" s="90" t="s">
        <v>315</v>
      </c>
      <c r="G66" s="91" t="s">
        <v>359</v>
      </c>
      <c r="H66" s="86" t="s">
        <v>360</v>
      </c>
      <c r="I66" s="86" t="s">
        <v>75</v>
      </c>
      <c r="J66" s="92" t="s">
        <v>361</v>
      </c>
      <c r="K66" s="114" t="s">
        <v>362</v>
      </c>
      <c r="L66" s="86" t="s">
        <v>183</v>
      </c>
      <c r="M66" s="86" t="s">
        <v>79</v>
      </c>
      <c r="N66" s="93">
        <v>20.0</v>
      </c>
      <c r="O66" s="93">
        <v>15.0</v>
      </c>
      <c r="P66" s="93">
        <v>300.0</v>
      </c>
      <c r="Q66" s="94">
        <v>45923.0</v>
      </c>
      <c r="R66" s="83" t="s">
        <v>363</v>
      </c>
      <c r="S66" s="112">
        <v>45926.0</v>
      </c>
      <c r="T66" s="86" t="s">
        <v>392</v>
      </c>
      <c r="U66" s="81" t="s">
        <v>144</v>
      </c>
      <c r="V66" s="86"/>
      <c r="W66" s="86"/>
      <c r="X66" s="116"/>
    </row>
    <row r="67" hidden="1">
      <c r="A67" s="66">
        <v>3.0</v>
      </c>
      <c r="B67" s="98" t="s">
        <v>136</v>
      </c>
      <c r="C67" s="64" t="s">
        <v>378</v>
      </c>
      <c r="D67" s="99">
        <v>45925.0</v>
      </c>
      <c r="E67" s="16" t="s">
        <v>71</v>
      </c>
      <c r="F67" s="100" t="s">
        <v>72</v>
      </c>
      <c r="G67" s="101" t="s">
        <v>379</v>
      </c>
      <c r="H67" s="16" t="s">
        <v>380</v>
      </c>
      <c r="I67" s="16" t="s">
        <v>75</v>
      </c>
      <c r="J67" s="102" t="s">
        <v>181</v>
      </c>
      <c r="K67" s="110" t="s">
        <v>182</v>
      </c>
      <c r="L67" s="16" t="s">
        <v>183</v>
      </c>
      <c r="M67" s="16" t="s">
        <v>79</v>
      </c>
      <c r="N67" s="103">
        <v>40.0</v>
      </c>
      <c r="O67" s="103">
        <v>10.0</v>
      </c>
      <c r="P67" s="103">
        <v>400.0</v>
      </c>
      <c r="Q67" s="94">
        <v>45931.0</v>
      </c>
      <c r="R67" s="72" t="s">
        <v>184</v>
      </c>
      <c r="S67" s="111">
        <v>45926.0</v>
      </c>
      <c r="T67" s="16" t="s">
        <v>393</v>
      </c>
      <c r="U67" s="68" t="s">
        <v>144</v>
      </c>
      <c r="V67" s="16"/>
      <c r="W67" s="16"/>
      <c r="X67" s="116"/>
    </row>
    <row r="68" hidden="1">
      <c r="A68" s="78">
        <v>4.0</v>
      </c>
      <c r="B68" s="88" t="s">
        <v>136</v>
      </c>
      <c r="C68" s="76" t="s">
        <v>381</v>
      </c>
      <c r="D68" s="89">
        <v>45926.0</v>
      </c>
      <c r="E68" s="86" t="s">
        <v>71</v>
      </c>
      <c r="F68" s="90" t="s">
        <v>72</v>
      </c>
      <c r="G68" s="91" t="s">
        <v>382</v>
      </c>
      <c r="H68" s="86" t="s">
        <v>383</v>
      </c>
      <c r="I68" s="86" t="s">
        <v>75</v>
      </c>
      <c r="J68" s="92" t="s">
        <v>209</v>
      </c>
      <c r="K68" s="114" t="s">
        <v>384</v>
      </c>
      <c r="L68" s="86" t="s">
        <v>385</v>
      </c>
      <c r="M68" s="86" t="s">
        <v>79</v>
      </c>
      <c r="N68" s="93">
        <v>40.0</v>
      </c>
      <c r="O68" s="93">
        <v>10.0</v>
      </c>
      <c r="P68" s="93">
        <v>400.0</v>
      </c>
      <c r="Q68" s="94">
        <v>45936.0</v>
      </c>
      <c r="R68" s="83" t="s">
        <v>386</v>
      </c>
      <c r="S68" s="112">
        <v>45926.0</v>
      </c>
      <c r="T68" s="86" t="s">
        <v>394</v>
      </c>
      <c r="U68" s="81" t="s">
        <v>144</v>
      </c>
      <c r="V68" s="86"/>
      <c r="W68" s="117">
        <v>45930.0</v>
      </c>
      <c r="X68" s="118" t="s">
        <v>395</v>
      </c>
    </row>
    <row r="69" hidden="1">
      <c r="A69" s="66">
        <v>5.0</v>
      </c>
      <c r="B69" s="98" t="s">
        <v>136</v>
      </c>
      <c r="C69" s="64" t="s">
        <v>387</v>
      </c>
      <c r="D69" s="99">
        <v>45926.0</v>
      </c>
      <c r="E69" s="16" t="s">
        <v>71</v>
      </c>
      <c r="F69" s="100" t="s">
        <v>72</v>
      </c>
      <c r="G69" s="101" t="s">
        <v>388</v>
      </c>
      <c r="H69" s="16" t="s">
        <v>389</v>
      </c>
      <c r="I69" s="16" t="s">
        <v>75</v>
      </c>
      <c r="J69" s="102" t="s">
        <v>181</v>
      </c>
      <c r="K69" s="110" t="s">
        <v>182</v>
      </c>
      <c r="L69" s="16" t="s">
        <v>125</v>
      </c>
      <c r="M69" s="16" t="s">
        <v>79</v>
      </c>
      <c r="N69" s="103">
        <v>40.0</v>
      </c>
      <c r="O69" s="103">
        <v>10.0</v>
      </c>
      <c r="P69" s="103">
        <v>400.0</v>
      </c>
      <c r="Q69" s="94">
        <v>45931.0</v>
      </c>
      <c r="R69" s="72" t="s">
        <v>184</v>
      </c>
      <c r="S69" s="111">
        <v>45926.0</v>
      </c>
      <c r="T69" s="16" t="s">
        <v>396</v>
      </c>
      <c r="U69" s="68" t="s">
        <v>144</v>
      </c>
      <c r="V69" s="16"/>
      <c r="W69" s="105">
        <v>45930.0</v>
      </c>
      <c r="X69" s="118" t="s">
        <v>395</v>
      </c>
    </row>
    <row r="70" hidden="1">
      <c r="A70" s="78">
        <v>6.0</v>
      </c>
      <c r="B70" s="88" t="s">
        <v>136</v>
      </c>
      <c r="C70" s="76" t="s">
        <v>390</v>
      </c>
      <c r="D70" s="89">
        <v>45926.0</v>
      </c>
      <c r="E70" s="86"/>
      <c r="F70" s="90" t="s">
        <v>315</v>
      </c>
      <c r="G70" s="91" t="s">
        <v>359</v>
      </c>
      <c r="H70" s="86" t="s">
        <v>360</v>
      </c>
      <c r="I70" s="86" t="s">
        <v>75</v>
      </c>
      <c r="J70" s="92" t="s">
        <v>361</v>
      </c>
      <c r="K70" s="114" t="s">
        <v>362</v>
      </c>
      <c r="L70" s="86" t="s">
        <v>183</v>
      </c>
      <c r="M70" s="86" t="s">
        <v>79</v>
      </c>
      <c r="N70" s="93">
        <v>20.0</v>
      </c>
      <c r="O70" s="93">
        <v>10.0</v>
      </c>
      <c r="P70" s="93">
        <v>200.0</v>
      </c>
      <c r="Q70" s="94">
        <v>45936.0</v>
      </c>
      <c r="R70" s="83" t="s">
        <v>363</v>
      </c>
      <c r="S70" s="112">
        <v>45926.0</v>
      </c>
      <c r="T70" s="86" t="s">
        <v>397</v>
      </c>
      <c r="U70" s="81" t="s">
        <v>144</v>
      </c>
      <c r="V70" s="86"/>
      <c r="W70" s="117">
        <v>45930.0</v>
      </c>
      <c r="X70" s="118" t="s">
        <v>395</v>
      </c>
    </row>
    <row r="71" hidden="1">
      <c r="A71" s="64">
        <f t="shared" ref="A71:A996" si="2">COUNTIF($S$7:S71,S71)</f>
        <v>1</v>
      </c>
      <c r="B71" s="98" t="s">
        <v>136</v>
      </c>
      <c r="C71" s="64" t="s">
        <v>398</v>
      </c>
      <c r="D71" s="99">
        <v>45917.0</v>
      </c>
      <c r="E71" s="16" t="s">
        <v>161</v>
      </c>
      <c r="F71" s="100" t="s">
        <v>72</v>
      </c>
      <c r="G71" s="101" t="s">
        <v>399</v>
      </c>
      <c r="H71" s="16" t="s">
        <v>400</v>
      </c>
      <c r="I71" s="16" t="s">
        <v>75</v>
      </c>
      <c r="J71" s="102" t="s">
        <v>164</v>
      </c>
      <c r="K71" s="110" t="s">
        <v>401</v>
      </c>
      <c r="L71" s="16" t="s">
        <v>105</v>
      </c>
      <c r="M71" s="16" t="s">
        <v>79</v>
      </c>
      <c r="N71" s="103">
        <v>40.0</v>
      </c>
      <c r="O71" s="103">
        <v>10.0</v>
      </c>
      <c r="P71" s="103">
        <v>400.0</v>
      </c>
      <c r="Q71" s="94">
        <v>45926.0</v>
      </c>
      <c r="R71" s="72" t="s">
        <v>402</v>
      </c>
      <c r="S71" s="111">
        <v>45929.0</v>
      </c>
      <c r="T71" s="16" t="s">
        <v>403</v>
      </c>
      <c r="U71" s="68" t="s">
        <v>144</v>
      </c>
      <c r="V71" s="16"/>
      <c r="W71" s="105">
        <v>45930.0</v>
      </c>
      <c r="X71" s="118" t="s">
        <v>395</v>
      </c>
    </row>
    <row r="72" hidden="1">
      <c r="A72" s="76">
        <f t="shared" si="2"/>
        <v>2</v>
      </c>
      <c r="B72" s="88" t="s">
        <v>136</v>
      </c>
      <c r="C72" s="76" t="s">
        <v>404</v>
      </c>
      <c r="D72" s="89">
        <v>45926.0</v>
      </c>
      <c r="E72" s="86"/>
      <c r="F72" s="90" t="s">
        <v>93</v>
      </c>
      <c r="G72" s="91" t="s">
        <v>405</v>
      </c>
      <c r="H72" s="86" t="s">
        <v>406</v>
      </c>
      <c r="I72" s="86" t="s">
        <v>75</v>
      </c>
      <c r="J72" s="92" t="s">
        <v>88</v>
      </c>
      <c r="K72" s="86"/>
      <c r="L72" s="86" t="s">
        <v>105</v>
      </c>
      <c r="M72" s="86" t="s">
        <v>79</v>
      </c>
      <c r="N72" s="93">
        <v>20.0</v>
      </c>
      <c r="O72" s="93">
        <v>30.0</v>
      </c>
      <c r="P72" s="93">
        <v>600.0</v>
      </c>
      <c r="Q72" s="94">
        <v>45929.0</v>
      </c>
      <c r="R72" s="83" t="s">
        <v>254</v>
      </c>
      <c r="S72" s="112">
        <v>45929.0</v>
      </c>
      <c r="T72" s="86" t="s">
        <v>407</v>
      </c>
      <c r="U72" s="81" t="s">
        <v>144</v>
      </c>
      <c r="V72" s="86"/>
      <c r="W72" s="86"/>
      <c r="X72" s="116"/>
    </row>
    <row r="73" hidden="1">
      <c r="A73" s="64">
        <f t="shared" si="2"/>
        <v>3</v>
      </c>
      <c r="B73" s="98" t="s">
        <v>69</v>
      </c>
      <c r="C73" s="64" t="s">
        <v>364</v>
      </c>
      <c r="D73" s="99">
        <v>45924.0</v>
      </c>
      <c r="E73" s="16" t="s">
        <v>161</v>
      </c>
      <c r="F73" s="100" t="s">
        <v>72</v>
      </c>
      <c r="G73" s="101" t="s">
        <v>365</v>
      </c>
      <c r="H73" s="16" t="s">
        <v>366</v>
      </c>
      <c r="I73" s="16" t="s">
        <v>75</v>
      </c>
      <c r="J73" s="102" t="s">
        <v>88</v>
      </c>
      <c r="K73" s="110" t="s">
        <v>367</v>
      </c>
      <c r="L73" s="16" t="s">
        <v>90</v>
      </c>
      <c r="M73" s="16" t="s">
        <v>79</v>
      </c>
      <c r="N73" s="103">
        <v>30.0</v>
      </c>
      <c r="O73" s="103">
        <v>20.0</v>
      </c>
      <c r="P73" s="103">
        <v>600.0</v>
      </c>
      <c r="Q73" s="94">
        <v>45936.0</v>
      </c>
      <c r="R73" s="72" t="s">
        <v>313</v>
      </c>
      <c r="S73" s="111">
        <v>45929.0</v>
      </c>
      <c r="T73" s="15" t="s">
        <v>408</v>
      </c>
      <c r="U73" s="68" t="s">
        <v>144</v>
      </c>
      <c r="V73" s="74"/>
      <c r="W73" s="74"/>
      <c r="X73" s="75"/>
    </row>
    <row r="74" hidden="1">
      <c r="A74" s="76">
        <f t="shared" si="2"/>
        <v>4</v>
      </c>
      <c r="B74" s="88" t="s">
        <v>69</v>
      </c>
      <c r="C74" s="76" t="s">
        <v>390</v>
      </c>
      <c r="D74" s="89">
        <v>45926.0</v>
      </c>
      <c r="E74" s="86"/>
      <c r="F74" s="90" t="s">
        <v>315</v>
      </c>
      <c r="G74" s="91" t="s">
        <v>359</v>
      </c>
      <c r="H74" s="86" t="s">
        <v>360</v>
      </c>
      <c r="I74" s="86" t="s">
        <v>75</v>
      </c>
      <c r="J74" s="92" t="s">
        <v>361</v>
      </c>
      <c r="K74" s="114" t="s">
        <v>362</v>
      </c>
      <c r="L74" s="86" t="s">
        <v>183</v>
      </c>
      <c r="M74" s="86" t="s">
        <v>79</v>
      </c>
      <c r="N74" s="93">
        <v>20.0</v>
      </c>
      <c r="O74" s="93">
        <v>10.0</v>
      </c>
      <c r="P74" s="93">
        <v>200.0</v>
      </c>
      <c r="Q74" s="94">
        <v>45936.0</v>
      </c>
      <c r="R74" s="83" t="s">
        <v>363</v>
      </c>
      <c r="S74" s="112">
        <v>45929.0</v>
      </c>
      <c r="T74" s="80" t="s">
        <v>397</v>
      </c>
      <c r="U74" s="81" t="s">
        <v>144</v>
      </c>
      <c r="V74" s="85"/>
      <c r="W74" s="85"/>
      <c r="X74" s="75"/>
    </row>
    <row r="75" hidden="1">
      <c r="A75" s="64">
        <f t="shared" si="2"/>
        <v>5</v>
      </c>
      <c r="B75" s="98" t="s">
        <v>69</v>
      </c>
      <c r="C75" s="64" t="s">
        <v>409</v>
      </c>
      <c r="D75" s="99">
        <v>45929.0</v>
      </c>
      <c r="E75" s="16"/>
      <c r="F75" s="100" t="s">
        <v>315</v>
      </c>
      <c r="G75" s="101" t="s">
        <v>410</v>
      </c>
      <c r="H75" s="16" t="s">
        <v>411</v>
      </c>
      <c r="I75" s="16" t="s">
        <v>75</v>
      </c>
      <c r="J75" s="102" t="s">
        <v>412</v>
      </c>
      <c r="K75" s="16"/>
      <c r="L75" s="16" t="s">
        <v>413</v>
      </c>
      <c r="M75" s="16" t="s">
        <v>79</v>
      </c>
      <c r="N75" s="103">
        <v>40.0</v>
      </c>
      <c r="O75" s="103">
        <v>5.0</v>
      </c>
      <c r="P75" s="103">
        <v>200.0</v>
      </c>
      <c r="Q75" s="94">
        <v>45940.0</v>
      </c>
      <c r="R75" s="119" t="s">
        <v>414</v>
      </c>
      <c r="S75" s="111">
        <v>45929.0</v>
      </c>
      <c r="T75" s="15" t="s">
        <v>415</v>
      </c>
      <c r="U75" s="68" t="s">
        <v>144</v>
      </c>
      <c r="V75" s="74"/>
      <c r="W75" s="105">
        <v>45930.0</v>
      </c>
      <c r="X75" s="118" t="s">
        <v>416</v>
      </c>
    </row>
    <row r="76" hidden="1">
      <c r="A76" s="76">
        <f t="shared" si="2"/>
        <v>6</v>
      </c>
      <c r="B76" s="88" t="s">
        <v>69</v>
      </c>
      <c r="C76" s="76" t="s">
        <v>417</v>
      </c>
      <c r="D76" s="89">
        <v>45929.0</v>
      </c>
      <c r="E76" s="86"/>
      <c r="F76" s="90" t="s">
        <v>315</v>
      </c>
      <c r="G76" s="91" t="s">
        <v>418</v>
      </c>
      <c r="H76" s="86" t="s">
        <v>419</v>
      </c>
      <c r="I76" s="86" t="s">
        <v>75</v>
      </c>
      <c r="J76" s="92" t="s">
        <v>412</v>
      </c>
      <c r="K76" s="86"/>
      <c r="L76" s="86" t="s">
        <v>183</v>
      </c>
      <c r="M76" s="86" t="s">
        <v>79</v>
      </c>
      <c r="N76" s="93">
        <v>40.0</v>
      </c>
      <c r="O76" s="93">
        <v>10.0</v>
      </c>
      <c r="P76" s="93">
        <v>400.0</v>
      </c>
      <c r="Q76" s="94">
        <v>45940.0</v>
      </c>
      <c r="R76" s="120" t="s">
        <v>414</v>
      </c>
      <c r="S76" s="112">
        <v>45929.0</v>
      </c>
      <c r="T76" s="80" t="s">
        <v>420</v>
      </c>
      <c r="U76" s="81" t="s">
        <v>144</v>
      </c>
      <c r="V76" s="85"/>
      <c r="W76" s="117">
        <v>45930.0</v>
      </c>
      <c r="X76" s="118" t="s">
        <v>416</v>
      </c>
    </row>
    <row r="77" hidden="1">
      <c r="A77" s="64">
        <f t="shared" si="2"/>
        <v>7</v>
      </c>
      <c r="B77" s="98" t="s">
        <v>69</v>
      </c>
      <c r="C77" s="64" t="s">
        <v>421</v>
      </c>
      <c r="D77" s="99">
        <v>45929.0</v>
      </c>
      <c r="E77" s="16"/>
      <c r="F77" s="100" t="s">
        <v>315</v>
      </c>
      <c r="G77" s="101" t="s">
        <v>422</v>
      </c>
      <c r="H77" s="16" t="s">
        <v>423</v>
      </c>
      <c r="I77" s="16" t="s">
        <v>75</v>
      </c>
      <c r="J77" s="102" t="s">
        <v>424</v>
      </c>
      <c r="K77" s="110" t="s">
        <v>425</v>
      </c>
      <c r="L77" s="16" t="s">
        <v>90</v>
      </c>
      <c r="M77" s="16" t="s">
        <v>79</v>
      </c>
      <c r="N77" s="103">
        <v>40.0</v>
      </c>
      <c r="O77" s="103">
        <v>5.0</v>
      </c>
      <c r="P77" s="103">
        <v>200.0</v>
      </c>
      <c r="Q77" s="94">
        <v>45940.0</v>
      </c>
      <c r="R77" s="119" t="s">
        <v>414</v>
      </c>
      <c r="S77" s="111">
        <v>45929.0</v>
      </c>
      <c r="T77" s="15" t="s">
        <v>426</v>
      </c>
      <c r="U77" s="68" t="s">
        <v>144</v>
      </c>
      <c r="V77" s="74"/>
      <c r="W77" s="105">
        <v>45930.0</v>
      </c>
      <c r="X77" s="118" t="s">
        <v>416</v>
      </c>
    </row>
    <row r="78" hidden="1">
      <c r="A78" s="76">
        <f t="shared" si="2"/>
        <v>8</v>
      </c>
      <c r="B78" s="88" t="s">
        <v>69</v>
      </c>
      <c r="C78" s="76" t="s">
        <v>427</v>
      </c>
      <c r="D78" s="89">
        <v>45929.0</v>
      </c>
      <c r="E78" s="86"/>
      <c r="F78" s="90" t="s">
        <v>315</v>
      </c>
      <c r="G78" s="91" t="s">
        <v>316</v>
      </c>
      <c r="H78" s="86" t="s">
        <v>317</v>
      </c>
      <c r="I78" s="86" t="s">
        <v>75</v>
      </c>
      <c r="J78" s="92" t="s">
        <v>123</v>
      </c>
      <c r="K78" s="114" t="s">
        <v>318</v>
      </c>
      <c r="L78" s="86" t="s">
        <v>195</v>
      </c>
      <c r="M78" s="86" t="s">
        <v>79</v>
      </c>
      <c r="N78" s="93">
        <v>40.0</v>
      </c>
      <c r="O78" s="93">
        <v>20.0</v>
      </c>
      <c r="P78" s="93">
        <v>800.0</v>
      </c>
      <c r="Q78" s="94">
        <v>45940.0</v>
      </c>
      <c r="R78" s="83" t="s">
        <v>319</v>
      </c>
      <c r="S78" s="112">
        <v>45929.0</v>
      </c>
      <c r="T78" s="80" t="s">
        <v>428</v>
      </c>
      <c r="U78" s="81" t="s">
        <v>144</v>
      </c>
      <c r="V78" s="85"/>
      <c r="W78" s="117">
        <v>45930.0</v>
      </c>
      <c r="X78" s="118" t="s">
        <v>429</v>
      </c>
    </row>
    <row r="79" hidden="1">
      <c r="A79" s="64">
        <f t="shared" si="2"/>
        <v>9</v>
      </c>
      <c r="B79" s="98" t="s">
        <v>69</v>
      </c>
      <c r="C79" s="64" t="s">
        <v>430</v>
      </c>
      <c r="D79" s="99">
        <v>45929.0</v>
      </c>
      <c r="E79" s="16" t="s">
        <v>161</v>
      </c>
      <c r="F79" s="100" t="s">
        <v>72</v>
      </c>
      <c r="G79" s="101" t="s">
        <v>431</v>
      </c>
      <c r="H79" s="16" t="s">
        <v>432</v>
      </c>
      <c r="I79" s="16" t="s">
        <v>75</v>
      </c>
      <c r="J79" s="102" t="s">
        <v>88</v>
      </c>
      <c r="K79" s="110" t="s">
        <v>433</v>
      </c>
      <c r="L79" s="16" t="s">
        <v>90</v>
      </c>
      <c r="M79" s="16" t="s">
        <v>79</v>
      </c>
      <c r="N79" s="103">
        <v>20.0</v>
      </c>
      <c r="O79" s="103">
        <v>5.0</v>
      </c>
      <c r="P79" s="103">
        <v>100.0</v>
      </c>
      <c r="Q79" s="94">
        <v>45936.0</v>
      </c>
      <c r="R79" s="72" t="s">
        <v>270</v>
      </c>
      <c r="S79" s="111">
        <v>45929.0</v>
      </c>
      <c r="T79" s="15" t="s">
        <v>434</v>
      </c>
      <c r="U79" s="68" t="s">
        <v>144</v>
      </c>
      <c r="V79" s="74"/>
      <c r="W79" s="74"/>
      <c r="X79" s="75"/>
    </row>
    <row r="80" hidden="1">
      <c r="A80" s="76">
        <f t="shared" si="2"/>
        <v>10</v>
      </c>
      <c r="B80" s="88" t="s">
        <v>69</v>
      </c>
      <c r="C80" s="76" t="s">
        <v>435</v>
      </c>
      <c r="D80" s="89">
        <v>45929.0</v>
      </c>
      <c r="E80" s="86" t="s">
        <v>161</v>
      </c>
      <c r="F80" s="90" t="s">
        <v>72</v>
      </c>
      <c r="G80" s="91" t="s">
        <v>436</v>
      </c>
      <c r="H80" s="86" t="s">
        <v>437</v>
      </c>
      <c r="I80" s="86" t="s">
        <v>75</v>
      </c>
      <c r="J80" s="92" t="s">
        <v>88</v>
      </c>
      <c r="K80" s="114" t="s">
        <v>438</v>
      </c>
      <c r="L80" s="86" t="s">
        <v>105</v>
      </c>
      <c r="M80" s="86" t="s">
        <v>79</v>
      </c>
      <c r="N80" s="93">
        <v>20.0</v>
      </c>
      <c r="O80" s="93">
        <v>10.0</v>
      </c>
      <c r="P80" s="93">
        <v>200.0</v>
      </c>
      <c r="Q80" s="94">
        <v>45936.0</v>
      </c>
      <c r="R80" s="83" t="s">
        <v>270</v>
      </c>
      <c r="S80" s="112">
        <v>45929.0</v>
      </c>
      <c r="T80" s="80" t="s">
        <v>439</v>
      </c>
      <c r="U80" s="81" t="s">
        <v>144</v>
      </c>
      <c r="V80" s="85"/>
      <c r="W80" s="85"/>
      <c r="X80" s="75"/>
    </row>
    <row r="81" hidden="1">
      <c r="A81" s="64">
        <f t="shared" si="2"/>
        <v>11</v>
      </c>
      <c r="B81" s="98" t="s">
        <v>136</v>
      </c>
      <c r="C81" s="64" t="s">
        <v>440</v>
      </c>
      <c r="D81" s="99">
        <v>45927.0</v>
      </c>
      <c r="E81" s="16" t="s">
        <v>71</v>
      </c>
      <c r="F81" s="100" t="s">
        <v>72</v>
      </c>
      <c r="G81" s="101" t="s">
        <v>441</v>
      </c>
      <c r="H81" s="16" t="s">
        <v>442</v>
      </c>
      <c r="I81" s="16" t="s">
        <v>75</v>
      </c>
      <c r="J81" s="102" t="s">
        <v>443</v>
      </c>
      <c r="K81" s="110" t="s">
        <v>444</v>
      </c>
      <c r="L81" s="16" t="s">
        <v>249</v>
      </c>
      <c r="M81" s="16" t="s">
        <v>79</v>
      </c>
      <c r="N81" s="103">
        <v>40.0</v>
      </c>
      <c r="O81" s="103">
        <v>10.0</v>
      </c>
      <c r="P81" s="103">
        <v>400.0</v>
      </c>
      <c r="Q81" s="94">
        <v>45936.0</v>
      </c>
      <c r="R81" s="119" t="s">
        <v>414</v>
      </c>
      <c r="S81" s="111">
        <v>45929.0</v>
      </c>
      <c r="T81" s="15" t="s">
        <v>445</v>
      </c>
      <c r="U81" s="68" t="s">
        <v>144</v>
      </c>
      <c r="V81" s="74"/>
      <c r="W81" s="105">
        <v>45930.0</v>
      </c>
      <c r="X81" s="118" t="s">
        <v>446</v>
      </c>
    </row>
    <row r="82" hidden="1">
      <c r="A82" s="76">
        <f t="shared" si="2"/>
        <v>1</v>
      </c>
      <c r="B82" s="88" t="s">
        <v>136</v>
      </c>
      <c r="C82" s="76" t="s">
        <v>447</v>
      </c>
      <c r="D82" s="89">
        <v>45930.0</v>
      </c>
      <c r="E82" s="86" t="s">
        <v>71</v>
      </c>
      <c r="F82" s="90" t="s">
        <v>72</v>
      </c>
      <c r="G82" s="91" t="s">
        <v>448</v>
      </c>
      <c r="H82" s="86" t="s">
        <v>449</v>
      </c>
      <c r="I82" s="86" t="s">
        <v>75</v>
      </c>
      <c r="J82" s="92" t="s">
        <v>88</v>
      </c>
      <c r="K82" s="114" t="s">
        <v>335</v>
      </c>
      <c r="L82" s="86" t="s">
        <v>105</v>
      </c>
      <c r="M82" s="86" t="s">
        <v>79</v>
      </c>
      <c r="N82" s="93">
        <v>20.0</v>
      </c>
      <c r="O82" s="93">
        <v>5.0</v>
      </c>
      <c r="P82" s="93">
        <v>100.0</v>
      </c>
      <c r="Q82" s="94">
        <v>45932.0</v>
      </c>
      <c r="R82" s="83" t="s">
        <v>254</v>
      </c>
      <c r="S82" s="112">
        <v>45930.0</v>
      </c>
      <c r="T82" s="80" t="s">
        <v>450</v>
      </c>
      <c r="U82" s="81" t="s">
        <v>144</v>
      </c>
      <c r="V82" s="85"/>
      <c r="W82" s="85"/>
      <c r="X82" s="75"/>
    </row>
    <row r="83" hidden="1">
      <c r="A83" s="64">
        <f t="shared" si="2"/>
        <v>2</v>
      </c>
      <c r="B83" s="98" t="s">
        <v>69</v>
      </c>
      <c r="C83" s="64" t="s">
        <v>451</v>
      </c>
      <c r="D83" s="99">
        <v>45930.0</v>
      </c>
      <c r="E83" s="16" t="s">
        <v>71</v>
      </c>
      <c r="F83" s="100" t="s">
        <v>72</v>
      </c>
      <c r="G83" s="101" t="s">
        <v>198</v>
      </c>
      <c r="H83" s="16" t="s">
        <v>199</v>
      </c>
      <c r="I83" s="16" t="s">
        <v>75</v>
      </c>
      <c r="J83" s="102" t="s">
        <v>148</v>
      </c>
      <c r="K83" s="110" t="s">
        <v>452</v>
      </c>
      <c r="L83" s="16" t="s">
        <v>105</v>
      </c>
      <c r="M83" s="16" t="s">
        <v>166</v>
      </c>
      <c r="N83" s="103">
        <v>1.0</v>
      </c>
      <c r="O83" s="103">
        <v>20.0</v>
      </c>
      <c r="P83" s="103">
        <v>20.0</v>
      </c>
      <c r="Q83" s="94">
        <v>45932.0</v>
      </c>
      <c r="R83" s="72" t="s">
        <v>453</v>
      </c>
      <c r="S83" s="111">
        <v>45930.0</v>
      </c>
      <c r="T83" s="15" t="s">
        <v>453</v>
      </c>
      <c r="U83" s="68" t="s">
        <v>144</v>
      </c>
      <c r="V83" s="74"/>
      <c r="W83" s="74"/>
      <c r="X83" s="75"/>
    </row>
    <row r="84" hidden="1">
      <c r="A84" s="76">
        <f t="shared" si="2"/>
        <v>3</v>
      </c>
      <c r="B84" s="88" t="s">
        <v>69</v>
      </c>
      <c r="C84" s="76" t="s">
        <v>454</v>
      </c>
      <c r="D84" s="89">
        <v>45930.0</v>
      </c>
      <c r="E84" s="86" t="s">
        <v>71</v>
      </c>
      <c r="F84" s="90" t="s">
        <v>72</v>
      </c>
      <c r="G84" s="91" t="s">
        <v>455</v>
      </c>
      <c r="H84" s="86" t="s">
        <v>456</v>
      </c>
      <c r="I84" s="86" t="s">
        <v>75</v>
      </c>
      <c r="J84" s="92" t="s">
        <v>148</v>
      </c>
      <c r="K84" s="114" t="s">
        <v>457</v>
      </c>
      <c r="L84" s="86" t="s">
        <v>105</v>
      </c>
      <c r="M84" s="86" t="s">
        <v>166</v>
      </c>
      <c r="N84" s="93">
        <v>1.0</v>
      </c>
      <c r="O84" s="93">
        <v>25.0</v>
      </c>
      <c r="P84" s="93">
        <v>25.0</v>
      </c>
      <c r="Q84" s="94">
        <v>45932.0</v>
      </c>
      <c r="R84" s="83" t="s">
        <v>453</v>
      </c>
      <c r="S84" s="112">
        <v>45930.0</v>
      </c>
      <c r="T84" s="80" t="s">
        <v>453</v>
      </c>
      <c r="U84" s="81" t="s">
        <v>144</v>
      </c>
      <c r="V84" s="85"/>
      <c r="W84" s="85"/>
      <c r="X84" s="75"/>
    </row>
    <row r="85" hidden="1">
      <c r="A85" s="64">
        <f t="shared" si="2"/>
        <v>4</v>
      </c>
      <c r="B85" s="65" t="s">
        <v>458</v>
      </c>
      <c r="C85" s="66" t="s">
        <v>459</v>
      </c>
      <c r="D85" s="67">
        <v>45930.0</v>
      </c>
      <c r="E85" s="15" t="s">
        <v>71</v>
      </c>
      <c r="F85" s="68" t="s">
        <v>72</v>
      </c>
      <c r="G85" s="69" t="s">
        <v>460</v>
      </c>
      <c r="H85" s="15" t="s">
        <v>461</v>
      </c>
      <c r="I85" s="15" t="s">
        <v>462</v>
      </c>
      <c r="J85" s="15" t="s">
        <v>463</v>
      </c>
      <c r="K85" s="15" t="s">
        <v>464</v>
      </c>
      <c r="L85" s="15" t="s">
        <v>465</v>
      </c>
      <c r="M85" s="15" t="s">
        <v>79</v>
      </c>
      <c r="N85" s="68">
        <v>40.0</v>
      </c>
      <c r="O85" s="68">
        <v>20.0</v>
      </c>
      <c r="P85" s="68">
        <v>800.0</v>
      </c>
      <c r="Q85" s="71">
        <v>45939.0</v>
      </c>
      <c r="R85" s="72" t="s">
        <v>466</v>
      </c>
      <c r="S85" s="111">
        <v>45930.0</v>
      </c>
      <c r="T85" s="74"/>
      <c r="U85" s="68" t="s">
        <v>144</v>
      </c>
      <c r="V85" s="74"/>
      <c r="W85" s="74"/>
      <c r="X85" s="75"/>
    </row>
    <row r="86" hidden="1">
      <c r="A86" s="76">
        <f t="shared" si="2"/>
        <v>5</v>
      </c>
      <c r="B86" s="77" t="s">
        <v>69</v>
      </c>
      <c r="C86" s="78" t="s">
        <v>467</v>
      </c>
      <c r="D86" s="79">
        <v>45930.0</v>
      </c>
      <c r="E86" s="80" t="s">
        <v>71</v>
      </c>
      <c r="F86" s="81" t="s">
        <v>72</v>
      </c>
      <c r="G86" s="82" t="s">
        <v>175</v>
      </c>
      <c r="H86" s="80" t="s">
        <v>176</v>
      </c>
      <c r="I86" s="80" t="s">
        <v>75</v>
      </c>
      <c r="J86" s="80" t="s">
        <v>148</v>
      </c>
      <c r="K86" s="80" t="s">
        <v>468</v>
      </c>
      <c r="L86" s="80" t="s">
        <v>105</v>
      </c>
      <c r="M86" s="80" t="s">
        <v>166</v>
      </c>
      <c r="N86" s="81">
        <v>4.0</v>
      </c>
      <c r="O86" s="81">
        <v>5.0</v>
      </c>
      <c r="P86" s="81">
        <v>20.0</v>
      </c>
      <c r="Q86" s="71">
        <v>45936.0</v>
      </c>
      <c r="R86" s="83" t="s">
        <v>177</v>
      </c>
      <c r="S86" s="112">
        <v>45930.0</v>
      </c>
      <c r="T86" s="85"/>
      <c r="U86" s="81" t="s">
        <v>144</v>
      </c>
      <c r="V86" s="85"/>
      <c r="W86" s="85"/>
      <c r="X86" s="75"/>
    </row>
    <row r="87" hidden="1">
      <c r="A87" s="64">
        <f t="shared" si="2"/>
        <v>6</v>
      </c>
      <c r="B87" s="65" t="s">
        <v>69</v>
      </c>
      <c r="C87" s="66" t="s">
        <v>469</v>
      </c>
      <c r="D87" s="67">
        <v>45930.0</v>
      </c>
      <c r="E87" s="16"/>
      <c r="F87" s="68" t="s">
        <v>93</v>
      </c>
      <c r="G87" s="69" t="s">
        <v>405</v>
      </c>
      <c r="H87" s="15" t="s">
        <v>406</v>
      </c>
      <c r="I87" s="15" t="s">
        <v>75</v>
      </c>
      <c r="J87" s="15" t="s">
        <v>88</v>
      </c>
      <c r="K87" s="16"/>
      <c r="L87" s="15" t="s">
        <v>105</v>
      </c>
      <c r="M87" s="15" t="s">
        <v>79</v>
      </c>
      <c r="N87" s="68">
        <v>20.0</v>
      </c>
      <c r="O87" s="68">
        <v>30.0</v>
      </c>
      <c r="P87" s="68">
        <v>600.0</v>
      </c>
      <c r="Q87" s="106"/>
      <c r="R87" s="72" t="s">
        <v>254</v>
      </c>
      <c r="S87" s="111">
        <v>45930.0</v>
      </c>
      <c r="T87" s="74"/>
      <c r="U87" s="68" t="s">
        <v>144</v>
      </c>
      <c r="V87" s="74"/>
      <c r="W87" s="74"/>
      <c r="X87" s="75"/>
    </row>
    <row r="88" hidden="1">
      <c r="A88" s="76">
        <f t="shared" si="2"/>
        <v>1</v>
      </c>
      <c r="B88" s="77" t="s">
        <v>69</v>
      </c>
      <c r="C88" s="78" t="s">
        <v>470</v>
      </c>
      <c r="D88" s="79">
        <v>45931.0</v>
      </c>
      <c r="E88" s="80" t="s">
        <v>71</v>
      </c>
      <c r="F88" s="81" t="s">
        <v>72</v>
      </c>
      <c r="G88" s="82" t="s">
        <v>471</v>
      </c>
      <c r="H88" s="80" t="s">
        <v>472</v>
      </c>
      <c r="I88" s="80" t="s">
        <v>75</v>
      </c>
      <c r="J88" s="80" t="s">
        <v>148</v>
      </c>
      <c r="K88" s="80" t="s">
        <v>473</v>
      </c>
      <c r="L88" s="80" t="s">
        <v>105</v>
      </c>
      <c r="M88" s="80" t="s">
        <v>166</v>
      </c>
      <c r="N88" s="81">
        <v>4.0</v>
      </c>
      <c r="O88" s="81">
        <v>5.0</v>
      </c>
      <c r="P88" s="81">
        <v>20.0</v>
      </c>
      <c r="Q88" s="71">
        <v>45936.0</v>
      </c>
      <c r="R88" s="83" t="s">
        <v>177</v>
      </c>
      <c r="S88" s="96">
        <v>45936.0</v>
      </c>
      <c r="T88" s="85"/>
      <c r="U88" s="81" t="s">
        <v>144</v>
      </c>
      <c r="V88" s="85"/>
      <c r="W88" s="85"/>
      <c r="X88" s="75"/>
    </row>
    <row r="89" hidden="1">
      <c r="A89" s="64">
        <f t="shared" si="2"/>
        <v>2</v>
      </c>
      <c r="B89" s="65" t="s">
        <v>69</v>
      </c>
      <c r="C89" s="66" t="s">
        <v>474</v>
      </c>
      <c r="D89" s="67">
        <v>45931.0</v>
      </c>
      <c r="E89" s="15" t="s">
        <v>71</v>
      </c>
      <c r="F89" s="68" t="s">
        <v>72</v>
      </c>
      <c r="G89" s="69" t="s">
        <v>475</v>
      </c>
      <c r="H89" s="15" t="s">
        <v>476</v>
      </c>
      <c r="I89" s="15" t="s">
        <v>75</v>
      </c>
      <c r="J89" s="15" t="s">
        <v>157</v>
      </c>
      <c r="K89" s="15" t="s">
        <v>477</v>
      </c>
      <c r="L89" s="15" t="s">
        <v>478</v>
      </c>
      <c r="M89" s="15" t="s">
        <v>79</v>
      </c>
      <c r="N89" s="68">
        <v>40.0</v>
      </c>
      <c r="O89" s="68">
        <v>7.0</v>
      </c>
      <c r="P89" s="68">
        <v>280.0</v>
      </c>
      <c r="Q89" s="71">
        <v>45936.0</v>
      </c>
      <c r="R89" s="72" t="s">
        <v>479</v>
      </c>
      <c r="S89" s="104">
        <v>45936.0</v>
      </c>
      <c r="T89" s="74"/>
      <c r="U89" s="68" t="s">
        <v>144</v>
      </c>
      <c r="V89" s="74"/>
      <c r="W89" s="74"/>
      <c r="X89" s="75"/>
    </row>
    <row r="90" hidden="1">
      <c r="A90" s="76">
        <f t="shared" si="2"/>
        <v>3</v>
      </c>
      <c r="B90" s="77" t="s">
        <v>69</v>
      </c>
      <c r="C90" s="78" t="s">
        <v>480</v>
      </c>
      <c r="D90" s="79">
        <v>45931.0</v>
      </c>
      <c r="E90" s="80" t="s">
        <v>71</v>
      </c>
      <c r="F90" s="81" t="s">
        <v>72</v>
      </c>
      <c r="G90" s="82" t="s">
        <v>481</v>
      </c>
      <c r="H90" s="80" t="s">
        <v>482</v>
      </c>
      <c r="I90" s="80" t="s">
        <v>75</v>
      </c>
      <c r="J90" s="80" t="s">
        <v>88</v>
      </c>
      <c r="K90" s="80" t="s">
        <v>483</v>
      </c>
      <c r="L90" s="80" t="s">
        <v>105</v>
      </c>
      <c r="M90" s="80" t="s">
        <v>79</v>
      </c>
      <c r="N90" s="81">
        <v>40.0</v>
      </c>
      <c r="O90" s="81">
        <v>5.0</v>
      </c>
      <c r="P90" s="81">
        <v>200.0</v>
      </c>
      <c r="Q90" s="71">
        <v>45936.0</v>
      </c>
      <c r="R90" s="83" t="s">
        <v>484</v>
      </c>
      <c r="S90" s="96">
        <v>45936.0</v>
      </c>
      <c r="T90" s="85"/>
      <c r="U90" s="81" t="s">
        <v>144</v>
      </c>
      <c r="V90" s="85"/>
      <c r="W90" s="85"/>
      <c r="X90" s="75"/>
    </row>
    <row r="91" hidden="1">
      <c r="A91" s="64">
        <f t="shared" si="2"/>
        <v>1</v>
      </c>
      <c r="B91" s="65" t="s">
        <v>69</v>
      </c>
      <c r="C91" s="66" t="s">
        <v>485</v>
      </c>
      <c r="D91" s="67">
        <v>45932.0</v>
      </c>
      <c r="E91" s="15" t="s">
        <v>71</v>
      </c>
      <c r="F91" s="68" t="s">
        <v>72</v>
      </c>
      <c r="G91" s="121" t="s">
        <v>486</v>
      </c>
      <c r="H91" s="15" t="s">
        <v>487</v>
      </c>
      <c r="I91" s="15" t="s">
        <v>75</v>
      </c>
      <c r="J91" s="15" t="s">
        <v>258</v>
      </c>
      <c r="K91" s="15"/>
      <c r="L91" s="15" t="s">
        <v>488</v>
      </c>
      <c r="M91" s="15" t="s">
        <v>79</v>
      </c>
      <c r="N91" s="68">
        <v>40.0</v>
      </c>
      <c r="O91" s="68">
        <v>10.0</v>
      </c>
      <c r="P91" s="68">
        <v>400.0</v>
      </c>
      <c r="Q91" s="71">
        <v>45938.0</v>
      </c>
      <c r="R91" s="72" t="s">
        <v>489</v>
      </c>
      <c r="S91" s="111">
        <v>45933.0</v>
      </c>
      <c r="T91" s="74"/>
      <c r="U91" s="68" t="s">
        <v>144</v>
      </c>
      <c r="V91" s="74"/>
      <c r="W91" s="74"/>
      <c r="X91" s="75"/>
    </row>
    <row r="92" hidden="1">
      <c r="A92" s="76">
        <f t="shared" si="2"/>
        <v>4</v>
      </c>
      <c r="B92" s="77" t="s">
        <v>69</v>
      </c>
      <c r="C92" s="78" t="s">
        <v>490</v>
      </c>
      <c r="D92" s="79">
        <v>45932.0</v>
      </c>
      <c r="E92" s="80"/>
      <c r="F92" s="81" t="s">
        <v>93</v>
      </c>
      <c r="G92" s="82" t="s">
        <v>307</v>
      </c>
      <c r="H92" s="80" t="s">
        <v>308</v>
      </c>
      <c r="I92" s="80" t="s">
        <v>75</v>
      </c>
      <c r="J92" s="80" t="s">
        <v>148</v>
      </c>
      <c r="K92" s="86"/>
      <c r="L92" s="80" t="s">
        <v>105</v>
      </c>
      <c r="M92" s="80" t="s">
        <v>79</v>
      </c>
      <c r="N92" s="81">
        <v>40.0</v>
      </c>
      <c r="O92" s="81">
        <v>50.0</v>
      </c>
      <c r="P92" s="87">
        <v>2000.0</v>
      </c>
      <c r="Q92" s="71">
        <v>45938.0</v>
      </c>
      <c r="R92" s="83" t="s">
        <v>149</v>
      </c>
      <c r="S92" s="96">
        <v>45936.0</v>
      </c>
      <c r="T92" s="85"/>
      <c r="U92" s="81" t="s">
        <v>144</v>
      </c>
      <c r="V92" s="85"/>
      <c r="W92" s="85"/>
      <c r="X92" s="75"/>
    </row>
    <row r="93" hidden="1">
      <c r="A93" s="64">
        <f t="shared" si="2"/>
        <v>5</v>
      </c>
      <c r="B93" s="65" t="s">
        <v>69</v>
      </c>
      <c r="C93" s="66" t="s">
        <v>491</v>
      </c>
      <c r="D93" s="67">
        <v>45933.0</v>
      </c>
      <c r="E93" s="15" t="s">
        <v>71</v>
      </c>
      <c r="F93" s="68" t="s">
        <v>72</v>
      </c>
      <c r="G93" s="69" t="s">
        <v>492</v>
      </c>
      <c r="H93" s="15" t="s">
        <v>493</v>
      </c>
      <c r="I93" s="15" t="s">
        <v>75</v>
      </c>
      <c r="J93" s="15" t="s">
        <v>88</v>
      </c>
      <c r="K93" s="15" t="s">
        <v>494</v>
      </c>
      <c r="L93" s="15" t="s">
        <v>105</v>
      </c>
      <c r="M93" s="15" t="s">
        <v>79</v>
      </c>
      <c r="N93" s="68">
        <v>20.0</v>
      </c>
      <c r="O93" s="68">
        <v>10.0</v>
      </c>
      <c r="P93" s="70">
        <v>200.0</v>
      </c>
      <c r="Q93" s="71">
        <v>45938.0</v>
      </c>
      <c r="R93" s="72" t="s">
        <v>254</v>
      </c>
      <c r="S93" s="104">
        <v>45936.0</v>
      </c>
      <c r="T93" s="74"/>
      <c r="U93" s="68" t="s">
        <v>144</v>
      </c>
      <c r="V93" s="74"/>
      <c r="W93" s="74"/>
      <c r="X93" s="75"/>
    </row>
    <row r="94" hidden="1">
      <c r="A94" s="76">
        <f t="shared" si="2"/>
        <v>6</v>
      </c>
      <c r="B94" s="77" t="s">
        <v>69</v>
      </c>
      <c r="C94" s="78" t="s">
        <v>495</v>
      </c>
      <c r="D94" s="79">
        <v>45933.0</v>
      </c>
      <c r="E94" s="80" t="s">
        <v>71</v>
      </c>
      <c r="F94" s="81" t="s">
        <v>72</v>
      </c>
      <c r="G94" s="82" t="s">
        <v>496</v>
      </c>
      <c r="H94" s="80" t="s">
        <v>497</v>
      </c>
      <c r="I94" s="80" t="s">
        <v>75</v>
      </c>
      <c r="J94" s="80" t="s">
        <v>258</v>
      </c>
      <c r="K94" s="86"/>
      <c r="L94" s="80" t="s">
        <v>488</v>
      </c>
      <c r="M94" s="80" t="s">
        <v>79</v>
      </c>
      <c r="N94" s="81">
        <v>40.0</v>
      </c>
      <c r="O94" s="81">
        <v>10.0</v>
      </c>
      <c r="P94" s="81">
        <v>400.0</v>
      </c>
      <c r="Q94" s="71">
        <v>45938.0</v>
      </c>
      <c r="R94" s="83" t="s">
        <v>489</v>
      </c>
      <c r="S94" s="96">
        <v>45936.0</v>
      </c>
      <c r="T94" s="85"/>
      <c r="U94" s="81" t="s">
        <v>144</v>
      </c>
      <c r="V94" s="85"/>
      <c r="W94" s="85"/>
      <c r="X94" s="75"/>
    </row>
    <row r="95" hidden="1">
      <c r="A95" s="64">
        <f t="shared" si="2"/>
        <v>7</v>
      </c>
      <c r="B95" s="65" t="s">
        <v>69</v>
      </c>
      <c r="C95" s="66" t="s">
        <v>498</v>
      </c>
      <c r="D95" s="67">
        <v>45934.0</v>
      </c>
      <c r="E95" s="15" t="s">
        <v>71</v>
      </c>
      <c r="F95" s="68" t="s">
        <v>72</v>
      </c>
      <c r="G95" s="69" t="s">
        <v>499</v>
      </c>
      <c r="H95" s="15" t="s">
        <v>500</v>
      </c>
      <c r="I95" s="15" t="s">
        <v>75</v>
      </c>
      <c r="J95" s="15" t="s">
        <v>181</v>
      </c>
      <c r="K95" s="15" t="s">
        <v>182</v>
      </c>
      <c r="L95" s="15" t="s">
        <v>125</v>
      </c>
      <c r="M95" s="15" t="s">
        <v>79</v>
      </c>
      <c r="N95" s="68">
        <v>30.0</v>
      </c>
      <c r="O95" s="68">
        <v>10.0</v>
      </c>
      <c r="P95" s="68">
        <v>300.0</v>
      </c>
      <c r="Q95" s="122">
        <v>45945.0</v>
      </c>
      <c r="R95" s="72" t="s">
        <v>184</v>
      </c>
      <c r="S95" s="104">
        <v>45936.0</v>
      </c>
      <c r="T95" s="74"/>
      <c r="U95" s="68" t="s">
        <v>144</v>
      </c>
      <c r="V95" s="74"/>
      <c r="W95" s="74"/>
      <c r="X95" s="75"/>
    </row>
    <row r="96" hidden="1">
      <c r="A96" s="76">
        <f t="shared" si="2"/>
        <v>8</v>
      </c>
      <c r="B96" s="77" t="s">
        <v>69</v>
      </c>
      <c r="C96" s="78" t="s">
        <v>501</v>
      </c>
      <c r="D96" s="79">
        <v>45931.0</v>
      </c>
      <c r="E96" s="86"/>
      <c r="F96" s="81" t="s">
        <v>502</v>
      </c>
      <c r="G96" s="82" t="s">
        <v>503</v>
      </c>
      <c r="H96" s="80" t="s">
        <v>504</v>
      </c>
      <c r="I96" s="80" t="s">
        <v>75</v>
      </c>
      <c r="J96" s="80" t="s">
        <v>148</v>
      </c>
      <c r="K96" s="86"/>
      <c r="L96" s="80" t="s">
        <v>105</v>
      </c>
      <c r="M96" s="80" t="s">
        <v>166</v>
      </c>
      <c r="N96" s="81">
        <v>4.0</v>
      </c>
      <c r="O96" s="81">
        <v>5.0</v>
      </c>
      <c r="P96" s="81">
        <v>20.0</v>
      </c>
      <c r="Q96" s="71">
        <v>45938.0</v>
      </c>
      <c r="R96" s="83" t="s">
        <v>505</v>
      </c>
      <c r="S96" s="96">
        <v>45936.0</v>
      </c>
      <c r="T96" s="85"/>
      <c r="U96" s="81" t="s">
        <v>144</v>
      </c>
      <c r="V96" s="85"/>
      <c r="W96" s="85"/>
      <c r="X96" s="75"/>
    </row>
    <row r="97" hidden="1">
      <c r="A97" s="64">
        <f t="shared" si="2"/>
        <v>9</v>
      </c>
      <c r="B97" s="98" t="s">
        <v>69</v>
      </c>
      <c r="C97" s="64" t="s">
        <v>506</v>
      </c>
      <c r="D97" s="99">
        <v>45933.0</v>
      </c>
      <c r="E97" s="16" t="s">
        <v>71</v>
      </c>
      <c r="F97" s="100" t="s">
        <v>72</v>
      </c>
      <c r="G97" s="101" t="s">
        <v>507</v>
      </c>
      <c r="H97" s="16" t="s">
        <v>508</v>
      </c>
      <c r="I97" s="16" t="s">
        <v>75</v>
      </c>
      <c r="J97" s="102" t="s">
        <v>157</v>
      </c>
      <c r="K97" s="110" t="s">
        <v>204</v>
      </c>
      <c r="L97" s="16" t="s">
        <v>105</v>
      </c>
      <c r="M97" s="16" t="s">
        <v>79</v>
      </c>
      <c r="N97" s="103">
        <v>40.0</v>
      </c>
      <c r="O97" s="103">
        <v>10.0</v>
      </c>
      <c r="P97" s="103">
        <v>400.0</v>
      </c>
      <c r="Q97" s="123">
        <v>45938.0</v>
      </c>
      <c r="R97" s="72" t="s">
        <v>205</v>
      </c>
      <c r="S97" s="104">
        <v>45936.0</v>
      </c>
      <c r="T97" s="74"/>
      <c r="U97" s="68" t="s">
        <v>144</v>
      </c>
      <c r="V97" s="74"/>
      <c r="W97" s="74"/>
      <c r="X97" s="75"/>
    </row>
    <row r="98" hidden="1">
      <c r="A98" s="76">
        <f t="shared" si="2"/>
        <v>10</v>
      </c>
      <c r="B98" s="88" t="s">
        <v>69</v>
      </c>
      <c r="C98" s="76" t="s">
        <v>409</v>
      </c>
      <c r="D98" s="89">
        <v>45929.0</v>
      </c>
      <c r="E98" s="86"/>
      <c r="F98" s="90" t="s">
        <v>315</v>
      </c>
      <c r="G98" s="91" t="s">
        <v>410</v>
      </c>
      <c r="H98" s="86" t="s">
        <v>411</v>
      </c>
      <c r="I98" s="86" t="s">
        <v>75</v>
      </c>
      <c r="J98" s="92" t="s">
        <v>412</v>
      </c>
      <c r="K98" s="86"/>
      <c r="L98" s="86" t="s">
        <v>413</v>
      </c>
      <c r="M98" s="86" t="s">
        <v>79</v>
      </c>
      <c r="N98" s="93">
        <v>40.0</v>
      </c>
      <c r="O98" s="93">
        <v>5.0</v>
      </c>
      <c r="P98" s="93">
        <v>200.0</v>
      </c>
      <c r="Q98" s="94">
        <v>45940.0</v>
      </c>
      <c r="R98" s="120" t="s">
        <v>414</v>
      </c>
      <c r="S98" s="96">
        <v>45936.0</v>
      </c>
      <c r="T98" s="80" t="s">
        <v>415</v>
      </c>
      <c r="U98" s="81" t="s">
        <v>144</v>
      </c>
      <c r="V98" s="85"/>
      <c r="W98" s="117">
        <v>45930.0</v>
      </c>
      <c r="X98" s="118" t="s">
        <v>416</v>
      </c>
    </row>
    <row r="99" hidden="1">
      <c r="A99" s="64">
        <f t="shared" si="2"/>
        <v>11</v>
      </c>
      <c r="B99" s="98" t="s">
        <v>69</v>
      </c>
      <c r="C99" s="64" t="s">
        <v>417</v>
      </c>
      <c r="D99" s="99">
        <v>45929.0</v>
      </c>
      <c r="E99" s="16"/>
      <c r="F99" s="100" t="s">
        <v>315</v>
      </c>
      <c r="G99" s="101" t="s">
        <v>418</v>
      </c>
      <c r="H99" s="16" t="s">
        <v>419</v>
      </c>
      <c r="I99" s="16" t="s">
        <v>75</v>
      </c>
      <c r="J99" s="102" t="s">
        <v>412</v>
      </c>
      <c r="K99" s="16"/>
      <c r="L99" s="16" t="s">
        <v>183</v>
      </c>
      <c r="M99" s="16" t="s">
        <v>79</v>
      </c>
      <c r="N99" s="103">
        <v>40.0</v>
      </c>
      <c r="O99" s="103">
        <v>10.0</v>
      </c>
      <c r="P99" s="103">
        <v>400.0</v>
      </c>
      <c r="Q99" s="94">
        <v>45940.0</v>
      </c>
      <c r="R99" s="119" t="s">
        <v>414</v>
      </c>
      <c r="S99" s="104">
        <v>45936.0</v>
      </c>
      <c r="T99" s="15" t="s">
        <v>420</v>
      </c>
      <c r="U99" s="68" t="s">
        <v>144</v>
      </c>
      <c r="V99" s="74"/>
      <c r="W99" s="105">
        <v>45930.0</v>
      </c>
      <c r="X99" s="118" t="s">
        <v>416</v>
      </c>
    </row>
    <row r="100" hidden="1">
      <c r="A100" s="76">
        <f t="shared" si="2"/>
        <v>12</v>
      </c>
      <c r="B100" s="77" t="s">
        <v>69</v>
      </c>
      <c r="C100" s="78" t="s">
        <v>509</v>
      </c>
      <c r="D100" s="79">
        <v>45934.0</v>
      </c>
      <c r="E100" s="86"/>
      <c r="F100" s="81" t="s">
        <v>370</v>
      </c>
      <c r="G100" s="82" t="s">
        <v>510</v>
      </c>
      <c r="H100" s="80" t="s">
        <v>511</v>
      </c>
      <c r="I100" s="80" t="s">
        <v>75</v>
      </c>
      <c r="J100" s="80" t="s">
        <v>123</v>
      </c>
      <c r="K100" s="86"/>
      <c r="L100" s="80" t="s">
        <v>512</v>
      </c>
      <c r="M100" s="80" t="s">
        <v>79</v>
      </c>
      <c r="N100" s="81">
        <v>40.0</v>
      </c>
      <c r="O100" s="81">
        <v>10.0</v>
      </c>
      <c r="P100" s="81">
        <v>400.0</v>
      </c>
      <c r="Q100" s="122">
        <v>45940.0</v>
      </c>
      <c r="R100" s="83" t="s">
        <v>513</v>
      </c>
      <c r="S100" s="96">
        <v>45936.0</v>
      </c>
      <c r="T100" s="80" t="s">
        <v>514</v>
      </c>
      <c r="U100" s="81" t="s">
        <v>144</v>
      </c>
      <c r="V100" s="85"/>
      <c r="W100" s="85"/>
      <c r="X100" s="75"/>
    </row>
    <row r="101" hidden="1">
      <c r="A101" s="64">
        <f t="shared" si="2"/>
        <v>13</v>
      </c>
      <c r="B101" s="65" t="s">
        <v>69</v>
      </c>
      <c r="C101" s="66" t="s">
        <v>515</v>
      </c>
      <c r="D101" s="67">
        <v>45936.0</v>
      </c>
      <c r="E101" s="15" t="s">
        <v>71</v>
      </c>
      <c r="F101" s="68" t="s">
        <v>72</v>
      </c>
      <c r="G101" s="69" t="s">
        <v>516</v>
      </c>
      <c r="H101" s="15" t="s">
        <v>517</v>
      </c>
      <c r="I101" s="15" t="s">
        <v>75</v>
      </c>
      <c r="J101" s="15" t="s">
        <v>88</v>
      </c>
      <c r="K101" s="15" t="s">
        <v>518</v>
      </c>
      <c r="L101" s="15" t="s">
        <v>105</v>
      </c>
      <c r="M101" s="15" t="s">
        <v>79</v>
      </c>
      <c r="N101" s="68">
        <v>30.0</v>
      </c>
      <c r="O101" s="68">
        <v>20.0</v>
      </c>
      <c r="P101" s="68">
        <v>600.0</v>
      </c>
      <c r="Q101" s="122">
        <v>45944.0</v>
      </c>
      <c r="R101" s="72" t="s">
        <v>270</v>
      </c>
      <c r="S101" s="104">
        <v>45936.0</v>
      </c>
      <c r="T101" s="15" t="s">
        <v>519</v>
      </c>
      <c r="U101" s="68" t="s">
        <v>144</v>
      </c>
      <c r="V101" s="74"/>
      <c r="W101" s="74"/>
      <c r="X101" s="75"/>
    </row>
    <row r="102" hidden="1">
      <c r="A102" s="76">
        <f t="shared" si="2"/>
        <v>14</v>
      </c>
      <c r="B102" s="77" t="s">
        <v>69</v>
      </c>
      <c r="C102" s="78" t="s">
        <v>520</v>
      </c>
      <c r="D102" s="79">
        <v>45936.0</v>
      </c>
      <c r="E102" s="80" t="s">
        <v>71</v>
      </c>
      <c r="F102" s="81" t="s">
        <v>72</v>
      </c>
      <c r="G102" s="82" t="s">
        <v>521</v>
      </c>
      <c r="H102" s="80" t="s">
        <v>522</v>
      </c>
      <c r="I102" s="80" t="s">
        <v>75</v>
      </c>
      <c r="J102" s="80" t="s">
        <v>88</v>
      </c>
      <c r="K102" s="86"/>
      <c r="L102" s="80" t="s">
        <v>105</v>
      </c>
      <c r="M102" s="80" t="s">
        <v>79</v>
      </c>
      <c r="N102" s="81">
        <v>40.0</v>
      </c>
      <c r="O102" s="81">
        <v>10.0</v>
      </c>
      <c r="P102" s="81">
        <v>400.0</v>
      </c>
      <c r="Q102" s="122">
        <v>45950.0</v>
      </c>
      <c r="R102" s="83" t="s">
        <v>523</v>
      </c>
      <c r="S102" s="96">
        <v>45936.0</v>
      </c>
      <c r="T102" s="80" t="s">
        <v>524</v>
      </c>
      <c r="U102" s="81" t="s">
        <v>144</v>
      </c>
      <c r="V102" s="85"/>
      <c r="W102" s="85"/>
      <c r="X102" s="75"/>
    </row>
    <row r="103" hidden="1">
      <c r="A103" s="64">
        <f t="shared" si="2"/>
        <v>15</v>
      </c>
      <c r="B103" s="65" t="s">
        <v>69</v>
      </c>
      <c r="C103" s="66" t="s">
        <v>525</v>
      </c>
      <c r="D103" s="67">
        <v>45936.0</v>
      </c>
      <c r="E103" s="15" t="s">
        <v>71</v>
      </c>
      <c r="F103" s="68" t="s">
        <v>72</v>
      </c>
      <c r="G103" s="69" t="s">
        <v>526</v>
      </c>
      <c r="H103" s="15" t="s">
        <v>527</v>
      </c>
      <c r="I103" s="15" t="s">
        <v>75</v>
      </c>
      <c r="J103" s="15" t="s">
        <v>88</v>
      </c>
      <c r="K103" s="16"/>
      <c r="L103" s="15" t="s">
        <v>105</v>
      </c>
      <c r="M103" s="15" t="s">
        <v>79</v>
      </c>
      <c r="N103" s="68">
        <v>20.0</v>
      </c>
      <c r="O103" s="68">
        <v>15.0</v>
      </c>
      <c r="P103" s="68">
        <v>300.0</v>
      </c>
      <c r="Q103" s="122">
        <v>45950.0</v>
      </c>
      <c r="R103" s="72" t="s">
        <v>523</v>
      </c>
      <c r="S103" s="104">
        <v>45936.0</v>
      </c>
      <c r="T103" s="15" t="s">
        <v>528</v>
      </c>
      <c r="U103" s="68" t="s">
        <v>144</v>
      </c>
      <c r="V103" s="74"/>
      <c r="W103" s="74"/>
      <c r="X103" s="75"/>
    </row>
    <row r="104" hidden="1">
      <c r="A104" s="76">
        <f t="shared" si="2"/>
        <v>16</v>
      </c>
      <c r="B104" s="77" t="s">
        <v>69</v>
      </c>
      <c r="C104" s="78" t="s">
        <v>529</v>
      </c>
      <c r="D104" s="79">
        <v>45936.0</v>
      </c>
      <c r="E104" s="80" t="s">
        <v>71</v>
      </c>
      <c r="F104" s="81" t="s">
        <v>72</v>
      </c>
      <c r="G104" s="82" t="s">
        <v>530</v>
      </c>
      <c r="H104" s="80" t="s">
        <v>531</v>
      </c>
      <c r="I104" s="80" t="s">
        <v>75</v>
      </c>
      <c r="J104" s="80" t="s">
        <v>323</v>
      </c>
      <c r="K104" s="80" t="s">
        <v>532</v>
      </c>
      <c r="L104" s="80" t="s">
        <v>325</v>
      </c>
      <c r="M104" s="80" t="s">
        <v>79</v>
      </c>
      <c r="N104" s="81">
        <v>30.0</v>
      </c>
      <c r="O104" s="81">
        <v>9.0</v>
      </c>
      <c r="P104" s="81">
        <v>276.0</v>
      </c>
      <c r="Q104" s="122">
        <v>45944.0</v>
      </c>
      <c r="R104" s="83" t="s">
        <v>533</v>
      </c>
      <c r="S104" s="96">
        <v>45936.0</v>
      </c>
      <c r="T104" s="80" t="s">
        <v>534</v>
      </c>
      <c r="U104" s="81" t="s">
        <v>144</v>
      </c>
      <c r="V104" s="85"/>
      <c r="W104" s="85"/>
      <c r="X104" s="75"/>
    </row>
    <row r="105" hidden="1">
      <c r="A105" s="64">
        <f t="shared" si="2"/>
        <v>17</v>
      </c>
      <c r="B105" s="65" t="s">
        <v>69</v>
      </c>
      <c r="C105" s="66" t="s">
        <v>535</v>
      </c>
      <c r="D105" s="67">
        <v>45936.0</v>
      </c>
      <c r="E105" s="15" t="s">
        <v>71</v>
      </c>
      <c r="F105" s="68" t="s">
        <v>72</v>
      </c>
      <c r="G105" s="69" t="s">
        <v>536</v>
      </c>
      <c r="H105" s="15" t="s">
        <v>537</v>
      </c>
      <c r="I105" s="15" t="s">
        <v>75</v>
      </c>
      <c r="J105" s="15" t="s">
        <v>209</v>
      </c>
      <c r="K105" s="15" t="s">
        <v>538</v>
      </c>
      <c r="L105" s="15" t="s">
        <v>210</v>
      </c>
      <c r="M105" s="15" t="s">
        <v>79</v>
      </c>
      <c r="N105" s="68">
        <v>30.0</v>
      </c>
      <c r="O105" s="68">
        <v>15.0</v>
      </c>
      <c r="P105" s="68">
        <v>450.0</v>
      </c>
      <c r="Q105" s="122">
        <v>45944.0</v>
      </c>
      <c r="R105" s="72" t="s">
        <v>211</v>
      </c>
      <c r="S105" s="104">
        <v>45936.0</v>
      </c>
      <c r="T105" s="15" t="s">
        <v>539</v>
      </c>
      <c r="U105" s="68" t="s">
        <v>144</v>
      </c>
      <c r="V105" s="74"/>
      <c r="W105" s="74"/>
      <c r="X105" s="75"/>
    </row>
    <row r="106" hidden="1">
      <c r="A106" s="76">
        <f t="shared" si="2"/>
        <v>18</v>
      </c>
      <c r="B106" s="77" t="s">
        <v>69</v>
      </c>
      <c r="C106" s="78" t="s">
        <v>540</v>
      </c>
      <c r="D106" s="79">
        <v>45936.0</v>
      </c>
      <c r="E106" s="80" t="s">
        <v>71</v>
      </c>
      <c r="F106" s="81" t="s">
        <v>72</v>
      </c>
      <c r="G106" s="82" t="s">
        <v>541</v>
      </c>
      <c r="H106" s="80" t="s">
        <v>542</v>
      </c>
      <c r="I106" s="80" t="s">
        <v>75</v>
      </c>
      <c r="J106" s="80" t="s">
        <v>157</v>
      </c>
      <c r="K106" s="80" t="s">
        <v>543</v>
      </c>
      <c r="L106" s="80" t="s">
        <v>105</v>
      </c>
      <c r="M106" s="80" t="s">
        <v>79</v>
      </c>
      <c r="N106" s="81">
        <v>30.0</v>
      </c>
      <c r="O106" s="81">
        <v>10.0</v>
      </c>
      <c r="P106" s="81">
        <v>300.0</v>
      </c>
      <c r="Q106" s="122">
        <v>45944.0</v>
      </c>
      <c r="R106" s="83" t="s">
        <v>544</v>
      </c>
      <c r="S106" s="96">
        <v>45936.0</v>
      </c>
      <c r="T106" s="80" t="s">
        <v>545</v>
      </c>
      <c r="U106" s="81" t="s">
        <v>144</v>
      </c>
      <c r="V106" s="85"/>
      <c r="W106" s="85"/>
      <c r="X106" s="75"/>
    </row>
    <row r="107" hidden="1">
      <c r="A107" s="64">
        <f t="shared" si="2"/>
        <v>19</v>
      </c>
      <c r="B107" s="65" t="s">
        <v>69</v>
      </c>
      <c r="C107" s="66" t="s">
        <v>546</v>
      </c>
      <c r="D107" s="67">
        <v>45936.0</v>
      </c>
      <c r="E107" s="15" t="s">
        <v>71</v>
      </c>
      <c r="F107" s="68" t="s">
        <v>72</v>
      </c>
      <c r="G107" s="69" t="s">
        <v>547</v>
      </c>
      <c r="H107" s="15" t="s">
        <v>548</v>
      </c>
      <c r="I107" s="15" t="s">
        <v>75</v>
      </c>
      <c r="J107" s="15" t="s">
        <v>88</v>
      </c>
      <c r="K107" s="15" t="s">
        <v>549</v>
      </c>
      <c r="L107" s="15" t="s">
        <v>105</v>
      </c>
      <c r="M107" s="15" t="s">
        <v>79</v>
      </c>
      <c r="N107" s="68">
        <v>20.0</v>
      </c>
      <c r="O107" s="68">
        <v>5.0</v>
      </c>
      <c r="P107" s="68">
        <v>100.0</v>
      </c>
      <c r="Q107" s="122">
        <v>45942.0</v>
      </c>
      <c r="R107" s="72" t="s">
        <v>550</v>
      </c>
      <c r="S107" s="104">
        <v>45936.0</v>
      </c>
      <c r="T107" s="15" t="s">
        <v>551</v>
      </c>
      <c r="U107" s="68" t="s">
        <v>144</v>
      </c>
      <c r="V107" s="74"/>
      <c r="W107" s="74"/>
      <c r="X107" s="75"/>
    </row>
    <row r="108" hidden="1">
      <c r="A108" s="76">
        <f t="shared" si="2"/>
        <v>1</v>
      </c>
      <c r="B108" s="77" t="s">
        <v>69</v>
      </c>
      <c r="C108" s="78" t="s">
        <v>552</v>
      </c>
      <c r="D108" s="79">
        <v>45937.0</v>
      </c>
      <c r="E108" s="80" t="s">
        <v>71</v>
      </c>
      <c r="F108" s="81" t="s">
        <v>72</v>
      </c>
      <c r="G108" s="82" t="s">
        <v>553</v>
      </c>
      <c r="H108" s="80" t="s">
        <v>554</v>
      </c>
      <c r="I108" s="80" t="s">
        <v>75</v>
      </c>
      <c r="J108" s="80" t="s">
        <v>181</v>
      </c>
      <c r="K108" s="80" t="s">
        <v>555</v>
      </c>
      <c r="L108" s="80" t="s">
        <v>125</v>
      </c>
      <c r="M108" s="80" t="s">
        <v>79</v>
      </c>
      <c r="N108" s="81">
        <v>40.0</v>
      </c>
      <c r="O108" s="81">
        <v>5.0</v>
      </c>
      <c r="P108" s="81">
        <v>200.0</v>
      </c>
      <c r="Q108" s="122">
        <v>45944.0</v>
      </c>
      <c r="R108" s="83" t="s">
        <v>184</v>
      </c>
      <c r="S108" s="112">
        <v>45937.0</v>
      </c>
      <c r="T108" s="80" t="s">
        <v>556</v>
      </c>
      <c r="U108" s="81" t="s">
        <v>144</v>
      </c>
      <c r="V108" s="85"/>
      <c r="W108" s="85"/>
      <c r="X108" s="75"/>
    </row>
    <row r="109" hidden="1">
      <c r="A109" s="64">
        <f t="shared" si="2"/>
        <v>2</v>
      </c>
      <c r="B109" s="65" t="s">
        <v>69</v>
      </c>
      <c r="C109" s="66" t="s">
        <v>557</v>
      </c>
      <c r="D109" s="67">
        <v>45937.0</v>
      </c>
      <c r="E109" s="16"/>
      <c r="F109" s="68" t="s">
        <v>186</v>
      </c>
      <c r="G109" s="69" t="s">
        <v>558</v>
      </c>
      <c r="H109" s="15" t="s">
        <v>559</v>
      </c>
      <c r="I109" s="15" t="s">
        <v>75</v>
      </c>
      <c r="J109" s="15" t="s">
        <v>189</v>
      </c>
      <c r="K109" s="15" t="s">
        <v>112</v>
      </c>
      <c r="L109" s="15" t="s">
        <v>90</v>
      </c>
      <c r="M109" s="15" t="s">
        <v>79</v>
      </c>
      <c r="N109" s="68">
        <v>40.0</v>
      </c>
      <c r="O109" s="68">
        <v>50.0</v>
      </c>
      <c r="P109" s="70">
        <v>2000.0</v>
      </c>
      <c r="Q109" s="122">
        <v>45942.0</v>
      </c>
      <c r="R109" s="72" t="s">
        <v>115</v>
      </c>
      <c r="S109" s="111">
        <v>45937.0</v>
      </c>
      <c r="T109" s="74"/>
      <c r="U109" s="68" t="s">
        <v>144</v>
      </c>
      <c r="V109" s="74"/>
      <c r="W109" s="74"/>
      <c r="X109" s="75"/>
    </row>
    <row r="110" hidden="1">
      <c r="A110" s="76">
        <f t="shared" si="2"/>
        <v>1</v>
      </c>
      <c r="B110" s="77" t="s">
        <v>69</v>
      </c>
      <c r="C110" s="78" t="s">
        <v>417</v>
      </c>
      <c r="D110" s="79">
        <v>45929.0</v>
      </c>
      <c r="E110" s="86"/>
      <c r="F110" s="81" t="s">
        <v>315</v>
      </c>
      <c r="G110" s="82" t="s">
        <v>418</v>
      </c>
      <c r="H110" s="80" t="s">
        <v>560</v>
      </c>
      <c r="I110" s="80" t="s">
        <v>75</v>
      </c>
      <c r="J110" s="80" t="s">
        <v>561</v>
      </c>
      <c r="K110" s="80" t="s">
        <v>562</v>
      </c>
      <c r="L110" s="80" t="s">
        <v>183</v>
      </c>
      <c r="M110" s="80" t="s">
        <v>79</v>
      </c>
      <c r="N110" s="81">
        <v>40.0</v>
      </c>
      <c r="O110" s="81">
        <v>10.0</v>
      </c>
      <c r="P110" s="81">
        <v>400.0</v>
      </c>
      <c r="Q110" s="122">
        <v>45940.0</v>
      </c>
      <c r="R110" s="120" t="s">
        <v>414</v>
      </c>
      <c r="S110" s="112">
        <v>45938.0</v>
      </c>
      <c r="T110" s="80" t="s">
        <v>563</v>
      </c>
      <c r="U110" s="80" t="s">
        <v>134</v>
      </c>
      <c r="V110" s="85"/>
      <c r="W110" s="85"/>
      <c r="X110" s="75"/>
    </row>
    <row r="111" hidden="1">
      <c r="A111" s="64">
        <f t="shared" si="2"/>
        <v>2</v>
      </c>
      <c r="B111" s="65" t="s">
        <v>69</v>
      </c>
      <c r="C111" s="66" t="s">
        <v>409</v>
      </c>
      <c r="D111" s="67">
        <v>45929.0</v>
      </c>
      <c r="E111" s="16"/>
      <c r="F111" s="68" t="s">
        <v>315</v>
      </c>
      <c r="G111" s="69" t="s">
        <v>410</v>
      </c>
      <c r="H111" s="15" t="s">
        <v>564</v>
      </c>
      <c r="I111" s="15" t="s">
        <v>75</v>
      </c>
      <c r="J111" s="15" t="s">
        <v>412</v>
      </c>
      <c r="K111" s="15" t="s">
        <v>565</v>
      </c>
      <c r="L111" s="15" t="s">
        <v>413</v>
      </c>
      <c r="M111" s="15" t="s">
        <v>79</v>
      </c>
      <c r="N111" s="68">
        <v>40.0</v>
      </c>
      <c r="O111" s="68">
        <v>5.0</v>
      </c>
      <c r="P111" s="68">
        <v>200.0</v>
      </c>
      <c r="Q111" s="122">
        <v>45940.0</v>
      </c>
      <c r="R111" s="119" t="s">
        <v>414</v>
      </c>
      <c r="S111" s="111">
        <v>45938.0</v>
      </c>
      <c r="T111" s="15" t="s">
        <v>566</v>
      </c>
      <c r="U111" s="15" t="s">
        <v>134</v>
      </c>
      <c r="V111" s="74"/>
      <c r="W111" s="74"/>
      <c r="X111" s="75"/>
    </row>
    <row r="112" hidden="1">
      <c r="A112" s="76">
        <f t="shared" si="2"/>
        <v>3</v>
      </c>
      <c r="B112" s="77" t="s">
        <v>69</v>
      </c>
      <c r="C112" s="78" t="s">
        <v>480</v>
      </c>
      <c r="D112" s="79">
        <v>45931.0</v>
      </c>
      <c r="E112" s="80" t="s">
        <v>71</v>
      </c>
      <c r="F112" s="81" t="s">
        <v>72</v>
      </c>
      <c r="G112" s="82" t="s">
        <v>481</v>
      </c>
      <c r="H112" s="80" t="s">
        <v>567</v>
      </c>
      <c r="I112" s="80" t="s">
        <v>75</v>
      </c>
      <c r="J112" s="80" t="s">
        <v>88</v>
      </c>
      <c r="K112" s="80" t="s">
        <v>483</v>
      </c>
      <c r="L112" s="80" t="s">
        <v>105</v>
      </c>
      <c r="M112" s="80" t="s">
        <v>79</v>
      </c>
      <c r="N112" s="81">
        <v>40.0</v>
      </c>
      <c r="O112" s="81">
        <v>5.0</v>
      </c>
      <c r="P112" s="81">
        <v>200.0</v>
      </c>
      <c r="Q112" s="71">
        <v>45936.0</v>
      </c>
      <c r="R112" s="83" t="s">
        <v>484</v>
      </c>
      <c r="S112" s="112">
        <v>45938.0</v>
      </c>
      <c r="T112" s="80" t="s">
        <v>568</v>
      </c>
      <c r="U112" s="80" t="s">
        <v>134</v>
      </c>
      <c r="V112" s="85"/>
      <c r="W112" s="85"/>
      <c r="X112" s="75"/>
    </row>
    <row r="113" hidden="1">
      <c r="A113" s="64">
        <f t="shared" si="2"/>
        <v>4</v>
      </c>
      <c r="B113" s="65" t="s">
        <v>69</v>
      </c>
      <c r="C113" s="66" t="s">
        <v>509</v>
      </c>
      <c r="D113" s="67">
        <v>45934.0</v>
      </c>
      <c r="E113" s="16"/>
      <c r="F113" s="68" t="s">
        <v>370</v>
      </c>
      <c r="G113" s="69" t="s">
        <v>510</v>
      </c>
      <c r="H113" s="15" t="s">
        <v>511</v>
      </c>
      <c r="I113" s="15" t="s">
        <v>75</v>
      </c>
      <c r="J113" s="15" t="s">
        <v>123</v>
      </c>
      <c r="K113" s="16"/>
      <c r="L113" s="15" t="s">
        <v>512</v>
      </c>
      <c r="M113" s="15" t="s">
        <v>79</v>
      </c>
      <c r="N113" s="68">
        <v>40.0</v>
      </c>
      <c r="O113" s="68">
        <v>10.0</v>
      </c>
      <c r="P113" s="68">
        <v>400.0</v>
      </c>
      <c r="Q113" s="122">
        <v>45940.0</v>
      </c>
      <c r="R113" s="72" t="s">
        <v>513</v>
      </c>
      <c r="S113" s="111">
        <v>45938.0</v>
      </c>
      <c r="T113" s="15" t="s">
        <v>569</v>
      </c>
      <c r="U113" s="15" t="s">
        <v>134</v>
      </c>
      <c r="V113" s="74"/>
      <c r="W113" s="74"/>
      <c r="X113" s="75"/>
    </row>
    <row r="114" hidden="1">
      <c r="A114" s="76">
        <f t="shared" si="2"/>
        <v>5</v>
      </c>
      <c r="B114" s="77" t="s">
        <v>69</v>
      </c>
      <c r="C114" s="78" t="s">
        <v>520</v>
      </c>
      <c r="D114" s="79">
        <v>45936.0</v>
      </c>
      <c r="E114" s="80" t="s">
        <v>71</v>
      </c>
      <c r="F114" s="81" t="s">
        <v>72</v>
      </c>
      <c r="G114" s="82" t="s">
        <v>521</v>
      </c>
      <c r="H114" s="80" t="s">
        <v>522</v>
      </c>
      <c r="I114" s="80" t="s">
        <v>75</v>
      </c>
      <c r="J114" s="80" t="s">
        <v>88</v>
      </c>
      <c r="K114" s="86"/>
      <c r="L114" s="80" t="s">
        <v>105</v>
      </c>
      <c r="M114" s="80" t="s">
        <v>79</v>
      </c>
      <c r="N114" s="81">
        <v>40.0</v>
      </c>
      <c r="O114" s="81">
        <v>10.0</v>
      </c>
      <c r="P114" s="81">
        <v>400.0</v>
      </c>
      <c r="Q114" s="122">
        <v>45950.0</v>
      </c>
      <c r="R114" s="83" t="s">
        <v>523</v>
      </c>
      <c r="S114" s="112">
        <v>45938.0</v>
      </c>
      <c r="T114" s="80" t="s">
        <v>570</v>
      </c>
      <c r="U114" s="80" t="s">
        <v>134</v>
      </c>
      <c r="V114" s="85"/>
      <c r="W114" s="85"/>
      <c r="X114" s="75"/>
    </row>
    <row r="115" hidden="1">
      <c r="A115" s="64">
        <f t="shared" si="2"/>
        <v>6</v>
      </c>
      <c r="B115" s="65" t="s">
        <v>69</v>
      </c>
      <c r="C115" s="66" t="s">
        <v>525</v>
      </c>
      <c r="D115" s="67">
        <v>45936.0</v>
      </c>
      <c r="E115" s="15" t="s">
        <v>71</v>
      </c>
      <c r="F115" s="68" t="s">
        <v>72</v>
      </c>
      <c r="G115" s="69" t="s">
        <v>526</v>
      </c>
      <c r="H115" s="15" t="s">
        <v>527</v>
      </c>
      <c r="I115" s="15" t="s">
        <v>75</v>
      </c>
      <c r="J115" s="15" t="s">
        <v>88</v>
      </c>
      <c r="K115" s="16"/>
      <c r="L115" s="15" t="s">
        <v>105</v>
      </c>
      <c r="M115" s="15" t="s">
        <v>79</v>
      </c>
      <c r="N115" s="68">
        <v>20.0</v>
      </c>
      <c r="O115" s="68">
        <v>15.0</v>
      </c>
      <c r="P115" s="68">
        <v>300.0</v>
      </c>
      <c r="Q115" s="122">
        <v>45950.0</v>
      </c>
      <c r="R115" s="72" t="s">
        <v>523</v>
      </c>
      <c r="S115" s="111">
        <v>45938.0</v>
      </c>
      <c r="T115" s="15" t="s">
        <v>571</v>
      </c>
      <c r="U115" s="15" t="s">
        <v>134</v>
      </c>
      <c r="V115" s="74"/>
      <c r="W115" s="74"/>
      <c r="X115" s="75"/>
    </row>
    <row r="116" hidden="1">
      <c r="A116" s="76">
        <f t="shared" si="2"/>
        <v>7</v>
      </c>
      <c r="B116" s="77" t="s">
        <v>69</v>
      </c>
      <c r="C116" s="78" t="s">
        <v>535</v>
      </c>
      <c r="D116" s="79">
        <v>45936.0</v>
      </c>
      <c r="E116" s="80" t="s">
        <v>71</v>
      </c>
      <c r="F116" s="81" t="s">
        <v>72</v>
      </c>
      <c r="G116" s="82" t="s">
        <v>536</v>
      </c>
      <c r="H116" s="80" t="s">
        <v>572</v>
      </c>
      <c r="I116" s="80" t="s">
        <v>75</v>
      </c>
      <c r="J116" s="80" t="s">
        <v>209</v>
      </c>
      <c r="K116" s="80" t="s">
        <v>573</v>
      </c>
      <c r="L116" s="80" t="s">
        <v>210</v>
      </c>
      <c r="M116" s="80" t="s">
        <v>79</v>
      </c>
      <c r="N116" s="81">
        <v>30.0</v>
      </c>
      <c r="O116" s="81">
        <v>15.0</v>
      </c>
      <c r="P116" s="81">
        <v>450.0</v>
      </c>
      <c r="Q116" s="122">
        <v>45944.0</v>
      </c>
      <c r="R116" s="83" t="s">
        <v>211</v>
      </c>
      <c r="S116" s="112">
        <v>45938.0</v>
      </c>
      <c r="T116" s="80" t="s">
        <v>574</v>
      </c>
      <c r="U116" s="80" t="s">
        <v>134</v>
      </c>
      <c r="V116" s="85"/>
      <c r="W116" s="85"/>
      <c r="X116" s="75"/>
    </row>
    <row r="117" hidden="1">
      <c r="A117" s="64">
        <f t="shared" si="2"/>
        <v>8</v>
      </c>
      <c r="B117" s="65" t="s">
        <v>69</v>
      </c>
      <c r="C117" s="66" t="s">
        <v>540</v>
      </c>
      <c r="D117" s="67">
        <v>45936.0</v>
      </c>
      <c r="E117" s="15" t="s">
        <v>71</v>
      </c>
      <c r="F117" s="68" t="s">
        <v>72</v>
      </c>
      <c r="G117" s="69" t="s">
        <v>541</v>
      </c>
      <c r="H117" s="15" t="s">
        <v>575</v>
      </c>
      <c r="I117" s="15" t="s">
        <v>75</v>
      </c>
      <c r="J117" s="15" t="s">
        <v>157</v>
      </c>
      <c r="K117" s="15" t="s">
        <v>543</v>
      </c>
      <c r="L117" s="15" t="s">
        <v>105</v>
      </c>
      <c r="M117" s="15" t="s">
        <v>79</v>
      </c>
      <c r="N117" s="68">
        <v>30.0</v>
      </c>
      <c r="O117" s="68">
        <v>10.0</v>
      </c>
      <c r="P117" s="68">
        <v>300.0</v>
      </c>
      <c r="Q117" s="122">
        <v>45944.0</v>
      </c>
      <c r="R117" s="72" t="s">
        <v>544</v>
      </c>
      <c r="S117" s="111">
        <v>45938.0</v>
      </c>
      <c r="T117" s="15" t="s">
        <v>576</v>
      </c>
      <c r="U117" s="15" t="s">
        <v>134</v>
      </c>
      <c r="V117" s="74"/>
      <c r="W117" s="74"/>
      <c r="X117" s="75"/>
    </row>
    <row r="118" hidden="1">
      <c r="A118" s="76">
        <f t="shared" si="2"/>
        <v>9</v>
      </c>
      <c r="B118" s="77" t="s">
        <v>69</v>
      </c>
      <c r="C118" s="78" t="s">
        <v>546</v>
      </c>
      <c r="D118" s="79">
        <v>45936.0</v>
      </c>
      <c r="E118" s="80" t="s">
        <v>71</v>
      </c>
      <c r="F118" s="81" t="s">
        <v>72</v>
      </c>
      <c r="G118" s="82" t="s">
        <v>547</v>
      </c>
      <c r="H118" s="80" t="s">
        <v>577</v>
      </c>
      <c r="I118" s="80" t="s">
        <v>75</v>
      </c>
      <c r="J118" s="80" t="s">
        <v>88</v>
      </c>
      <c r="K118" s="80" t="s">
        <v>549</v>
      </c>
      <c r="L118" s="80" t="s">
        <v>105</v>
      </c>
      <c r="M118" s="80" t="s">
        <v>79</v>
      </c>
      <c r="N118" s="81">
        <v>20.0</v>
      </c>
      <c r="O118" s="81">
        <v>5.0</v>
      </c>
      <c r="P118" s="81">
        <v>100.0</v>
      </c>
      <c r="Q118" s="122">
        <v>45942.0</v>
      </c>
      <c r="R118" s="83" t="s">
        <v>550</v>
      </c>
      <c r="S118" s="112">
        <v>45938.0</v>
      </c>
      <c r="T118" s="80" t="s">
        <v>578</v>
      </c>
      <c r="U118" s="80" t="s">
        <v>134</v>
      </c>
      <c r="V118" s="85"/>
      <c r="W118" s="85"/>
      <c r="X118" s="75"/>
    </row>
    <row r="119" hidden="1">
      <c r="A119" s="64">
        <f t="shared" si="2"/>
        <v>10</v>
      </c>
      <c r="B119" s="65" t="s">
        <v>69</v>
      </c>
      <c r="C119" s="66" t="s">
        <v>552</v>
      </c>
      <c r="D119" s="67">
        <v>45937.0</v>
      </c>
      <c r="E119" s="15" t="s">
        <v>71</v>
      </c>
      <c r="F119" s="68" t="s">
        <v>72</v>
      </c>
      <c r="G119" s="69" t="s">
        <v>553</v>
      </c>
      <c r="H119" s="15" t="s">
        <v>554</v>
      </c>
      <c r="I119" s="15" t="s">
        <v>75</v>
      </c>
      <c r="J119" s="15" t="s">
        <v>181</v>
      </c>
      <c r="K119" s="15" t="s">
        <v>579</v>
      </c>
      <c r="L119" s="15" t="s">
        <v>125</v>
      </c>
      <c r="M119" s="15" t="s">
        <v>79</v>
      </c>
      <c r="N119" s="68">
        <v>40.0</v>
      </c>
      <c r="O119" s="68">
        <v>5.0</v>
      </c>
      <c r="P119" s="68">
        <v>200.0</v>
      </c>
      <c r="Q119" s="122">
        <v>45944.0</v>
      </c>
      <c r="R119" s="124" t="s">
        <v>184</v>
      </c>
      <c r="S119" s="111">
        <v>45938.0</v>
      </c>
      <c r="T119" s="15" t="s">
        <v>580</v>
      </c>
      <c r="U119" s="15" t="s">
        <v>134</v>
      </c>
      <c r="V119" s="74"/>
      <c r="W119" s="74"/>
      <c r="X119" s="75"/>
    </row>
    <row r="120" hidden="1">
      <c r="A120" s="76">
        <f t="shared" si="2"/>
        <v>11</v>
      </c>
      <c r="B120" s="77" t="s">
        <v>69</v>
      </c>
      <c r="C120" s="78" t="s">
        <v>581</v>
      </c>
      <c r="D120" s="79">
        <v>45938.0</v>
      </c>
      <c r="E120" s="80" t="s">
        <v>71</v>
      </c>
      <c r="F120" s="81" t="s">
        <v>72</v>
      </c>
      <c r="G120" s="82" t="s">
        <v>431</v>
      </c>
      <c r="H120" s="80" t="s">
        <v>432</v>
      </c>
      <c r="I120" s="80" t="s">
        <v>75</v>
      </c>
      <c r="J120" s="80" t="s">
        <v>88</v>
      </c>
      <c r="K120" s="80" t="s">
        <v>433</v>
      </c>
      <c r="L120" s="80" t="s">
        <v>90</v>
      </c>
      <c r="M120" s="80" t="s">
        <v>79</v>
      </c>
      <c r="N120" s="81">
        <v>20.0</v>
      </c>
      <c r="O120" s="81">
        <v>5.0</v>
      </c>
      <c r="P120" s="81">
        <v>100.0</v>
      </c>
      <c r="Q120" s="122">
        <v>45944.0</v>
      </c>
      <c r="R120" s="83" t="s">
        <v>270</v>
      </c>
      <c r="S120" s="112">
        <v>45938.0</v>
      </c>
      <c r="T120" s="80" t="s">
        <v>582</v>
      </c>
      <c r="U120" s="80" t="s">
        <v>134</v>
      </c>
      <c r="V120" s="85"/>
      <c r="W120" s="85"/>
      <c r="X120" s="75"/>
    </row>
    <row r="121" hidden="1">
      <c r="A121" s="64">
        <f t="shared" si="2"/>
        <v>12</v>
      </c>
      <c r="B121" s="65" t="s">
        <v>69</v>
      </c>
      <c r="C121" s="66" t="s">
        <v>583</v>
      </c>
      <c r="D121" s="67">
        <v>45938.0</v>
      </c>
      <c r="E121" s="15" t="s">
        <v>71</v>
      </c>
      <c r="F121" s="68" t="s">
        <v>72</v>
      </c>
      <c r="G121" s="69" t="s">
        <v>584</v>
      </c>
      <c r="H121" s="15" t="s">
        <v>585</v>
      </c>
      <c r="I121" s="15" t="s">
        <v>75</v>
      </c>
      <c r="J121" s="15" t="s">
        <v>88</v>
      </c>
      <c r="K121" s="15" t="s">
        <v>586</v>
      </c>
      <c r="L121" s="15" t="s">
        <v>105</v>
      </c>
      <c r="M121" s="15" t="s">
        <v>79</v>
      </c>
      <c r="N121" s="68">
        <v>30.0</v>
      </c>
      <c r="O121" s="68">
        <v>10.0</v>
      </c>
      <c r="P121" s="68">
        <v>300.0</v>
      </c>
      <c r="Q121" s="122">
        <v>45947.0</v>
      </c>
      <c r="R121" s="68" t="s">
        <v>144</v>
      </c>
      <c r="S121" s="111">
        <v>45938.0</v>
      </c>
      <c r="T121" s="15" t="s">
        <v>587</v>
      </c>
      <c r="U121" s="15" t="s">
        <v>134</v>
      </c>
      <c r="V121" s="74"/>
      <c r="W121" s="74"/>
      <c r="X121" s="75"/>
    </row>
    <row r="122" hidden="1">
      <c r="A122" s="76">
        <f t="shared" si="2"/>
        <v>1</v>
      </c>
      <c r="B122" s="77" t="s">
        <v>69</v>
      </c>
      <c r="C122" s="78" t="s">
        <v>588</v>
      </c>
      <c r="D122" s="79">
        <v>45938.0</v>
      </c>
      <c r="E122" s="80" t="s">
        <v>71</v>
      </c>
      <c r="F122" s="81" t="s">
        <v>72</v>
      </c>
      <c r="G122" s="82" t="s">
        <v>589</v>
      </c>
      <c r="H122" s="80" t="s">
        <v>590</v>
      </c>
      <c r="I122" s="80" t="s">
        <v>75</v>
      </c>
      <c r="J122" s="80" t="s">
        <v>171</v>
      </c>
      <c r="K122" s="80" t="s">
        <v>172</v>
      </c>
      <c r="L122" s="80" t="s">
        <v>105</v>
      </c>
      <c r="M122" s="80" t="s">
        <v>79</v>
      </c>
      <c r="N122" s="81">
        <v>40.0</v>
      </c>
      <c r="O122" s="81">
        <v>25.0</v>
      </c>
      <c r="P122" s="87">
        <v>1000.0</v>
      </c>
      <c r="Q122" s="122">
        <v>45946.0</v>
      </c>
      <c r="R122" s="83" t="s">
        <v>173</v>
      </c>
      <c r="S122" s="112">
        <v>45939.0</v>
      </c>
      <c r="T122" s="80" t="s">
        <v>591</v>
      </c>
      <c r="U122" s="80" t="s">
        <v>134</v>
      </c>
      <c r="V122" s="85"/>
      <c r="W122" s="85"/>
      <c r="X122" s="75"/>
    </row>
    <row r="123" hidden="1">
      <c r="A123" s="64">
        <f t="shared" si="2"/>
        <v>2</v>
      </c>
      <c r="B123" s="65" t="s">
        <v>69</v>
      </c>
      <c r="C123" s="66" t="s">
        <v>592</v>
      </c>
      <c r="D123" s="67">
        <v>45938.0</v>
      </c>
      <c r="E123" s="15" t="s">
        <v>71</v>
      </c>
      <c r="F123" s="68" t="s">
        <v>72</v>
      </c>
      <c r="G123" s="69" t="s">
        <v>593</v>
      </c>
      <c r="H123" s="15" t="s">
        <v>284</v>
      </c>
      <c r="I123" s="15" t="s">
        <v>75</v>
      </c>
      <c r="J123" s="15" t="s">
        <v>157</v>
      </c>
      <c r="K123" s="15" t="s">
        <v>285</v>
      </c>
      <c r="L123" s="15" t="s">
        <v>105</v>
      </c>
      <c r="M123" s="15" t="s">
        <v>79</v>
      </c>
      <c r="N123" s="68">
        <v>40.0</v>
      </c>
      <c r="O123" s="68">
        <v>25.0</v>
      </c>
      <c r="P123" s="70">
        <v>1000.0</v>
      </c>
      <c r="Q123" s="122">
        <v>45946.0</v>
      </c>
      <c r="R123" s="72" t="s">
        <v>205</v>
      </c>
      <c r="S123" s="111">
        <v>45939.0</v>
      </c>
      <c r="T123" s="15" t="s">
        <v>594</v>
      </c>
      <c r="U123" s="15" t="s">
        <v>134</v>
      </c>
      <c r="V123" s="74"/>
      <c r="W123" s="74"/>
      <c r="X123" s="75"/>
    </row>
    <row r="124" hidden="1">
      <c r="A124" s="76">
        <f t="shared" si="2"/>
        <v>3</v>
      </c>
      <c r="B124" s="77" t="s">
        <v>69</v>
      </c>
      <c r="C124" s="78" t="s">
        <v>595</v>
      </c>
      <c r="D124" s="79">
        <v>45938.0</v>
      </c>
      <c r="E124" s="80" t="s">
        <v>71</v>
      </c>
      <c r="F124" s="81" t="s">
        <v>72</v>
      </c>
      <c r="G124" s="82" t="s">
        <v>596</v>
      </c>
      <c r="H124" s="80" t="s">
        <v>597</v>
      </c>
      <c r="I124" s="80" t="s">
        <v>75</v>
      </c>
      <c r="J124" s="80" t="s">
        <v>598</v>
      </c>
      <c r="K124" s="80" t="s">
        <v>599</v>
      </c>
      <c r="L124" s="80" t="s">
        <v>600</v>
      </c>
      <c r="M124" s="80" t="s">
        <v>132</v>
      </c>
      <c r="N124" s="81">
        <v>20.0</v>
      </c>
      <c r="O124" s="81">
        <v>29.0</v>
      </c>
      <c r="P124" s="81">
        <v>580.0</v>
      </c>
      <c r="Q124" s="122">
        <v>45944.0</v>
      </c>
      <c r="R124" s="125" t="s">
        <v>601</v>
      </c>
      <c r="S124" s="112">
        <v>45939.0</v>
      </c>
      <c r="T124" s="80" t="s">
        <v>602</v>
      </c>
      <c r="U124" s="80" t="s">
        <v>134</v>
      </c>
      <c r="V124" s="85"/>
      <c r="W124" s="85"/>
      <c r="X124" s="75"/>
    </row>
    <row r="125" hidden="1">
      <c r="A125" s="64">
        <f t="shared" si="2"/>
        <v>4</v>
      </c>
      <c r="B125" s="65" t="s">
        <v>69</v>
      </c>
      <c r="C125" s="66" t="s">
        <v>603</v>
      </c>
      <c r="D125" s="67">
        <v>45939.0</v>
      </c>
      <c r="E125" s="15" t="s">
        <v>71</v>
      </c>
      <c r="F125" s="68" t="s">
        <v>72</v>
      </c>
      <c r="G125" s="69" t="s">
        <v>471</v>
      </c>
      <c r="H125" s="15" t="s">
        <v>604</v>
      </c>
      <c r="I125" s="15" t="s">
        <v>75</v>
      </c>
      <c r="J125" s="15" t="s">
        <v>148</v>
      </c>
      <c r="K125" s="15" t="s">
        <v>473</v>
      </c>
      <c r="L125" s="15" t="s">
        <v>105</v>
      </c>
      <c r="M125" s="15" t="s">
        <v>166</v>
      </c>
      <c r="N125" s="68">
        <v>4.0</v>
      </c>
      <c r="O125" s="68">
        <v>5.0</v>
      </c>
      <c r="P125" s="68">
        <v>20.0</v>
      </c>
      <c r="Q125" s="122">
        <v>45945.0</v>
      </c>
      <c r="R125" s="72" t="s">
        <v>177</v>
      </c>
      <c r="S125" s="111">
        <v>45939.0</v>
      </c>
      <c r="T125" s="15" t="s">
        <v>605</v>
      </c>
      <c r="U125" s="15" t="s">
        <v>134</v>
      </c>
      <c r="V125" s="74"/>
      <c r="W125" s="74"/>
      <c r="X125" s="75"/>
    </row>
    <row r="126" hidden="1">
      <c r="A126" s="76">
        <f t="shared" si="2"/>
        <v>5</v>
      </c>
      <c r="B126" s="77" t="s">
        <v>69</v>
      </c>
      <c r="C126" s="78" t="s">
        <v>606</v>
      </c>
      <c r="D126" s="79">
        <v>45939.0</v>
      </c>
      <c r="E126" s="80" t="s">
        <v>71</v>
      </c>
      <c r="F126" s="81" t="s">
        <v>72</v>
      </c>
      <c r="G126" s="82" t="s">
        <v>607</v>
      </c>
      <c r="H126" s="80" t="s">
        <v>608</v>
      </c>
      <c r="I126" s="80" t="s">
        <v>75</v>
      </c>
      <c r="J126" s="80" t="s">
        <v>88</v>
      </c>
      <c r="K126" s="80" t="s">
        <v>433</v>
      </c>
      <c r="L126" s="80" t="s">
        <v>90</v>
      </c>
      <c r="M126" s="80" t="s">
        <v>79</v>
      </c>
      <c r="N126" s="81">
        <v>20.0</v>
      </c>
      <c r="O126" s="81">
        <v>5.0</v>
      </c>
      <c r="P126" s="81">
        <v>100.0</v>
      </c>
      <c r="Q126" s="122">
        <v>45944.0</v>
      </c>
      <c r="R126" s="83" t="s">
        <v>270</v>
      </c>
      <c r="S126" s="112">
        <v>45939.0</v>
      </c>
      <c r="T126" s="80" t="s">
        <v>609</v>
      </c>
      <c r="U126" s="80" t="s">
        <v>134</v>
      </c>
      <c r="V126" s="85"/>
      <c r="W126" s="85"/>
      <c r="X126" s="75"/>
    </row>
    <row r="127" hidden="1">
      <c r="A127" s="64">
        <f t="shared" si="2"/>
        <v>6</v>
      </c>
      <c r="B127" s="65" t="s">
        <v>69</v>
      </c>
      <c r="C127" s="66" t="s">
        <v>610</v>
      </c>
      <c r="D127" s="67">
        <v>45939.0</v>
      </c>
      <c r="E127" s="15" t="s">
        <v>71</v>
      </c>
      <c r="F127" s="68" t="s">
        <v>72</v>
      </c>
      <c r="G127" s="69" t="s">
        <v>611</v>
      </c>
      <c r="H127" s="15" t="s">
        <v>612</v>
      </c>
      <c r="I127" s="15" t="s">
        <v>75</v>
      </c>
      <c r="J127" s="15" t="s">
        <v>140</v>
      </c>
      <c r="K127" s="15" t="s">
        <v>613</v>
      </c>
      <c r="L127" s="15" t="s">
        <v>105</v>
      </c>
      <c r="M127" s="15" t="s">
        <v>79</v>
      </c>
      <c r="N127" s="68">
        <v>40.0</v>
      </c>
      <c r="O127" s="68">
        <v>10.0</v>
      </c>
      <c r="P127" s="68">
        <v>400.0</v>
      </c>
      <c r="Q127" s="122">
        <v>45947.0</v>
      </c>
      <c r="R127" s="72" t="s">
        <v>614</v>
      </c>
      <c r="S127" s="111">
        <v>45939.0</v>
      </c>
      <c r="T127" s="15" t="s">
        <v>615</v>
      </c>
      <c r="U127" s="15" t="s">
        <v>134</v>
      </c>
      <c r="V127" s="74"/>
      <c r="W127" s="74"/>
      <c r="X127" s="75"/>
    </row>
    <row r="128" hidden="1">
      <c r="A128" s="76">
        <f t="shared" si="2"/>
        <v>1</v>
      </c>
      <c r="B128" s="77" t="s">
        <v>69</v>
      </c>
      <c r="C128" s="78" t="s">
        <v>616</v>
      </c>
      <c r="D128" s="117">
        <v>45940.0</v>
      </c>
      <c r="E128" s="80" t="s">
        <v>71</v>
      </c>
      <c r="F128" s="81" t="s">
        <v>72</v>
      </c>
      <c r="G128" s="126" t="s">
        <v>617</v>
      </c>
      <c r="H128" s="80" t="s">
        <v>618</v>
      </c>
      <c r="I128" s="80" t="s">
        <v>75</v>
      </c>
      <c r="J128" s="80" t="s">
        <v>619</v>
      </c>
      <c r="K128" s="80" t="s">
        <v>620</v>
      </c>
      <c r="L128" s="80" t="s">
        <v>105</v>
      </c>
      <c r="M128" s="80" t="s">
        <v>79</v>
      </c>
      <c r="N128" s="81">
        <v>40.0</v>
      </c>
      <c r="O128" s="81">
        <v>25.0</v>
      </c>
      <c r="P128" s="87">
        <v>1000.0</v>
      </c>
      <c r="Q128" s="122">
        <v>45949.0</v>
      </c>
      <c r="R128" s="83" t="s">
        <v>414</v>
      </c>
      <c r="S128" s="96">
        <v>45941.0</v>
      </c>
      <c r="T128" s="80" t="s">
        <v>621</v>
      </c>
      <c r="U128" s="80" t="s">
        <v>144</v>
      </c>
      <c r="V128" s="85"/>
      <c r="W128" s="85"/>
      <c r="X128" s="75"/>
    </row>
    <row r="129" hidden="1">
      <c r="A129" s="64">
        <f t="shared" si="2"/>
        <v>2</v>
      </c>
      <c r="B129" s="65" t="s">
        <v>69</v>
      </c>
      <c r="C129" s="66" t="s">
        <v>622</v>
      </c>
      <c r="D129" s="105">
        <v>45940.0</v>
      </c>
      <c r="E129" s="15" t="s">
        <v>71</v>
      </c>
      <c r="F129" s="68" t="s">
        <v>72</v>
      </c>
      <c r="G129" s="69" t="s">
        <v>623</v>
      </c>
      <c r="H129" s="15" t="s">
        <v>624</v>
      </c>
      <c r="I129" s="15" t="s">
        <v>75</v>
      </c>
      <c r="J129" s="15" t="s">
        <v>88</v>
      </c>
      <c r="K129" s="15" t="s">
        <v>625</v>
      </c>
      <c r="L129" s="15" t="s">
        <v>105</v>
      </c>
      <c r="M129" s="15" t="s">
        <v>79</v>
      </c>
      <c r="N129" s="68">
        <v>20.0</v>
      </c>
      <c r="O129" s="68">
        <v>5.0</v>
      </c>
      <c r="P129" s="68">
        <v>100.0</v>
      </c>
      <c r="Q129" s="122">
        <v>45945.0</v>
      </c>
      <c r="R129" s="72" t="s">
        <v>550</v>
      </c>
      <c r="S129" s="104">
        <v>45941.0</v>
      </c>
      <c r="T129" s="15" t="s">
        <v>626</v>
      </c>
      <c r="U129" s="15" t="s">
        <v>134</v>
      </c>
      <c r="V129" s="74"/>
      <c r="W129" s="74"/>
      <c r="X129" s="75"/>
    </row>
    <row r="130" hidden="1">
      <c r="A130" s="76">
        <f t="shared" si="2"/>
        <v>3</v>
      </c>
      <c r="B130" s="77" t="s">
        <v>69</v>
      </c>
      <c r="C130" s="78" t="s">
        <v>627</v>
      </c>
      <c r="D130" s="117">
        <v>45940.0</v>
      </c>
      <c r="E130" s="80" t="s">
        <v>71</v>
      </c>
      <c r="F130" s="81" t="s">
        <v>72</v>
      </c>
      <c r="G130" s="82" t="s">
        <v>448</v>
      </c>
      <c r="H130" s="80" t="s">
        <v>449</v>
      </c>
      <c r="I130" s="80" t="s">
        <v>75</v>
      </c>
      <c r="J130" s="80" t="s">
        <v>88</v>
      </c>
      <c r="K130" s="80" t="s">
        <v>628</v>
      </c>
      <c r="L130" s="80" t="s">
        <v>105</v>
      </c>
      <c r="M130" s="80" t="s">
        <v>79</v>
      </c>
      <c r="N130" s="81">
        <v>20.0</v>
      </c>
      <c r="O130" s="81">
        <v>5.0</v>
      </c>
      <c r="P130" s="81">
        <v>100.0</v>
      </c>
      <c r="Q130" s="122">
        <v>45946.0</v>
      </c>
      <c r="R130" s="83" t="s">
        <v>254</v>
      </c>
      <c r="S130" s="96">
        <v>45941.0</v>
      </c>
      <c r="T130" s="80" t="s">
        <v>629</v>
      </c>
      <c r="U130" s="80" t="s">
        <v>134</v>
      </c>
      <c r="V130" s="85"/>
      <c r="W130" s="85"/>
      <c r="X130" s="75"/>
    </row>
    <row r="131" hidden="1">
      <c r="A131" s="64">
        <f t="shared" si="2"/>
        <v>4</v>
      </c>
      <c r="B131" s="65" t="s">
        <v>69</v>
      </c>
      <c r="C131" s="66" t="s">
        <v>630</v>
      </c>
      <c r="D131" s="105">
        <v>45940.0</v>
      </c>
      <c r="E131" s="15" t="s">
        <v>71</v>
      </c>
      <c r="F131" s="68" t="s">
        <v>72</v>
      </c>
      <c r="G131" s="69" t="s">
        <v>631</v>
      </c>
      <c r="H131" s="15" t="s">
        <v>632</v>
      </c>
      <c r="I131" s="15" t="s">
        <v>75</v>
      </c>
      <c r="J131" s="15" t="s">
        <v>88</v>
      </c>
      <c r="K131" s="15" t="s">
        <v>633</v>
      </c>
      <c r="L131" s="15" t="s">
        <v>105</v>
      </c>
      <c r="M131" s="15" t="s">
        <v>79</v>
      </c>
      <c r="N131" s="68">
        <v>20.0</v>
      </c>
      <c r="O131" s="68">
        <v>10.0</v>
      </c>
      <c r="P131" s="68">
        <v>200.0</v>
      </c>
      <c r="Q131" s="122">
        <v>45954.0</v>
      </c>
      <c r="R131" s="72" t="s">
        <v>254</v>
      </c>
      <c r="S131" s="104">
        <v>45941.0</v>
      </c>
      <c r="T131" s="15" t="s">
        <v>634</v>
      </c>
      <c r="U131" s="15" t="s">
        <v>134</v>
      </c>
      <c r="V131" s="74"/>
      <c r="W131" s="74"/>
      <c r="X131" s="75"/>
    </row>
    <row r="132" hidden="1">
      <c r="A132" s="76">
        <f t="shared" si="2"/>
        <v>5</v>
      </c>
      <c r="B132" s="77" t="s">
        <v>69</v>
      </c>
      <c r="C132" s="78" t="s">
        <v>635</v>
      </c>
      <c r="D132" s="117">
        <v>45941.0</v>
      </c>
      <c r="E132" s="86"/>
      <c r="F132" s="81" t="s">
        <v>636</v>
      </c>
      <c r="G132" s="82" t="s">
        <v>637</v>
      </c>
      <c r="H132" s="80" t="s">
        <v>638</v>
      </c>
      <c r="I132" s="80" t="s">
        <v>75</v>
      </c>
      <c r="J132" s="80" t="s">
        <v>361</v>
      </c>
      <c r="K132" s="80" t="s">
        <v>362</v>
      </c>
      <c r="L132" s="80" t="s">
        <v>183</v>
      </c>
      <c r="M132" s="80" t="s">
        <v>79</v>
      </c>
      <c r="N132" s="81">
        <v>40.0</v>
      </c>
      <c r="O132" s="81">
        <v>10.0</v>
      </c>
      <c r="P132" s="81">
        <v>400.0</v>
      </c>
      <c r="Q132" s="122">
        <v>45948.0</v>
      </c>
      <c r="R132" s="83" t="s">
        <v>363</v>
      </c>
      <c r="S132" s="96">
        <v>45941.0</v>
      </c>
      <c r="T132" s="80" t="s">
        <v>639</v>
      </c>
      <c r="U132" s="80" t="s">
        <v>134</v>
      </c>
      <c r="V132" s="85"/>
      <c r="W132" s="85"/>
      <c r="X132" s="75"/>
    </row>
    <row r="133" hidden="1">
      <c r="A133" s="64">
        <f t="shared" si="2"/>
        <v>1</v>
      </c>
      <c r="B133" s="65" t="s">
        <v>69</v>
      </c>
      <c r="C133" s="66" t="s">
        <v>640</v>
      </c>
      <c r="D133" s="105">
        <v>45941.0</v>
      </c>
      <c r="E133" s="15" t="s">
        <v>71</v>
      </c>
      <c r="F133" s="68" t="s">
        <v>72</v>
      </c>
      <c r="G133" s="69" t="s">
        <v>641</v>
      </c>
      <c r="H133" s="15" t="s">
        <v>642</v>
      </c>
      <c r="I133" s="15" t="s">
        <v>75</v>
      </c>
      <c r="J133" s="15" t="s">
        <v>88</v>
      </c>
      <c r="K133" s="15" t="s">
        <v>643</v>
      </c>
      <c r="L133" s="15" t="s">
        <v>105</v>
      </c>
      <c r="M133" s="15" t="s">
        <v>79</v>
      </c>
      <c r="N133" s="68">
        <v>20.0</v>
      </c>
      <c r="O133" s="68">
        <v>5.0</v>
      </c>
      <c r="P133" s="68">
        <v>100.0</v>
      </c>
      <c r="Q133" s="122">
        <v>45949.0</v>
      </c>
      <c r="R133" s="72" t="s">
        <v>254</v>
      </c>
      <c r="S133" s="111">
        <v>45943.0</v>
      </c>
      <c r="T133" s="15" t="s">
        <v>644</v>
      </c>
      <c r="U133" s="15" t="s">
        <v>134</v>
      </c>
      <c r="V133" s="74"/>
      <c r="W133" s="74"/>
      <c r="X133" s="75"/>
    </row>
    <row r="134" hidden="1">
      <c r="A134" s="76">
        <f t="shared" si="2"/>
        <v>2</v>
      </c>
      <c r="B134" s="77" t="s">
        <v>69</v>
      </c>
      <c r="C134" s="78" t="s">
        <v>645</v>
      </c>
      <c r="D134" s="117">
        <v>45943.0</v>
      </c>
      <c r="E134" s="80" t="s">
        <v>71</v>
      </c>
      <c r="F134" s="81" t="s">
        <v>72</v>
      </c>
      <c r="G134" s="82" t="s">
        <v>646</v>
      </c>
      <c r="H134" s="80" t="s">
        <v>647</v>
      </c>
      <c r="I134" s="80" t="s">
        <v>75</v>
      </c>
      <c r="J134" s="80" t="s">
        <v>88</v>
      </c>
      <c r="K134" s="80" t="s">
        <v>648</v>
      </c>
      <c r="L134" s="80" t="s">
        <v>90</v>
      </c>
      <c r="M134" s="80" t="s">
        <v>79</v>
      </c>
      <c r="N134" s="81">
        <v>20.0</v>
      </c>
      <c r="O134" s="81">
        <v>10.0</v>
      </c>
      <c r="P134" s="81">
        <v>200.0</v>
      </c>
      <c r="Q134" s="122">
        <v>45950.0</v>
      </c>
      <c r="R134" s="83" t="s">
        <v>270</v>
      </c>
      <c r="S134" s="112">
        <v>45943.0</v>
      </c>
      <c r="T134" s="80" t="s">
        <v>649</v>
      </c>
      <c r="U134" s="80" t="s">
        <v>134</v>
      </c>
      <c r="V134" s="85"/>
      <c r="W134" s="85"/>
      <c r="X134" s="75"/>
    </row>
    <row r="135" hidden="1">
      <c r="A135" s="64">
        <f t="shared" si="2"/>
        <v>3</v>
      </c>
      <c r="B135" s="65" t="s">
        <v>69</v>
      </c>
      <c r="C135" s="66" t="s">
        <v>650</v>
      </c>
      <c r="D135" s="105">
        <v>45943.0</v>
      </c>
      <c r="E135" s="15" t="s">
        <v>71</v>
      </c>
      <c r="F135" s="68" t="s">
        <v>72</v>
      </c>
      <c r="G135" s="69" t="s">
        <v>641</v>
      </c>
      <c r="H135" s="15" t="s">
        <v>642</v>
      </c>
      <c r="I135" s="15" t="s">
        <v>75</v>
      </c>
      <c r="J135" s="15" t="s">
        <v>88</v>
      </c>
      <c r="K135" s="15" t="s">
        <v>643</v>
      </c>
      <c r="L135" s="15" t="s">
        <v>105</v>
      </c>
      <c r="M135" s="15" t="s">
        <v>79</v>
      </c>
      <c r="N135" s="68">
        <v>20.0</v>
      </c>
      <c r="O135" s="68">
        <v>5.0</v>
      </c>
      <c r="P135" s="68">
        <v>100.0</v>
      </c>
      <c r="Q135" s="122">
        <v>45949.0</v>
      </c>
      <c r="R135" s="72" t="s">
        <v>254</v>
      </c>
      <c r="S135" s="111">
        <v>45943.0</v>
      </c>
      <c r="T135" s="15" t="s">
        <v>644</v>
      </c>
      <c r="U135" s="15" t="s">
        <v>134</v>
      </c>
      <c r="V135" s="74"/>
      <c r="W135" s="74"/>
      <c r="X135" s="75"/>
    </row>
    <row r="136" hidden="1">
      <c r="A136" s="76">
        <f t="shared" si="2"/>
        <v>1</v>
      </c>
      <c r="B136" s="77" t="s">
        <v>69</v>
      </c>
      <c r="C136" s="78" t="s">
        <v>651</v>
      </c>
      <c r="D136" s="117">
        <v>45944.0</v>
      </c>
      <c r="E136" s="80" t="s">
        <v>71</v>
      </c>
      <c r="F136" s="81" t="s">
        <v>72</v>
      </c>
      <c r="G136" s="82" t="s">
        <v>652</v>
      </c>
      <c r="H136" s="80" t="s">
        <v>653</v>
      </c>
      <c r="I136" s="80" t="s">
        <v>75</v>
      </c>
      <c r="J136" s="80" t="s">
        <v>88</v>
      </c>
      <c r="K136" s="80" t="s">
        <v>654</v>
      </c>
      <c r="L136" s="80" t="s">
        <v>105</v>
      </c>
      <c r="M136" s="80" t="s">
        <v>79</v>
      </c>
      <c r="N136" s="81">
        <v>40.0</v>
      </c>
      <c r="O136" s="81">
        <v>15.0</v>
      </c>
      <c r="P136" s="81">
        <v>600.0</v>
      </c>
      <c r="Q136" s="122">
        <v>45950.0</v>
      </c>
      <c r="R136" s="83" t="s">
        <v>523</v>
      </c>
      <c r="S136" s="96">
        <v>45944.0</v>
      </c>
      <c r="T136" s="80" t="s">
        <v>655</v>
      </c>
      <c r="U136" s="80" t="s">
        <v>134</v>
      </c>
      <c r="V136" s="85"/>
      <c r="W136" s="85"/>
      <c r="X136" s="75"/>
    </row>
    <row r="137" hidden="1">
      <c r="A137" s="64">
        <f t="shared" si="2"/>
        <v>2</v>
      </c>
      <c r="B137" s="65" t="s">
        <v>69</v>
      </c>
      <c r="C137" s="66" t="s">
        <v>656</v>
      </c>
      <c r="D137" s="105">
        <v>45944.0</v>
      </c>
      <c r="E137" s="15" t="s">
        <v>71</v>
      </c>
      <c r="F137" s="68" t="s">
        <v>72</v>
      </c>
      <c r="G137" s="69" t="s">
        <v>657</v>
      </c>
      <c r="H137" s="15" t="s">
        <v>658</v>
      </c>
      <c r="I137" s="15" t="s">
        <v>75</v>
      </c>
      <c r="J137" s="15" t="s">
        <v>279</v>
      </c>
      <c r="K137" s="15" t="s">
        <v>659</v>
      </c>
      <c r="L137" s="15" t="s">
        <v>90</v>
      </c>
      <c r="M137" s="15" t="s">
        <v>166</v>
      </c>
      <c r="N137" s="68">
        <v>4.0</v>
      </c>
      <c r="O137" s="68">
        <v>10.0</v>
      </c>
      <c r="P137" s="68">
        <v>40.0</v>
      </c>
      <c r="Q137" s="122">
        <v>45951.0</v>
      </c>
      <c r="R137" s="72" t="s">
        <v>414</v>
      </c>
      <c r="S137" s="104">
        <v>45944.0</v>
      </c>
      <c r="T137" s="15" t="s">
        <v>660</v>
      </c>
      <c r="U137" s="15" t="s">
        <v>134</v>
      </c>
      <c r="V137" s="74"/>
      <c r="W137" s="74"/>
      <c r="X137" s="75"/>
    </row>
    <row r="138" hidden="1">
      <c r="A138" s="76">
        <f t="shared" si="2"/>
        <v>3</v>
      </c>
      <c r="B138" s="77" t="s">
        <v>69</v>
      </c>
      <c r="C138" s="78" t="s">
        <v>661</v>
      </c>
      <c r="D138" s="117">
        <v>45944.0</v>
      </c>
      <c r="E138" s="80" t="s">
        <v>71</v>
      </c>
      <c r="F138" s="81" t="s">
        <v>72</v>
      </c>
      <c r="G138" s="82" t="s">
        <v>662</v>
      </c>
      <c r="H138" s="80" t="s">
        <v>663</v>
      </c>
      <c r="I138" s="80" t="s">
        <v>75</v>
      </c>
      <c r="J138" s="80" t="s">
        <v>88</v>
      </c>
      <c r="K138" s="80" t="s">
        <v>664</v>
      </c>
      <c r="L138" s="80" t="s">
        <v>105</v>
      </c>
      <c r="M138" s="80" t="s">
        <v>79</v>
      </c>
      <c r="N138" s="81">
        <v>20.0</v>
      </c>
      <c r="O138" s="81">
        <v>20.0</v>
      </c>
      <c r="P138" s="81">
        <v>400.0</v>
      </c>
      <c r="Q138" s="122">
        <v>45951.0</v>
      </c>
      <c r="R138" s="83" t="s">
        <v>290</v>
      </c>
      <c r="S138" s="96">
        <v>45944.0</v>
      </c>
      <c r="T138" s="80" t="s">
        <v>665</v>
      </c>
      <c r="U138" s="80" t="s">
        <v>134</v>
      </c>
      <c r="V138" s="85"/>
      <c r="W138" s="85"/>
      <c r="X138" s="75"/>
    </row>
    <row r="139" hidden="1">
      <c r="A139" s="64">
        <f t="shared" si="2"/>
        <v>4</v>
      </c>
      <c r="B139" s="65" t="s">
        <v>69</v>
      </c>
      <c r="C139" s="66" t="s">
        <v>666</v>
      </c>
      <c r="D139" s="105">
        <v>45944.0</v>
      </c>
      <c r="E139" s="15" t="s">
        <v>71</v>
      </c>
      <c r="F139" s="68" t="s">
        <v>72</v>
      </c>
      <c r="G139" s="69" t="s">
        <v>667</v>
      </c>
      <c r="H139" s="15" t="s">
        <v>668</v>
      </c>
      <c r="I139" s="15" t="s">
        <v>75</v>
      </c>
      <c r="J139" s="15" t="s">
        <v>157</v>
      </c>
      <c r="K139" s="15" t="s">
        <v>204</v>
      </c>
      <c r="L139" s="15" t="s">
        <v>105</v>
      </c>
      <c r="M139" s="15" t="s">
        <v>79</v>
      </c>
      <c r="N139" s="68">
        <v>20.0</v>
      </c>
      <c r="O139" s="68">
        <v>20.0</v>
      </c>
      <c r="P139" s="68">
        <v>400.0</v>
      </c>
      <c r="Q139" s="122">
        <v>45956.0</v>
      </c>
      <c r="R139" s="72" t="s">
        <v>205</v>
      </c>
      <c r="S139" s="104">
        <v>45944.0</v>
      </c>
      <c r="T139" s="15" t="s">
        <v>669</v>
      </c>
      <c r="U139" s="15" t="s">
        <v>134</v>
      </c>
      <c r="V139" s="74"/>
      <c r="W139" s="74"/>
      <c r="X139" s="75"/>
    </row>
    <row r="140" hidden="1">
      <c r="A140" s="76">
        <f t="shared" si="2"/>
        <v>1</v>
      </c>
      <c r="B140" s="77" t="s">
        <v>69</v>
      </c>
      <c r="C140" s="78" t="s">
        <v>670</v>
      </c>
      <c r="D140" s="117">
        <v>45944.0</v>
      </c>
      <c r="E140" s="86"/>
      <c r="F140" s="81" t="s">
        <v>186</v>
      </c>
      <c r="G140" s="82" t="s">
        <v>187</v>
      </c>
      <c r="H140" s="80" t="s">
        <v>188</v>
      </c>
      <c r="I140" s="80" t="s">
        <v>75</v>
      </c>
      <c r="J140" s="80" t="s">
        <v>189</v>
      </c>
      <c r="K140" s="80" t="s">
        <v>112</v>
      </c>
      <c r="L140" s="80" t="s">
        <v>90</v>
      </c>
      <c r="M140" s="80" t="s">
        <v>79</v>
      </c>
      <c r="N140" s="81">
        <v>40.0</v>
      </c>
      <c r="O140" s="81">
        <v>25.0</v>
      </c>
      <c r="P140" s="87">
        <v>1000.0</v>
      </c>
      <c r="Q140" s="122">
        <v>45952.0</v>
      </c>
      <c r="R140" s="83" t="s">
        <v>115</v>
      </c>
      <c r="S140" s="112">
        <v>45945.0</v>
      </c>
      <c r="T140" s="80" t="s">
        <v>671</v>
      </c>
      <c r="U140" s="80" t="s">
        <v>134</v>
      </c>
      <c r="V140" s="85"/>
      <c r="W140" s="85"/>
      <c r="X140" s="75"/>
    </row>
    <row r="141" hidden="1">
      <c r="A141" s="64">
        <f t="shared" si="2"/>
        <v>2</v>
      </c>
      <c r="B141" s="65" t="s">
        <v>69</v>
      </c>
      <c r="C141" s="66" t="s">
        <v>672</v>
      </c>
      <c r="D141" s="105">
        <v>45944.0</v>
      </c>
      <c r="E141" s="16"/>
      <c r="F141" s="68" t="s">
        <v>186</v>
      </c>
      <c r="G141" s="69" t="s">
        <v>117</v>
      </c>
      <c r="H141" s="15" t="s">
        <v>118</v>
      </c>
      <c r="I141" s="15" t="s">
        <v>75</v>
      </c>
      <c r="J141" s="15" t="s">
        <v>189</v>
      </c>
      <c r="K141" s="15" t="s">
        <v>112</v>
      </c>
      <c r="L141" s="15" t="s">
        <v>90</v>
      </c>
      <c r="M141" s="15" t="s">
        <v>79</v>
      </c>
      <c r="N141" s="68">
        <v>40.0</v>
      </c>
      <c r="O141" s="68">
        <v>25.0</v>
      </c>
      <c r="P141" s="70">
        <v>1000.0</v>
      </c>
      <c r="Q141" s="122">
        <v>45961.0</v>
      </c>
      <c r="R141" s="72" t="s">
        <v>115</v>
      </c>
      <c r="S141" s="111">
        <v>45945.0</v>
      </c>
      <c r="T141" s="15" t="s">
        <v>671</v>
      </c>
      <c r="U141" s="15" t="s">
        <v>134</v>
      </c>
      <c r="V141" s="74"/>
      <c r="W141" s="74"/>
      <c r="X141" s="75"/>
    </row>
    <row r="142" hidden="1">
      <c r="A142" s="76">
        <f t="shared" si="2"/>
        <v>3</v>
      </c>
      <c r="B142" s="77" t="s">
        <v>69</v>
      </c>
      <c r="C142" s="78" t="s">
        <v>673</v>
      </c>
      <c r="D142" s="117">
        <v>45945.0</v>
      </c>
      <c r="E142" s="80" t="s">
        <v>71</v>
      </c>
      <c r="F142" s="81" t="s">
        <v>72</v>
      </c>
      <c r="G142" s="82" t="s">
        <v>471</v>
      </c>
      <c r="H142" s="80" t="s">
        <v>604</v>
      </c>
      <c r="I142" s="80" t="s">
        <v>75</v>
      </c>
      <c r="J142" s="80" t="s">
        <v>148</v>
      </c>
      <c r="K142" s="80" t="s">
        <v>473</v>
      </c>
      <c r="L142" s="80" t="s">
        <v>105</v>
      </c>
      <c r="M142" s="80" t="s">
        <v>166</v>
      </c>
      <c r="N142" s="81">
        <v>4.0</v>
      </c>
      <c r="O142" s="81">
        <v>5.0</v>
      </c>
      <c r="P142" s="81">
        <v>20.0</v>
      </c>
      <c r="Q142" s="122">
        <v>45951.0</v>
      </c>
      <c r="R142" s="83" t="s">
        <v>674</v>
      </c>
      <c r="S142" s="112">
        <v>45945.0</v>
      </c>
      <c r="T142" s="80" t="s">
        <v>675</v>
      </c>
      <c r="U142" s="80" t="s">
        <v>134</v>
      </c>
      <c r="V142" s="85"/>
      <c r="W142" s="85"/>
      <c r="X142" s="75"/>
    </row>
    <row r="143" hidden="1">
      <c r="A143" s="64">
        <f t="shared" si="2"/>
        <v>1</v>
      </c>
      <c r="B143" s="65" t="s">
        <v>69</v>
      </c>
      <c r="C143" s="66" t="s">
        <v>676</v>
      </c>
      <c r="D143" s="105">
        <v>45946.0</v>
      </c>
      <c r="E143" s="15" t="s">
        <v>71</v>
      </c>
      <c r="F143" s="68" t="s">
        <v>72</v>
      </c>
      <c r="G143" s="69" t="s">
        <v>611</v>
      </c>
      <c r="H143" s="15" t="s">
        <v>677</v>
      </c>
      <c r="I143" s="15" t="s">
        <v>75</v>
      </c>
      <c r="J143" s="15" t="s">
        <v>140</v>
      </c>
      <c r="K143" s="15" t="s">
        <v>613</v>
      </c>
      <c r="L143" s="15" t="s">
        <v>105</v>
      </c>
      <c r="M143" s="15" t="s">
        <v>79</v>
      </c>
      <c r="N143" s="68">
        <v>40.0</v>
      </c>
      <c r="O143" s="68">
        <v>10.0</v>
      </c>
      <c r="P143" s="68">
        <v>400.0</v>
      </c>
      <c r="Q143" s="122">
        <v>45947.0</v>
      </c>
      <c r="R143" s="72" t="s">
        <v>614</v>
      </c>
      <c r="S143" s="111">
        <v>45946.0</v>
      </c>
      <c r="T143" s="74"/>
      <c r="U143" s="15" t="s">
        <v>134</v>
      </c>
      <c r="V143" s="74"/>
      <c r="W143" s="74"/>
      <c r="X143" s="75"/>
    </row>
    <row r="144" hidden="1">
      <c r="A144" s="76">
        <f t="shared" si="2"/>
        <v>2</v>
      </c>
      <c r="B144" s="77" t="s">
        <v>69</v>
      </c>
      <c r="C144" s="78" t="s">
        <v>678</v>
      </c>
      <c r="D144" s="117">
        <v>45946.0</v>
      </c>
      <c r="E144" s="80" t="s">
        <v>71</v>
      </c>
      <c r="F144" s="81" t="s">
        <v>72</v>
      </c>
      <c r="G144" s="82" t="s">
        <v>679</v>
      </c>
      <c r="H144" s="80" t="s">
        <v>680</v>
      </c>
      <c r="I144" s="80" t="s">
        <v>75</v>
      </c>
      <c r="J144" s="80" t="s">
        <v>598</v>
      </c>
      <c r="K144" s="80" t="s">
        <v>681</v>
      </c>
      <c r="L144" s="80" t="s">
        <v>682</v>
      </c>
      <c r="M144" s="80" t="s">
        <v>132</v>
      </c>
      <c r="N144" s="81">
        <v>100.0</v>
      </c>
      <c r="O144" s="81">
        <v>10.0</v>
      </c>
      <c r="P144" s="87">
        <v>1000.0</v>
      </c>
      <c r="Q144" s="122">
        <v>45955.0</v>
      </c>
      <c r="R144" s="83" t="s">
        <v>683</v>
      </c>
      <c r="S144" s="112">
        <v>45946.0</v>
      </c>
      <c r="T144" s="85"/>
      <c r="U144" s="80" t="s">
        <v>134</v>
      </c>
      <c r="V144" s="85"/>
      <c r="W144" s="85"/>
      <c r="X144" s="75"/>
    </row>
    <row r="145" hidden="1">
      <c r="A145" s="64">
        <f t="shared" si="2"/>
        <v>3</v>
      </c>
      <c r="B145" s="65" t="s">
        <v>69</v>
      </c>
      <c r="C145" s="66" t="s">
        <v>684</v>
      </c>
      <c r="D145" s="105">
        <v>45946.0</v>
      </c>
      <c r="E145" s="16"/>
      <c r="F145" s="68" t="s">
        <v>502</v>
      </c>
      <c r="G145" s="69" t="s">
        <v>316</v>
      </c>
      <c r="H145" s="15" t="s">
        <v>317</v>
      </c>
      <c r="I145" s="15" t="s">
        <v>75</v>
      </c>
      <c r="J145" s="15" t="s">
        <v>123</v>
      </c>
      <c r="K145" s="15" t="s">
        <v>350</v>
      </c>
      <c r="L145" s="15" t="s">
        <v>195</v>
      </c>
      <c r="M145" s="15" t="s">
        <v>79</v>
      </c>
      <c r="N145" s="68">
        <v>40.0</v>
      </c>
      <c r="O145" s="68">
        <v>20.0</v>
      </c>
      <c r="P145" s="68">
        <v>800.0</v>
      </c>
      <c r="Q145" s="122">
        <v>45953.0</v>
      </c>
      <c r="R145" s="72" t="s">
        <v>319</v>
      </c>
      <c r="S145" s="111">
        <v>45946.0</v>
      </c>
      <c r="T145" s="74"/>
      <c r="U145" s="15" t="s">
        <v>134</v>
      </c>
      <c r="V145" s="74"/>
      <c r="W145" s="74"/>
      <c r="X145" s="75"/>
    </row>
    <row r="146" hidden="1">
      <c r="A146" s="76">
        <f t="shared" si="2"/>
        <v>4</v>
      </c>
      <c r="B146" s="77" t="s">
        <v>69</v>
      </c>
      <c r="C146" s="78" t="s">
        <v>685</v>
      </c>
      <c r="D146" s="117">
        <v>45946.0</v>
      </c>
      <c r="E146" s="86"/>
      <c r="F146" s="81" t="s">
        <v>315</v>
      </c>
      <c r="G146" s="82" t="s">
        <v>418</v>
      </c>
      <c r="H146" s="80" t="s">
        <v>560</v>
      </c>
      <c r="I146" s="80" t="s">
        <v>75</v>
      </c>
      <c r="J146" s="80" t="s">
        <v>686</v>
      </c>
      <c r="K146" s="80" t="s">
        <v>562</v>
      </c>
      <c r="L146" s="80" t="s">
        <v>183</v>
      </c>
      <c r="M146" s="80" t="s">
        <v>79</v>
      </c>
      <c r="N146" s="81">
        <v>40.0</v>
      </c>
      <c r="O146" s="81">
        <v>5.0</v>
      </c>
      <c r="P146" s="81">
        <v>200.0</v>
      </c>
      <c r="Q146" s="122">
        <v>45953.0</v>
      </c>
      <c r="R146" s="83" t="s">
        <v>687</v>
      </c>
      <c r="S146" s="96">
        <v>45946.0</v>
      </c>
      <c r="T146" s="80" t="s">
        <v>688</v>
      </c>
      <c r="U146" s="80" t="s">
        <v>134</v>
      </c>
      <c r="V146" s="85"/>
      <c r="W146" s="85"/>
      <c r="X146" s="75"/>
    </row>
    <row r="147" hidden="1">
      <c r="A147" s="64">
        <f t="shared" si="2"/>
        <v>5</v>
      </c>
      <c r="B147" s="65" t="s">
        <v>69</v>
      </c>
      <c r="C147" s="66" t="s">
        <v>689</v>
      </c>
      <c r="D147" s="105">
        <v>45946.0</v>
      </c>
      <c r="E147" s="16"/>
      <c r="F147" s="68" t="s">
        <v>315</v>
      </c>
      <c r="G147" s="69" t="s">
        <v>422</v>
      </c>
      <c r="H147" s="15" t="s">
        <v>690</v>
      </c>
      <c r="I147" s="15" t="s">
        <v>75</v>
      </c>
      <c r="J147" s="15" t="s">
        <v>691</v>
      </c>
      <c r="K147" s="15" t="s">
        <v>425</v>
      </c>
      <c r="L147" s="15" t="s">
        <v>90</v>
      </c>
      <c r="M147" s="15" t="s">
        <v>79</v>
      </c>
      <c r="N147" s="68">
        <v>40.0</v>
      </c>
      <c r="O147" s="68">
        <v>5.0</v>
      </c>
      <c r="P147" s="68">
        <v>200.0</v>
      </c>
      <c r="Q147" s="122">
        <v>45953.0</v>
      </c>
      <c r="R147" s="72" t="s">
        <v>692</v>
      </c>
      <c r="S147" s="111">
        <v>45946.0</v>
      </c>
      <c r="T147" s="74"/>
      <c r="U147" s="15" t="s">
        <v>134</v>
      </c>
      <c r="V147" s="74"/>
      <c r="W147" s="74"/>
      <c r="X147" s="75"/>
    </row>
    <row r="148" hidden="1">
      <c r="A148" s="76">
        <f t="shared" si="2"/>
        <v>6</v>
      </c>
      <c r="B148" s="77" t="s">
        <v>69</v>
      </c>
      <c r="C148" s="78" t="s">
        <v>693</v>
      </c>
      <c r="D148" s="117">
        <v>45946.0</v>
      </c>
      <c r="E148" s="86"/>
      <c r="F148" s="81" t="s">
        <v>636</v>
      </c>
      <c r="G148" s="82" t="s">
        <v>637</v>
      </c>
      <c r="H148" s="80" t="s">
        <v>694</v>
      </c>
      <c r="I148" s="80" t="s">
        <v>75</v>
      </c>
      <c r="J148" s="80" t="s">
        <v>695</v>
      </c>
      <c r="K148" s="80" t="s">
        <v>362</v>
      </c>
      <c r="L148" s="80" t="s">
        <v>183</v>
      </c>
      <c r="M148" s="80" t="s">
        <v>79</v>
      </c>
      <c r="N148" s="81">
        <v>40.0</v>
      </c>
      <c r="O148" s="81">
        <v>10.0</v>
      </c>
      <c r="P148" s="81">
        <v>400.0</v>
      </c>
      <c r="Q148" s="122">
        <v>45953.0</v>
      </c>
      <c r="R148" s="83" t="s">
        <v>363</v>
      </c>
      <c r="S148" s="112">
        <v>45946.0</v>
      </c>
      <c r="T148" s="85"/>
      <c r="U148" s="80" t="s">
        <v>134</v>
      </c>
      <c r="V148" s="85"/>
      <c r="W148" s="85"/>
      <c r="X148" s="75"/>
    </row>
    <row r="149" hidden="1">
      <c r="A149" s="64">
        <f t="shared" si="2"/>
        <v>7</v>
      </c>
      <c r="B149" s="65" t="s">
        <v>69</v>
      </c>
      <c r="C149" s="66" t="s">
        <v>696</v>
      </c>
      <c r="D149" s="105">
        <v>45946.0</v>
      </c>
      <c r="E149" s="16"/>
      <c r="F149" s="68" t="s">
        <v>315</v>
      </c>
      <c r="G149" s="69" t="s">
        <v>410</v>
      </c>
      <c r="H149" s="15" t="s">
        <v>564</v>
      </c>
      <c r="I149" s="15" t="s">
        <v>75</v>
      </c>
      <c r="J149" s="15" t="s">
        <v>697</v>
      </c>
      <c r="K149" s="15" t="s">
        <v>565</v>
      </c>
      <c r="L149" s="15" t="s">
        <v>413</v>
      </c>
      <c r="M149" s="15" t="s">
        <v>79</v>
      </c>
      <c r="N149" s="68">
        <v>40.0</v>
      </c>
      <c r="O149" s="68">
        <v>5.0</v>
      </c>
      <c r="P149" s="68">
        <v>200.0</v>
      </c>
      <c r="Q149" s="122">
        <v>45953.0</v>
      </c>
      <c r="R149" s="72" t="s">
        <v>698</v>
      </c>
      <c r="S149" s="111">
        <v>45946.0</v>
      </c>
      <c r="T149" s="74"/>
      <c r="U149" s="15" t="s">
        <v>134</v>
      </c>
      <c r="V149" s="74"/>
      <c r="W149" s="74"/>
      <c r="X149" s="75"/>
    </row>
    <row r="150" hidden="1">
      <c r="A150" s="76">
        <f t="shared" si="2"/>
        <v>1</v>
      </c>
      <c r="B150" s="77" t="s">
        <v>69</v>
      </c>
      <c r="C150" s="78" t="s">
        <v>699</v>
      </c>
      <c r="D150" s="117">
        <v>45947.0</v>
      </c>
      <c r="E150" s="86"/>
      <c r="F150" s="81" t="s">
        <v>186</v>
      </c>
      <c r="G150" s="82" t="s">
        <v>700</v>
      </c>
      <c r="H150" s="80" t="s">
        <v>701</v>
      </c>
      <c r="I150" s="80" t="s">
        <v>75</v>
      </c>
      <c r="J150" s="80" t="s">
        <v>181</v>
      </c>
      <c r="K150" s="80" t="s">
        <v>702</v>
      </c>
      <c r="L150" s="80" t="s">
        <v>703</v>
      </c>
      <c r="M150" s="80" t="s">
        <v>79</v>
      </c>
      <c r="N150" s="81">
        <v>40.0</v>
      </c>
      <c r="O150" s="81">
        <v>50.0</v>
      </c>
      <c r="P150" s="87">
        <v>2000.0</v>
      </c>
      <c r="Q150" s="122">
        <v>45957.0</v>
      </c>
      <c r="R150" s="83" t="s">
        <v>704</v>
      </c>
      <c r="S150" s="112">
        <v>45947.0</v>
      </c>
      <c r="T150" s="85"/>
      <c r="U150" s="80" t="s">
        <v>134</v>
      </c>
      <c r="V150" s="85"/>
      <c r="W150" s="85"/>
      <c r="X150" s="75"/>
    </row>
    <row r="151" hidden="1">
      <c r="A151" s="64">
        <f t="shared" si="2"/>
        <v>2</v>
      </c>
      <c r="B151" s="65" t="s">
        <v>69</v>
      </c>
      <c r="C151" s="66" t="s">
        <v>705</v>
      </c>
      <c r="D151" s="105">
        <v>45947.0</v>
      </c>
      <c r="E151" s="15" t="s">
        <v>71</v>
      </c>
      <c r="F151" s="68" t="s">
        <v>72</v>
      </c>
      <c r="G151" s="69" t="s">
        <v>706</v>
      </c>
      <c r="H151" s="15" t="s">
        <v>707</v>
      </c>
      <c r="I151" s="15" t="s">
        <v>75</v>
      </c>
      <c r="J151" s="15" t="s">
        <v>88</v>
      </c>
      <c r="K151" s="15" t="s">
        <v>708</v>
      </c>
      <c r="L151" s="15" t="s">
        <v>105</v>
      </c>
      <c r="M151" s="15" t="s">
        <v>79</v>
      </c>
      <c r="N151" s="68">
        <v>20.0</v>
      </c>
      <c r="O151" s="68">
        <v>20.0</v>
      </c>
      <c r="P151" s="68">
        <v>400.0</v>
      </c>
      <c r="Q151" s="122">
        <v>45959.0</v>
      </c>
      <c r="R151" s="72" t="s">
        <v>709</v>
      </c>
      <c r="S151" s="111">
        <v>45947.0</v>
      </c>
      <c r="T151" s="15" t="s">
        <v>710</v>
      </c>
      <c r="U151" s="15" t="s">
        <v>134</v>
      </c>
      <c r="V151" s="74"/>
      <c r="W151" s="74"/>
      <c r="X151" s="75"/>
    </row>
    <row r="152" hidden="1">
      <c r="A152" s="76">
        <f t="shared" si="2"/>
        <v>3</v>
      </c>
      <c r="B152" s="77" t="s">
        <v>69</v>
      </c>
      <c r="C152" s="78" t="s">
        <v>711</v>
      </c>
      <c r="D152" s="117">
        <v>45947.0</v>
      </c>
      <c r="E152" s="80" t="s">
        <v>71</v>
      </c>
      <c r="F152" s="81" t="s">
        <v>72</v>
      </c>
      <c r="G152" s="82" t="s">
        <v>712</v>
      </c>
      <c r="H152" s="80" t="s">
        <v>713</v>
      </c>
      <c r="I152" s="80" t="s">
        <v>75</v>
      </c>
      <c r="J152" s="80" t="s">
        <v>140</v>
      </c>
      <c r="K152" s="80" t="s">
        <v>714</v>
      </c>
      <c r="L152" s="80" t="s">
        <v>715</v>
      </c>
      <c r="M152" s="80" t="s">
        <v>79</v>
      </c>
      <c r="N152" s="81">
        <v>40.0</v>
      </c>
      <c r="O152" s="81">
        <v>10.0</v>
      </c>
      <c r="P152" s="81">
        <v>400.0</v>
      </c>
      <c r="Q152" s="122">
        <v>45959.0</v>
      </c>
      <c r="R152" s="83" t="s">
        <v>716</v>
      </c>
      <c r="S152" s="112">
        <v>45947.0</v>
      </c>
      <c r="T152" s="85"/>
      <c r="U152" s="80" t="s">
        <v>134</v>
      </c>
      <c r="V152" s="85"/>
      <c r="W152" s="85"/>
      <c r="X152" s="75"/>
    </row>
    <row r="153" hidden="1">
      <c r="A153" s="64">
        <f t="shared" si="2"/>
        <v>4</v>
      </c>
      <c r="B153" s="65" t="s">
        <v>69</v>
      </c>
      <c r="C153" s="66" t="s">
        <v>717</v>
      </c>
      <c r="D153" s="105">
        <v>45947.0</v>
      </c>
      <c r="E153" s="15" t="s">
        <v>71</v>
      </c>
      <c r="F153" s="68" t="s">
        <v>72</v>
      </c>
      <c r="G153" s="69" t="s">
        <v>718</v>
      </c>
      <c r="H153" s="15" t="s">
        <v>719</v>
      </c>
      <c r="I153" s="15" t="s">
        <v>75</v>
      </c>
      <c r="J153" s="15" t="s">
        <v>157</v>
      </c>
      <c r="K153" s="15" t="s">
        <v>720</v>
      </c>
      <c r="L153" s="15" t="s">
        <v>105</v>
      </c>
      <c r="M153" s="15" t="s">
        <v>79</v>
      </c>
      <c r="N153" s="68">
        <v>40.0</v>
      </c>
      <c r="O153" s="68">
        <v>5.0</v>
      </c>
      <c r="P153" s="68">
        <v>200.0</v>
      </c>
      <c r="Q153" s="122">
        <v>45956.0</v>
      </c>
      <c r="R153" s="72" t="s">
        <v>205</v>
      </c>
      <c r="S153" s="111">
        <v>45947.0</v>
      </c>
      <c r="T153" s="74"/>
      <c r="U153" s="15" t="s">
        <v>134</v>
      </c>
      <c r="V153" s="74"/>
      <c r="W153" s="74"/>
      <c r="X153" s="75"/>
    </row>
    <row r="154" hidden="1">
      <c r="A154" s="76">
        <f t="shared" si="2"/>
        <v>5</v>
      </c>
      <c r="B154" s="77" t="s">
        <v>69</v>
      </c>
      <c r="C154" s="78" t="s">
        <v>721</v>
      </c>
      <c r="D154" s="117">
        <v>45947.0</v>
      </c>
      <c r="E154" s="80" t="s">
        <v>71</v>
      </c>
      <c r="F154" s="81" t="s">
        <v>72</v>
      </c>
      <c r="G154" s="82" t="s">
        <v>722</v>
      </c>
      <c r="H154" s="80" t="s">
        <v>723</v>
      </c>
      <c r="I154" s="80" t="s">
        <v>75</v>
      </c>
      <c r="J154" s="80" t="s">
        <v>157</v>
      </c>
      <c r="K154" s="80" t="s">
        <v>720</v>
      </c>
      <c r="L154" s="80" t="s">
        <v>105</v>
      </c>
      <c r="M154" s="80" t="s">
        <v>79</v>
      </c>
      <c r="N154" s="81">
        <v>40.0</v>
      </c>
      <c r="O154" s="81">
        <v>5.0</v>
      </c>
      <c r="P154" s="81">
        <v>200.0</v>
      </c>
      <c r="Q154" s="122">
        <v>45956.0</v>
      </c>
      <c r="R154" s="83" t="s">
        <v>205</v>
      </c>
      <c r="S154" s="112">
        <v>45947.0</v>
      </c>
      <c r="T154" s="85"/>
      <c r="U154" s="80" t="s">
        <v>134</v>
      </c>
      <c r="V154" s="85"/>
      <c r="W154" s="85"/>
      <c r="X154" s="75"/>
    </row>
    <row r="155" hidden="1">
      <c r="A155" s="64">
        <f t="shared" si="2"/>
        <v>6</v>
      </c>
      <c r="B155" s="65" t="s">
        <v>69</v>
      </c>
      <c r="C155" s="66" t="s">
        <v>724</v>
      </c>
      <c r="D155" s="105">
        <v>45947.0</v>
      </c>
      <c r="E155" s="15" t="s">
        <v>71</v>
      </c>
      <c r="F155" s="68" t="s">
        <v>72</v>
      </c>
      <c r="G155" s="69" t="s">
        <v>541</v>
      </c>
      <c r="H155" s="15" t="s">
        <v>575</v>
      </c>
      <c r="I155" s="15" t="s">
        <v>75</v>
      </c>
      <c r="J155" s="15" t="s">
        <v>157</v>
      </c>
      <c r="K155" s="15" t="s">
        <v>543</v>
      </c>
      <c r="L155" s="15" t="s">
        <v>105</v>
      </c>
      <c r="M155" s="15" t="s">
        <v>79</v>
      </c>
      <c r="N155" s="68">
        <v>30.0</v>
      </c>
      <c r="O155" s="68">
        <v>8.0</v>
      </c>
      <c r="P155" s="68">
        <v>240.0</v>
      </c>
      <c r="Q155" s="122">
        <v>45954.0</v>
      </c>
      <c r="R155" s="72" t="s">
        <v>544</v>
      </c>
      <c r="S155" s="111">
        <v>45947.0</v>
      </c>
      <c r="T155" s="74"/>
      <c r="U155" s="15" t="s">
        <v>134</v>
      </c>
      <c r="V155" s="74"/>
      <c r="W155" s="74"/>
      <c r="X155" s="75"/>
    </row>
    <row r="156" hidden="1">
      <c r="A156" s="76">
        <f t="shared" si="2"/>
        <v>1</v>
      </c>
      <c r="B156" s="77" t="s">
        <v>69</v>
      </c>
      <c r="C156" s="78" t="s">
        <v>725</v>
      </c>
      <c r="D156" s="117">
        <v>45948.0</v>
      </c>
      <c r="E156" s="80" t="s">
        <v>71</v>
      </c>
      <c r="F156" s="81" t="s">
        <v>72</v>
      </c>
      <c r="G156" s="82" t="s">
        <v>726</v>
      </c>
      <c r="H156" s="80" t="s">
        <v>727</v>
      </c>
      <c r="I156" s="80" t="s">
        <v>75</v>
      </c>
      <c r="J156" s="80" t="s">
        <v>148</v>
      </c>
      <c r="K156" s="80" t="s">
        <v>728</v>
      </c>
      <c r="L156" s="80" t="s">
        <v>105</v>
      </c>
      <c r="M156" s="80" t="s">
        <v>79</v>
      </c>
      <c r="N156" s="81">
        <v>30.0</v>
      </c>
      <c r="O156" s="81">
        <v>10.0</v>
      </c>
      <c r="P156" s="81">
        <v>300.0</v>
      </c>
      <c r="Q156" s="122">
        <v>45953.0</v>
      </c>
      <c r="R156" s="83" t="s">
        <v>729</v>
      </c>
      <c r="S156" s="112">
        <v>45948.0</v>
      </c>
      <c r="T156" s="80" t="s">
        <v>730</v>
      </c>
      <c r="U156" s="80" t="s">
        <v>134</v>
      </c>
      <c r="V156" s="85"/>
      <c r="W156" s="85"/>
      <c r="X156" s="75"/>
    </row>
    <row r="157" hidden="1">
      <c r="A157" s="64">
        <f t="shared" si="2"/>
        <v>2</v>
      </c>
      <c r="B157" s="65" t="s">
        <v>69</v>
      </c>
      <c r="C157" s="66" t="s">
        <v>731</v>
      </c>
      <c r="D157" s="105">
        <v>45948.0</v>
      </c>
      <c r="E157" s="15" t="s">
        <v>71</v>
      </c>
      <c r="F157" s="68" t="s">
        <v>72</v>
      </c>
      <c r="G157" s="69" t="s">
        <v>732</v>
      </c>
      <c r="H157" s="15" t="s">
        <v>733</v>
      </c>
      <c r="I157" s="15" t="s">
        <v>75</v>
      </c>
      <c r="J157" s="15" t="s">
        <v>209</v>
      </c>
      <c r="K157" s="15" t="s">
        <v>734</v>
      </c>
      <c r="L157" s="15" t="s">
        <v>385</v>
      </c>
      <c r="M157" s="15" t="s">
        <v>79</v>
      </c>
      <c r="N157" s="68">
        <v>40.0</v>
      </c>
      <c r="O157" s="68">
        <v>10.0</v>
      </c>
      <c r="P157" s="68">
        <v>400.0</v>
      </c>
      <c r="Q157" s="122">
        <v>45957.0</v>
      </c>
      <c r="R157" s="72" t="s">
        <v>386</v>
      </c>
      <c r="S157" s="111">
        <v>45948.0</v>
      </c>
      <c r="T157" s="74"/>
      <c r="U157" s="15" t="s">
        <v>134</v>
      </c>
      <c r="V157" s="74"/>
      <c r="W157" s="74"/>
      <c r="X157" s="75"/>
    </row>
    <row r="158" ht="50.25" hidden="1" customHeight="1">
      <c r="A158" s="76">
        <f t="shared" si="2"/>
        <v>1</v>
      </c>
      <c r="B158" s="77" t="s">
        <v>69</v>
      </c>
      <c r="C158" s="78" t="s">
        <v>735</v>
      </c>
      <c r="D158" s="117">
        <v>45951.0</v>
      </c>
      <c r="E158" s="86"/>
      <c r="F158" s="81" t="s">
        <v>93</v>
      </c>
      <c r="G158" s="82" t="s">
        <v>405</v>
      </c>
      <c r="H158" s="80" t="s">
        <v>406</v>
      </c>
      <c r="I158" s="80" t="s">
        <v>75</v>
      </c>
      <c r="J158" s="80" t="s">
        <v>88</v>
      </c>
      <c r="K158" s="80" t="s">
        <v>736</v>
      </c>
      <c r="L158" s="80" t="s">
        <v>105</v>
      </c>
      <c r="M158" s="80" t="s">
        <v>79</v>
      </c>
      <c r="N158" s="81">
        <v>20.0</v>
      </c>
      <c r="O158" s="81">
        <v>30.0</v>
      </c>
      <c r="P158" s="81">
        <v>600.0</v>
      </c>
      <c r="Q158" s="122">
        <v>45957.0</v>
      </c>
      <c r="R158" s="83" t="s">
        <v>254</v>
      </c>
      <c r="S158" s="96">
        <v>45951.0</v>
      </c>
      <c r="T158" s="85"/>
      <c r="U158" s="80" t="s">
        <v>134</v>
      </c>
      <c r="V158" s="85"/>
      <c r="W158" s="85"/>
      <c r="X158" s="75"/>
    </row>
    <row r="159" hidden="1">
      <c r="A159" s="64">
        <f t="shared" si="2"/>
        <v>2</v>
      </c>
      <c r="B159" s="65" t="s">
        <v>69</v>
      </c>
      <c r="C159" s="66" t="s">
        <v>737</v>
      </c>
      <c r="D159" s="105">
        <v>45951.0</v>
      </c>
      <c r="E159" s="15" t="s">
        <v>71</v>
      </c>
      <c r="F159" s="68" t="s">
        <v>72</v>
      </c>
      <c r="G159" s="69" t="s">
        <v>738</v>
      </c>
      <c r="H159" s="15" t="s">
        <v>739</v>
      </c>
      <c r="I159" s="15" t="s">
        <v>75</v>
      </c>
      <c r="J159" s="15" t="s">
        <v>222</v>
      </c>
      <c r="K159" s="15" t="s">
        <v>740</v>
      </c>
      <c r="L159" s="15" t="s">
        <v>105</v>
      </c>
      <c r="M159" s="15" t="s">
        <v>166</v>
      </c>
      <c r="N159" s="68">
        <v>1.0</v>
      </c>
      <c r="O159" s="68">
        <v>20.0</v>
      </c>
      <c r="P159" s="68">
        <v>20.0</v>
      </c>
      <c r="Q159" s="122">
        <v>45961.0</v>
      </c>
      <c r="R159" s="72" t="s">
        <v>741</v>
      </c>
      <c r="S159" s="104">
        <v>45951.0</v>
      </c>
      <c r="T159" s="74"/>
      <c r="U159" s="15" t="s">
        <v>134</v>
      </c>
      <c r="V159" s="74"/>
      <c r="W159" s="74"/>
      <c r="X159" s="75"/>
    </row>
    <row r="160" hidden="1">
      <c r="A160" s="76">
        <f t="shared" si="2"/>
        <v>3</v>
      </c>
      <c r="B160" s="77" t="s">
        <v>69</v>
      </c>
      <c r="C160" s="78" t="s">
        <v>742</v>
      </c>
      <c r="D160" s="117">
        <v>45951.0</v>
      </c>
      <c r="E160" s="80" t="s">
        <v>71</v>
      </c>
      <c r="F160" s="81" t="s">
        <v>72</v>
      </c>
      <c r="G160" s="82" t="s">
        <v>743</v>
      </c>
      <c r="H160" s="80" t="s">
        <v>744</v>
      </c>
      <c r="I160" s="80" t="s">
        <v>75</v>
      </c>
      <c r="J160" s="80" t="s">
        <v>181</v>
      </c>
      <c r="K160" s="80" t="s">
        <v>745</v>
      </c>
      <c r="L160" s="80" t="s">
        <v>125</v>
      </c>
      <c r="M160" s="80" t="s">
        <v>79</v>
      </c>
      <c r="N160" s="81">
        <v>40.0</v>
      </c>
      <c r="O160" s="81">
        <v>10.0</v>
      </c>
      <c r="P160" s="81">
        <v>400.0</v>
      </c>
      <c r="Q160" s="71">
        <v>45964.0</v>
      </c>
      <c r="R160" s="83" t="s">
        <v>184</v>
      </c>
      <c r="S160" s="96">
        <v>45951.0</v>
      </c>
      <c r="T160" s="85"/>
      <c r="U160" s="80" t="s">
        <v>134</v>
      </c>
      <c r="V160" s="85"/>
      <c r="W160" s="85"/>
      <c r="X160" s="75"/>
    </row>
    <row r="161" hidden="1">
      <c r="A161" s="64">
        <f t="shared" si="2"/>
        <v>4</v>
      </c>
      <c r="B161" s="65" t="s">
        <v>69</v>
      </c>
      <c r="C161" s="66" t="s">
        <v>746</v>
      </c>
      <c r="D161" s="105">
        <v>45951.0</v>
      </c>
      <c r="E161" s="15" t="s">
        <v>71</v>
      </c>
      <c r="F161" s="68" t="s">
        <v>72</v>
      </c>
      <c r="G161" s="69" t="s">
        <v>747</v>
      </c>
      <c r="H161" s="15" t="s">
        <v>748</v>
      </c>
      <c r="I161" s="15" t="s">
        <v>75</v>
      </c>
      <c r="J161" s="15" t="s">
        <v>181</v>
      </c>
      <c r="K161" s="15" t="s">
        <v>182</v>
      </c>
      <c r="L161" s="15" t="s">
        <v>125</v>
      </c>
      <c r="M161" s="15" t="s">
        <v>79</v>
      </c>
      <c r="N161" s="68">
        <v>40.0</v>
      </c>
      <c r="O161" s="68">
        <v>10.0</v>
      </c>
      <c r="P161" s="68">
        <v>400.0</v>
      </c>
      <c r="Q161" s="122">
        <v>45958.0</v>
      </c>
      <c r="R161" s="72" t="s">
        <v>184</v>
      </c>
      <c r="S161" s="104">
        <v>45951.0</v>
      </c>
      <c r="T161" s="74"/>
      <c r="U161" s="15" t="s">
        <v>134</v>
      </c>
      <c r="V161" s="74"/>
      <c r="W161" s="74"/>
      <c r="X161" s="75"/>
    </row>
    <row r="162" hidden="1">
      <c r="A162" s="76">
        <f t="shared" si="2"/>
        <v>5</v>
      </c>
      <c r="B162" s="77" t="s">
        <v>69</v>
      </c>
      <c r="C162" s="78" t="s">
        <v>749</v>
      </c>
      <c r="D162" s="117">
        <v>45951.0</v>
      </c>
      <c r="E162" s="80" t="s">
        <v>71</v>
      </c>
      <c r="F162" s="81" t="s">
        <v>72</v>
      </c>
      <c r="G162" s="82" t="s">
        <v>750</v>
      </c>
      <c r="H162" s="80" t="s">
        <v>751</v>
      </c>
      <c r="I162" s="80" t="s">
        <v>75</v>
      </c>
      <c r="J162" s="80" t="s">
        <v>752</v>
      </c>
      <c r="K162" s="80" t="s">
        <v>753</v>
      </c>
      <c r="L162" s="80" t="s">
        <v>754</v>
      </c>
      <c r="M162" s="80" t="s">
        <v>79</v>
      </c>
      <c r="N162" s="81">
        <v>30.0</v>
      </c>
      <c r="O162" s="81">
        <v>10.0</v>
      </c>
      <c r="P162" s="81">
        <v>300.0</v>
      </c>
      <c r="Q162" s="122">
        <v>45958.0</v>
      </c>
      <c r="R162" s="83" t="s">
        <v>414</v>
      </c>
      <c r="S162" s="96">
        <v>45951.0</v>
      </c>
      <c r="T162" s="80" t="s">
        <v>755</v>
      </c>
      <c r="U162" s="80" t="s">
        <v>134</v>
      </c>
      <c r="V162" s="85"/>
      <c r="W162" s="85"/>
      <c r="X162" s="75"/>
    </row>
    <row r="163" hidden="1">
      <c r="A163" s="64">
        <f t="shared" si="2"/>
        <v>1</v>
      </c>
      <c r="B163" s="65" t="s">
        <v>69</v>
      </c>
      <c r="C163" s="66" t="s">
        <v>756</v>
      </c>
      <c r="D163" s="105">
        <v>45950.0</v>
      </c>
      <c r="E163" s="16"/>
      <c r="F163" s="68" t="s">
        <v>93</v>
      </c>
      <c r="G163" s="69" t="s">
        <v>757</v>
      </c>
      <c r="H163" s="15" t="s">
        <v>758</v>
      </c>
      <c r="I163" s="15" t="s">
        <v>75</v>
      </c>
      <c r="J163" s="15" t="s">
        <v>123</v>
      </c>
      <c r="K163" s="15" t="s">
        <v>759</v>
      </c>
      <c r="L163" s="15" t="s">
        <v>249</v>
      </c>
      <c r="M163" s="15" t="s">
        <v>79</v>
      </c>
      <c r="N163" s="68">
        <v>100.0</v>
      </c>
      <c r="O163" s="68">
        <v>15.0</v>
      </c>
      <c r="P163" s="70">
        <v>1500.0</v>
      </c>
      <c r="Q163" s="122">
        <v>45961.0</v>
      </c>
      <c r="R163" s="72" t="s">
        <v>414</v>
      </c>
      <c r="S163" s="104">
        <v>45952.0</v>
      </c>
      <c r="T163" s="15" t="s">
        <v>760</v>
      </c>
      <c r="U163" s="15" t="s">
        <v>134</v>
      </c>
      <c r="V163" s="74"/>
      <c r="W163" s="74"/>
      <c r="X163" s="75"/>
    </row>
    <row r="164" hidden="1">
      <c r="A164" s="76">
        <f t="shared" si="2"/>
        <v>1</v>
      </c>
      <c r="B164" s="77" t="s">
        <v>69</v>
      </c>
      <c r="C164" s="78" t="s">
        <v>761</v>
      </c>
      <c r="D164" s="117">
        <v>45952.0</v>
      </c>
      <c r="E164" s="80" t="s">
        <v>71</v>
      </c>
      <c r="F164" s="81" t="s">
        <v>72</v>
      </c>
      <c r="G164" s="82" t="s">
        <v>762</v>
      </c>
      <c r="H164" s="80" t="s">
        <v>763</v>
      </c>
      <c r="I164" s="80" t="s">
        <v>75</v>
      </c>
      <c r="J164" s="80" t="s">
        <v>140</v>
      </c>
      <c r="K164" s="80" t="s">
        <v>764</v>
      </c>
      <c r="L164" s="80" t="s">
        <v>90</v>
      </c>
      <c r="M164" s="80" t="s">
        <v>166</v>
      </c>
      <c r="N164" s="81">
        <v>1.0</v>
      </c>
      <c r="O164" s="81">
        <v>25.0</v>
      </c>
      <c r="P164" s="81">
        <v>25.0</v>
      </c>
      <c r="Q164" s="122">
        <v>45961.0</v>
      </c>
      <c r="R164" s="83" t="s">
        <v>765</v>
      </c>
      <c r="S164" s="112">
        <v>45953.0</v>
      </c>
      <c r="T164" s="80" t="s">
        <v>766</v>
      </c>
      <c r="U164" s="80" t="s">
        <v>134</v>
      </c>
      <c r="V164" s="85"/>
      <c r="W164" s="85"/>
      <c r="X164" s="75"/>
    </row>
    <row r="165" hidden="1">
      <c r="A165" s="64">
        <f t="shared" si="2"/>
        <v>2</v>
      </c>
      <c r="B165" s="65" t="s">
        <v>69</v>
      </c>
      <c r="C165" s="66" t="s">
        <v>767</v>
      </c>
      <c r="D165" s="105">
        <v>45953.0</v>
      </c>
      <c r="E165" s="15" t="s">
        <v>71</v>
      </c>
      <c r="F165" s="68" t="s">
        <v>72</v>
      </c>
      <c r="G165" s="69" t="s">
        <v>768</v>
      </c>
      <c r="H165" s="15" t="s">
        <v>769</v>
      </c>
      <c r="I165" s="15" t="s">
        <v>75</v>
      </c>
      <c r="J165" s="15" t="s">
        <v>140</v>
      </c>
      <c r="K165" s="15" t="s">
        <v>770</v>
      </c>
      <c r="L165" s="15" t="s">
        <v>90</v>
      </c>
      <c r="M165" s="15" t="s">
        <v>166</v>
      </c>
      <c r="N165" s="68">
        <v>4.0</v>
      </c>
      <c r="O165" s="68">
        <v>10.0</v>
      </c>
      <c r="P165" s="68">
        <v>40.0</v>
      </c>
      <c r="Q165" s="122">
        <v>45961.0</v>
      </c>
      <c r="R165" s="72" t="s">
        <v>765</v>
      </c>
      <c r="S165" s="111">
        <v>45953.0</v>
      </c>
      <c r="T165" s="15" t="s">
        <v>771</v>
      </c>
      <c r="U165" s="15" t="s">
        <v>134</v>
      </c>
      <c r="V165" s="74"/>
      <c r="W165" s="74"/>
      <c r="X165" s="75"/>
    </row>
    <row r="166" hidden="1">
      <c r="A166" s="76">
        <f t="shared" si="2"/>
        <v>3</v>
      </c>
      <c r="B166" s="77" t="s">
        <v>69</v>
      </c>
      <c r="C166" s="78" t="s">
        <v>772</v>
      </c>
      <c r="D166" s="117">
        <v>45953.0</v>
      </c>
      <c r="E166" s="80" t="s">
        <v>71</v>
      </c>
      <c r="F166" s="81" t="s">
        <v>72</v>
      </c>
      <c r="G166" s="82" t="s">
        <v>773</v>
      </c>
      <c r="H166" s="80" t="s">
        <v>774</v>
      </c>
      <c r="I166" s="80" t="s">
        <v>75</v>
      </c>
      <c r="J166" s="80" t="s">
        <v>88</v>
      </c>
      <c r="K166" s="80" t="s">
        <v>775</v>
      </c>
      <c r="L166" s="80" t="s">
        <v>90</v>
      </c>
      <c r="M166" s="80" t="s">
        <v>79</v>
      </c>
      <c r="N166" s="81">
        <v>40.0</v>
      </c>
      <c r="O166" s="81">
        <v>15.0</v>
      </c>
      <c r="P166" s="81">
        <v>600.0</v>
      </c>
      <c r="Q166" s="122">
        <v>45961.0</v>
      </c>
      <c r="R166" s="83" t="s">
        <v>776</v>
      </c>
      <c r="S166" s="112">
        <v>45953.0</v>
      </c>
      <c r="T166" s="80" t="s">
        <v>777</v>
      </c>
      <c r="U166" s="80" t="s">
        <v>134</v>
      </c>
      <c r="V166" s="85"/>
      <c r="W166" s="85"/>
      <c r="X166" s="75"/>
    </row>
    <row r="167" hidden="1">
      <c r="A167" s="64">
        <f t="shared" si="2"/>
        <v>4</v>
      </c>
      <c r="B167" s="65" t="s">
        <v>69</v>
      </c>
      <c r="C167" s="66" t="s">
        <v>778</v>
      </c>
      <c r="D167" s="105">
        <v>45953.0</v>
      </c>
      <c r="E167" s="15" t="s">
        <v>71</v>
      </c>
      <c r="F167" s="68" t="s">
        <v>72</v>
      </c>
      <c r="G167" s="69" t="s">
        <v>779</v>
      </c>
      <c r="H167" s="15" t="s">
        <v>780</v>
      </c>
      <c r="I167" s="15" t="s">
        <v>75</v>
      </c>
      <c r="J167" s="15" t="s">
        <v>781</v>
      </c>
      <c r="K167" s="15" t="s">
        <v>782</v>
      </c>
      <c r="L167" s="15" t="s">
        <v>105</v>
      </c>
      <c r="M167" s="15" t="s">
        <v>79</v>
      </c>
      <c r="N167" s="68">
        <v>30.0</v>
      </c>
      <c r="O167" s="68">
        <v>10.0</v>
      </c>
      <c r="P167" s="68">
        <v>300.0</v>
      </c>
      <c r="Q167" s="71">
        <v>45965.0</v>
      </c>
      <c r="R167" s="72" t="s">
        <v>414</v>
      </c>
      <c r="S167" s="104">
        <v>45953.0</v>
      </c>
      <c r="T167" s="15" t="s">
        <v>783</v>
      </c>
      <c r="U167" s="15" t="s">
        <v>134</v>
      </c>
      <c r="V167" s="74"/>
      <c r="W167" s="74"/>
      <c r="X167" s="75"/>
    </row>
    <row r="168" hidden="1">
      <c r="A168" s="76">
        <f t="shared" si="2"/>
        <v>1</v>
      </c>
      <c r="B168" s="77" t="s">
        <v>69</v>
      </c>
      <c r="C168" s="78" t="s">
        <v>784</v>
      </c>
      <c r="D168" s="117">
        <v>45953.0</v>
      </c>
      <c r="E168" s="80" t="s">
        <v>71</v>
      </c>
      <c r="F168" s="81" t="s">
        <v>72</v>
      </c>
      <c r="G168" s="82" t="s">
        <v>785</v>
      </c>
      <c r="H168" s="80" t="s">
        <v>786</v>
      </c>
      <c r="I168" s="80" t="s">
        <v>75</v>
      </c>
      <c r="J168" s="80" t="s">
        <v>88</v>
      </c>
      <c r="K168" s="80" t="s">
        <v>787</v>
      </c>
      <c r="L168" s="80" t="s">
        <v>105</v>
      </c>
      <c r="M168" s="80" t="s">
        <v>79</v>
      </c>
      <c r="N168" s="81">
        <v>20.0</v>
      </c>
      <c r="O168" s="81">
        <v>20.0</v>
      </c>
      <c r="P168" s="81">
        <v>400.0</v>
      </c>
      <c r="Q168" s="71">
        <v>45962.0</v>
      </c>
      <c r="R168" s="83" t="s">
        <v>290</v>
      </c>
      <c r="S168" s="112">
        <v>45954.0</v>
      </c>
      <c r="T168" s="85"/>
      <c r="U168" s="80" t="s">
        <v>134</v>
      </c>
      <c r="V168" s="85"/>
      <c r="W168" s="85"/>
      <c r="X168" s="75"/>
    </row>
    <row r="169" hidden="1">
      <c r="A169" s="64">
        <f t="shared" si="2"/>
        <v>2</v>
      </c>
      <c r="B169" s="65" t="s">
        <v>69</v>
      </c>
      <c r="C169" s="66" t="s">
        <v>788</v>
      </c>
      <c r="D169" s="105">
        <v>45953.0</v>
      </c>
      <c r="E169" s="15" t="s">
        <v>71</v>
      </c>
      <c r="F169" s="68" t="s">
        <v>72</v>
      </c>
      <c r="G169" s="69" t="s">
        <v>789</v>
      </c>
      <c r="H169" s="15" t="s">
        <v>790</v>
      </c>
      <c r="I169" s="15" t="s">
        <v>75</v>
      </c>
      <c r="J169" s="15" t="s">
        <v>129</v>
      </c>
      <c r="K169" s="15" t="s">
        <v>791</v>
      </c>
      <c r="L169" s="15" t="s">
        <v>90</v>
      </c>
      <c r="M169" s="15" t="s">
        <v>132</v>
      </c>
      <c r="N169" s="68">
        <v>200.0</v>
      </c>
      <c r="O169" s="68">
        <v>10.0</v>
      </c>
      <c r="P169" s="70">
        <v>2000.0</v>
      </c>
      <c r="Q169" s="71">
        <v>45967.0</v>
      </c>
      <c r="R169" s="72" t="s">
        <v>414</v>
      </c>
      <c r="S169" s="104">
        <v>45954.0</v>
      </c>
      <c r="T169" s="74"/>
      <c r="U169" s="15" t="s">
        <v>134</v>
      </c>
      <c r="V169" s="74"/>
      <c r="W169" s="74"/>
      <c r="X169" s="75"/>
    </row>
    <row r="170" hidden="1">
      <c r="A170" s="76">
        <f t="shared" si="2"/>
        <v>1</v>
      </c>
      <c r="B170" s="77" t="s">
        <v>69</v>
      </c>
      <c r="C170" s="78" t="s">
        <v>792</v>
      </c>
      <c r="D170" s="117">
        <v>45954.0</v>
      </c>
      <c r="E170" s="86"/>
      <c r="F170" s="81" t="s">
        <v>315</v>
      </c>
      <c r="G170" s="82" t="s">
        <v>793</v>
      </c>
      <c r="H170" s="80" t="s">
        <v>794</v>
      </c>
      <c r="I170" s="80" t="s">
        <v>75</v>
      </c>
      <c r="J170" s="80" t="s">
        <v>123</v>
      </c>
      <c r="K170" s="80" t="s">
        <v>350</v>
      </c>
      <c r="L170" s="80" t="s">
        <v>195</v>
      </c>
      <c r="M170" s="80" t="s">
        <v>79</v>
      </c>
      <c r="N170" s="81">
        <v>40.0</v>
      </c>
      <c r="O170" s="81">
        <v>20.0</v>
      </c>
      <c r="P170" s="81">
        <v>800.0</v>
      </c>
      <c r="Q170" s="122">
        <v>45957.0</v>
      </c>
      <c r="R170" s="83" t="s">
        <v>319</v>
      </c>
      <c r="S170" s="112">
        <v>45955.0</v>
      </c>
      <c r="T170" s="85"/>
      <c r="U170" s="80" t="s">
        <v>134</v>
      </c>
      <c r="V170" s="85"/>
      <c r="W170" s="85"/>
      <c r="X170" s="75"/>
    </row>
    <row r="171" hidden="1">
      <c r="A171" s="64">
        <f t="shared" si="2"/>
        <v>2</v>
      </c>
      <c r="B171" s="65" t="s">
        <v>69</v>
      </c>
      <c r="C171" s="66" t="s">
        <v>795</v>
      </c>
      <c r="D171" s="105">
        <v>45955.0</v>
      </c>
      <c r="E171" s="15" t="s">
        <v>71</v>
      </c>
      <c r="F171" s="68" t="s">
        <v>72</v>
      </c>
      <c r="G171" s="69" t="s">
        <v>796</v>
      </c>
      <c r="H171" s="15" t="s">
        <v>797</v>
      </c>
      <c r="I171" s="15" t="s">
        <v>75</v>
      </c>
      <c r="J171" s="15" t="s">
        <v>148</v>
      </c>
      <c r="K171" s="15" t="s">
        <v>728</v>
      </c>
      <c r="L171" s="15" t="s">
        <v>105</v>
      </c>
      <c r="M171" s="15" t="s">
        <v>79</v>
      </c>
      <c r="N171" s="68">
        <v>30.0</v>
      </c>
      <c r="O171" s="68">
        <v>10.0</v>
      </c>
      <c r="P171" s="68">
        <v>300.0</v>
      </c>
      <c r="Q171" s="122">
        <v>45959.0</v>
      </c>
      <c r="R171" s="72" t="s">
        <v>313</v>
      </c>
      <c r="S171" s="111">
        <v>45955.0</v>
      </c>
      <c r="T171" s="74"/>
      <c r="U171" s="15" t="s">
        <v>134</v>
      </c>
      <c r="V171" s="74"/>
      <c r="W171" s="74"/>
      <c r="X171" s="75"/>
    </row>
    <row r="172" hidden="1">
      <c r="A172" s="76">
        <f t="shared" si="2"/>
        <v>3</v>
      </c>
      <c r="B172" s="77" t="s">
        <v>69</v>
      </c>
      <c r="C172" s="78" t="s">
        <v>798</v>
      </c>
      <c r="D172" s="117">
        <v>45955.0</v>
      </c>
      <c r="E172" s="80" t="s">
        <v>71</v>
      </c>
      <c r="F172" s="81" t="s">
        <v>72</v>
      </c>
      <c r="G172" s="82" t="s">
        <v>662</v>
      </c>
      <c r="H172" s="80" t="s">
        <v>799</v>
      </c>
      <c r="I172" s="80" t="s">
        <v>75</v>
      </c>
      <c r="J172" s="80" t="s">
        <v>88</v>
      </c>
      <c r="K172" s="80" t="s">
        <v>664</v>
      </c>
      <c r="L172" s="80" t="s">
        <v>105</v>
      </c>
      <c r="M172" s="80" t="s">
        <v>79</v>
      </c>
      <c r="N172" s="81">
        <v>20.0</v>
      </c>
      <c r="O172" s="81">
        <v>10.0</v>
      </c>
      <c r="P172" s="81">
        <v>200.0</v>
      </c>
      <c r="Q172" s="71">
        <v>45962.0</v>
      </c>
      <c r="R172" s="83" t="s">
        <v>290</v>
      </c>
      <c r="S172" s="112">
        <v>45955.0</v>
      </c>
      <c r="T172" s="85"/>
      <c r="U172" s="80" t="s">
        <v>134</v>
      </c>
      <c r="V172" s="85"/>
      <c r="W172" s="85"/>
      <c r="X172" s="75"/>
    </row>
    <row r="173" hidden="1">
      <c r="A173" s="64">
        <f t="shared" si="2"/>
        <v>1</v>
      </c>
      <c r="B173" s="65" t="s">
        <v>69</v>
      </c>
      <c r="C173" s="66" t="s">
        <v>800</v>
      </c>
      <c r="D173" s="105">
        <v>45958.0</v>
      </c>
      <c r="E173" s="15" t="s">
        <v>71</v>
      </c>
      <c r="F173" s="68" t="s">
        <v>72</v>
      </c>
      <c r="G173" s="69" t="s">
        <v>611</v>
      </c>
      <c r="H173" s="15" t="s">
        <v>677</v>
      </c>
      <c r="I173" s="15" t="s">
        <v>75</v>
      </c>
      <c r="J173" s="15" t="s">
        <v>140</v>
      </c>
      <c r="K173" s="15" t="s">
        <v>613</v>
      </c>
      <c r="L173" s="15" t="s">
        <v>105</v>
      </c>
      <c r="M173" s="15" t="s">
        <v>79</v>
      </c>
      <c r="N173" s="68">
        <v>40.0</v>
      </c>
      <c r="O173" s="68">
        <v>10.0</v>
      </c>
      <c r="P173" s="68">
        <v>400.0</v>
      </c>
      <c r="Q173" s="71">
        <v>45965.0</v>
      </c>
      <c r="R173" s="72" t="s">
        <v>614</v>
      </c>
      <c r="S173" s="104">
        <v>45958.0</v>
      </c>
      <c r="T173" s="74"/>
      <c r="U173" s="15" t="s">
        <v>134</v>
      </c>
      <c r="V173" s="74"/>
      <c r="W173" s="74"/>
      <c r="X173" s="75"/>
    </row>
    <row r="174" hidden="1">
      <c r="A174" s="76">
        <f t="shared" si="2"/>
        <v>2</v>
      </c>
      <c r="B174" s="77" t="s">
        <v>69</v>
      </c>
      <c r="C174" s="78" t="s">
        <v>801</v>
      </c>
      <c r="D174" s="117">
        <v>45958.0</v>
      </c>
      <c r="E174" s="80" t="s">
        <v>71</v>
      </c>
      <c r="F174" s="81" t="s">
        <v>72</v>
      </c>
      <c r="G174" s="82" t="s">
        <v>802</v>
      </c>
      <c r="H174" s="80" t="s">
        <v>803</v>
      </c>
      <c r="I174" s="80" t="s">
        <v>75</v>
      </c>
      <c r="J174" s="80" t="s">
        <v>88</v>
      </c>
      <c r="K174" s="80" t="s">
        <v>804</v>
      </c>
      <c r="L174" s="80" t="s">
        <v>105</v>
      </c>
      <c r="M174" s="80" t="s">
        <v>79</v>
      </c>
      <c r="N174" s="81">
        <v>40.0</v>
      </c>
      <c r="O174" s="81">
        <v>32.0</v>
      </c>
      <c r="P174" s="87">
        <v>1280.0</v>
      </c>
      <c r="Q174" s="71">
        <v>45964.0</v>
      </c>
      <c r="R174" s="83" t="s">
        <v>313</v>
      </c>
      <c r="S174" s="96">
        <v>45958.0</v>
      </c>
      <c r="T174" s="85"/>
      <c r="U174" s="80" t="s">
        <v>134</v>
      </c>
      <c r="V174" s="85"/>
      <c r="W174" s="85"/>
      <c r="X174" s="75"/>
    </row>
    <row r="175" hidden="1">
      <c r="A175" s="64">
        <f t="shared" si="2"/>
        <v>3</v>
      </c>
      <c r="B175" s="65" t="s">
        <v>69</v>
      </c>
      <c r="C175" s="66" t="s">
        <v>805</v>
      </c>
      <c r="D175" s="105">
        <v>45958.0</v>
      </c>
      <c r="E175" s="15" t="s">
        <v>71</v>
      </c>
      <c r="F175" s="68" t="s">
        <v>72</v>
      </c>
      <c r="G175" s="69" t="s">
        <v>662</v>
      </c>
      <c r="H175" s="15" t="s">
        <v>799</v>
      </c>
      <c r="I175" s="15" t="s">
        <v>75</v>
      </c>
      <c r="J175" s="15" t="s">
        <v>88</v>
      </c>
      <c r="K175" s="15" t="s">
        <v>664</v>
      </c>
      <c r="L175" s="15" t="s">
        <v>105</v>
      </c>
      <c r="M175" s="15" t="s">
        <v>79</v>
      </c>
      <c r="N175" s="68">
        <v>20.0</v>
      </c>
      <c r="O175" s="68">
        <v>10.0</v>
      </c>
      <c r="P175" s="68">
        <v>200.0</v>
      </c>
      <c r="Q175" s="71">
        <v>45964.0</v>
      </c>
      <c r="R175" s="72" t="s">
        <v>806</v>
      </c>
      <c r="S175" s="104">
        <v>45958.0</v>
      </c>
      <c r="T175" s="74"/>
      <c r="U175" s="15" t="s">
        <v>134</v>
      </c>
      <c r="V175" s="74"/>
      <c r="W175" s="74"/>
      <c r="X175" s="75"/>
    </row>
    <row r="176" hidden="1">
      <c r="A176" s="76">
        <f t="shared" si="2"/>
        <v>4</v>
      </c>
      <c r="B176" s="77" t="s">
        <v>69</v>
      </c>
      <c r="C176" s="78" t="s">
        <v>807</v>
      </c>
      <c r="D176" s="117">
        <v>45958.0</v>
      </c>
      <c r="E176" s="80" t="s">
        <v>71</v>
      </c>
      <c r="F176" s="81" t="s">
        <v>72</v>
      </c>
      <c r="G176" s="127" t="s">
        <v>808</v>
      </c>
      <c r="H176" s="80" t="s">
        <v>809</v>
      </c>
      <c r="I176" s="80" t="s">
        <v>75</v>
      </c>
      <c r="J176" s="80" t="s">
        <v>810</v>
      </c>
      <c r="K176" s="80" t="s">
        <v>811</v>
      </c>
      <c r="L176" s="80" t="s">
        <v>336</v>
      </c>
      <c r="M176" s="80" t="s">
        <v>79</v>
      </c>
      <c r="N176" s="81">
        <v>20.0</v>
      </c>
      <c r="O176" s="81">
        <v>10.0</v>
      </c>
      <c r="P176" s="81">
        <v>200.0</v>
      </c>
      <c r="Q176" s="122">
        <v>45971.0</v>
      </c>
      <c r="R176" s="83" t="s">
        <v>414</v>
      </c>
      <c r="S176" s="96">
        <v>45958.0</v>
      </c>
      <c r="T176" s="85"/>
      <c r="U176" s="80" t="s">
        <v>812</v>
      </c>
      <c r="V176" s="85" t="str">
        <f t="array" ref="V176">IFERROR(index('3. Công thức lab theo từng mã h'!J:J,MATCH(C176,'3. Công thức lab theo từng mã h'!L:L,0)),"")</f>
        <v/>
      </c>
      <c r="W176" s="85"/>
      <c r="X176" s="75"/>
    </row>
    <row r="177" hidden="1">
      <c r="A177" s="64">
        <f t="shared" si="2"/>
        <v>1</v>
      </c>
      <c r="B177" s="65" t="s">
        <v>69</v>
      </c>
      <c r="C177" s="66" t="s">
        <v>813</v>
      </c>
      <c r="D177" s="105">
        <v>45959.0</v>
      </c>
      <c r="E177" s="15" t="s">
        <v>71</v>
      </c>
      <c r="F177" s="68" t="s">
        <v>72</v>
      </c>
      <c r="G177" s="69" t="s">
        <v>814</v>
      </c>
      <c r="H177" s="15" t="s">
        <v>815</v>
      </c>
      <c r="I177" s="15" t="s">
        <v>75</v>
      </c>
      <c r="J177" s="15" t="s">
        <v>88</v>
      </c>
      <c r="K177" s="15" t="s">
        <v>816</v>
      </c>
      <c r="L177" s="15" t="s">
        <v>105</v>
      </c>
      <c r="M177" s="15" t="s">
        <v>79</v>
      </c>
      <c r="N177" s="68">
        <v>20.0</v>
      </c>
      <c r="O177" s="68">
        <v>35.0</v>
      </c>
      <c r="P177" s="68">
        <v>700.0</v>
      </c>
      <c r="Q177" s="71">
        <v>45967.0</v>
      </c>
      <c r="R177" s="72" t="s">
        <v>817</v>
      </c>
      <c r="S177" s="104">
        <v>45959.0</v>
      </c>
      <c r="T177" s="74"/>
      <c r="U177" s="15" t="s">
        <v>134</v>
      </c>
      <c r="V177" s="74"/>
      <c r="W177" s="74"/>
      <c r="X177" s="75"/>
    </row>
    <row r="178" hidden="1">
      <c r="A178" s="76">
        <f t="shared" si="2"/>
        <v>1</v>
      </c>
      <c r="B178" s="77" t="s">
        <v>69</v>
      </c>
      <c r="C178" s="78" t="s">
        <v>818</v>
      </c>
      <c r="D178" s="117">
        <v>45960.0</v>
      </c>
      <c r="E178" s="80" t="s">
        <v>71</v>
      </c>
      <c r="F178" s="81" t="s">
        <v>72</v>
      </c>
      <c r="G178" s="82" t="s">
        <v>814</v>
      </c>
      <c r="H178" s="80" t="s">
        <v>819</v>
      </c>
      <c r="I178" s="80" t="s">
        <v>75</v>
      </c>
      <c r="J178" s="80" t="s">
        <v>88</v>
      </c>
      <c r="K178" s="80" t="s">
        <v>816</v>
      </c>
      <c r="L178" s="80" t="s">
        <v>105</v>
      </c>
      <c r="M178" s="80" t="s">
        <v>79</v>
      </c>
      <c r="N178" s="81">
        <v>20.0</v>
      </c>
      <c r="O178" s="81">
        <v>35.0</v>
      </c>
      <c r="P178" s="81">
        <v>700.0</v>
      </c>
      <c r="Q178" s="71">
        <v>45967.0</v>
      </c>
      <c r="R178" s="83" t="s">
        <v>817</v>
      </c>
      <c r="S178" s="96">
        <v>45960.0</v>
      </c>
      <c r="T178" s="85"/>
      <c r="U178" s="80" t="s">
        <v>134</v>
      </c>
      <c r="V178" s="85"/>
      <c r="W178" s="85"/>
      <c r="X178" s="75"/>
    </row>
    <row r="179" hidden="1">
      <c r="A179" s="64">
        <f t="shared" si="2"/>
        <v>2</v>
      </c>
      <c r="B179" s="65" t="s">
        <v>69</v>
      </c>
      <c r="C179" s="66" t="s">
        <v>820</v>
      </c>
      <c r="D179" s="105">
        <v>45960.0</v>
      </c>
      <c r="E179" s="15" t="s">
        <v>71</v>
      </c>
      <c r="F179" s="68" t="s">
        <v>72</v>
      </c>
      <c r="G179" s="69" t="s">
        <v>821</v>
      </c>
      <c r="H179" s="15" t="s">
        <v>822</v>
      </c>
      <c r="I179" s="15" t="s">
        <v>75</v>
      </c>
      <c r="J179" s="15" t="s">
        <v>279</v>
      </c>
      <c r="K179" s="15" t="s">
        <v>823</v>
      </c>
      <c r="L179" s="15" t="s">
        <v>105</v>
      </c>
      <c r="M179" s="15" t="s">
        <v>79</v>
      </c>
      <c r="N179" s="68">
        <v>40.0</v>
      </c>
      <c r="O179" s="68">
        <v>25.0</v>
      </c>
      <c r="P179" s="70">
        <v>1000.0</v>
      </c>
      <c r="Q179" s="71">
        <v>45967.0</v>
      </c>
      <c r="R179" s="72" t="s">
        <v>414</v>
      </c>
      <c r="S179" s="104">
        <v>45960.0</v>
      </c>
      <c r="T179" s="74"/>
      <c r="U179" s="15" t="s">
        <v>134</v>
      </c>
      <c r="V179" s="74" t="str">
        <f t="array" ref="V179">IFERROR(index('3. Công thức lab theo từng mã h'!J:J,MATCH(C179,'3. Công thức lab theo từng mã h'!L:L,0)),"")</f>
        <v/>
      </c>
      <c r="W179" s="74"/>
      <c r="X179" s="75"/>
    </row>
    <row r="180" hidden="1">
      <c r="A180" s="76">
        <f t="shared" si="2"/>
        <v>3</v>
      </c>
      <c r="B180" s="77" t="s">
        <v>69</v>
      </c>
      <c r="C180" s="78" t="s">
        <v>824</v>
      </c>
      <c r="D180" s="117">
        <v>45960.0</v>
      </c>
      <c r="E180" s="80" t="s">
        <v>71</v>
      </c>
      <c r="F180" s="81" t="s">
        <v>72</v>
      </c>
      <c r="G180" s="82" t="s">
        <v>825</v>
      </c>
      <c r="H180" s="80" t="s">
        <v>826</v>
      </c>
      <c r="I180" s="80" t="s">
        <v>75</v>
      </c>
      <c r="J180" s="80" t="s">
        <v>827</v>
      </c>
      <c r="K180" s="80" t="s">
        <v>828</v>
      </c>
      <c r="L180" s="80" t="s">
        <v>682</v>
      </c>
      <c r="M180" s="80" t="s">
        <v>132</v>
      </c>
      <c r="N180" s="81">
        <v>20.0</v>
      </c>
      <c r="O180" s="81">
        <v>20.0</v>
      </c>
      <c r="P180" s="81">
        <v>400.0</v>
      </c>
      <c r="Q180" s="71">
        <v>45968.0</v>
      </c>
      <c r="R180" s="83" t="s">
        <v>414</v>
      </c>
      <c r="S180" s="96">
        <v>45960.0</v>
      </c>
      <c r="T180" s="85"/>
      <c r="U180" s="80" t="s">
        <v>134</v>
      </c>
      <c r="V180" s="85"/>
      <c r="W180" s="85"/>
      <c r="X180" s="75"/>
    </row>
    <row r="181" hidden="1">
      <c r="A181" s="64">
        <f t="shared" si="2"/>
        <v>4</v>
      </c>
      <c r="B181" s="65" t="s">
        <v>69</v>
      </c>
      <c r="C181" s="66" t="s">
        <v>829</v>
      </c>
      <c r="D181" s="105">
        <v>45960.0</v>
      </c>
      <c r="E181" s="15" t="s">
        <v>71</v>
      </c>
      <c r="F181" s="68" t="s">
        <v>72</v>
      </c>
      <c r="G181" s="127" t="s">
        <v>830</v>
      </c>
      <c r="H181" s="15" t="s">
        <v>831</v>
      </c>
      <c r="I181" s="15" t="s">
        <v>75</v>
      </c>
      <c r="J181" s="15" t="s">
        <v>810</v>
      </c>
      <c r="K181" s="15" t="s">
        <v>620</v>
      </c>
      <c r="L181" s="15" t="s">
        <v>105</v>
      </c>
      <c r="M181" s="15" t="s">
        <v>79</v>
      </c>
      <c r="N181" s="68">
        <v>30.0</v>
      </c>
      <c r="O181" s="68">
        <v>20.0</v>
      </c>
      <c r="P181" s="68">
        <v>600.0</v>
      </c>
      <c r="Q181" s="71">
        <v>45967.0</v>
      </c>
      <c r="R181" s="72" t="s">
        <v>414</v>
      </c>
      <c r="S181" s="104">
        <v>45960.0</v>
      </c>
      <c r="T181" s="74"/>
      <c r="U181" s="68" t="s">
        <v>134</v>
      </c>
      <c r="V181" s="74" t="str">
        <f t="array" ref="V181">IFERROR(index('3. Công thức lab theo từng mã h'!J:J,MATCH(C181,'3. Công thức lab theo từng mã h'!L:L,0)),"")</f>
        <v/>
      </c>
      <c r="W181" s="74"/>
      <c r="X181" s="75"/>
    </row>
    <row r="182" hidden="1">
      <c r="A182" s="76">
        <f t="shared" si="2"/>
        <v>1</v>
      </c>
      <c r="B182" s="77" t="s">
        <v>69</v>
      </c>
      <c r="C182" s="78" t="s">
        <v>832</v>
      </c>
      <c r="D182" s="79">
        <v>45962.0</v>
      </c>
      <c r="E182" s="80" t="s">
        <v>71</v>
      </c>
      <c r="F182" s="81" t="s">
        <v>72</v>
      </c>
      <c r="G182" s="82" t="s">
        <v>471</v>
      </c>
      <c r="H182" s="80" t="s">
        <v>604</v>
      </c>
      <c r="I182" s="80" t="s">
        <v>75</v>
      </c>
      <c r="J182" s="80" t="s">
        <v>148</v>
      </c>
      <c r="K182" s="80" t="s">
        <v>473</v>
      </c>
      <c r="L182" s="80" t="s">
        <v>105</v>
      </c>
      <c r="M182" s="80" t="s">
        <v>166</v>
      </c>
      <c r="N182" s="81">
        <v>4.0</v>
      </c>
      <c r="O182" s="81">
        <v>5.0</v>
      </c>
      <c r="P182" s="81">
        <v>20.0</v>
      </c>
      <c r="Q182" s="71">
        <v>45969.0</v>
      </c>
      <c r="R182" s="83" t="s">
        <v>674</v>
      </c>
      <c r="S182" s="96">
        <v>45964.0</v>
      </c>
      <c r="T182" s="85"/>
      <c r="U182" s="80" t="s">
        <v>134</v>
      </c>
      <c r="V182" s="85"/>
      <c r="W182" s="85"/>
      <c r="X182" s="75"/>
    </row>
    <row r="183" hidden="1">
      <c r="A183" s="64">
        <f t="shared" si="2"/>
        <v>2</v>
      </c>
      <c r="B183" s="65" t="s">
        <v>69</v>
      </c>
      <c r="C183" s="66" t="s">
        <v>833</v>
      </c>
      <c r="D183" s="67">
        <v>45964.0</v>
      </c>
      <c r="E183" s="15" t="s">
        <v>71</v>
      </c>
      <c r="F183" s="68" t="s">
        <v>72</v>
      </c>
      <c r="G183" s="127" t="s">
        <v>834</v>
      </c>
      <c r="H183" s="15" t="s">
        <v>835</v>
      </c>
      <c r="I183" s="15" t="s">
        <v>75</v>
      </c>
      <c r="J183" s="15" t="s">
        <v>619</v>
      </c>
      <c r="K183" s="15" t="s">
        <v>836</v>
      </c>
      <c r="L183" s="15" t="s">
        <v>754</v>
      </c>
      <c r="M183" s="15" t="s">
        <v>79</v>
      </c>
      <c r="N183" s="68">
        <v>40.0</v>
      </c>
      <c r="O183" s="68">
        <v>10.0</v>
      </c>
      <c r="P183" s="68">
        <v>400.0</v>
      </c>
      <c r="Q183" s="122">
        <v>45973.0</v>
      </c>
      <c r="R183" s="72" t="s">
        <v>414</v>
      </c>
      <c r="S183" s="104">
        <v>45964.0</v>
      </c>
      <c r="T183" s="74"/>
      <c r="U183" s="68" t="s">
        <v>134</v>
      </c>
      <c r="V183" s="74" t="str">
        <f t="array" ref="V183">IFERROR(index('3. Công thức lab theo từng mã h'!J:J,MATCH(C183,'3. Công thức lab theo từng mã h'!L:L,0)),"")</f>
        <v/>
      </c>
      <c r="W183" s="74"/>
      <c r="X183" s="75"/>
    </row>
    <row r="184" hidden="1">
      <c r="A184" s="76">
        <f t="shared" si="2"/>
        <v>3</v>
      </c>
      <c r="B184" s="77" t="s">
        <v>69</v>
      </c>
      <c r="C184" s="78" t="s">
        <v>837</v>
      </c>
      <c r="D184" s="79">
        <v>45964.0</v>
      </c>
      <c r="E184" s="80" t="s">
        <v>71</v>
      </c>
      <c r="F184" s="81" t="s">
        <v>72</v>
      </c>
      <c r="G184" s="82" t="s">
        <v>838</v>
      </c>
      <c r="H184" s="80" t="s">
        <v>839</v>
      </c>
      <c r="I184" s="80" t="s">
        <v>75</v>
      </c>
      <c r="J184" s="80" t="s">
        <v>129</v>
      </c>
      <c r="K184" s="80" t="s">
        <v>840</v>
      </c>
      <c r="L184" s="80" t="s">
        <v>841</v>
      </c>
      <c r="M184" s="80" t="s">
        <v>79</v>
      </c>
      <c r="N184" s="81">
        <v>40.0</v>
      </c>
      <c r="O184" s="81">
        <v>10.0</v>
      </c>
      <c r="P184" s="81">
        <v>400.0</v>
      </c>
      <c r="Q184" s="122">
        <v>45973.0</v>
      </c>
      <c r="R184" s="83" t="s">
        <v>842</v>
      </c>
      <c r="S184" s="96">
        <v>45964.0</v>
      </c>
      <c r="T184" s="85"/>
      <c r="U184" s="80" t="s">
        <v>134</v>
      </c>
      <c r="V184" s="85" t="str">
        <f t="array" ref="V184">IFERROR(index('3. Công thức lab theo từng mã h'!J:J,MATCH(C184,'3. Công thức lab theo từng mã h'!L:L,0)),"")</f>
        <v/>
      </c>
      <c r="W184" s="85"/>
      <c r="X184" s="75"/>
    </row>
    <row r="185" hidden="1">
      <c r="A185" s="64">
        <f t="shared" si="2"/>
        <v>4</v>
      </c>
      <c r="B185" s="65" t="s">
        <v>69</v>
      </c>
      <c r="C185" s="66" t="s">
        <v>843</v>
      </c>
      <c r="D185" s="67">
        <v>45964.0</v>
      </c>
      <c r="E185" s="15" t="s">
        <v>71</v>
      </c>
      <c r="F185" s="68" t="s">
        <v>72</v>
      </c>
      <c r="G185" s="69" t="s">
        <v>611</v>
      </c>
      <c r="H185" s="15" t="s">
        <v>677</v>
      </c>
      <c r="I185" s="15" t="s">
        <v>75</v>
      </c>
      <c r="J185" s="15" t="s">
        <v>140</v>
      </c>
      <c r="K185" s="15" t="s">
        <v>613</v>
      </c>
      <c r="L185" s="15" t="s">
        <v>105</v>
      </c>
      <c r="M185" s="15" t="s">
        <v>79</v>
      </c>
      <c r="N185" s="68">
        <v>40.0</v>
      </c>
      <c r="O185" s="68">
        <v>30.0</v>
      </c>
      <c r="P185" s="70">
        <v>1200.0</v>
      </c>
      <c r="Q185" s="122">
        <v>45972.0</v>
      </c>
      <c r="R185" s="72" t="s">
        <v>614</v>
      </c>
      <c r="S185" s="104">
        <v>45964.0</v>
      </c>
      <c r="T185" s="74"/>
      <c r="U185" s="15" t="s">
        <v>134</v>
      </c>
      <c r="V185" s="74"/>
      <c r="W185" s="74"/>
      <c r="X185" s="75"/>
    </row>
    <row r="186" hidden="1">
      <c r="A186" s="76">
        <f t="shared" si="2"/>
        <v>5</v>
      </c>
      <c r="B186" s="77" t="s">
        <v>69</v>
      </c>
      <c r="C186" s="78" t="s">
        <v>844</v>
      </c>
      <c r="D186" s="79">
        <v>45964.0</v>
      </c>
      <c r="E186" s="80" t="s">
        <v>71</v>
      </c>
      <c r="F186" s="81" t="s">
        <v>72</v>
      </c>
      <c r="G186" s="127" t="s">
        <v>808</v>
      </c>
      <c r="H186" s="80" t="s">
        <v>809</v>
      </c>
      <c r="I186" s="80" t="s">
        <v>75</v>
      </c>
      <c r="J186" s="80" t="s">
        <v>810</v>
      </c>
      <c r="K186" s="80" t="s">
        <v>811</v>
      </c>
      <c r="L186" s="80" t="s">
        <v>336</v>
      </c>
      <c r="M186" s="80" t="s">
        <v>79</v>
      </c>
      <c r="N186" s="81">
        <v>20.0</v>
      </c>
      <c r="O186" s="81">
        <v>10.0</v>
      </c>
      <c r="P186" s="81">
        <v>200.0</v>
      </c>
      <c r="Q186" s="122">
        <v>45971.0</v>
      </c>
      <c r="R186" s="83" t="s">
        <v>414</v>
      </c>
      <c r="S186" s="96">
        <v>45964.0</v>
      </c>
      <c r="T186" s="85"/>
      <c r="U186" s="80" t="s">
        <v>812</v>
      </c>
      <c r="V186" s="85" t="str">
        <f t="array" ref="V186">IFERROR(index('3. Công thức lab theo từng mã h'!J:J,MATCH(C186,'3. Công thức lab theo từng mã h'!L:L,0)),"")</f>
        <v/>
      </c>
      <c r="W186" s="85"/>
      <c r="X186" s="75"/>
    </row>
    <row r="187" hidden="1">
      <c r="A187" s="64">
        <f t="shared" si="2"/>
        <v>6</v>
      </c>
      <c r="B187" s="65" t="s">
        <v>69</v>
      </c>
      <c r="C187" s="66" t="s">
        <v>845</v>
      </c>
      <c r="D187" s="67">
        <v>45964.0</v>
      </c>
      <c r="E187" s="16"/>
      <c r="F187" s="68" t="s">
        <v>186</v>
      </c>
      <c r="G187" s="69" t="s">
        <v>846</v>
      </c>
      <c r="H187" s="15" t="s">
        <v>847</v>
      </c>
      <c r="I187" s="15" t="s">
        <v>75</v>
      </c>
      <c r="J187" s="15" t="s">
        <v>148</v>
      </c>
      <c r="K187" s="15" t="s">
        <v>848</v>
      </c>
      <c r="L187" s="15" t="s">
        <v>105</v>
      </c>
      <c r="M187" s="15" t="s">
        <v>114</v>
      </c>
      <c r="N187" s="68">
        <v>40.0</v>
      </c>
      <c r="O187" s="68">
        <v>50.0</v>
      </c>
      <c r="P187" s="70">
        <v>2000.0</v>
      </c>
      <c r="Q187" s="122">
        <v>45971.0</v>
      </c>
      <c r="R187" s="72" t="s">
        <v>849</v>
      </c>
      <c r="S187" s="104">
        <v>45964.0</v>
      </c>
      <c r="T187" s="74"/>
      <c r="U187" s="15" t="s">
        <v>134</v>
      </c>
      <c r="V187" s="74" t="str">
        <f t="array" ref="V187">IFERROR(index('3. Công thức lab theo từng mã h'!J:J,MATCH(C187,'3. Công thức lab theo từng mã h'!L:L,0)),"")</f>
        <v/>
      </c>
      <c r="W187" s="74"/>
      <c r="X187" s="75"/>
    </row>
    <row r="188" hidden="1">
      <c r="A188" s="76">
        <f t="shared" si="2"/>
        <v>7</v>
      </c>
      <c r="B188" s="77" t="s">
        <v>69</v>
      </c>
      <c r="C188" s="78" t="s">
        <v>850</v>
      </c>
      <c r="D188" s="79">
        <v>45964.0</v>
      </c>
      <c r="E188" s="86"/>
      <c r="F188" s="81" t="s">
        <v>186</v>
      </c>
      <c r="G188" s="82" t="s">
        <v>851</v>
      </c>
      <c r="H188" s="80" t="s">
        <v>852</v>
      </c>
      <c r="I188" s="80" t="s">
        <v>75</v>
      </c>
      <c r="J188" s="80" t="s">
        <v>222</v>
      </c>
      <c r="K188" s="80" t="s">
        <v>223</v>
      </c>
      <c r="L188" s="80" t="s">
        <v>105</v>
      </c>
      <c r="M188" s="80" t="s">
        <v>114</v>
      </c>
      <c r="N188" s="81">
        <v>40.0</v>
      </c>
      <c r="O188" s="81">
        <v>50.0</v>
      </c>
      <c r="P188" s="87">
        <v>2000.0</v>
      </c>
      <c r="Q188" s="122">
        <v>45971.0</v>
      </c>
      <c r="R188" s="83" t="s">
        <v>224</v>
      </c>
      <c r="S188" s="96">
        <v>45964.0</v>
      </c>
      <c r="T188" s="85"/>
      <c r="U188" s="80" t="s">
        <v>134</v>
      </c>
      <c r="V188" s="85" t="str">
        <f t="array" ref="V188">IFERROR(index('3. Công thức lab theo từng mã h'!J:J,MATCH(C188,'3. Công thức lab theo từng mã h'!L:L,0)),"")</f>
        <v/>
      </c>
      <c r="W188" s="85"/>
      <c r="X188" s="75"/>
    </row>
    <row r="189" hidden="1">
      <c r="A189" s="64">
        <f t="shared" si="2"/>
        <v>8</v>
      </c>
      <c r="B189" s="65" t="s">
        <v>69</v>
      </c>
      <c r="C189" s="66" t="s">
        <v>853</v>
      </c>
      <c r="D189" s="67">
        <v>45962.0</v>
      </c>
      <c r="E189" s="16"/>
      <c r="F189" s="68" t="s">
        <v>93</v>
      </c>
      <c r="G189" s="69" t="s">
        <v>854</v>
      </c>
      <c r="H189" s="15" t="s">
        <v>855</v>
      </c>
      <c r="I189" s="15" t="s">
        <v>75</v>
      </c>
      <c r="J189" s="15" t="s">
        <v>181</v>
      </c>
      <c r="K189" s="15" t="s">
        <v>736</v>
      </c>
      <c r="L189" s="15" t="s">
        <v>125</v>
      </c>
      <c r="M189" s="15" t="s">
        <v>79</v>
      </c>
      <c r="N189" s="68">
        <v>40.0</v>
      </c>
      <c r="O189" s="68">
        <v>20.0</v>
      </c>
      <c r="P189" s="68">
        <v>800.0</v>
      </c>
      <c r="Q189" s="71">
        <v>45968.0</v>
      </c>
      <c r="R189" s="72" t="s">
        <v>856</v>
      </c>
      <c r="S189" s="104">
        <v>45964.0</v>
      </c>
      <c r="T189" s="74"/>
      <c r="U189" s="15" t="s">
        <v>134</v>
      </c>
      <c r="V189" s="74"/>
      <c r="W189" s="74"/>
      <c r="X189" s="75"/>
    </row>
    <row r="190" hidden="1">
      <c r="A190" s="76">
        <f t="shared" si="2"/>
        <v>9</v>
      </c>
      <c r="B190" s="77" t="s">
        <v>69</v>
      </c>
      <c r="C190" s="78" t="s">
        <v>857</v>
      </c>
      <c r="D190" s="79">
        <v>45964.0</v>
      </c>
      <c r="E190" s="80" t="s">
        <v>71</v>
      </c>
      <c r="F190" s="81" t="s">
        <v>72</v>
      </c>
      <c r="G190" s="82" t="s">
        <v>858</v>
      </c>
      <c r="H190" s="80" t="s">
        <v>859</v>
      </c>
      <c r="I190" s="80" t="s">
        <v>75</v>
      </c>
      <c r="J190" s="80" t="s">
        <v>157</v>
      </c>
      <c r="K190" s="80" t="s">
        <v>204</v>
      </c>
      <c r="L190" s="80" t="s">
        <v>105</v>
      </c>
      <c r="M190" s="80" t="s">
        <v>79</v>
      </c>
      <c r="N190" s="81">
        <v>40.0</v>
      </c>
      <c r="O190" s="81">
        <v>10.0</v>
      </c>
      <c r="P190" s="81">
        <v>400.0</v>
      </c>
      <c r="Q190" s="122">
        <v>45973.0</v>
      </c>
      <c r="R190" s="83" t="s">
        <v>205</v>
      </c>
      <c r="S190" s="96">
        <v>45964.0</v>
      </c>
      <c r="T190" s="85"/>
      <c r="U190" s="80" t="s">
        <v>134</v>
      </c>
      <c r="V190" s="85"/>
      <c r="W190" s="85"/>
      <c r="X190" s="75"/>
    </row>
    <row r="191" hidden="1">
      <c r="A191" s="64">
        <f t="shared" si="2"/>
        <v>1</v>
      </c>
      <c r="B191" s="65" t="s">
        <v>69</v>
      </c>
      <c r="C191" s="66" t="s">
        <v>860</v>
      </c>
      <c r="D191" s="67">
        <v>45965.0</v>
      </c>
      <c r="E191" s="15" t="s">
        <v>71</v>
      </c>
      <c r="F191" s="68" t="s">
        <v>72</v>
      </c>
      <c r="G191" s="127" t="s">
        <v>861</v>
      </c>
      <c r="H191" s="15" t="s">
        <v>862</v>
      </c>
      <c r="I191" s="15" t="s">
        <v>75</v>
      </c>
      <c r="J191" s="15" t="s">
        <v>76</v>
      </c>
      <c r="K191" s="15" t="s">
        <v>77</v>
      </c>
      <c r="L191" s="15" t="s">
        <v>78</v>
      </c>
      <c r="M191" s="15" t="s">
        <v>79</v>
      </c>
      <c r="N191" s="68">
        <v>40.0</v>
      </c>
      <c r="O191" s="68">
        <v>10.0</v>
      </c>
      <c r="P191" s="68">
        <v>400.0</v>
      </c>
      <c r="Q191" s="122">
        <v>45971.0</v>
      </c>
      <c r="R191" s="72" t="s">
        <v>81</v>
      </c>
      <c r="S191" s="104">
        <v>45965.0</v>
      </c>
      <c r="T191" s="15" t="s">
        <v>863</v>
      </c>
      <c r="U191" s="68" t="s">
        <v>134</v>
      </c>
      <c r="V191" s="74" t="str">
        <f t="array" ref="V191">IFERROR(index('3. Công thức lab theo từng mã h'!J:J,MATCH(C191,'3. Công thức lab theo từng mã h'!L:L,0)),"")</f>
        <v/>
      </c>
      <c r="W191" s="74"/>
      <c r="X191" s="75"/>
    </row>
    <row r="192" hidden="1">
      <c r="A192" s="76">
        <f t="shared" si="2"/>
        <v>2</v>
      </c>
      <c r="B192" s="77" t="s">
        <v>69</v>
      </c>
      <c r="C192" s="78" t="s">
        <v>864</v>
      </c>
      <c r="D192" s="79">
        <v>45965.0</v>
      </c>
      <c r="E192" s="80" t="s">
        <v>71</v>
      </c>
      <c r="F192" s="81" t="s">
        <v>72</v>
      </c>
      <c r="G192" s="82" t="s">
        <v>865</v>
      </c>
      <c r="H192" s="80" t="s">
        <v>866</v>
      </c>
      <c r="I192" s="80" t="s">
        <v>75</v>
      </c>
      <c r="J192" s="80" t="s">
        <v>867</v>
      </c>
      <c r="K192" s="80" t="s">
        <v>868</v>
      </c>
      <c r="L192" s="80" t="s">
        <v>90</v>
      </c>
      <c r="M192" s="80" t="s">
        <v>79</v>
      </c>
      <c r="N192" s="81">
        <v>40.0</v>
      </c>
      <c r="O192" s="81">
        <v>20.0</v>
      </c>
      <c r="P192" s="81">
        <v>800.0</v>
      </c>
      <c r="Q192" s="122">
        <v>45971.0</v>
      </c>
      <c r="R192" s="83" t="s">
        <v>81</v>
      </c>
      <c r="S192" s="96">
        <v>45965.0</v>
      </c>
      <c r="T192" s="85"/>
      <c r="U192" s="80" t="s">
        <v>812</v>
      </c>
      <c r="V192" s="85" t="str">
        <f t="array" ref="V192">IFERROR(index('3. Công thức lab theo từng mã h'!J:J,MATCH(C192,'3. Công thức lab theo từng mã h'!L:L,0)),"")</f>
        <v/>
      </c>
      <c r="W192" s="85"/>
      <c r="X192" s="75"/>
    </row>
    <row r="193" hidden="1">
      <c r="A193" s="64">
        <f t="shared" si="2"/>
        <v>3</v>
      </c>
      <c r="B193" s="65" t="s">
        <v>69</v>
      </c>
      <c r="C193" s="66" t="s">
        <v>869</v>
      </c>
      <c r="D193" s="67">
        <v>45965.0</v>
      </c>
      <c r="E193" s="15" t="s">
        <v>71</v>
      </c>
      <c r="F193" s="68" t="s">
        <v>72</v>
      </c>
      <c r="G193" s="69" t="s">
        <v>870</v>
      </c>
      <c r="H193" s="15" t="s">
        <v>871</v>
      </c>
      <c r="I193" s="15" t="s">
        <v>75</v>
      </c>
      <c r="J193" s="15" t="s">
        <v>88</v>
      </c>
      <c r="K193" s="15" t="s">
        <v>872</v>
      </c>
      <c r="L193" s="15" t="s">
        <v>105</v>
      </c>
      <c r="M193" s="15" t="s">
        <v>79</v>
      </c>
      <c r="N193" s="68">
        <v>20.0</v>
      </c>
      <c r="O193" s="68">
        <v>20.0</v>
      </c>
      <c r="P193" s="68">
        <v>400.0</v>
      </c>
      <c r="Q193" s="122">
        <v>45975.0</v>
      </c>
      <c r="R193" s="107"/>
      <c r="S193" s="104">
        <v>45965.0</v>
      </c>
      <c r="T193" s="74"/>
      <c r="U193" s="15" t="s">
        <v>134</v>
      </c>
      <c r="V193" s="74"/>
      <c r="W193" s="74"/>
      <c r="X193" s="75"/>
    </row>
    <row r="194" hidden="1">
      <c r="A194" s="76">
        <f t="shared" si="2"/>
        <v>4</v>
      </c>
      <c r="B194" s="77" t="s">
        <v>69</v>
      </c>
      <c r="C194" s="78" t="s">
        <v>873</v>
      </c>
      <c r="D194" s="79">
        <v>45965.0</v>
      </c>
      <c r="E194" s="86"/>
      <c r="F194" s="81" t="s">
        <v>370</v>
      </c>
      <c r="G194" s="82" t="s">
        <v>874</v>
      </c>
      <c r="H194" s="80" t="s">
        <v>875</v>
      </c>
      <c r="I194" s="80" t="s">
        <v>75</v>
      </c>
      <c r="J194" s="80" t="s">
        <v>181</v>
      </c>
      <c r="K194" s="80" t="s">
        <v>736</v>
      </c>
      <c r="L194" s="80" t="s">
        <v>125</v>
      </c>
      <c r="M194" s="80" t="s">
        <v>79</v>
      </c>
      <c r="N194" s="81">
        <v>20.0</v>
      </c>
      <c r="O194" s="81">
        <v>50.0</v>
      </c>
      <c r="P194" s="87">
        <v>1000.0</v>
      </c>
      <c r="Q194" s="71">
        <v>45969.0</v>
      </c>
      <c r="R194" s="83" t="s">
        <v>856</v>
      </c>
      <c r="S194" s="96">
        <v>45965.0</v>
      </c>
      <c r="T194" s="85"/>
      <c r="U194" s="80" t="s">
        <v>134</v>
      </c>
      <c r="V194" s="85" t="str">
        <f t="array" ref="V194">IFERROR(index('3. Công thức lab theo từng mã h'!J:J,MATCH(C194,'3. Công thức lab theo từng mã h'!L:L,0)),"")</f>
        <v/>
      </c>
      <c r="W194" s="85"/>
      <c r="X194" s="75"/>
    </row>
    <row r="195" hidden="1">
      <c r="A195" s="64">
        <f t="shared" si="2"/>
        <v>5</v>
      </c>
      <c r="B195" s="65" t="s">
        <v>69</v>
      </c>
      <c r="C195" s="66" t="s">
        <v>876</v>
      </c>
      <c r="D195" s="67">
        <v>45965.0</v>
      </c>
      <c r="E195" s="16"/>
      <c r="F195" s="68" t="s">
        <v>370</v>
      </c>
      <c r="G195" s="69" t="s">
        <v>874</v>
      </c>
      <c r="H195" s="15" t="s">
        <v>875</v>
      </c>
      <c r="I195" s="15" t="s">
        <v>75</v>
      </c>
      <c r="J195" s="15" t="s">
        <v>181</v>
      </c>
      <c r="K195" s="15" t="s">
        <v>736</v>
      </c>
      <c r="L195" s="15" t="s">
        <v>125</v>
      </c>
      <c r="M195" s="15" t="s">
        <v>79</v>
      </c>
      <c r="N195" s="68">
        <v>20.0</v>
      </c>
      <c r="O195" s="68">
        <v>50.0</v>
      </c>
      <c r="P195" s="70">
        <v>1000.0</v>
      </c>
      <c r="Q195" s="122">
        <v>45971.0</v>
      </c>
      <c r="R195" s="72" t="s">
        <v>856</v>
      </c>
      <c r="S195" s="104">
        <v>45965.0</v>
      </c>
      <c r="T195" s="74"/>
      <c r="U195" s="15" t="s">
        <v>134</v>
      </c>
      <c r="V195" s="74" t="str">
        <f t="array" ref="V195">IFERROR(index('3. Công thức lab theo từng mã h'!J:J,MATCH(C195,'3. Công thức lab theo từng mã h'!L:L,0)),"")</f>
        <v/>
      </c>
      <c r="W195" s="74"/>
      <c r="X195" s="75"/>
    </row>
    <row r="196" hidden="1">
      <c r="A196" s="76">
        <f t="shared" si="2"/>
        <v>6</v>
      </c>
      <c r="B196" s="77" t="s">
        <v>69</v>
      </c>
      <c r="C196" s="78" t="s">
        <v>877</v>
      </c>
      <c r="D196" s="79">
        <v>45965.0</v>
      </c>
      <c r="E196" s="86"/>
      <c r="F196" s="81" t="s">
        <v>370</v>
      </c>
      <c r="G196" s="82" t="s">
        <v>878</v>
      </c>
      <c r="H196" s="80" t="s">
        <v>879</v>
      </c>
      <c r="I196" s="80" t="s">
        <v>75</v>
      </c>
      <c r="J196" s="80" t="s">
        <v>129</v>
      </c>
      <c r="K196" s="86"/>
      <c r="L196" s="80" t="s">
        <v>216</v>
      </c>
      <c r="M196" s="80" t="s">
        <v>79</v>
      </c>
      <c r="N196" s="81">
        <v>20.0</v>
      </c>
      <c r="O196" s="81">
        <v>50.0</v>
      </c>
      <c r="P196" s="87">
        <v>1000.0</v>
      </c>
      <c r="Q196" s="71">
        <v>45969.0</v>
      </c>
      <c r="R196" s="83" t="s">
        <v>880</v>
      </c>
      <c r="S196" s="96">
        <v>45965.0</v>
      </c>
      <c r="T196" s="85"/>
      <c r="U196" s="80" t="s">
        <v>134</v>
      </c>
      <c r="V196" s="85" t="str">
        <f t="array" ref="V196">IFERROR(index('3. Công thức lab theo từng mã h'!J:J,MATCH(C196,'3. Công thức lab theo từng mã h'!L:L,0)),"")</f>
        <v/>
      </c>
      <c r="W196" s="85"/>
      <c r="X196" s="75"/>
    </row>
    <row r="197" hidden="1">
      <c r="A197" s="64">
        <f t="shared" si="2"/>
        <v>1</v>
      </c>
      <c r="B197" s="65" t="s">
        <v>69</v>
      </c>
      <c r="C197" s="66" t="s">
        <v>881</v>
      </c>
      <c r="D197" s="67">
        <v>45965.0</v>
      </c>
      <c r="E197" s="16"/>
      <c r="F197" s="68" t="s">
        <v>93</v>
      </c>
      <c r="G197" s="69" t="s">
        <v>405</v>
      </c>
      <c r="H197" s="15" t="s">
        <v>406</v>
      </c>
      <c r="I197" s="15" t="s">
        <v>75</v>
      </c>
      <c r="J197" s="15" t="s">
        <v>88</v>
      </c>
      <c r="K197" s="15" t="s">
        <v>736</v>
      </c>
      <c r="L197" s="15" t="s">
        <v>105</v>
      </c>
      <c r="M197" s="15" t="s">
        <v>79</v>
      </c>
      <c r="N197" s="68">
        <v>20.0</v>
      </c>
      <c r="O197" s="68">
        <v>30.0</v>
      </c>
      <c r="P197" s="68">
        <v>600.0</v>
      </c>
      <c r="Q197" s="122">
        <v>45971.0</v>
      </c>
      <c r="R197" s="72" t="s">
        <v>254</v>
      </c>
      <c r="S197" s="104">
        <v>45966.0</v>
      </c>
      <c r="T197" s="74"/>
      <c r="U197" s="15" t="s">
        <v>134</v>
      </c>
      <c r="V197" s="74" t="str">
        <f t="array" ref="V197">IFERROR(index('3. Công thức lab theo từng mã h'!J:J,MATCH(C197,'3. Công thức lab theo từng mã h'!L:L,0)),"")</f>
        <v/>
      </c>
      <c r="W197" s="74"/>
      <c r="X197" s="75"/>
    </row>
    <row r="198" hidden="1">
      <c r="A198" s="76">
        <f t="shared" si="2"/>
        <v>2</v>
      </c>
      <c r="B198" s="77" t="s">
        <v>69</v>
      </c>
      <c r="C198" s="78" t="s">
        <v>882</v>
      </c>
      <c r="D198" s="79">
        <v>45966.0</v>
      </c>
      <c r="E198" s="80" t="s">
        <v>71</v>
      </c>
      <c r="F198" s="81" t="s">
        <v>72</v>
      </c>
      <c r="G198" s="82" t="s">
        <v>883</v>
      </c>
      <c r="H198" s="80" t="s">
        <v>884</v>
      </c>
      <c r="I198" s="80" t="s">
        <v>75</v>
      </c>
      <c r="J198" s="80" t="s">
        <v>123</v>
      </c>
      <c r="K198" s="80" t="s">
        <v>885</v>
      </c>
      <c r="L198" s="80" t="s">
        <v>886</v>
      </c>
      <c r="M198" s="80" t="s">
        <v>79</v>
      </c>
      <c r="N198" s="81">
        <v>40.0</v>
      </c>
      <c r="O198" s="81">
        <v>5.0</v>
      </c>
      <c r="P198" s="81">
        <v>200.0</v>
      </c>
      <c r="Q198" s="122">
        <v>45976.0</v>
      </c>
      <c r="R198" s="83" t="s">
        <v>887</v>
      </c>
      <c r="S198" s="96">
        <v>45966.0</v>
      </c>
      <c r="T198" s="85"/>
      <c r="U198" s="80" t="s">
        <v>134</v>
      </c>
      <c r="V198" s="85" t="str">
        <f t="array" ref="V198">IFERROR(index('3. Công thức lab theo từng mã h'!J:J,MATCH(C198,'3. Công thức lab theo từng mã h'!L:L,0)),"")</f>
        <v/>
      </c>
      <c r="W198" s="85"/>
      <c r="X198" s="75"/>
    </row>
    <row r="199" hidden="1">
      <c r="A199" s="64">
        <f t="shared" si="2"/>
        <v>3</v>
      </c>
      <c r="B199" s="65" t="s">
        <v>69</v>
      </c>
      <c r="C199" s="66" t="s">
        <v>888</v>
      </c>
      <c r="D199" s="67">
        <v>45966.0</v>
      </c>
      <c r="E199" s="15" t="s">
        <v>71</v>
      </c>
      <c r="F199" s="68" t="s">
        <v>72</v>
      </c>
      <c r="G199" s="127" t="s">
        <v>889</v>
      </c>
      <c r="H199" s="15" t="s">
        <v>890</v>
      </c>
      <c r="I199" s="15" t="s">
        <v>75</v>
      </c>
      <c r="J199" s="15" t="s">
        <v>891</v>
      </c>
      <c r="K199" s="15" t="s">
        <v>892</v>
      </c>
      <c r="L199" s="15" t="s">
        <v>893</v>
      </c>
      <c r="M199" s="15" t="s">
        <v>132</v>
      </c>
      <c r="N199" s="68">
        <v>20.0</v>
      </c>
      <c r="O199" s="68">
        <v>25.0</v>
      </c>
      <c r="P199" s="68">
        <v>500.0</v>
      </c>
      <c r="Q199" s="122">
        <v>45979.0</v>
      </c>
      <c r="R199" s="72" t="s">
        <v>81</v>
      </c>
      <c r="S199" s="104">
        <v>45966.0</v>
      </c>
      <c r="T199" s="74"/>
      <c r="U199" s="68" t="s">
        <v>144</v>
      </c>
      <c r="V199" s="74" t="str">
        <f t="array" ref="V199">IFERROR(index('3. Công thức lab theo từng mã h'!J:J,MATCH(C199,'3. Công thức lab theo từng mã h'!L:L,0)),"")</f>
        <v/>
      </c>
      <c r="W199" s="74"/>
      <c r="X199" s="75"/>
    </row>
    <row r="200" hidden="1">
      <c r="A200" s="76">
        <f t="shared" si="2"/>
        <v>4</v>
      </c>
      <c r="B200" s="77" t="s">
        <v>69</v>
      </c>
      <c r="C200" s="78" t="s">
        <v>894</v>
      </c>
      <c r="D200" s="79">
        <v>45966.0</v>
      </c>
      <c r="E200" s="80" t="s">
        <v>71</v>
      </c>
      <c r="F200" s="81" t="s">
        <v>72</v>
      </c>
      <c r="G200" s="82" t="s">
        <v>895</v>
      </c>
      <c r="H200" s="80" t="s">
        <v>896</v>
      </c>
      <c r="I200" s="80" t="s">
        <v>75</v>
      </c>
      <c r="J200" s="80" t="s">
        <v>123</v>
      </c>
      <c r="K200" s="80" t="s">
        <v>885</v>
      </c>
      <c r="L200" s="80" t="s">
        <v>886</v>
      </c>
      <c r="M200" s="80" t="s">
        <v>79</v>
      </c>
      <c r="N200" s="81">
        <v>40.0</v>
      </c>
      <c r="O200" s="81">
        <v>5.0</v>
      </c>
      <c r="P200" s="81">
        <v>200.0</v>
      </c>
      <c r="Q200" s="122">
        <v>45976.0</v>
      </c>
      <c r="R200" s="83" t="s">
        <v>887</v>
      </c>
      <c r="S200" s="96">
        <v>45966.0</v>
      </c>
      <c r="T200" s="85"/>
      <c r="U200" s="80" t="s">
        <v>134</v>
      </c>
      <c r="V200" s="85" t="str">
        <f t="array" ref="V200">IFERROR(index('3. Công thức lab theo từng mã h'!J:J,MATCH(C200,'3. Công thức lab theo từng mã h'!L:L,0)),"")</f>
        <v/>
      </c>
      <c r="W200" s="85"/>
      <c r="X200" s="75"/>
    </row>
    <row r="201" hidden="1">
      <c r="A201" s="64">
        <f t="shared" si="2"/>
        <v>1</v>
      </c>
      <c r="B201" s="65" t="s">
        <v>69</v>
      </c>
      <c r="C201" s="66" t="s">
        <v>897</v>
      </c>
      <c r="D201" s="67">
        <v>45967.0</v>
      </c>
      <c r="E201" s="15" t="s">
        <v>71</v>
      </c>
      <c r="F201" s="68" t="s">
        <v>72</v>
      </c>
      <c r="G201" s="69" t="s">
        <v>898</v>
      </c>
      <c r="H201" s="15" t="s">
        <v>899</v>
      </c>
      <c r="I201" s="15" t="s">
        <v>75</v>
      </c>
      <c r="J201" s="15" t="s">
        <v>752</v>
      </c>
      <c r="K201" s="15" t="s">
        <v>355</v>
      </c>
      <c r="L201" s="15" t="s">
        <v>900</v>
      </c>
      <c r="M201" s="15" t="s">
        <v>79</v>
      </c>
      <c r="N201" s="68">
        <v>40.0</v>
      </c>
      <c r="O201" s="68">
        <v>25.0</v>
      </c>
      <c r="P201" s="70">
        <v>1000.0</v>
      </c>
      <c r="Q201" s="122">
        <v>45974.0</v>
      </c>
      <c r="R201" s="72" t="s">
        <v>357</v>
      </c>
      <c r="S201" s="104">
        <v>45967.0</v>
      </c>
      <c r="T201" s="74"/>
      <c r="U201" s="15" t="s">
        <v>134</v>
      </c>
      <c r="V201" s="74" t="str">
        <f t="array" ref="V201">IFERROR(index('3. Công thức lab theo từng mã h'!J:J,MATCH(C201,'3. Công thức lab theo từng mã h'!L:L,0)),"")</f>
        <v/>
      </c>
      <c r="W201" s="74"/>
      <c r="X201" s="75"/>
    </row>
    <row r="202" hidden="1">
      <c r="A202" s="76">
        <f t="shared" si="2"/>
        <v>2</v>
      </c>
      <c r="B202" s="77" t="s">
        <v>69</v>
      </c>
      <c r="C202" s="78" t="s">
        <v>901</v>
      </c>
      <c r="D202" s="79">
        <v>45968.0</v>
      </c>
      <c r="E202" s="80" t="s">
        <v>71</v>
      </c>
      <c r="F202" s="81" t="s">
        <v>72</v>
      </c>
      <c r="G202" s="82" t="s">
        <v>902</v>
      </c>
      <c r="H202" s="80" t="s">
        <v>903</v>
      </c>
      <c r="I202" s="80" t="s">
        <v>75</v>
      </c>
      <c r="J202" s="80" t="s">
        <v>88</v>
      </c>
      <c r="K202" s="80" t="s">
        <v>335</v>
      </c>
      <c r="L202" s="80" t="s">
        <v>336</v>
      </c>
      <c r="M202" s="80" t="s">
        <v>79</v>
      </c>
      <c r="N202" s="81">
        <v>20.0</v>
      </c>
      <c r="O202" s="81">
        <v>7.0</v>
      </c>
      <c r="P202" s="81">
        <v>140.0</v>
      </c>
      <c r="Q202" s="122">
        <v>45978.0</v>
      </c>
      <c r="R202" s="83" t="s">
        <v>254</v>
      </c>
      <c r="S202" s="96">
        <v>45967.0</v>
      </c>
      <c r="T202" s="85"/>
      <c r="U202" s="80" t="s">
        <v>134</v>
      </c>
      <c r="V202" s="85" t="str">
        <f t="array" ref="V202">IFERROR(index('3. Công thức lab theo từng mã h'!J:J,MATCH(C202,'3. Công thức lab theo từng mã h'!L:L,0)),"")</f>
        <v/>
      </c>
      <c r="W202" s="85"/>
      <c r="X202" s="75"/>
    </row>
    <row r="203" hidden="1">
      <c r="A203" s="64">
        <f t="shared" si="2"/>
        <v>3</v>
      </c>
      <c r="B203" s="65" t="s">
        <v>69</v>
      </c>
      <c r="C203" s="66" t="s">
        <v>904</v>
      </c>
      <c r="D203" s="67">
        <v>45968.0</v>
      </c>
      <c r="E203" s="15" t="s">
        <v>71</v>
      </c>
      <c r="F203" s="68" t="s">
        <v>72</v>
      </c>
      <c r="G203" s="127" t="s">
        <v>905</v>
      </c>
      <c r="H203" s="15" t="s">
        <v>906</v>
      </c>
      <c r="I203" s="15" t="s">
        <v>75</v>
      </c>
      <c r="J203" s="15" t="s">
        <v>781</v>
      </c>
      <c r="K203" s="15" t="s">
        <v>907</v>
      </c>
      <c r="L203" s="15" t="s">
        <v>210</v>
      </c>
      <c r="M203" s="15" t="s">
        <v>79</v>
      </c>
      <c r="N203" s="68">
        <v>40.0</v>
      </c>
      <c r="O203" s="68">
        <v>10.0</v>
      </c>
      <c r="P203" s="68">
        <v>400.0</v>
      </c>
      <c r="Q203" s="122">
        <v>45976.0</v>
      </c>
      <c r="R203" s="72" t="s">
        <v>81</v>
      </c>
      <c r="S203" s="104">
        <v>45967.0</v>
      </c>
      <c r="T203" s="74"/>
      <c r="U203" s="68" t="s">
        <v>134</v>
      </c>
      <c r="V203" s="74" t="str">
        <f t="array" ref="V203">IFERROR(index('3. Công thức lab theo từng mã h'!J:J,MATCH(C203,'3. Công thức lab theo từng mã h'!L:L,0)),"")</f>
        <v/>
      </c>
      <c r="W203" s="74"/>
      <c r="X203" s="75"/>
    </row>
    <row r="204" hidden="1">
      <c r="A204" s="76">
        <f t="shared" si="2"/>
        <v>1</v>
      </c>
      <c r="B204" s="77" t="s">
        <v>69</v>
      </c>
      <c r="C204" s="78" t="s">
        <v>908</v>
      </c>
      <c r="D204" s="79">
        <v>45969.0</v>
      </c>
      <c r="E204" s="80" t="s">
        <v>71</v>
      </c>
      <c r="F204" s="81" t="s">
        <v>72</v>
      </c>
      <c r="G204" s="82" t="s">
        <v>909</v>
      </c>
      <c r="H204" s="80" t="s">
        <v>910</v>
      </c>
      <c r="I204" s="80" t="s">
        <v>75</v>
      </c>
      <c r="J204" s="80" t="s">
        <v>181</v>
      </c>
      <c r="K204" s="80" t="s">
        <v>911</v>
      </c>
      <c r="L204" s="80" t="s">
        <v>125</v>
      </c>
      <c r="M204" s="80" t="s">
        <v>79</v>
      </c>
      <c r="N204" s="81">
        <v>40.0</v>
      </c>
      <c r="O204" s="81">
        <v>5.0</v>
      </c>
      <c r="P204" s="81">
        <v>200.0</v>
      </c>
      <c r="Q204" s="122">
        <v>45981.0</v>
      </c>
      <c r="R204" s="83" t="s">
        <v>912</v>
      </c>
      <c r="S204" s="96">
        <v>45969.0</v>
      </c>
      <c r="T204" s="85"/>
      <c r="U204" s="80" t="s">
        <v>134</v>
      </c>
      <c r="V204" s="85" t="str">
        <f t="array" ref="V204">IFERROR(index('3. Công thức lab theo từng mã h'!J:J,MATCH(C204,'3. Công thức lab theo từng mã h'!L:L,0)),"")</f>
        <v/>
      </c>
      <c r="W204" s="85"/>
      <c r="X204" s="75"/>
    </row>
    <row r="205" hidden="1">
      <c r="A205" s="64">
        <f t="shared" si="2"/>
        <v>1</v>
      </c>
      <c r="B205" s="65" t="s">
        <v>69</v>
      </c>
      <c r="C205" s="66" t="s">
        <v>913</v>
      </c>
      <c r="D205" s="67">
        <v>45969.0</v>
      </c>
      <c r="E205" s="15" t="s">
        <v>71</v>
      </c>
      <c r="F205" s="68" t="s">
        <v>72</v>
      </c>
      <c r="G205" s="69" t="s">
        <v>662</v>
      </c>
      <c r="H205" s="15" t="s">
        <v>799</v>
      </c>
      <c r="I205" s="15" t="s">
        <v>75</v>
      </c>
      <c r="J205" s="15" t="s">
        <v>88</v>
      </c>
      <c r="K205" s="15" t="s">
        <v>664</v>
      </c>
      <c r="L205" s="15" t="s">
        <v>105</v>
      </c>
      <c r="M205" s="15" t="s">
        <v>79</v>
      </c>
      <c r="N205" s="68">
        <v>20.0</v>
      </c>
      <c r="O205" s="68">
        <v>20.0</v>
      </c>
      <c r="P205" s="68">
        <v>400.0</v>
      </c>
      <c r="Q205" s="122">
        <v>45976.0</v>
      </c>
      <c r="R205" s="72" t="s">
        <v>806</v>
      </c>
      <c r="S205" s="104">
        <v>45971.0</v>
      </c>
      <c r="T205" s="74"/>
      <c r="U205" s="15" t="s">
        <v>134</v>
      </c>
      <c r="V205" s="74" t="str">
        <f t="array" ref="V205">IFERROR(index('3. Công thức lab theo từng mã h'!J:J,MATCH(C205,'3. Công thức lab theo từng mã h'!L:L,0)),"")</f>
        <v/>
      </c>
      <c r="W205" s="74"/>
      <c r="X205" s="75"/>
    </row>
    <row r="206" hidden="1">
      <c r="A206" s="76">
        <f t="shared" si="2"/>
        <v>2</v>
      </c>
      <c r="B206" s="77" t="s">
        <v>69</v>
      </c>
      <c r="C206" s="78" t="s">
        <v>914</v>
      </c>
      <c r="D206" s="79">
        <v>45969.0</v>
      </c>
      <c r="E206" s="86"/>
      <c r="F206" s="81" t="s">
        <v>93</v>
      </c>
      <c r="G206" s="82" t="s">
        <v>915</v>
      </c>
      <c r="H206" s="80" t="s">
        <v>916</v>
      </c>
      <c r="I206" s="80" t="s">
        <v>75</v>
      </c>
      <c r="J206" s="80" t="s">
        <v>88</v>
      </c>
      <c r="K206" s="80" t="s">
        <v>736</v>
      </c>
      <c r="L206" s="80" t="s">
        <v>105</v>
      </c>
      <c r="M206" s="80" t="s">
        <v>79</v>
      </c>
      <c r="N206" s="81">
        <v>20.0</v>
      </c>
      <c r="O206" s="81">
        <v>30.0</v>
      </c>
      <c r="P206" s="81">
        <v>600.0</v>
      </c>
      <c r="Q206" s="122">
        <v>45973.0</v>
      </c>
      <c r="R206" s="83" t="s">
        <v>254</v>
      </c>
      <c r="S206" s="96">
        <v>45971.0</v>
      </c>
      <c r="T206" s="85"/>
      <c r="U206" s="80" t="s">
        <v>134</v>
      </c>
      <c r="V206" s="85" t="str">
        <f t="array" ref="V206">IFERROR(index('3. Công thức lab theo từng mã h'!J:J,MATCH(C206,'3. Công thức lab theo từng mã h'!L:L,0)),"")</f>
        <v/>
      </c>
      <c r="W206" s="85"/>
      <c r="X206" s="75"/>
    </row>
    <row r="207" hidden="1">
      <c r="A207" s="64">
        <f t="shared" si="2"/>
        <v>3</v>
      </c>
      <c r="B207" s="65" t="s">
        <v>69</v>
      </c>
      <c r="C207" s="66" t="s">
        <v>917</v>
      </c>
      <c r="D207" s="67">
        <v>45971.0</v>
      </c>
      <c r="E207" s="15" t="s">
        <v>71</v>
      </c>
      <c r="F207" s="68" t="s">
        <v>72</v>
      </c>
      <c r="G207" s="69" t="s">
        <v>918</v>
      </c>
      <c r="H207" s="15" t="s">
        <v>919</v>
      </c>
      <c r="I207" s="15" t="s">
        <v>75</v>
      </c>
      <c r="J207" s="15" t="s">
        <v>140</v>
      </c>
      <c r="K207" s="15" t="s">
        <v>274</v>
      </c>
      <c r="L207" s="15" t="s">
        <v>275</v>
      </c>
      <c r="M207" s="15" t="s">
        <v>79</v>
      </c>
      <c r="N207" s="68">
        <v>40.0</v>
      </c>
      <c r="O207" s="68">
        <v>5.0</v>
      </c>
      <c r="P207" s="68">
        <v>200.0</v>
      </c>
      <c r="Q207" s="122">
        <v>45980.0</v>
      </c>
      <c r="R207" s="72" t="s">
        <v>143</v>
      </c>
      <c r="S207" s="104">
        <v>45971.0</v>
      </c>
      <c r="T207" s="74"/>
      <c r="U207" s="15" t="s">
        <v>134</v>
      </c>
      <c r="V207" s="74" t="str">
        <f t="array" ref="V207">IFERROR(index('3. Công thức lab theo từng mã h'!J:J,MATCH(C207,'3. Công thức lab theo từng mã h'!L:L,0)),"")</f>
        <v/>
      </c>
      <c r="W207" s="74"/>
      <c r="X207" s="75"/>
    </row>
    <row r="208" hidden="1">
      <c r="A208" s="76">
        <f t="shared" si="2"/>
        <v>4</v>
      </c>
      <c r="B208" s="77" t="s">
        <v>69</v>
      </c>
      <c r="C208" s="78" t="s">
        <v>920</v>
      </c>
      <c r="D208" s="117">
        <v>45971.0</v>
      </c>
      <c r="E208" s="86"/>
      <c r="F208" s="81" t="s">
        <v>315</v>
      </c>
      <c r="G208" s="82" t="s">
        <v>793</v>
      </c>
      <c r="H208" s="80" t="s">
        <v>794</v>
      </c>
      <c r="I208" s="80" t="s">
        <v>75</v>
      </c>
      <c r="J208" s="80" t="s">
        <v>123</v>
      </c>
      <c r="K208" s="80" t="s">
        <v>350</v>
      </c>
      <c r="L208" s="80" t="s">
        <v>195</v>
      </c>
      <c r="M208" s="80" t="s">
        <v>79</v>
      </c>
      <c r="N208" s="81">
        <v>40.0</v>
      </c>
      <c r="O208" s="81">
        <v>20.0</v>
      </c>
      <c r="P208" s="81">
        <v>800.0</v>
      </c>
      <c r="Q208" s="122">
        <v>45978.0</v>
      </c>
      <c r="R208" s="128" t="s">
        <v>921</v>
      </c>
      <c r="S208" s="96">
        <v>45971.0</v>
      </c>
      <c r="T208" s="85"/>
      <c r="U208" s="80" t="s">
        <v>134</v>
      </c>
      <c r="V208" s="85" t="str">
        <f t="array" ref="V208">IFERROR(index('3. Công thức lab theo từng mã h'!J:J,MATCH(C208,'3. Công thức lab theo từng mã h'!L:L,0)),"")</f>
        <v/>
      </c>
      <c r="W208" s="85"/>
      <c r="X208" s="75"/>
    </row>
    <row r="209" hidden="1">
      <c r="A209" s="64">
        <f t="shared" si="2"/>
        <v>5</v>
      </c>
      <c r="B209" s="65" t="s">
        <v>69</v>
      </c>
      <c r="C209" s="66" t="s">
        <v>922</v>
      </c>
      <c r="D209" s="105">
        <v>45971.0</v>
      </c>
      <c r="E209" s="16"/>
      <c r="F209" s="68" t="s">
        <v>315</v>
      </c>
      <c r="G209" s="69" t="s">
        <v>637</v>
      </c>
      <c r="H209" s="15" t="s">
        <v>694</v>
      </c>
      <c r="I209" s="15" t="s">
        <v>75</v>
      </c>
      <c r="J209" s="15" t="s">
        <v>695</v>
      </c>
      <c r="K209" s="15" t="s">
        <v>362</v>
      </c>
      <c r="L209" s="15" t="s">
        <v>183</v>
      </c>
      <c r="M209" s="15" t="s">
        <v>79</v>
      </c>
      <c r="N209" s="68">
        <v>40.0</v>
      </c>
      <c r="O209" s="68">
        <v>10.0</v>
      </c>
      <c r="P209" s="68">
        <v>400.0</v>
      </c>
      <c r="Q209" s="122">
        <v>45978.0</v>
      </c>
      <c r="R209" s="72" t="s">
        <v>363</v>
      </c>
      <c r="S209" s="104">
        <v>45971.0</v>
      </c>
      <c r="T209" s="74"/>
      <c r="U209" s="15" t="s">
        <v>134</v>
      </c>
      <c r="V209" s="74" t="str">
        <f t="array" ref="V209">IFERROR(index('3. Công thức lab theo từng mã h'!J:J,MATCH(C209,'3. Công thức lab theo từng mã h'!L:L,0)),"")</f>
        <v/>
      </c>
      <c r="W209" s="74"/>
      <c r="X209" s="75"/>
    </row>
    <row r="210" hidden="1">
      <c r="A210" s="76">
        <f t="shared" si="2"/>
        <v>6</v>
      </c>
      <c r="B210" s="77" t="s">
        <v>69</v>
      </c>
      <c r="C210" s="78" t="s">
        <v>923</v>
      </c>
      <c r="D210" s="117">
        <v>45971.0</v>
      </c>
      <c r="E210" s="86"/>
      <c r="F210" s="81" t="s">
        <v>315</v>
      </c>
      <c r="G210" s="127" t="s">
        <v>924</v>
      </c>
      <c r="H210" s="80" t="s">
        <v>925</v>
      </c>
      <c r="I210" s="80" t="s">
        <v>75</v>
      </c>
      <c r="J210" s="80" t="s">
        <v>695</v>
      </c>
      <c r="K210" s="80" t="s">
        <v>926</v>
      </c>
      <c r="L210" s="80" t="s">
        <v>105</v>
      </c>
      <c r="M210" s="80" t="s">
        <v>79</v>
      </c>
      <c r="N210" s="81">
        <v>40.0</v>
      </c>
      <c r="O210" s="81">
        <v>10.0</v>
      </c>
      <c r="P210" s="81">
        <v>400.0</v>
      </c>
      <c r="Q210" s="122">
        <v>45978.0</v>
      </c>
      <c r="R210" s="83" t="s">
        <v>81</v>
      </c>
      <c r="S210" s="96">
        <v>45971.0</v>
      </c>
      <c r="T210" s="85"/>
      <c r="U210" s="81" t="s">
        <v>134</v>
      </c>
      <c r="V210" s="85" t="str">
        <f t="array" ref="V210">IFERROR(index('3. Công thức lab theo từng mã h'!J:J,MATCH(C210,'3. Công thức lab theo từng mã h'!L:L,0)),"")</f>
        <v/>
      </c>
      <c r="W210" s="85"/>
      <c r="X210" s="75"/>
    </row>
    <row r="211" hidden="1">
      <c r="A211" s="64">
        <f t="shared" si="2"/>
        <v>7</v>
      </c>
      <c r="B211" s="65" t="s">
        <v>69</v>
      </c>
      <c r="C211" s="66" t="s">
        <v>927</v>
      </c>
      <c r="D211" s="105">
        <v>45971.0</v>
      </c>
      <c r="E211" s="15" t="s">
        <v>71</v>
      </c>
      <c r="F211" s="68" t="s">
        <v>72</v>
      </c>
      <c r="G211" s="69" t="s">
        <v>928</v>
      </c>
      <c r="H211" s="15" t="s">
        <v>929</v>
      </c>
      <c r="I211" s="15" t="s">
        <v>75</v>
      </c>
      <c r="J211" s="15" t="s">
        <v>930</v>
      </c>
      <c r="K211" s="15" t="s">
        <v>931</v>
      </c>
      <c r="L211" s="15" t="s">
        <v>900</v>
      </c>
      <c r="M211" s="15" t="s">
        <v>79</v>
      </c>
      <c r="N211" s="68">
        <v>40.0</v>
      </c>
      <c r="O211" s="68">
        <v>10.0</v>
      </c>
      <c r="P211" s="68">
        <v>400.0</v>
      </c>
      <c r="Q211" s="122">
        <v>45981.0</v>
      </c>
      <c r="R211" s="72" t="s">
        <v>932</v>
      </c>
      <c r="S211" s="104">
        <v>45971.0</v>
      </c>
      <c r="T211" s="74"/>
      <c r="U211" s="15" t="s">
        <v>134</v>
      </c>
      <c r="V211" s="74" t="str">
        <f t="array" ref="V211">IFERROR(index('3. Công thức lab theo từng mã h'!J:J,MATCH(C211,'3. Công thức lab theo từng mã h'!L:L,0)),"")</f>
        <v/>
      </c>
      <c r="W211" s="74"/>
      <c r="X211" s="75"/>
    </row>
    <row r="212" hidden="1">
      <c r="A212" s="76">
        <f t="shared" si="2"/>
        <v>8</v>
      </c>
      <c r="B212" s="77" t="s">
        <v>69</v>
      </c>
      <c r="C212" s="78" t="s">
        <v>933</v>
      </c>
      <c r="D212" s="117">
        <v>45972.0</v>
      </c>
      <c r="E212" s="80" t="s">
        <v>71</v>
      </c>
      <c r="F212" s="81" t="s">
        <v>72</v>
      </c>
      <c r="G212" s="82" t="s">
        <v>934</v>
      </c>
      <c r="H212" s="80" t="s">
        <v>935</v>
      </c>
      <c r="I212" s="80" t="s">
        <v>75</v>
      </c>
      <c r="J212" s="80" t="s">
        <v>88</v>
      </c>
      <c r="K212" s="80" t="s">
        <v>936</v>
      </c>
      <c r="L212" s="80" t="s">
        <v>105</v>
      </c>
      <c r="M212" s="80" t="s">
        <v>79</v>
      </c>
      <c r="N212" s="81">
        <v>40.0</v>
      </c>
      <c r="O212" s="81">
        <v>10.0</v>
      </c>
      <c r="P212" s="81">
        <v>400.0</v>
      </c>
      <c r="Q212" s="122">
        <v>45981.0</v>
      </c>
      <c r="R212" s="83" t="s">
        <v>817</v>
      </c>
      <c r="S212" s="96">
        <v>45971.0</v>
      </c>
      <c r="T212" s="85"/>
      <c r="U212" s="80" t="s">
        <v>134</v>
      </c>
      <c r="V212" s="85" t="str">
        <f t="array" ref="V212">IFERROR(index('3. Công thức lab theo từng mã h'!J:J,MATCH(C212,'3. Công thức lab theo từng mã h'!L:L,0)),"")</f>
        <v/>
      </c>
      <c r="W212" s="85"/>
      <c r="X212" s="75"/>
    </row>
    <row r="213" hidden="1">
      <c r="A213" s="64">
        <f t="shared" si="2"/>
        <v>9</v>
      </c>
      <c r="B213" s="65" t="s">
        <v>69</v>
      </c>
      <c r="C213" s="66" t="s">
        <v>937</v>
      </c>
      <c r="D213" s="105">
        <v>45972.0</v>
      </c>
      <c r="E213" s="15" t="s">
        <v>71</v>
      </c>
      <c r="F213" s="68" t="s">
        <v>72</v>
      </c>
      <c r="G213" s="69" t="s">
        <v>611</v>
      </c>
      <c r="H213" s="15" t="s">
        <v>677</v>
      </c>
      <c r="I213" s="15" t="s">
        <v>75</v>
      </c>
      <c r="J213" s="15" t="s">
        <v>140</v>
      </c>
      <c r="K213" s="15" t="s">
        <v>613</v>
      </c>
      <c r="L213" s="15" t="s">
        <v>105</v>
      </c>
      <c r="M213" s="15" t="s">
        <v>79</v>
      </c>
      <c r="N213" s="68">
        <v>40.0</v>
      </c>
      <c r="O213" s="68">
        <v>20.0</v>
      </c>
      <c r="P213" s="68">
        <v>800.0</v>
      </c>
      <c r="Q213" s="122">
        <v>45978.0</v>
      </c>
      <c r="R213" s="72" t="s">
        <v>614</v>
      </c>
      <c r="S213" s="104">
        <v>45971.0</v>
      </c>
      <c r="T213" s="74"/>
      <c r="U213" s="15" t="s">
        <v>134</v>
      </c>
      <c r="V213" s="74" t="str">
        <f t="array" ref="V213">IFERROR(index('3. Công thức lab theo từng mã h'!J:J,MATCH(C213,'3. Công thức lab theo từng mã h'!L:L,0)),"")</f>
        <v/>
      </c>
      <c r="W213" s="74"/>
      <c r="X213" s="75"/>
    </row>
    <row r="214" hidden="1">
      <c r="A214" s="76">
        <f t="shared" si="2"/>
        <v>10</v>
      </c>
      <c r="B214" s="77" t="s">
        <v>69</v>
      </c>
      <c r="C214" s="78" t="s">
        <v>938</v>
      </c>
      <c r="D214" s="117">
        <v>45972.0</v>
      </c>
      <c r="E214" s="80" t="s">
        <v>71</v>
      </c>
      <c r="F214" s="81" t="s">
        <v>72</v>
      </c>
      <c r="G214" s="82" t="s">
        <v>475</v>
      </c>
      <c r="H214" s="80" t="s">
        <v>476</v>
      </c>
      <c r="I214" s="80" t="s">
        <v>75</v>
      </c>
      <c r="J214" s="80" t="s">
        <v>157</v>
      </c>
      <c r="K214" s="80" t="s">
        <v>477</v>
      </c>
      <c r="L214" s="80" t="s">
        <v>478</v>
      </c>
      <c r="M214" s="80" t="s">
        <v>79</v>
      </c>
      <c r="N214" s="81">
        <v>40.0</v>
      </c>
      <c r="O214" s="81">
        <v>10.0</v>
      </c>
      <c r="P214" s="81">
        <v>400.0</v>
      </c>
      <c r="Q214" s="122">
        <v>45978.0</v>
      </c>
      <c r="R214" s="83" t="s">
        <v>939</v>
      </c>
      <c r="S214" s="96">
        <v>45971.0</v>
      </c>
      <c r="T214" s="85"/>
      <c r="U214" s="80" t="s">
        <v>134</v>
      </c>
      <c r="V214" s="85" t="str">
        <f t="array" ref="V214">IFERROR(index('3. Công thức lab theo từng mã h'!J:J,MATCH(C214,'3. Công thức lab theo từng mã h'!L:L,0)),"")</f>
        <v/>
      </c>
      <c r="W214" s="85"/>
      <c r="X214" s="75"/>
    </row>
    <row r="215" hidden="1">
      <c r="A215" s="64">
        <f t="shared" si="2"/>
        <v>1</v>
      </c>
      <c r="B215" s="65" t="s">
        <v>69</v>
      </c>
      <c r="C215" s="66" t="s">
        <v>940</v>
      </c>
      <c r="D215" s="105">
        <v>45973.0</v>
      </c>
      <c r="E215" s="16"/>
      <c r="F215" s="68" t="s">
        <v>370</v>
      </c>
      <c r="G215" s="69" t="s">
        <v>878</v>
      </c>
      <c r="H215" s="15" t="s">
        <v>879</v>
      </c>
      <c r="I215" s="15" t="s">
        <v>75</v>
      </c>
      <c r="J215" s="15" t="s">
        <v>129</v>
      </c>
      <c r="K215" s="15" t="s">
        <v>736</v>
      </c>
      <c r="L215" s="15" t="s">
        <v>216</v>
      </c>
      <c r="M215" s="15" t="s">
        <v>79</v>
      </c>
      <c r="N215" s="68">
        <v>20.0</v>
      </c>
      <c r="O215" s="68">
        <v>20.0</v>
      </c>
      <c r="P215" s="68">
        <v>400.0</v>
      </c>
      <c r="Q215" s="122">
        <v>45974.0</v>
      </c>
      <c r="R215" s="72" t="s">
        <v>941</v>
      </c>
      <c r="S215" s="104">
        <v>45973.0</v>
      </c>
      <c r="T215" s="74"/>
      <c r="U215" s="15" t="s">
        <v>134</v>
      </c>
      <c r="V215" s="74" t="str">
        <f t="array" ref="V215">IFERROR(index('3. Công thức lab theo từng mã h'!J:J,MATCH(C215,'3. Công thức lab theo từng mã h'!L:L,0)),"")</f>
        <v/>
      </c>
      <c r="W215" s="74"/>
      <c r="X215" s="75"/>
    </row>
    <row r="216" hidden="1">
      <c r="A216" s="76">
        <f t="shared" si="2"/>
        <v>2</v>
      </c>
      <c r="B216" s="77" t="s">
        <v>69</v>
      </c>
      <c r="C216" s="78" t="s">
        <v>942</v>
      </c>
      <c r="D216" s="117">
        <v>45973.0</v>
      </c>
      <c r="E216" s="80" t="s">
        <v>71</v>
      </c>
      <c r="F216" s="81" t="s">
        <v>72</v>
      </c>
      <c r="G216" s="82" t="s">
        <v>943</v>
      </c>
      <c r="H216" s="80" t="s">
        <v>944</v>
      </c>
      <c r="I216" s="80" t="s">
        <v>75</v>
      </c>
      <c r="J216" s="80" t="s">
        <v>148</v>
      </c>
      <c r="K216" s="80" t="s">
        <v>945</v>
      </c>
      <c r="L216" s="80" t="s">
        <v>105</v>
      </c>
      <c r="M216" s="80" t="s">
        <v>79</v>
      </c>
      <c r="N216" s="81">
        <v>20.0</v>
      </c>
      <c r="O216" s="81">
        <v>10.0</v>
      </c>
      <c r="P216" s="81">
        <v>200.0</v>
      </c>
      <c r="Q216" s="122">
        <v>45985.0</v>
      </c>
      <c r="R216" s="83" t="s">
        <v>254</v>
      </c>
      <c r="S216" s="96">
        <v>45973.0</v>
      </c>
      <c r="T216" s="85"/>
      <c r="U216" s="80" t="s">
        <v>134</v>
      </c>
      <c r="V216" s="85" t="str">
        <f t="array" ref="V216">IFERROR(index('3. Công thức lab theo từng mã h'!J:J,MATCH(C216,'3. Công thức lab theo từng mã h'!L:L,0)),"")</f>
        <v/>
      </c>
      <c r="W216" s="85"/>
      <c r="X216" s="75"/>
    </row>
    <row r="217" hidden="1">
      <c r="A217" s="64">
        <f t="shared" si="2"/>
        <v>3</v>
      </c>
      <c r="B217" s="65" t="s">
        <v>69</v>
      </c>
      <c r="C217" s="66" t="s">
        <v>946</v>
      </c>
      <c r="D217" s="105">
        <v>45973.0</v>
      </c>
      <c r="E217" s="15" t="s">
        <v>71</v>
      </c>
      <c r="F217" s="68" t="s">
        <v>72</v>
      </c>
      <c r="G217" s="127" t="s">
        <v>441</v>
      </c>
      <c r="H217" s="15" t="s">
        <v>442</v>
      </c>
      <c r="I217" s="15" t="s">
        <v>75</v>
      </c>
      <c r="J217" s="15" t="s">
        <v>443</v>
      </c>
      <c r="K217" s="15" t="s">
        <v>947</v>
      </c>
      <c r="L217" s="15" t="s">
        <v>249</v>
      </c>
      <c r="M217" s="15" t="s">
        <v>79</v>
      </c>
      <c r="N217" s="68">
        <v>40.0</v>
      </c>
      <c r="O217" s="68">
        <v>22.0</v>
      </c>
      <c r="P217" s="68">
        <v>880.0</v>
      </c>
      <c r="Q217" s="122">
        <v>45984.0</v>
      </c>
      <c r="R217" s="72" t="s">
        <v>948</v>
      </c>
      <c r="S217" s="104">
        <v>45973.0</v>
      </c>
      <c r="T217" s="74"/>
      <c r="U217" s="68" t="s">
        <v>134</v>
      </c>
      <c r="V217" s="74" t="str">
        <f t="array" ref="V217">IFERROR(index('3. Công thức lab theo từng mã h'!J:J,MATCH(C217,'3. Công thức lab theo từng mã h'!L:L,0)),"")</f>
        <v/>
      </c>
      <c r="W217" s="74"/>
      <c r="X217" s="75"/>
    </row>
    <row r="218" hidden="1">
      <c r="A218" s="76">
        <f t="shared" si="2"/>
        <v>4</v>
      </c>
      <c r="B218" s="77" t="s">
        <v>69</v>
      </c>
      <c r="C218" s="78" t="s">
        <v>949</v>
      </c>
      <c r="D218" s="117">
        <v>45973.0</v>
      </c>
      <c r="E218" s="80" t="s">
        <v>71</v>
      </c>
      <c r="F218" s="81" t="s">
        <v>72</v>
      </c>
      <c r="G218" s="82" t="s">
        <v>553</v>
      </c>
      <c r="H218" s="80" t="s">
        <v>554</v>
      </c>
      <c r="I218" s="80" t="s">
        <v>75</v>
      </c>
      <c r="J218" s="80" t="s">
        <v>181</v>
      </c>
      <c r="K218" s="80" t="s">
        <v>745</v>
      </c>
      <c r="L218" s="80" t="s">
        <v>125</v>
      </c>
      <c r="M218" s="80" t="s">
        <v>79</v>
      </c>
      <c r="N218" s="81">
        <v>40.0</v>
      </c>
      <c r="O218" s="81">
        <v>5.0</v>
      </c>
      <c r="P218" s="81">
        <v>200.0</v>
      </c>
      <c r="Q218" s="122">
        <v>45981.0</v>
      </c>
      <c r="R218" s="83" t="s">
        <v>184</v>
      </c>
      <c r="S218" s="96">
        <v>45973.0</v>
      </c>
      <c r="T218" s="85"/>
      <c r="U218" s="80" t="s">
        <v>134</v>
      </c>
      <c r="V218" s="85" t="str">
        <f t="array" ref="V218">IFERROR(index('3. Công thức lab theo từng mã h'!J:J,MATCH(C218,'3. Công thức lab theo từng mã h'!L:L,0)),"")</f>
        <v/>
      </c>
      <c r="W218" s="85"/>
      <c r="X218" s="75"/>
    </row>
    <row r="219" hidden="1">
      <c r="A219" s="64">
        <f t="shared" si="2"/>
        <v>5</v>
      </c>
      <c r="B219" s="65" t="s">
        <v>69</v>
      </c>
      <c r="C219" s="66" t="s">
        <v>950</v>
      </c>
      <c r="D219" s="105">
        <v>45974.0</v>
      </c>
      <c r="E219" s="16"/>
      <c r="F219" s="68" t="s">
        <v>93</v>
      </c>
      <c r="G219" s="69" t="s">
        <v>915</v>
      </c>
      <c r="H219" s="15" t="s">
        <v>916</v>
      </c>
      <c r="I219" s="15" t="s">
        <v>75</v>
      </c>
      <c r="J219" s="15" t="s">
        <v>88</v>
      </c>
      <c r="K219" s="15" t="s">
        <v>736</v>
      </c>
      <c r="L219" s="15" t="s">
        <v>105</v>
      </c>
      <c r="M219" s="15" t="s">
        <v>79</v>
      </c>
      <c r="N219" s="68">
        <v>20.0</v>
      </c>
      <c r="O219" s="68">
        <v>30.0</v>
      </c>
      <c r="P219" s="68">
        <v>600.0</v>
      </c>
      <c r="Q219" s="122">
        <v>45980.0</v>
      </c>
      <c r="R219" s="72" t="s">
        <v>254</v>
      </c>
      <c r="S219" s="104">
        <v>45973.0</v>
      </c>
      <c r="T219" s="74"/>
      <c r="U219" s="15" t="s">
        <v>134</v>
      </c>
      <c r="V219" s="74" t="str">
        <f t="array" ref="V219">IFERROR(index('3. Công thức lab theo từng mã h'!J:J,MATCH(C219,'3. Công thức lab theo từng mã h'!L:L,0)),"")</f>
        <v/>
      </c>
      <c r="W219" s="74"/>
      <c r="X219" s="75"/>
    </row>
    <row r="220" hidden="1">
      <c r="A220" s="76">
        <f t="shared" si="2"/>
        <v>1</v>
      </c>
      <c r="B220" s="77" t="s">
        <v>69</v>
      </c>
      <c r="C220" s="78" t="s">
        <v>951</v>
      </c>
      <c r="D220" s="117">
        <v>45974.0</v>
      </c>
      <c r="E220" s="80" t="s">
        <v>71</v>
      </c>
      <c r="F220" s="81" t="s">
        <v>72</v>
      </c>
      <c r="G220" s="82" t="s">
        <v>436</v>
      </c>
      <c r="H220" s="80" t="s">
        <v>437</v>
      </c>
      <c r="I220" s="80" t="s">
        <v>75</v>
      </c>
      <c r="J220" s="80" t="s">
        <v>88</v>
      </c>
      <c r="K220" s="80" t="s">
        <v>438</v>
      </c>
      <c r="L220" s="80" t="s">
        <v>105</v>
      </c>
      <c r="M220" s="80" t="s">
        <v>79</v>
      </c>
      <c r="N220" s="81">
        <v>20.0</v>
      </c>
      <c r="O220" s="81">
        <v>10.0</v>
      </c>
      <c r="P220" s="81">
        <v>200.0</v>
      </c>
      <c r="Q220" s="122">
        <v>45981.0</v>
      </c>
      <c r="R220" s="83" t="s">
        <v>270</v>
      </c>
      <c r="S220" s="96">
        <v>45974.0</v>
      </c>
      <c r="T220" s="85"/>
      <c r="U220" s="80" t="s">
        <v>134</v>
      </c>
      <c r="V220" s="85" t="str">
        <f t="array" ref="V220">IFERROR(index('3. Công thức lab theo từng mã h'!J:J,MATCH(C220,'3. Công thức lab theo từng mã h'!L:L,0)),"")</f>
        <v/>
      </c>
      <c r="W220" s="85"/>
      <c r="X220" s="75"/>
    </row>
    <row r="221" hidden="1">
      <c r="A221" s="64">
        <f t="shared" si="2"/>
        <v>2</v>
      </c>
      <c r="B221" s="65" t="s">
        <v>69</v>
      </c>
      <c r="C221" s="66" t="s">
        <v>952</v>
      </c>
      <c r="D221" s="105">
        <v>45975.0</v>
      </c>
      <c r="E221" s="15" t="s">
        <v>71</v>
      </c>
      <c r="F221" s="68" t="s">
        <v>72</v>
      </c>
      <c r="G221" s="69" t="s">
        <v>953</v>
      </c>
      <c r="H221" s="15" t="s">
        <v>954</v>
      </c>
      <c r="I221" s="15" t="s">
        <v>75</v>
      </c>
      <c r="J221" s="15" t="s">
        <v>88</v>
      </c>
      <c r="K221" s="15" t="s">
        <v>335</v>
      </c>
      <c r="L221" s="15" t="s">
        <v>336</v>
      </c>
      <c r="M221" s="15" t="s">
        <v>79</v>
      </c>
      <c r="N221" s="68">
        <v>20.0</v>
      </c>
      <c r="O221" s="68">
        <v>10.0</v>
      </c>
      <c r="P221" s="68">
        <v>200.0</v>
      </c>
      <c r="Q221" s="122">
        <v>45978.0</v>
      </c>
      <c r="R221" s="72" t="s">
        <v>254</v>
      </c>
      <c r="S221" s="104">
        <v>45974.0</v>
      </c>
      <c r="T221" s="74"/>
      <c r="U221" s="15" t="s">
        <v>134</v>
      </c>
      <c r="V221" s="74" t="str">
        <f t="array" ref="V221">IFERROR(index('3. Công thức lab theo từng mã h'!J:J,MATCH(C221,'3. Công thức lab theo từng mã h'!L:L,0)),"")</f>
        <v/>
      </c>
      <c r="W221" s="74"/>
      <c r="X221" s="75"/>
    </row>
    <row r="222" hidden="1">
      <c r="A222" s="76">
        <f t="shared" si="2"/>
        <v>1</v>
      </c>
      <c r="B222" s="77" t="s">
        <v>69</v>
      </c>
      <c r="C222" s="78" t="s">
        <v>955</v>
      </c>
      <c r="D222" s="117">
        <v>45974.0</v>
      </c>
      <c r="E222" s="86"/>
      <c r="F222" s="81" t="s">
        <v>93</v>
      </c>
      <c r="G222" s="82" t="s">
        <v>956</v>
      </c>
      <c r="H222" s="80" t="s">
        <v>957</v>
      </c>
      <c r="I222" s="80" t="s">
        <v>75</v>
      </c>
      <c r="J222" s="80" t="s">
        <v>148</v>
      </c>
      <c r="K222" s="80" t="s">
        <v>958</v>
      </c>
      <c r="L222" s="80" t="s">
        <v>105</v>
      </c>
      <c r="M222" s="80" t="s">
        <v>79</v>
      </c>
      <c r="N222" s="81">
        <v>40.0</v>
      </c>
      <c r="O222" s="81">
        <v>10.0</v>
      </c>
      <c r="P222" s="81">
        <v>400.0</v>
      </c>
      <c r="Q222" s="122">
        <v>45985.0</v>
      </c>
      <c r="R222" s="83" t="s">
        <v>959</v>
      </c>
      <c r="S222" s="96">
        <v>45978.0</v>
      </c>
      <c r="T222" s="85"/>
      <c r="U222" s="80" t="s">
        <v>134</v>
      </c>
      <c r="V222" s="85" t="str">
        <f t="array" ref="V222">IFERROR(index('3. Công thức lab theo từng mã h'!J:J,MATCH(C222,'3. Công thức lab theo từng mã h'!L:L,0)),"")</f>
        <v/>
      </c>
      <c r="W222" s="85"/>
      <c r="X222" s="75"/>
    </row>
    <row r="223" hidden="1">
      <c r="A223" s="64">
        <f t="shared" si="2"/>
        <v>2</v>
      </c>
      <c r="B223" s="65" t="s">
        <v>69</v>
      </c>
      <c r="C223" s="66" t="s">
        <v>960</v>
      </c>
      <c r="D223" s="105">
        <v>45975.0</v>
      </c>
      <c r="E223" s="15" t="s">
        <v>71</v>
      </c>
      <c r="F223" s="68" t="s">
        <v>72</v>
      </c>
      <c r="G223" s="69" t="s">
        <v>785</v>
      </c>
      <c r="H223" s="15" t="s">
        <v>961</v>
      </c>
      <c r="I223" s="15" t="s">
        <v>75</v>
      </c>
      <c r="J223" s="15" t="s">
        <v>88</v>
      </c>
      <c r="K223" s="15" t="s">
        <v>787</v>
      </c>
      <c r="L223" s="15" t="s">
        <v>105</v>
      </c>
      <c r="M223" s="15" t="s">
        <v>79</v>
      </c>
      <c r="N223" s="68">
        <v>20.0</v>
      </c>
      <c r="O223" s="68">
        <v>20.0</v>
      </c>
      <c r="P223" s="68">
        <v>400.0</v>
      </c>
      <c r="Q223" s="122">
        <v>45980.0</v>
      </c>
      <c r="R223" s="72" t="s">
        <v>806</v>
      </c>
      <c r="S223" s="104">
        <v>45978.0</v>
      </c>
      <c r="T223" s="74"/>
      <c r="U223" s="15" t="s">
        <v>134</v>
      </c>
      <c r="V223" s="74" t="str">
        <f t="array" ref="V223">IFERROR(index('3. Công thức lab theo từng mã h'!J:J,MATCH(C223,'3. Công thức lab theo từng mã h'!L:L,0)),"")</f>
        <v/>
      </c>
      <c r="W223" s="74"/>
      <c r="X223" s="75"/>
    </row>
    <row r="224" hidden="1">
      <c r="A224" s="76">
        <f t="shared" si="2"/>
        <v>3</v>
      </c>
      <c r="B224" s="77" t="s">
        <v>69</v>
      </c>
      <c r="C224" s="78" t="s">
        <v>962</v>
      </c>
      <c r="D224" s="117">
        <v>45975.0</v>
      </c>
      <c r="E224" s="80" t="s">
        <v>71</v>
      </c>
      <c r="F224" s="81" t="s">
        <v>72</v>
      </c>
      <c r="G224" s="82" t="s">
        <v>963</v>
      </c>
      <c r="H224" s="80" t="s">
        <v>964</v>
      </c>
      <c r="I224" s="80" t="s">
        <v>75</v>
      </c>
      <c r="J224" s="80" t="s">
        <v>181</v>
      </c>
      <c r="K224" s="80" t="s">
        <v>182</v>
      </c>
      <c r="L224" s="80" t="s">
        <v>125</v>
      </c>
      <c r="M224" s="80" t="s">
        <v>79</v>
      </c>
      <c r="N224" s="81">
        <v>40.0</v>
      </c>
      <c r="O224" s="81">
        <v>10.0</v>
      </c>
      <c r="P224" s="81">
        <v>400.0</v>
      </c>
      <c r="Q224" s="122">
        <v>45986.0</v>
      </c>
      <c r="R224" s="83" t="s">
        <v>184</v>
      </c>
      <c r="S224" s="96">
        <v>45978.0</v>
      </c>
      <c r="T224" s="85"/>
      <c r="U224" s="80" t="s">
        <v>134</v>
      </c>
      <c r="V224" s="85" t="str">
        <f t="array" ref="V224">IFERROR(index('3. Công thức lab theo từng mã h'!J:J,MATCH(C224,'3. Công thức lab theo từng mã h'!L:L,0)),"")</f>
        <v/>
      </c>
      <c r="W224" s="85"/>
      <c r="X224" s="75"/>
    </row>
    <row r="225" hidden="1">
      <c r="A225" s="64">
        <f t="shared" si="2"/>
        <v>4</v>
      </c>
      <c r="B225" s="65" t="s">
        <v>69</v>
      </c>
      <c r="C225" s="66" t="s">
        <v>965</v>
      </c>
      <c r="D225" s="105">
        <v>45975.0</v>
      </c>
      <c r="E225" s="16"/>
      <c r="F225" s="68" t="s">
        <v>370</v>
      </c>
      <c r="G225" s="69" t="s">
        <v>966</v>
      </c>
      <c r="H225" s="15" t="s">
        <v>967</v>
      </c>
      <c r="I225" s="15" t="s">
        <v>75</v>
      </c>
      <c r="J225" s="15" t="s">
        <v>181</v>
      </c>
      <c r="K225" s="15" t="s">
        <v>968</v>
      </c>
      <c r="L225" s="15" t="s">
        <v>125</v>
      </c>
      <c r="M225" s="15" t="s">
        <v>79</v>
      </c>
      <c r="N225" s="68">
        <v>20.0</v>
      </c>
      <c r="O225" s="68">
        <v>50.0</v>
      </c>
      <c r="P225" s="70">
        <v>1000.0</v>
      </c>
      <c r="Q225" s="122">
        <v>45981.0</v>
      </c>
      <c r="R225" s="72" t="s">
        <v>856</v>
      </c>
      <c r="S225" s="104">
        <v>45978.0</v>
      </c>
      <c r="T225" s="74"/>
      <c r="U225" s="15" t="s">
        <v>134</v>
      </c>
      <c r="V225" s="74" t="str">
        <f t="array" ref="V225">IFERROR(index('3. Công thức lab theo từng mã h'!J:J,MATCH(C225,'3. Công thức lab theo từng mã h'!L:L,0)),"")</f>
        <v/>
      </c>
      <c r="W225" s="74"/>
      <c r="X225" s="75"/>
    </row>
    <row r="226" hidden="1">
      <c r="A226" s="76">
        <f t="shared" si="2"/>
        <v>5</v>
      </c>
      <c r="B226" s="77" t="s">
        <v>69</v>
      </c>
      <c r="C226" s="78" t="s">
        <v>969</v>
      </c>
      <c r="D226" s="117">
        <v>45976.0</v>
      </c>
      <c r="E226" s="80" t="s">
        <v>71</v>
      </c>
      <c r="F226" s="81" t="s">
        <v>72</v>
      </c>
      <c r="G226" s="127" t="s">
        <v>970</v>
      </c>
      <c r="H226" s="80" t="s">
        <v>971</v>
      </c>
      <c r="I226" s="80" t="s">
        <v>75</v>
      </c>
      <c r="J226" s="80" t="s">
        <v>972</v>
      </c>
      <c r="K226" s="80" t="s">
        <v>973</v>
      </c>
      <c r="L226" s="80" t="s">
        <v>893</v>
      </c>
      <c r="M226" s="80" t="s">
        <v>265</v>
      </c>
      <c r="N226" s="81">
        <v>1.0</v>
      </c>
      <c r="O226" s="81">
        <v>30.0</v>
      </c>
      <c r="P226" s="81">
        <v>30.0</v>
      </c>
      <c r="Q226" s="122">
        <v>45986.0</v>
      </c>
      <c r="R226" s="83" t="s">
        <v>974</v>
      </c>
      <c r="S226" s="96">
        <v>45978.0</v>
      </c>
      <c r="T226" s="85"/>
      <c r="U226" s="81" t="s">
        <v>134</v>
      </c>
      <c r="V226" s="85" t="str">
        <f t="array" ref="V226">IFERROR(index('3. Công thức lab theo từng mã h'!J:J,MATCH(C226,'3. Công thức lab theo từng mã h'!L:L,0)),"")</f>
        <v/>
      </c>
      <c r="W226" s="85"/>
      <c r="X226" s="75"/>
    </row>
    <row r="227" hidden="1">
      <c r="A227" s="64">
        <f t="shared" si="2"/>
        <v>6</v>
      </c>
      <c r="B227" s="65" t="s">
        <v>69</v>
      </c>
      <c r="C227" s="66" t="s">
        <v>975</v>
      </c>
      <c r="D227" s="105">
        <v>45976.0</v>
      </c>
      <c r="E227" s="15" t="s">
        <v>71</v>
      </c>
      <c r="F227" s="68" t="s">
        <v>72</v>
      </c>
      <c r="G227" s="127" t="s">
        <v>976</v>
      </c>
      <c r="H227" s="15" t="s">
        <v>977</v>
      </c>
      <c r="I227" s="15" t="s">
        <v>75</v>
      </c>
      <c r="J227" s="15" t="s">
        <v>88</v>
      </c>
      <c r="K227" s="15" t="s">
        <v>643</v>
      </c>
      <c r="L227" s="15" t="s">
        <v>105</v>
      </c>
      <c r="M227" s="15" t="s">
        <v>79</v>
      </c>
      <c r="N227" s="68">
        <v>20.0</v>
      </c>
      <c r="O227" s="68">
        <v>10.0</v>
      </c>
      <c r="P227" s="68">
        <v>200.0</v>
      </c>
      <c r="Q227" s="122">
        <v>45987.0</v>
      </c>
      <c r="R227" s="72" t="s">
        <v>254</v>
      </c>
      <c r="S227" s="104">
        <v>45978.0</v>
      </c>
      <c r="T227" s="74"/>
      <c r="U227" s="15" t="s">
        <v>134</v>
      </c>
      <c r="V227" s="74" t="str">
        <f t="array" ref="V227">IFERROR(index('3. Công thức lab theo từng mã h'!J:J,MATCH(C227,'3. Công thức lab theo từng mã h'!L:L,0)),"")</f>
        <v/>
      </c>
      <c r="W227" s="74"/>
      <c r="X227" s="75"/>
    </row>
    <row r="228" hidden="1">
      <c r="A228" s="76">
        <f t="shared" si="2"/>
        <v>7</v>
      </c>
      <c r="B228" s="77" t="s">
        <v>69</v>
      </c>
      <c r="C228" s="78" t="s">
        <v>978</v>
      </c>
      <c r="D228" s="117">
        <v>45976.0</v>
      </c>
      <c r="E228" s="80" t="s">
        <v>71</v>
      </c>
      <c r="F228" s="81" t="s">
        <v>72</v>
      </c>
      <c r="G228" s="127" t="s">
        <v>979</v>
      </c>
      <c r="H228" s="80" t="s">
        <v>980</v>
      </c>
      <c r="I228" s="80" t="s">
        <v>75</v>
      </c>
      <c r="J228" s="80" t="s">
        <v>981</v>
      </c>
      <c r="K228" s="80" t="s">
        <v>982</v>
      </c>
      <c r="L228" s="80" t="s">
        <v>90</v>
      </c>
      <c r="M228" s="80" t="s">
        <v>79</v>
      </c>
      <c r="N228" s="81">
        <v>20.0</v>
      </c>
      <c r="O228" s="81">
        <v>10.0</v>
      </c>
      <c r="P228" s="81">
        <v>200.0</v>
      </c>
      <c r="Q228" s="122">
        <v>45989.0</v>
      </c>
      <c r="R228" s="83" t="s">
        <v>244</v>
      </c>
      <c r="S228" s="96">
        <v>45978.0</v>
      </c>
      <c r="T228" s="85"/>
      <c r="U228" s="80" t="s">
        <v>134</v>
      </c>
      <c r="V228" s="85" t="str">
        <f t="array" ref="V228">IFERROR(index('3. Công thức lab theo từng mã h'!J:J,MATCH(C228,'3. Công thức lab theo từng mã h'!L:L,0)),"")</f>
        <v/>
      </c>
      <c r="W228" s="85"/>
      <c r="X228" s="75"/>
    </row>
    <row r="229" hidden="1">
      <c r="A229" s="64">
        <f t="shared" si="2"/>
        <v>8</v>
      </c>
      <c r="B229" s="65" t="s">
        <v>69</v>
      </c>
      <c r="C229" s="66" t="s">
        <v>983</v>
      </c>
      <c r="D229" s="105">
        <v>45976.0</v>
      </c>
      <c r="E229" s="15" t="s">
        <v>71</v>
      </c>
      <c r="F229" s="68" t="s">
        <v>72</v>
      </c>
      <c r="G229" s="127" t="s">
        <v>984</v>
      </c>
      <c r="H229" s="15" t="s">
        <v>985</v>
      </c>
      <c r="I229" s="15" t="s">
        <v>75</v>
      </c>
      <c r="J229" s="15" t="s">
        <v>157</v>
      </c>
      <c r="K229" s="15" t="s">
        <v>986</v>
      </c>
      <c r="L229" s="15" t="s">
        <v>987</v>
      </c>
      <c r="M229" s="15" t="s">
        <v>79</v>
      </c>
      <c r="N229" s="68">
        <v>40.0</v>
      </c>
      <c r="O229" s="68">
        <v>10.0</v>
      </c>
      <c r="P229" s="68">
        <v>400.0</v>
      </c>
      <c r="Q229" s="122">
        <v>45989.0</v>
      </c>
      <c r="R229" s="129" t="s">
        <v>939</v>
      </c>
      <c r="S229" s="104">
        <v>45978.0</v>
      </c>
      <c r="T229" s="74"/>
      <c r="U229" s="15" t="s">
        <v>134</v>
      </c>
      <c r="V229" s="74" t="str">
        <f t="array" ref="V229">IFERROR(index('3. Công thức lab theo từng mã h'!J:J,MATCH(C229,'3. Công thức lab theo từng mã h'!L:L,0)),"")</f>
        <v/>
      </c>
      <c r="W229" s="74"/>
      <c r="X229" s="75"/>
    </row>
    <row r="230" hidden="1">
      <c r="A230" s="76">
        <f t="shared" si="2"/>
        <v>9</v>
      </c>
      <c r="B230" s="77" t="s">
        <v>69</v>
      </c>
      <c r="C230" s="78" t="s">
        <v>988</v>
      </c>
      <c r="D230" s="117">
        <v>45976.0</v>
      </c>
      <c r="E230" s="80" t="s">
        <v>71</v>
      </c>
      <c r="F230" s="81" t="s">
        <v>72</v>
      </c>
      <c r="G230" s="127" t="s">
        <v>989</v>
      </c>
      <c r="H230" s="80" t="s">
        <v>990</v>
      </c>
      <c r="I230" s="80" t="s">
        <v>75</v>
      </c>
      <c r="J230" s="80" t="s">
        <v>88</v>
      </c>
      <c r="K230" s="80" t="s">
        <v>335</v>
      </c>
      <c r="L230" s="80" t="s">
        <v>105</v>
      </c>
      <c r="M230" s="80" t="s">
        <v>79</v>
      </c>
      <c r="N230" s="81">
        <v>20.0</v>
      </c>
      <c r="O230" s="81">
        <v>20.0</v>
      </c>
      <c r="P230" s="81">
        <v>400.0</v>
      </c>
      <c r="Q230" s="122">
        <v>45987.0</v>
      </c>
      <c r="R230" s="130" t="s">
        <v>254</v>
      </c>
      <c r="S230" s="96">
        <v>45978.0</v>
      </c>
      <c r="T230" s="85"/>
      <c r="U230" s="80" t="s">
        <v>134</v>
      </c>
      <c r="V230" s="85" t="str">
        <f t="array" ref="V230">IFERROR(index('3. Công thức lab theo từng mã h'!J:J,MATCH(C230,'3. Công thức lab theo từng mã h'!L:L,0)),"")</f>
        <v/>
      </c>
      <c r="W230" s="85"/>
      <c r="X230" s="75"/>
    </row>
    <row r="231" hidden="1">
      <c r="A231" s="64">
        <f t="shared" si="2"/>
        <v>10</v>
      </c>
      <c r="B231" s="65" t="s">
        <v>69</v>
      </c>
      <c r="C231" s="66" t="s">
        <v>991</v>
      </c>
      <c r="D231" s="105">
        <v>45976.0</v>
      </c>
      <c r="E231" s="15" t="s">
        <v>71</v>
      </c>
      <c r="F231" s="68" t="s">
        <v>72</v>
      </c>
      <c r="G231" s="127" t="s">
        <v>992</v>
      </c>
      <c r="H231" s="15" t="s">
        <v>993</v>
      </c>
      <c r="I231" s="15" t="s">
        <v>75</v>
      </c>
      <c r="J231" s="15" t="s">
        <v>88</v>
      </c>
      <c r="K231" s="15" t="s">
        <v>994</v>
      </c>
      <c r="L231" s="15" t="s">
        <v>90</v>
      </c>
      <c r="M231" s="15" t="s">
        <v>79</v>
      </c>
      <c r="N231" s="68">
        <v>30.0</v>
      </c>
      <c r="O231" s="68">
        <v>20.0</v>
      </c>
      <c r="P231" s="68">
        <v>600.0</v>
      </c>
      <c r="Q231" s="122">
        <v>45987.0</v>
      </c>
      <c r="R231" s="72" t="s">
        <v>313</v>
      </c>
      <c r="S231" s="104">
        <v>45978.0</v>
      </c>
      <c r="T231" s="74"/>
      <c r="U231" s="15" t="s">
        <v>134</v>
      </c>
      <c r="V231" s="74" t="str">
        <f t="array" ref="V231">IFERROR(index('3. Công thức lab theo từng mã h'!J:J,MATCH(C231,'3. Công thức lab theo từng mã h'!L:L,0)),"")</f>
        <v/>
      </c>
      <c r="W231" s="74"/>
      <c r="X231" s="75"/>
    </row>
    <row r="232" hidden="1">
      <c r="A232" s="76">
        <f t="shared" si="2"/>
        <v>11</v>
      </c>
      <c r="B232" s="77" t="s">
        <v>69</v>
      </c>
      <c r="C232" s="78" t="s">
        <v>995</v>
      </c>
      <c r="D232" s="117">
        <v>45978.0</v>
      </c>
      <c r="E232" s="80" t="s">
        <v>71</v>
      </c>
      <c r="F232" s="81" t="s">
        <v>72</v>
      </c>
      <c r="G232" s="127" t="s">
        <v>996</v>
      </c>
      <c r="H232" s="80" t="s">
        <v>997</v>
      </c>
      <c r="I232" s="80" t="s">
        <v>75</v>
      </c>
      <c r="J232" s="80" t="s">
        <v>88</v>
      </c>
      <c r="K232" s="80" t="s">
        <v>998</v>
      </c>
      <c r="L232" s="80" t="s">
        <v>105</v>
      </c>
      <c r="M232" s="80" t="s">
        <v>79</v>
      </c>
      <c r="N232" s="81">
        <v>30.0</v>
      </c>
      <c r="O232" s="81">
        <v>10.0</v>
      </c>
      <c r="P232" s="81">
        <v>300.0</v>
      </c>
      <c r="Q232" s="122">
        <v>45980.0</v>
      </c>
      <c r="R232" s="83" t="s">
        <v>999</v>
      </c>
      <c r="S232" s="96">
        <v>45978.0</v>
      </c>
      <c r="T232" s="85"/>
      <c r="U232" s="80" t="s">
        <v>134</v>
      </c>
      <c r="V232" s="85" t="str">
        <f t="array" ref="V232">IFERROR(index('3. Công thức lab theo từng mã h'!J:J,MATCH(C232,'3. Công thức lab theo từng mã h'!L:L,0)),"")</f>
        <v/>
      </c>
      <c r="W232" s="85"/>
      <c r="X232" s="75"/>
    </row>
    <row r="233" hidden="1">
      <c r="A233" s="64">
        <f t="shared" si="2"/>
        <v>12</v>
      </c>
      <c r="B233" s="65" t="s">
        <v>69</v>
      </c>
      <c r="C233" s="66" t="s">
        <v>1000</v>
      </c>
      <c r="D233" s="105">
        <v>45978.0</v>
      </c>
      <c r="E233" s="15" t="s">
        <v>71</v>
      </c>
      <c r="F233" s="68" t="s">
        <v>72</v>
      </c>
      <c r="G233" s="69" t="s">
        <v>667</v>
      </c>
      <c r="H233" s="15" t="s">
        <v>668</v>
      </c>
      <c r="I233" s="15" t="s">
        <v>75</v>
      </c>
      <c r="J233" s="15" t="s">
        <v>157</v>
      </c>
      <c r="K233" s="15" t="s">
        <v>204</v>
      </c>
      <c r="L233" s="15" t="s">
        <v>105</v>
      </c>
      <c r="M233" s="15" t="s">
        <v>79</v>
      </c>
      <c r="N233" s="68">
        <v>20.0</v>
      </c>
      <c r="O233" s="68">
        <v>10.0</v>
      </c>
      <c r="P233" s="68">
        <v>200.0</v>
      </c>
      <c r="Q233" s="122">
        <v>45989.0</v>
      </c>
      <c r="R233" s="72" t="s">
        <v>205</v>
      </c>
      <c r="S233" s="104">
        <v>45978.0</v>
      </c>
      <c r="T233" s="74"/>
      <c r="U233" s="15" t="s">
        <v>134</v>
      </c>
      <c r="V233" s="74" t="str">
        <f t="array" ref="V233">IFERROR(index('3. Công thức lab theo từng mã h'!J:J,MATCH(C233,'3. Công thức lab theo từng mã h'!L:L,0)),"")</f>
        <v/>
      </c>
      <c r="W233" s="74"/>
      <c r="X233" s="75"/>
    </row>
    <row r="234" hidden="1">
      <c r="A234" s="76">
        <f t="shared" si="2"/>
        <v>13</v>
      </c>
      <c r="B234" s="77" t="s">
        <v>69</v>
      </c>
      <c r="C234" s="78" t="s">
        <v>1001</v>
      </c>
      <c r="D234" s="117">
        <v>45978.0</v>
      </c>
      <c r="E234" s="80" t="s">
        <v>71</v>
      </c>
      <c r="F234" s="81" t="s">
        <v>72</v>
      </c>
      <c r="G234" s="82" t="s">
        <v>352</v>
      </c>
      <c r="H234" s="80" t="s">
        <v>1002</v>
      </c>
      <c r="I234" s="80" t="s">
        <v>75</v>
      </c>
      <c r="J234" s="80" t="s">
        <v>752</v>
      </c>
      <c r="K234" s="80" t="s">
        <v>355</v>
      </c>
      <c r="L234" s="80" t="s">
        <v>1003</v>
      </c>
      <c r="M234" s="80" t="s">
        <v>79</v>
      </c>
      <c r="N234" s="81">
        <v>40.0</v>
      </c>
      <c r="O234" s="81">
        <v>10.0</v>
      </c>
      <c r="P234" s="81">
        <v>400.0</v>
      </c>
      <c r="Q234" s="122">
        <v>45989.0</v>
      </c>
      <c r="R234" s="83" t="s">
        <v>357</v>
      </c>
      <c r="S234" s="96">
        <v>45978.0</v>
      </c>
      <c r="T234" s="85"/>
      <c r="U234" s="80" t="s">
        <v>134</v>
      </c>
      <c r="V234" s="85" t="str">
        <f t="array" ref="V234">IFERROR(index('3. Công thức lab theo từng mã h'!J:J,MATCH(C234,'3. Công thức lab theo từng mã h'!L:L,0)),"")</f>
        <v/>
      </c>
      <c r="W234" s="85"/>
      <c r="X234" s="75"/>
    </row>
    <row r="235" hidden="1">
      <c r="A235" s="64">
        <f t="shared" si="2"/>
        <v>14</v>
      </c>
      <c r="B235" s="65" t="s">
        <v>69</v>
      </c>
      <c r="C235" s="66" t="s">
        <v>1004</v>
      </c>
      <c r="D235" s="105">
        <v>45978.0</v>
      </c>
      <c r="E235" s="15" t="s">
        <v>71</v>
      </c>
      <c r="F235" s="68" t="s">
        <v>72</v>
      </c>
      <c r="G235" s="69" t="s">
        <v>1005</v>
      </c>
      <c r="H235" s="15" t="s">
        <v>1006</v>
      </c>
      <c r="I235" s="15" t="s">
        <v>75</v>
      </c>
      <c r="J235" s="15" t="s">
        <v>157</v>
      </c>
      <c r="K235" s="15" t="s">
        <v>1007</v>
      </c>
      <c r="L235" s="15" t="s">
        <v>105</v>
      </c>
      <c r="M235" s="15" t="s">
        <v>79</v>
      </c>
      <c r="N235" s="68">
        <v>40.0</v>
      </c>
      <c r="O235" s="68">
        <v>20.0</v>
      </c>
      <c r="P235" s="68">
        <v>800.0</v>
      </c>
      <c r="Q235" s="122">
        <v>45990.0</v>
      </c>
      <c r="R235" s="72" t="s">
        <v>205</v>
      </c>
      <c r="S235" s="104">
        <v>45978.0</v>
      </c>
      <c r="T235" s="74"/>
      <c r="U235" s="15" t="s">
        <v>134</v>
      </c>
      <c r="V235" s="74" t="str">
        <f t="array" ref="V235">IFERROR(index('3. Công thức lab theo từng mã h'!J:J,MATCH(C235,'3. Công thức lab theo từng mã h'!L:L,0)),"")</f>
        <v/>
      </c>
      <c r="W235" s="74"/>
      <c r="X235" s="75"/>
    </row>
    <row r="236" hidden="1">
      <c r="A236" s="76">
        <f t="shared" si="2"/>
        <v>15</v>
      </c>
      <c r="B236" s="77" t="s">
        <v>69</v>
      </c>
      <c r="C236" s="78" t="s">
        <v>1008</v>
      </c>
      <c r="D236" s="117">
        <v>45978.0</v>
      </c>
      <c r="E236" s="80" t="s">
        <v>71</v>
      </c>
      <c r="F236" s="81" t="s">
        <v>72</v>
      </c>
      <c r="G236" s="127" t="s">
        <v>1009</v>
      </c>
      <c r="H236" s="80" t="s">
        <v>1010</v>
      </c>
      <c r="I236" s="80" t="s">
        <v>75</v>
      </c>
      <c r="J236" s="80" t="s">
        <v>810</v>
      </c>
      <c r="K236" s="80" t="s">
        <v>1011</v>
      </c>
      <c r="L236" s="80" t="s">
        <v>105</v>
      </c>
      <c r="M236" s="80" t="s">
        <v>79</v>
      </c>
      <c r="N236" s="81">
        <v>40.0</v>
      </c>
      <c r="O236" s="81">
        <v>20.0</v>
      </c>
      <c r="P236" s="81">
        <v>800.0</v>
      </c>
      <c r="Q236" s="122">
        <v>45990.0</v>
      </c>
      <c r="R236" s="83" t="s">
        <v>1012</v>
      </c>
      <c r="S236" s="96">
        <v>45978.0</v>
      </c>
      <c r="T236" s="85"/>
      <c r="U236" s="81" t="s">
        <v>134</v>
      </c>
      <c r="V236" s="85" t="str">
        <f t="array" ref="V236">IFERROR(index('3. Công thức lab theo từng mã h'!J:J,MATCH(C236,'3. Công thức lab theo từng mã h'!L:L,0)),"")</f>
        <v/>
      </c>
      <c r="W236" s="85"/>
      <c r="X236" s="75"/>
    </row>
    <row r="237" hidden="1">
      <c r="A237" s="64">
        <f t="shared" si="2"/>
        <v>16</v>
      </c>
      <c r="B237" s="65" t="s">
        <v>69</v>
      </c>
      <c r="C237" s="66" t="s">
        <v>1013</v>
      </c>
      <c r="D237" s="105">
        <v>45978.0</v>
      </c>
      <c r="E237" s="15" t="s">
        <v>71</v>
      </c>
      <c r="F237" s="68" t="s">
        <v>72</v>
      </c>
      <c r="G237" s="127" t="s">
        <v>1014</v>
      </c>
      <c r="H237" s="15" t="s">
        <v>1015</v>
      </c>
      <c r="I237" s="15" t="s">
        <v>75</v>
      </c>
      <c r="J237" s="15" t="s">
        <v>867</v>
      </c>
      <c r="K237" s="15" t="s">
        <v>1011</v>
      </c>
      <c r="L237" s="15" t="s">
        <v>105</v>
      </c>
      <c r="M237" s="15" t="s">
        <v>79</v>
      </c>
      <c r="N237" s="68">
        <v>40.0</v>
      </c>
      <c r="O237" s="68">
        <v>20.0</v>
      </c>
      <c r="P237" s="68">
        <v>800.0</v>
      </c>
      <c r="Q237" s="122">
        <v>45990.0</v>
      </c>
      <c r="R237" s="72" t="s">
        <v>1012</v>
      </c>
      <c r="S237" s="104">
        <v>45978.0</v>
      </c>
      <c r="T237" s="74"/>
      <c r="U237" s="68" t="s">
        <v>144</v>
      </c>
      <c r="V237" s="74" t="str">
        <f t="array" ref="V237">IFERROR(index('3. Công thức lab theo từng mã h'!J:J,MATCH(C237,'3. Công thức lab theo từng mã h'!L:L,0)),"")</f>
        <v/>
      </c>
      <c r="W237" s="74"/>
      <c r="X237" s="75"/>
    </row>
    <row r="238" hidden="1">
      <c r="A238" s="76">
        <f t="shared" si="2"/>
        <v>17</v>
      </c>
      <c r="B238" s="77" t="s">
        <v>69</v>
      </c>
      <c r="C238" s="78" t="s">
        <v>1016</v>
      </c>
      <c r="D238" s="117">
        <v>45978.0</v>
      </c>
      <c r="E238" s="80" t="s">
        <v>71</v>
      </c>
      <c r="F238" s="81" t="s">
        <v>72</v>
      </c>
      <c r="G238" s="127" t="s">
        <v>1017</v>
      </c>
      <c r="H238" s="80" t="s">
        <v>1018</v>
      </c>
      <c r="I238" s="80" t="s">
        <v>75</v>
      </c>
      <c r="J238" s="80" t="s">
        <v>103</v>
      </c>
      <c r="K238" s="80" t="s">
        <v>1011</v>
      </c>
      <c r="L238" s="80" t="s">
        <v>105</v>
      </c>
      <c r="M238" s="80" t="s">
        <v>79</v>
      </c>
      <c r="N238" s="81">
        <v>40.0</v>
      </c>
      <c r="O238" s="81">
        <v>20.0</v>
      </c>
      <c r="P238" s="81">
        <v>800.0</v>
      </c>
      <c r="Q238" s="122">
        <v>45990.0</v>
      </c>
      <c r="R238" s="83" t="s">
        <v>1012</v>
      </c>
      <c r="S238" s="96">
        <v>45978.0</v>
      </c>
      <c r="T238" s="85"/>
      <c r="U238" s="81" t="s">
        <v>134</v>
      </c>
      <c r="V238" s="85" t="str">
        <f t="array" ref="V238">IFERROR(index('3. Công thức lab theo từng mã h'!J:J,MATCH(C238,'3. Công thức lab theo từng mã h'!L:L,0)),"")</f>
        <v/>
      </c>
      <c r="W238" s="85"/>
      <c r="X238" s="75"/>
    </row>
    <row r="239" hidden="1">
      <c r="A239" s="64">
        <f t="shared" si="2"/>
        <v>18</v>
      </c>
      <c r="B239" s="65" t="s">
        <v>69</v>
      </c>
      <c r="C239" s="66" t="s">
        <v>1019</v>
      </c>
      <c r="D239" s="105">
        <v>45978.0</v>
      </c>
      <c r="E239" s="15" t="s">
        <v>71</v>
      </c>
      <c r="F239" s="68" t="s">
        <v>72</v>
      </c>
      <c r="G239" s="127" t="s">
        <v>1020</v>
      </c>
      <c r="H239" s="15" t="s">
        <v>1021</v>
      </c>
      <c r="I239" s="15" t="s">
        <v>75</v>
      </c>
      <c r="J239" s="15" t="s">
        <v>1022</v>
      </c>
      <c r="K239" s="15" t="s">
        <v>1023</v>
      </c>
      <c r="L239" s="15" t="s">
        <v>105</v>
      </c>
      <c r="M239" s="15" t="s">
        <v>79</v>
      </c>
      <c r="N239" s="68">
        <v>20.0</v>
      </c>
      <c r="O239" s="68">
        <v>10.0</v>
      </c>
      <c r="P239" s="68">
        <v>200.0</v>
      </c>
      <c r="Q239" s="122">
        <v>45990.0</v>
      </c>
      <c r="R239" s="72" t="s">
        <v>1024</v>
      </c>
      <c r="S239" s="104">
        <v>45978.0</v>
      </c>
      <c r="T239" s="74"/>
      <c r="U239" s="68" t="s">
        <v>134</v>
      </c>
      <c r="V239" s="74" t="str">
        <f t="array" ref="V239">IFERROR(index('3. Công thức lab theo từng mã h'!J:J,MATCH(C239,'3. Công thức lab theo từng mã h'!L:L,0)),"")</f>
        <v/>
      </c>
      <c r="W239" s="74"/>
      <c r="X239" s="75"/>
    </row>
    <row r="240" hidden="1">
      <c r="A240" s="76">
        <f t="shared" si="2"/>
        <v>19</v>
      </c>
      <c r="B240" s="77" t="s">
        <v>69</v>
      </c>
      <c r="C240" s="78" t="s">
        <v>1025</v>
      </c>
      <c r="D240" s="117">
        <v>45978.0</v>
      </c>
      <c r="E240" s="80" t="s">
        <v>71</v>
      </c>
      <c r="F240" s="81" t="s">
        <v>72</v>
      </c>
      <c r="G240" s="127" t="s">
        <v>1026</v>
      </c>
      <c r="H240" s="80" t="s">
        <v>1027</v>
      </c>
      <c r="I240" s="80" t="s">
        <v>75</v>
      </c>
      <c r="J240" s="80" t="s">
        <v>209</v>
      </c>
      <c r="K240" s="80" t="s">
        <v>1028</v>
      </c>
      <c r="L240" s="80" t="s">
        <v>1029</v>
      </c>
      <c r="M240" s="80" t="s">
        <v>79</v>
      </c>
      <c r="N240" s="81">
        <v>20.0</v>
      </c>
      <c r="O240" s="81">
        <v>10.0</v>
      </c>
      <c r="P240" s="81">
        <v>200.0</v>
      </c>
      <c r="Q240" s="122">
        <v>45990.0</v>
      </c>
      <c r="R240" s="83" t="s">
        <v>1030</v>
      </c>
      <c r="S240" s="96">
        <v>45978.0</v>
      </c>
      <c r="T240" s="85"/>
      <c r="U240" s="81" t="s">
        <v>144</v>
      </c>
      <c r="V240" s="85" t="str">
        <f t="array" ref="V240">IFERROR(index('3. Công thức lab theo từng mã h'!J:J,MATCH(C240,'3. Công thức lab theo từng mã h'!L:L,0)),"")</f>
        <v/>
      </c>
      <c r="W240" s="85"/>
      <c r="X240" s="75"/>
    </row>
    <row r="241" hidden="1">
      <c r="A241" s="64">
        <f t="shared" si="2"/>
        <v>20</v>
      </c>
      <c r="B241" s="65" t="s">
        <v>69</v>
      </c>
      <c r="C241" s="66" t="s">
        <v>1031</v>
      </c>
      <c r="D241" s="105">
        <v>45979.0</v>
      </c>
      <c r="E241" s="15" t="s">
        <v>71</v>
      </c>
      <c r="F241" s="68" t="s">
        <v>72</v>
      </c>
      <c r="G241" s="69" t="s">
        <v>662</v>
      </c>
      <c r="H241" s="15" t="s">
        <v>799</v>
      </c>
      <c r="I241" s="15" t="s">
        <v>75</v>
      </c>
      <c r="J241" s="15" t="s">
        <v>88</v>
      </c>
      <c r="K241" s="15" t="s">
        <v>664</v>
      </c>
      <c r="L241" s="15" t="s">
        <v>105</v>
      </c>
      <c r="M241" s="15" t="s">
        <v>79</v>
      </c>
      <c r="N241" s="68">
        <v>20.0</v>
      </c>
      <c r="O241" s="68">
        <v>20.0</v>
      </c>
      <c r="P241" s="68">
        <v>400.0</v>
      </c>
      <c r="Q241" s="122">
        <v>45983.0</v>
      </c>
      <c r="R241" s="72" t="s">
        <v>806</v>
      </c>
      <c r="S241" s="104">
        <v>45978.0</v>
      </c>
      <c r="T241" s="74"/>
      <c r="U241" s="15" t="s">
        <v>134</v>
      </c>
      <c r="V241" s="74" t="str">
        <f t="array" ref="V241">IFERROR(index('3. Công thức lab theo từng mã h'!J:J,MATCH(C241,'3. Công thức lab theo từng mã h'!L:L,0)),"")</f>
        <v/>
      </c>
      <c r="W241" s="74"/>
      <c r="X241" s="75"/>
    </row>
    <row r="242" hidden="1">
      <c r="A242" s="76">
        <f t="shared" si="2"/>
        <v>1</v>
      </c>
      <c r="B242" s="77" t="s">
        <v>69</v>
      </c>
      <c r="C242" s="78" t="s">
        <v>1032</v>
      </c>
      <c r="D242" s="117">
        <v>45979.0</v>
      </c>
      <c r="E242" s="80" t="s">
        <v>71</v>
      </c>
      <c r="F242" s="81" t="s">
        <v>72</v>
      </c>
      <c r="G242" s="82" t="s">
        <v>1033</v>
      </c>
      <c r="H242" s="80" t="s">
        <v>1034</v>
      </c>
      <c r="I242" s="80" t="s">
        <v>75</v>
      </c>
      <c r="J242" s="80" t="s">
        <v>88</v>
      </c>
      <c r="K242" s="80" t="s">
        <v>438</v>
      </c>
      <c r="L242" s="80" t="s">
        <v>105</v>
      </c>
      <c r="M242" s="80" t="s">
        <v>79</v>
      </c>
      <c r="N242" s="81">
        <v>20.0</v>
      </c>
      <c r="O242" s="81">
        <v>10.0</v>
      </c>
      <c r="P242" s="81">
        <v>200.0</v>
      </c>
      <c r="Q242" s="122">
        <v>45983.0</v>
      </c>
      <c r="R242" s="83" t="s">
        <v>270</v>
      </c>
      <c r="S242" s="96">
        <v>45979.0</v>
      </c>
      <c r="T242" s="85"/>
      <c r="U242" s="81" t="s">
        <v>134</v>
      </c>
      <c r="V242" s="85" t="str">
        <f t="array" ref="V242">IFERROR(index('3. Công thức lab theo từng mã h'!J:J,MATCH(C242,'3. Công thức lab theo từng mã h'!L:L,0)),"")</f>
        <v/>
      </c>
      <c r="W242" s="85"/>
      <c r="X242" s="75"/>
    </row>
    <row r="243" hidden="1">
      <c r="A243" s="64">
        <f t="shared" si="2"/>
        <v>2</v>
      </c>
      <c r="B243" s="65" t="s">
        <v>69</v>
      </c>
      <c r="C243" s="66" t="s">
        <v>1035</v>
      </c>
      <c r="D243" s="105">
        <v>45979.0</v>
      </c>
      <c r="E243" s="15" t="s">
        <v>71</v>
      </c>
      <c r="F243" s="68" t="s">
        <v>72</v>
      </c>
      <c r="G243" s="69" t="s">
        <v>1036</v>
      </c>
      <c r="H243" s="15" t="s">
        <v>1037</v>
      </c>
      <c r="I243" s="15" t="s">
        <v>75</v>
      </c>
      <c r="J243" s="15" t="s">
        <v>258</v>
      </c>
      <c r="K243" s="15" t="s">
        <v>1038</v>
      </c>
      <c r="L243" s="15" t="s">
        <v>105</v>
      </c>
      <c r="M243" s="15" t="s">
        <v>79</v>
      </c>
      <c r="N243" s="68">
        <v>40.0</v>
      </c>
      <c r="O243" s="68">
        <v>5.0</v>
      </c>
      <c r="P243" s="68">
        <v>200.0</v>
      </c>
      <c r="Q243" s="122">
        <v>45989.0</v>
      </c>
      <c r="R243" s="72" t="s">
        <v>1039</v>
      </c>
      <c r="S243" s="104">
        <v>45979.0</v>
      </c>
      <c r="T243" s="74"/>
      <c r="U243" s="68" t="s">
        <v>134</v>
      </c>
      <c r="V243" s="74" t="str">
        <f t="array" ref="V243">IFERROR(index('3. Công thức lab theo từng mã h'!J:J,MATCH(C243,'3. Công thức lab theo từng mã h'!L:L,0)),"")</f>
        <v/>
      </c>
      <c r="W243" s="74"/>
      <c r="X243" s="75"/>
    </row>
    <row r="244" hidden="1">
      <c r="A244" s="76">
        <f t="shared" si="2"/>
        <v>3</v>
      </c>
      <c r="B244" s="77" t="s">
        <v>69</v>
      </c>
      <c r="C244" s="78" t="s">
        <v>1040</v>
      </c>
      <c r="D244" s="117">
        <v>45979.0</v>
      </c>
      <c r="E244" s="80" t="s">
        <v>71</v>
      </c>
      <c r="F244" s="81" t="s">
        <v>72</v>
      </c>
      <c r="G244" s="82" t="s">
        <v>1036</v>
      </c>
      <c r="H244" s="80" t="s">
        <v>1037</v>
      </c>
      <c r="I244" s="80" t="s">
        <v>75</v>
      </c>
      <c r="J244" s="80" t="s">
        <v>258</v>
      </c>
      <c r="K244" s="80" t="s">
        <v>1038</v>
      </c>
      <c r="L244" s="80" t="s">
        <v>105</v>
      </c>
      <c r="M244" s="80" t="s">
        <v>79</v>
      </c>
      <c r="N244" s="81">
        <v>40.0</v>
      </c>
      <c r="O244" s="81">
        <v>5.0</v>
      </c>
      <c r="P244" s="81">
        <v>200.0</v>
      </c>
      <c r="Q244" s="122">
        <v>45989.0</v>
      </c>
      <c r="R244" s="83" t="s">
        <v>1041</v>
      </c>
      <c r="S244" s="96">
        <v>45979.0</v>
      </c>
      <c r="T244" s="85"/>
      <c r="U244" s="81" t="s">
        <v>144</v>
      </c>
      <c r="V244" s="85" t="str">
        <f t="array" ref="V244">IFERROR(index('3. Công thức lab theo từng mã h'!J:J,MATCH(C244,'3. Công thức lab theo từng mã h'!L:L,0)),"")</f>
        <v/>
      </c>
      <c r="W244" s="85"/>
      <c r="X244" s="75"/>
    </row>
    <row r="245" hidden="1">
      <c r="A245" s="64">
        <f t="shared" si="2"/>
        <v>4</v>
      </c>
      <c r="B245" s="65" t="s">
        <v>69</v>
      </c>
      <c r="C245" s="66" t="s">
        <v>1042</v>
      </c>
      <c r="D245" s="105">
        <v>45979.0</v>
      </c>
      <c r="E245" s="16"/>
      <c r="F245" s="68" t="s">
        <v>186</v>
      </c>
      <c r="G245" s="69" t="s">
        <v>558</v>
      </c>
      <c r="H245" s="15" t="s">
        <v>559</v>
      </c>
      <c r="I245" s="15" t="s">
        <v>75</v>
      </c>
      <c r="J245" s="15" t="s">
        <v>189</v>
      </c>
      <c r="K245" s="16"/>
      <c r="L245" s="15" t="s">
        <v>90</v>
      </c>
      <c r="M245" s="15" t="s">
        <v>79</v>
      </c>
      <c r="N245" s="68">
        <v>40.0</v>
      </c>
      <c r="O245" s="68">
        <v>17.0</v>
      </c>
      <c r="P245" s="68">
        <v>698.0</v>
      </c>
      <c r="Q245" s="106"/>
      <c r="R245" s="72" t="s">
        <v>1043</v>
      </c>
      <c r="S245" s="104">
        <v>45979.0</v>
      </c>
      <c r="T245" s="74"/>
      <c r="U245" s="68" t="s">
        <v>144</v>
      </c>
      <c r="V245" s="74" t="str">
        <f t="array" ref="V245">IFERROR(index('3. Công thức lab theo từng mã h'!J:J,MATCH(C245,'3. Công thức lab theo từng mã h'!L:L,0)),"")</f>
        <v/>
      </c>
      <c r="W245" s="74"/>
      <c r="X245" s="75"/>
    </row>
    <row r="246" hidden="1">
      <c r="A246" s="76">
        <f t="shared" si="2"/>
        <v>5</v>
      </c>
      <c r="B246" s="77" t="s">
        <v>69</v>
      </c>
      <c r="C246" s="78" t="s">
        <v>1044</v>
      </c>
      <c r="D246" s="117">
        <v>45979.0</v>
      </c>
      <c r="E246" s="86"/>
      <c r="F246" s="81" t="s">
        <v>186</v>
      </c>
      <c r="G246" s="82" t="s">
        <v>187</v>
      </c>
      <c r="H246" s="80" t="s">
        <v>188</v>
      </c>
      <c r="I246" s="80" t="s">
        <v>75</v>
      </c>
      <c r="J246" s="80" t="s">
        <v>189</v>
      </c>
      <c r="K246" s="86"/>
      <c r="L246" s="80" t="s">
        <v>90</v>
      </c>
      <c r="M246" s="80" t="s">
        <v>79</v>
      </c>
      <c r="N246" s="81">
        <v>40.0</v>
      </c>
      <c r="O246" s="81">
        <v>14.0</v>
      </c>
      <c r="P246" s="81">
        <v>570.0</v>
      </c>
      <c r="Q246" s="106"/>
      <c r="R246" s="83" t="s">
        <v>1045</v>
      </c>
      <c r="S246" s="96">
        <v>45979.0</v>
      </c>
      <c r="T246" s="85"/>
      <c r="U246" s="81" t="s">
        <v>144</v>
      </c>
      <c r="V246" s="85" t="str">
        <f t="array" ref="V246">IFERROR(index('3. Công thức lab theo từng mã h'!J:J,MATCH(C246,'3. Công thức lab theo từng mã h'!L:L,0)),"")</f>
        <v/>
      </c>
      <c r="W246" s="85"/>
      <c r="X246" s="75"/>
    </row>
    <row r="247" hidden="1">
      <c r="A247" s="64">
        <f t="shared" si="2"/>
        <v>6</v>
      </c>
      <c r="B247" s="65" t="s">
        <v>69</v>
      </c>
      <c r="C247" s="66" t="s">
        <v>1046</v>
      </c>
      <c r="D247" s="105">
        <v>45979.0</v>
      </c>
      <c r="E247" s="16"/>
      <c r="F247" s="68" t="s">
        <v>186</v>
      </c>
      <c r="G247" s="69" t="s">
        <v>187</v>
      </c>
      <c r="H247" s="15" t="s">
        <v>188</v>
      </c>
      <c r="I247" s="15" t="s">
        <v>75</v>
      </c>
      <c r="J247" s="15" t="s">
        <v>189</v>
      </c>
      <c r="K247" s="16"/>
      <c r="L247" s="15" t="s">
        <v>90</v>
      </c>
      <c r="M247" s="15" t="s">
        <v>79</v>
      </c>
      <c r="N247" s="68">
        <v>40.0</v>
      </c>
      <c r="O247" s="68">
        <v>26.0</v>
      </c>
      <c r="P247" s="70">
        <v>1059.0</v>
      </c>
      <c r="Q247" s="106"/>
      <c r="R247" s="72" t="s">
        <v>1047</v>
      </c>
      <c r="S247" s="104">
        <v>45979.0</v>
      </c>
      <c r="T247" s="74"/>
      <c r="U247" s="68" t="s">
        <v>144</v>
      </c>
      <c r="V247" s="74" t="str">
        <f t="array" ref="V247">IFERROR(index('3. Công thức lab theo từng mã h'!J:J,MATCH(C247,'3. Công thức lab theo từng mã h'!L:L,0)),"")</f>
        <v/>
      </c>
      <c r="W247" s="74"/>
      <c r="X247" s="75"/>
    </row>
    <row r="248" hidden="1">
      <c r="A248" s="76">
        <f t="shared" si="2"/>
        <v>7</v>
      </c>
      <c r="B248" s="77" t="s">
        <v>69</v>
      </c>
      <c r="C248" s="78" t="s">
        <v>1048</v>
      </c>
      <c r="D248" s="117">
        <v>45979.0</v>
      </c>
      <c r="E248" s="86"/>
      <c r="F248" s="81" t="s">
        <v>186</v>
      </c>
      <c r="G248" s="82" t="s">
        <v>117</v>
      </c>
      <c r="H248" s="80" t="s">
        <v>118</v>
      </c>
      <c r="I248" s="80" t="s">
        <v>75</v>
      </c>
      <c r="J248" s="80" t="s">
        <v>189</v>
      </c>
      <c r="K248" s="86"/>
      <c r="L248" s="80" t="s">
        <v>90</v>
      </c>
      <c r="M248" s="80" t="s">
        <v>79</v>
      </c>
      <c r="N248" s="81">
        <v>40.0</v>
      </c>
      <c r="O248" s="81">
        <v>26.0</v>
      </c>
      <c r="P248" s="87">
        <v>1053.0</v>
      </c>
      <c r="Q248" s="106"/>
      <c r="R248" s="83" t="s">
        <v>1049</v>
      </c>
      <c r="S248" s="96">
        <v>45979.0</v>
      </c>
      <c r="T248" s="85"/>
      <c r="U248" s="81" t="s">
        <v>144</v>
      </c>
      <c r="V248" s="85" t="str">
        <f t="array" ref="V248">IFERROR(index('3. Công thức lab theo từng mã h'!J:J,MATCH(C248,'3. Công thức lab theo từng mã h'!L:L,0)),"")</f>
        <v/>
      </c>
      <c r="W248" s="85"/>
      <c r="X248" s="75"/>
    </row>
    <row r="249" hidden="1">
      <c r="A249" s="64">
        <f t="shared" si="2"/>
        <v>8</v>
      </c>
      <c r="B249" s="65" t="s">
        <v>69</v>
      </c>
      <c r="C249" s="66" t="s">
        <v>1050</v>
      </c>
      <c r="D249" s="105">
        <v>45979.0</v>
      </c>
      <c r="E249" s="16"/>
      <c r="F249" s="68" t="s">
        <v>186</v>
      </c>
      <c r="G249" s="69" t="s">
        <v>1051</v>
      </c>
      <c r="H249" s="15" t="s">
        <v>1052</v>
      </c>
      <c r="I249" s="15" t="s">
        <v>75</v>
      </c>
      <c r="J249" s="15" t="s">
        <v>88</v>
      </c>
      <c r="K249" s="16"/>
      <c r="L249" s="15" t="s">
        <v>90</v>
      </c>
      <c r="M249" s="15" t="s">
        <v>79</v>
      </c>
      <c r="N249" s="68">
        <v>40.0</v>
      </c>
      <c r="O249" s="68">
        <v>23.0</v>
      </c>
      <c r="P249" s="68">
        <v>900.0</v>
      </c>
      <c r="Q249" s="106"/>
      <c r="R249" s="72" t="s">
        <v>1053</v>
      </c>
      <c r="S249" s="104">
        <v>45979.0</v>
      </c>
      <c r="T249" s="74"/>
      <c r="U249" s="68" t="s">
        <v>144</v>
      </c>
      <c r="V249" s="74" t="str">
        <f t="array" ref="V249">IFERROR(index('3. Công thức lab theo từng mã h'!J:J,MATCH(C249,'3. Công thức lab theo từng mã h'!L:L,0)),"")</f>
        <v/>
      </c>
      <c r="W249" s="74"/>
      <c r="X249" s="75"/>
    </row>
    <row r="250" hidden="1">
      <c r="A250" s="76">
        <f t="shared" si="2"/>
        <v>9</v>
      </c>
      <c r="B250" s="77" t="s">
        <v>69</v>
      </c>
      <c r="C250" s="78" t="s">
        <v>1054</v>
      </c>
      <c r="D250" s="117">
        <v>45979.0</v>
      </c>
      <c r="E250" s="86"/>
      <c r="F250" s="81" t="s">
        <v>186</v>
      </c>
      <c r="G250" s="82" t="s">
        <v>1055</v>
      </c>
      <c r="H250" s="80" t="s">
        <v>1056</v>
      </c>
      <c r="I250" s="80" t="s">
        <v>75</v>
      </c>
      <c r="J250" s="80" t="s">
        <v>88</v>
      </c>
      <c r="K250" s="86"/>
      <c r="L250" s="80" t="s">
        <v>90</v>
      </c>
      <c r="M250" s="80" t="s">
        <v>79</v>
      </c>
      <c r="N250" s="81">
        <v>40.0</v>
      </c>
      <c r="O250" s="81">
        <v>11.0</v>
      </c>
      <c r="P250" s="81">
        <v>449.0</v>
      </c>
      <c r="Q250" s="106"/>
      <c r="R250" s="83" t="s">
        <v>1057</v>
      </c>
      <c r="S250" s="96">
        <v>45979.0</v>
      </c>
      <c r="T250" s="85"/>
      <c r="U250" s="81" t="s">
        <v>144</v>
      </c>
      <c r="V250" s="85" t="str">
        <f t="array" ref="V250">IFERROR(index('3. Công thức lab theo từng mã h'!J:J,MATCH(C250,'3. Công thức lab theo từng mã h'!L:L,0)),"")</f>
        <v/>
      </c>
      <c r="W250" s="85"/>
      <c r="X250" s="75"/>
    </row>
    <row r="251" hidden="1">
      <c r="A251" s="64">
        <f t="shared" si="2"/>
        <v>1</v>
      </c>
      <c r="B251" s="65" t="s">
        <v>69</v>
      </c>
      <c r="C251" s="66" t="s">
        <v>1058</v>
      </c>
      <c r="D251" s="105">
        <v>45980.0</v>
      </c>
      <c r="E251" s="15" t="s">
        <v>71</v>
      </c>
      <c r="F251" s="68" t="s">
        <v>72</v>
      </c>
      <c r="G251" s="127" t="s">
        <v>1059</v>
      </c>
      <c r="H251" s="15" t="s">
        <v>1060</v>
      </c>
      <c r="I251" s="15" t="s">
        <v>75</v>
      </c>
      <c r="J251" s="15" t="s">
        <v>148</v>
      </c>
      <c r="K251" s="15" t="s">
        <v>1061</v>
      </c>
      <c r="L251" s="15" t="s">
        <v>105</v>
      </c>
      <c r="M251" s="15" t="s">
        <v>166</v>
      </c>
      <c r="N251" s="68">
        <v>4.0</v>
      </c>
      <c r="O251" s="68">
        <v>10.0</v>
      </c>
      <c r="P251" s="68">
        <v>40.0</v>
      </c>
      <c r="Q251" s="122">
        <v>45989.0</v>
      </c>
      <c r="R251" s="72" t="s">
        <v>1062</v>
      </c>
      <c r="S251" s="104">
        <v>45981.0</v>
      </c>
      <c r="T251" s="74"/>
      <c r="U251" s="68" t="s">
        <v>134</v>
      </c>
      <c r="V251" s="74" t="str">
        <f t="array" ref="V251">IFERROR(index('3. Công thức lab theo từng mã h'!J:J,MATCH(C251,'3. Công thức lab theo từng mã h'!L:L,0)),"")</f>
        <v/>
      </c>
      <c r="W251" s="74"/>
      <c r="X251" s="75"/>
    </row>
    <row r="252" hidden="1">
      <c r="A252" s="76">
        <f t="shared" si="2"/>
        <v>2</v>
      </c>
      <c r="B252" s="77" t="s">
        <v>69</v>
      </c>
      <c r="C252" s="78" t="s">
        <v>1063</v>
      </c>
      <c r="D252" s="117">
        <v>45980.0</v>
      </c>
      <c r="E252" s="80" t="s">
        <v>71</v>
      </c>
      <c r="F252" s="81" t="s">
        <v>72</v>
      </c>
      <c r="G252" s="82" t="s">
        <v>762</v>
      </c>
      <c r="H252" s="80" t="s">
        <v>763</v>
      </c>
      <c r="I252" s="80" t="s">
        <v>75</v>
      </c>
      <c r="J252" s="80" t="s">
        <v>140</v>
      </c>
      <c r="K252" s="80" t="s">
        <v>764</v>
      </c>
      <c r="L252" s="80" t="s">
        <v>90</v>
      </c>
      <c r="M252" s="80" t="s">
        <v>166</v>
      </c>
      <c r="N252" s="81">
        <v>1.0</v>
      </c>
      <c r="O252" s="81">
        <v>25.0</v>
      </c>
      <c r="P252" s="81">
        <v>25.0</v>
      </c>
      <c r="Q252" s="122">
        <v>45990.0</v>
      </c>
      <c r="R252" s="83" t="s">
        <v>1064</v>
      </c>
      <c r="S252" s="96">
        <v>45981.0</v>
      </c>
      <c r="T252" s="85"/>
      <c r="U252" s="81" t="s">
        <v>134</v>
      </c>
      <c r="V252" s="85" t="str">
        <f t="array" ref="V252">IFERROR(index('3. Công thức lab theo từng mã h'!J:J,MATCH(C252,'3. Công thức lab theo từng mã h'!L:L,0)),"")</f>
        <v/>
      </c>
      <c r="W252" s="85"/>
      <c r="X252" s="75"/>
    </row>
    <row r="253" hidden="1">
      <c r="A253" s="64">
        <f t="shared" si="2"/>
        <v>3</v>
      </c>
      <c r="B253" s="65" t="s">
        <v>69</v>
      </c>
      <c r="C253" s="66" t="s">
        <v>1065</v>
      </c>
      <c r="D253" s="105">
        <v>45980.0</v>
      </c>
      <c r="E253" s="15" t="s">
        <v>71</v>
      </c>
      <c r="F253" s="68" t="s">
        <v>72</v>
      </c>
      <c r="G253" s="69" t="s">
        <v>1066</v>
      </c>
      <c r="H253" s="15" t="s">
        <v>1067</v>
      </c>
      <c r="I253" s="15" t="s">
        <v>75</v>
      </c>
      <c r="J253" s="15" t="s">
        <v>1068</v>
      </c>
      <c r="K253" s="15" t="s">
        <v>1069</v>
      </c>
      <c r="L253" s="15" t="s">
        <v>78</v>
      </c>
      <c r="M253" s="15" t="s">
        <v>79</v>
      </c>
      <c r="N253" s="68">
        <v>40.0</v>
      </c>
      <c r="O253" s="68">
        <v>10.0</v>
      </c>
      <c r="P253" s="68">
        <v>400.0</v>
      </c>
      <c r="Q253" s="122">
        <v>45990.0</v>
      </c>
      <c r="R253" s="72" t="s">
        <v>1070</v>
      </c>
      <c r="S253" s="104">
        <v>45981.0</v>
      </c>
      <c r="T253" s="74"/>
      <c r="U253" s="68" t="s">
        <v>134</v>
      </c>
      <c r="V253" s="74" t="str">
        <f t="array" ref="V253">IFERROR(index('3. Công thức lab theo từng mã h'!J:J,MATCH(C253,'3. Công thức lab theo từng mã h'!L:L,0)),"")</f>
        <v/>
      </c>
      <c r="W253" s="74"/>
      <c r="X253" s="75"/>
    </row>
    <row r="254" hidden="1">
      <c r="A254" s="76">
        <f t="shared" si="2"/>
        <v>4</v>
      </c>
      <c r="B254" s="77" t="s">
        <v>69</v>
      </c>
      <c r="C254" s="78" t="s">
        <v>1071</v>
      </c>
      <c r="D254" s="117">
        <v>45981.0</v>
      </c>
      <c r="E254" s="80" t="s">
        <v>71</v>
      </c>
      <c r="F254" s="81" t="s">
        <v>72</v>
      </c>
      <c r="G254" s="127" t="s">
        <v>1072</v>
      </c>
      <c r="H254" s="80" t="s">
        <v>1073</v>
      </c>
      <c r="I254" s="80" t="s">
        <v>75</v>
      </c>
      <c r="J254" s="80" t="s">
        <v>752</v>
      </c>
      <c r="K254" s="80" t="s">
        <v>1074</v>
      </c>
      <c r="L254" s="80" t="s">
        <v>1075</v>
      </c>
      <c r="M254" s="80" t="s">
        <v>132</v>
      </c>
      <c r="N254" s="81">
        <v>250.0</v>
      </c>
      <c r="O254" s="81">
        <v>200.0</v>
      </c>
      <c r="P254" s="87">
        <v>50000.0</v>
      </c>
      <c r="Q254" s="71">
        <v>45992.0</v>
      </c>
      <c r="R254" s="83" t="s">
        <v>81</v>
      </c>
      <c r="S254" s="96">
        <v>45981.0</v>
      </c>
      <c r="T254" s="85"/>
      <c r="U254" s="81" t="s">
        <v>134</v>
      </c>
      <c r="V254" s="85" t="str">
        <f t="array" ref="V254">IFERROR(index('3. Công thức lab theo từng mã h'!J:J,MATCH(C254,'3. Công thức lab theo từng mã h'!L:L,0)),"")</f>
        <v/>
      </c>
      <c r="W254" s="85"/>
      <c r="X254" s="75"/>
    </row>
    <row r="255" hidden="1">
      <c r="A255" s="64">
        <f t="shared" si="2"/>
        <v>5</v>
      </c>
      <c r="B255" s="65" t="s">
        <v>69</v>
      </c>
      <c r="C255" s="66" t="s">
        <v>1076</v>
      </c>
      <c r="D255" s="105">
        <v>45981.0</v>
      </c>
      <c r="E255" s="15" t="s">
        <v>71</v>
      </c>
      <c r="F255" s="68" t="s">
        <v>72</v>
      </c>
      <c r="G255" s="127" t="s">
        <v>1077</v>
      </c>
      <c r="H255" s="15" t="s">
        <v>1078</v>
      </c>
      <c r="I255" s="15" t="s">
        <v>75</v>
      </c>
      <c r="J255" s="15" t="s">
        <v>1079</v>
      </c>
      <c r="K255" s="15" t="s">
        <v>1080</v>
      </c>
      <c r="L255" s="15" t="s">
        <v>893</v>
      </c>
      <c r="M255" s="15" t="s">
        <v>132</v>
      </c>
      <c r="N255" s="68">
        <v>250.0</v>
      </c>
      <c r="O255" s="68">
        <v>400.0</v>
      </c>
      <c r="P255" s="70">
        <v>100000.0</v>
      </c>
      <c r="Q255" s="71">
        <v>45992.0</v>
      </c>
      <c r="R255" s="72" t="s">
        <v>81</v>
      </c>
      <c r="S255" s="104">
        <v>45981.0</v>
      </c>
      <c r="T255" s="74"/>
      <c r="U255" s="68" t="s">
        <v>134</v>
      </c>
      <c r="V255" s="74" t="str">
        <f t="array" ref="V255">IFERROR(index('3. Công thức lab theo từng mã h'!J:J,MATCH(C255,'3. Công thức lab theo từng mã h'!L:L,0)),"")</f>
        <v/>
      </c>
      <c r="W255" s="74"/>
      <c r="X255" s="75"/>
    </row>
    <row r="256" hidden="1">
      <c r="A256" s="76">
        <f t="shared" si="2"/>
        <v>6</v>
      </c>
      <c r="B256" s="77" t="s">
        <v>69</v>
      </c>
      <c r="C256" s="78" t="s">
        <v>1081</v>
      </c>
      <c r="D256" s="117">
        <v>45981.0</v>
      </c>
      <c r="E256" s="86"/>
      <c r="F256" s="81" t="s">
        <v>93</v>
      </c>
      <c r="G256" s="82" t="s">
        <v>1082</v>
      </c>
      <c r="H256" s="80" t="s">
        <v>1083</v>
      </c>
      <c r="I256" s="80" t="s">
        <v>75</v>
      </c>
      <c r="J256" s="80" t="s">
        <v>209</v>
      </c>
      <c r="K256" s="80" t="s">
        <v>1084</v>
      </c>
      <c r="L256" s="80" t="s">
        <v>210</v>
      </c>
      <c r="M256" s="80" t="s">
        <v>79</v>
      </c>
      <c r="N256" s="81">
        <v>40.0</v>
      </c>
      <c r="O256" s="81">
        <v>15.0</v>
      </c>
      <c r="P256" s="81">
        <v>600.0</v>
      </c>
      <c r="Q256" s="71">
        <v>45992.0</v>
      </c>
      <c r="R256" s="131" t="s">
        <v>211</v>
      </c>
      <c r="S256" s="96">
        <v>45981.0</v>
      </c>
      <c r="T256" s="85"/>
      <c r="U256" s="81" t="s">
        <v>134</v>
      </c>
      <c r="V256" s="85" t="str">
        <f t="array" ref="V256">IFERROR(index('3. Công thức lab theo từng mã h'!J:J,MATCH(C256,'3. Công thức lab theo từng mã h'!L:L,0)),"")</f>
        <v/>
      </c>
      <c r="W256" s="85"/>
      <c r="X256" s="75"/>
    </row>
    <row r="257" hidden="1">
      <c r="A257" s="64">
        <f t="shared" si="2"/>
        <v>7</v>
      </c>
      <c r="B257" s="65" t="s">
        <v>69</v>
      </c>
      <c r="C257" s="66" t="s">
        <v>1085</v>
      </c>
      <c r="D257" s="105">
        <v>45981.0</v>
      </c>
      <c r="E257" s="16"/>
      <c r="F257" s="68" t="s">
        <v>93</v>
      </c>
      <c r="G257" s="69" t="s">
        <v>1086</v>
      </c>
      <c r="H257" s="15" t="s">
        <v>1087</v>
      </c>
      <c r="I257" s="15" t="s">
        <v>75</v>
      </c>
      <c r="J257" s="15" t="s">
        <v>181</v>
      </c>
      <c r="K257" s="15" t="s">
        <v>1088</v>
      </c>
      <c r="L257" s="15" t="s">
        <v>125</v>
      </c>
      <c r="M257" s="15" t="s">
        <v>79</v>
      </c>
      <c r="N257" s="68">
        <v>40.0</v>
      </c>
      <c r="O257" s="68">
        <v>10.0</v>
      </c>
      <c r="P257" s="68">
        <v>400.0</v>
      </c>
      <c r="Q257" s="71">
        <v>45992.0</v>
      </c>
      <c r="R257" s="72" t="s">
        <v>856</v>
      </c>
      <c r="S257" s="104">
        <v>45981.0</v>
      </c>
      <c r="T257" s="74"/>
      <c r="U257" s="68" t="s">
        <v>134</v>
      </c>
      <c r="V257" s="74" t="str">
        <f t="array" ref="V257">IFERROR(index('3. Công thức lab theo từng mã h'!J:J,MATCH(C257,'3. Công thức lab theo từng mã h'!L:L,0)),"")</f>
        <v/>
      </c>
      <c r="W257" s="74"/>
      <c r="X257" s="75"/>
    </row>
    <row r="258" hidden="1">
      <c r="A258" s="76">
        <f t="shared" si="2"/>
        <v>8</v>
      </c>
      <c r="B258" s="77" t="s">
        <v>69</v>
      </c>
      <c r="C258" s="78" t="s">
        <v>1089</v>
      </c>
      <c r="D258" s="117">
        <v>45981.0</v>
      </c>
      <c r="E258" s="80" t="s">
        <v>71</v>
      </c>
      <c r="F258" s="81" t="s">
        <v>72</v>
      </c>
      <c r="G258" s="82" t="s">
        <v>1090</v>
      </c>
      <c r="H258" s="80" t="s">
        <v>1091</v>
      </c>
      <c r="I258" s="80" t="s">
        <v>75</v>
      </c>
      <c r="J258" s="80" t="s">
        <v>181</v>
      </c>
      <c r="K258" s="80" t="s">
        <v>182</v>
      </c>
      <c r="L258" s="80" t="s">
        <v>125</v>
      </c>
      <c r="M258" s="80" t="s">
        <v>79</v>
      </c>
      <c r="N258" s="81">
        <v>20.0</v>
      </c>
      <c r="O258" s="81">
        <v>15.0</v>
      </c>
      <c r="P258" s="81">
        <v>300.0</v>
      </c>
      <c r="Q258" s="71">
        <v>45992.0</v>
      </c>
      <c r="R258" s="83" t="s">
        <v>184</v>
      </c>
      <c r="S258" s="96">
        <v>45981.0</v>
      </c>
      <c r="T258" s="85"/>
      <c r="U258" s="81" t="s">
        <v>134</v>
      </c>
      <c r="V258" s="85" t="str">
        <f t="array" ref="V258">IFERROR(index('3. Công thức lab theo từng mã h'!J:J,MATCH(C258,'3. Công thức lab theo từng mã h'!L:L,0)),"")</f>
        <v/>
      </c>
      <c r="W258" s="85"/>
      <c r="X258" s="75"/>
    </row>
    <row r="259" hidden="1">
      <c r="A259" s="64">
        <f t="shared" si="2"/>
        <v>1</v>
      </c>
      <c r="B259" s="65" t="s">
        <v>69</v>
      </c>
      <c r="C259" s="66" t="s">
        <v>1092</v>
      </c>
      <c r="D259" s="105">
        <v>45982.0</v>
      </c>
      <c r="E259" s="15" t="s">
        <v>71</v>
      </c>
      <c r="F259" s="68" t="s">
        <v>72</v>
      </c>
      <c r="G259" s="69" t="s">
        <v>1009</v>
      </c>
      <c r="H259" s="15" t="s">
        <v>1093</v>
      </c>
      <c r="I259" s="15" t="s">
        <v>75</v>
      </c>
      <c r="J259" s="15" t="s">
        <v>279</v>
      </c>
      <c r="K259" s="15" t="s">
        <v>1094</v>
      </c>
      <c r="L259" s="15" t="s">
        <v>105</v>
      </c>
      <c r="M259" s="15" t="s">
        <v>79</v>
      </c>
      <c r="N259" s="68">
        <v>40.0</v>
      </c>
      <c r="O259" s="68">
        <v>20.0</v>
      </c>
      <c r="P259" s="68">
        <v>800.0</v>
      </c>
      <c r="Q259" s="122">
        <v>45990.0</v>
      </c>
      <c r="R259" s="72" t="s">
        <v>1095</v>
      </c>
      <c r="S259" s="104">
        <v>45982.0</v>
      </c>
      <c r="T259" s="74"/>
      <c r="U259" s="68" t="s">
        <v>134</v>
      </c>
      <c r="V259" s="74" t="str">
        <f t="array" ref="V259">IFERROR(index('3. Công thức lab theo từng mã h'!J:J,MATCH(C259,'3. Công thức lab theo từng mã h'!L:L,0)),"")</f>
        <v/>
      </c>
      <c r="W259" s="74"/>
      <c r="X259" s="75"/>
    </row>
    <row r="260" hidden="1">
      <c r="A260" s="76">
        <f t="shared" si="2"/>
        <v>2</v>
      </c>
      <c r="B260" s="77" t="s">
        <v>69</v>
      </c>
      <c r="C260" s="78" t="s">
        <v>1096</v>
      </c>
      <c r="D260" s="117">
        <v>45982.0</v>
      </c>
      <c r="E260" s="80" t="s">
        <v>71</v>
      </c>
      <c r="F260" s="81" t="s">
        <v>72</v>
      </c>
      <c r="G260" s="82" t="s">
        <v>607</v>
      </c>
      <c r="H260" s="80" t="s">
        <v>608</v>
      </c>
      <c r="I260" s="80" t="s">
        <v>75</v>
      </c>
      <c r="J260" s="80" t="s">
        <v>88</v>
      </c>
      <c r="K260" s="86"/>
      <c r="L260" s="80" t="s">
        <v>90</v>
      </c>
      <c r="M260" s="80" t="s">
        <v>79</v>
      </c>
      <c r="N260" s="81">
        <v>20.0</v>
      </c>
      <c r="O260" s="81">
        <v>5.0</v>
      </c>
      <c r="P260" s="81">
        <v>100.0</v>
      </c>
      <c r="Q260" s="122">
        <v>45989.0</v>
      </c>
      <c r="R260" s="83" t="s">
        <v>270</v>
      </c>
      <c r="S260" s="96">
        <v>45982.0</v>
      </c>
      <c r="T260" s="85"/>
      <c r="U260" s="81" t="s">
        <v>134</v>
      </c>
      <c r="V260" s="85" t="str">
        <f t="array" ref="V260">IFERROR(index('3. Công thức lab theo từng mã h'!J:J,MATCH(C260,'3. Công thức lab theo từng mã h'!L:L,0)),"")</f>
        <v/>
      </c>
      <c r="W260" s="85"/>
      <c r="X260" s="75"/>
    </row>
    <row r="261" hidden="1">
      <c r="A261" s="64">
        <f t="shared" si="2"/>
        <v>3</v>
      </c>
      <c r="B261" s="65" t="s">
        <v>69</v>
      </c>
      <c r="C261" s="66" t="s">
        <v>1097</v>
      </c>
      <c r="D261" s="105">
        <v>45982.0</v>
      </c>
      <c r="E261" s="15" t="s">
        <v>71</v>
      </c>
      <c r="F261" s="68" t="s">
        <v>72</v>
      </c>
      <c r="G261" s="69" t="s">
        <v>547</v>
      </c>
      <c r="H261" s="15" t="s">
        <v>577</v>
      </c>
      <c r="I261" s="15" t="s">
        <v>75</v>
      </c>
      <c r="J261" s="15" t="s">
        <v>88</v>
      </c>
      <c r="K261" s="16"/>
      <c r="L261" s="15" t="s">
        <v>105</v>
      </c>
      <c r="M261" s="15" t="s">
        <v>79</v>
      </c>
      <c r="N261" s="68">
        <v>20.0</v>
      </c>
      <c r="O261" s="68">
        <v>5.0</v>
      </c>
      <c r="P261" s="68">
        <v>100.0</v>
      </c>
      <c r="Q261" s="122">
        <v>45989.0</v>
      </c>
      <c r="R261" s="72" t="s">
        <v>550</v>
      </c>
      <c r="S261" s="104">
        <v>45982.0</v>
      </c>
      <c r="T261" s="74"/>
      <c r="U261" s="68" t="s">
        <v>134</v>
      </c>
      <c r="V261" s="74" t="str">
        <f t="array" ref="V261">IFERROR(index('3. Công thức lab theo từng mã h'!J:J,MATCH(C261,'3. Công thức lab theo từng mã h'!L:L,0)),"")</f>
        <v/>
      </c>
      <c r="W261" s="74"/>
      <c r="X261" s="75"/>
    </row>
    <row r="262" hidden="1">
      <c r="A262" s="76">
        <f t="shared" si="2"/>
        <v>4</v>
      </c>
      <c r="B262" s="77" t="s">
        <v>69</v>
      </c>
      <c r="C262" s="78" t="s">
        <v>1098</v>
      </c>
      <c r="D262" s="117">
        <v>45982.0</v>
      </c>
      <c r="E262" s="80" t="s">
        <v>71</v>
      </c>
      <c r="F262" s="81" t="s">
        <v>72</v>
      </c>
      <c r="G262" s="82" t="s">
        <v>989</v>
      </c>
      <c r="H262" s="80" t="s">
        <v>990</v>
      </c>
      <c r="I262" s="80" t="s">
        <v>75</v>
      </c>
      <c r="J262" s="80" t="s">
        <v>88</v>
      </c>
      <c r="K262" s="80" t="s">
        <v>335</v>
      </c>
      <c r="L262" s="80" t="s">
        <v>105</v>
      </c>
      <c r="M262" s="80" t="s">
        <v>79</v>
      </c>
      <c r="N262" s="81">
        <v>20.0</v>
      </c>
      <c r="O262" s="81">
        <v>10.0</v>
      </c>
      <c r="P262" s="81">
        <v>200.0</v>
      </c>
      <c r="Q262" s="122">
        <v>45987.0</v>
      </c>
      <c r="R262" s="83" t="s">
        <v>254</v>
      </c>
      <c r="S262" s="96">
        <v>45982.0</v>
      </c>
      <c r="T262" s="85"/>
      <c r="U262" s="81" t="s">
        <v>134</v>
      </c>
      <c r="V262" s="85" t="str">
        <f t="array" ref="V262">IFERROR(index('3. Công thức lab theo từng mã h'!J:J,MATCH(C262,'3. Công thức lab theo từng mã h'!L:L,0)),"")</f>
        <v/>
      </c>
      <c r="W262" s="85"/>
      <c r="X262" s="75"/>
    </row>
    <row r="263" hidden="1">
      <c r="A263" s="64">
        <f t="shared" si="2"/>
        <v>1</v>
      </c>
      <c r="B263" s="65" t="s">
        <v>69</v>
      </c>
      <c r="C263" s="66" t="s">
        <v>1099</v>
      </c>
      <c r="D263" s="105">
        <v>45983.0</v>
      </c>
      <c r="E263" s="15" t="s">
        <v>71</v>
      </c>
      <c r="F263" s="68" t="s">
        <v>72</v>
      </c>
      <c r="G263" s="127" t="s">
        <v>1100</v>
      </c>
      <c r="H263" s="15" t="s">
        <v>1101</v>
      </c>
      <c r="I263" s="15" t="s">
        <v>75</v>
      </c>
      <c r="J263" s="15" t="s">
        <v>781</v>
      </c>
      <c r="K263" s="15" t="s">
        <v>1102</v>
      </c>
      <c r="L263" s="15" t="s">
        <v>105</v>
      </c>
      <c r="M263" s="15" t="s">
        <v>79</v>
      </c>
      <c r="N263" s="68">
        <v>40.0</v>
      </c>
      <c r="O263" s="68">
        <v>30.0</v>
      </c>
      <c r="P263" s="70">
        <v>1200.0</v>
      </c>
      <c r="Q263" s="71">
        <v>45997.0</v>
      </c>
      <c r="R263" s="72" t="s">
        <v>81</v>
      </c>
      <c r="S263" s="104">
        <v>45986.0</v>
      </c>
      <c r="T263" s="74"/>
      <c r="U263" s="68" t="s">
        <v>134</v>
      </c>
      <c r="V263" s="74" t="str">
        <f t="array" ref="V263">IFERROR(index('3. Công thức lab theo từng mã h'!J:J,MATCH(C263,'3. Công thức lab theo từng mã h'!L:L,0)),"")</f>
        <v/>
      </c>
      <c r="W263" s="74"/>
      <c r="X263" s="75"/>
    </row>
    <row r="264" hidden="1">
      <c r="A264" s="76">
        <f t="shared" si="2"/>
        <v>0</v>
      </c>
      <c r="B264" s="77" t="s">
        <v>69</v>
      </c>
      <c r="C264" s="78" t="s">
        <v>1103</v>
      </c>
      <c r="D264" s="117">
        <v>45983.0</v>
      </c>
      <c r="E264" s="80" t="s">
        <v>71</v>
      </c>
      <c r="F264" s="81" t="s">
        <v>72</v>
      </c>
      <c r="G264" s="82" t="s">
        <v>1104</v>
      </c>
      <c r="H264" s="80" t="s">
        <v>1105</v>
      </c>
      <c r="I264" s="80" t="s">
        <v>75</v>
      </c>
      <c r="J264" s="80" t="s">
        <v>88</v>
      </c>
      <c r="K264" s="80" t="s">
        <v>1106</v>
      </c>
      <c r="L264" s="80" t="s">
        <v>142</v>
      </c>
      <c r="M264" s="80" t="s">
        <v>79</v>
      </c>
      <c r="N264" s="81">
        <v>100.0</v>
      </c>
      <c r="O264" s="81">
        <v>10.0</v>
      </c>
      <c r="P264" s="87">
        <v>1000.0</v>
      </c>
      <c r="Q264" s="122">
        <v>45990.0</v>
      </c>
      <c r="R264" s="95"/>
      <c r="S264" s="96"/>
      <c r="T264" s="85"/>
      <c r="U264" s="81" t="s">
        <v>134</v>
      </c>
      <c r="V264" s="85" t="str">
        <f t="array" ref="V264">IFERROR(index('3. Công thức lab theo từng mã h'!J:J,MATCH(C264,'3. Công thức lab theo từng mã h'!L:L,0)),"")</f>
        <v/>
      </c>
      <c r="W264" s="85"/>
      <c r="X264" s="75"/>
    </row>
    <row r="265" hidden="1">
      <c r="A265" s="64">
        <f t="shared" si="2"/>
        <v>2</v>
      </c>
      <c r="B265" s="65" t="s">
        <v>69</v>
      </c>
      <c r="C265" s="66" t="s">
        <v>1107</v>
      </c>
      <c r="D265" s="105">
        <v>45983.0</v>
      </c>
      <c r="E265" s="15" t="s">
        <v>71</v>
      </c>
      <c r="F265" s="68" t="s">
        <v>72</v>
      </c>
      <c r="G265" s="127" t="s">
        <v>1108</v>
      </c>
      <c r="H265" s="15" t="s">
        <v>1109</v>
      </c>
      <c r="I265" s="15" t="s">
        <v>75</v>
      </c>
      <c r="J265" s="15" t="s">
        <v>148</v>
      </c>
      <c r="K265" s="15" t="s">
        <v>1110</v>
      </c>
      <c r="L265" s="15" t="s">
        <v>105</v>
      </c>
      <c r="M265" s="15" t="s">
        <v>79</v>
      </c>
      <c r="N265" s="68">
        <v>40.0</v>
      </c>
      <c r="O265" s="68">
        <v>5.0</v>
      </c>
      <c r="P265" s="68">
        <v>200.0</v>
      </c>
      <c r="Q265" s="71">
        <v>45997.0</v>
      </c>
      <c r="R265" s="72" t="s">
        <v>1111</v>
      </c>
      <c r="S265" s="104">
        <v>45986.0</v>
      </c>
      <c r="T265" s="74"/>
      <c r="U265" s="68" t="s">
        <v>134</v>
      </c>
      <c r="V265" s="74" t="str">
        <f t="array" ref="V265">IFERROR(index('3. Công thức lab theo từng mã h'!J:J,MATCH(C265,'3. Công thức lab theo từng mã h'!L:L,0)),"")</f>
        <v/>
      </c>
      <c r="W265" s="74"/>
      <c r="X265" s="75"/>
    </row>
    <row r="266" hidden="1">
      <c r="A266" s="76">
        <f t="shared" si="2"/>
        <v>3</v>
      </c>
      <c r="B266" s="77" t="s">
        <v>69</v>
      </c>
      <c r="C266" s="78" t="s">
        <v>1112</v>
      </c>
      <c r="D266" s="117">
        <v>45985.0</v>
      </c>
      <c r="E266" s="80" t="s">
        <v>71</v>
      </c>
      <c r="F266" s="81" t="s">
        <v>72</v>
      </c>
      <c r="G266" s="127" t="s">
        <v>1113</v>
      </c>
      <c r="H266" s="80" t="s">
        <v>1114</v>
      </c>
      <c r="I266" s="80" t="s">
        <v>75</v>
      </c>
      <c r="J266" s="80" t="s">
        <v>1115</v>
      </c>
      <c r="K266" s="80" t="s">
        <v>1116</v>
      </c>
      <c r="L266" s="80" t="s">
        <v>105</v>
      </c>
      <c r="M266" s="80" t="s">
        <v>79</v>
      </c>
      <c r="N266" s="81">
        <v>40.0</v>
      </c>
      <c r="O266" s="81">
        <v>15.0</v>
      </c>
      <c r="P266" s="81">
        <v>600.0</v>
      </c>
      <c r="Q266" s="71">
        <v>45992.0</v>
      </c>
      <c r="R266" s="83" t="s">
        <v>81</v>
      </c>
      <c r="S266" s="96">
        <v>45986.0</v>
      </c>
      <c r="T266" s="85"/>
      <c r="U266" s="81" t="s">
        <v>134</v>
      </c>
      <c r="V266" s="85" t="str">
        <f t="array" ref="V266">IFERROR(index('3. Công thức lab theo từng mã h'!J:J,MATCH(C266,'3. Công thức lab theo từng mã h'!L:L,0)),"")</f>
        <v/>
      </c>
      <c r="W266" s="85"/>
      <c r="X266" s="75"/>
    </row>
    <row r="267" hidden="1">
      <c r="A267" s="64">
        <f t="shared" si="2"/>
        <v>4</v>
      </c>
      <c r="B267" s="65" t="s">
        <v>69</v>
      </c>
      <c r="C267" s="66" t="s">
        <v>1117</v>
      </c>
      <c r="D267" s="105">
        <v>45985.0</v>
      </c>
      <c r="E267" s="15" t="s">
        <v>71</v>
      </c>
      <c r="F267" s="68" t="s">
        <v>72</v>
      </c>
      <c r="G267" s="127" t="s">
        <v>1118</v>
      </c>
      <c r="H267" s="15" t="s">
        <v>1119</v>
      </c>
      <c r="I267" s="15" t="s">
        <v>75</v>
      </c>
      <c r="J267" s="15" t="s">
        <v>258</v>
      </c>
      <c r="K267" s="16"/>
      <c r="L267" s="15" t="s">
        <v>105</v>
      </c>
      <c r="M267" s="15" t="s">
        <v>79</v>
      </c>
      <c r="N267" s="68">
        <v>40.0</v>
      </c>
      <c r="O267" s="68">
        <v>4.0</v>
      </c>
      <c r="P267" s="68">
        <v>161.0</v>
      </c>
      <c r="Q267" s="71">
        <v>45992.0</v>
      </c>
      <c r="R267" s="72" t="s">
        <v>453</v>
      </c>
      <c r="S267" s="104">
        <v>45986.0</v>
      </c>
      <c r="T267" s="74"/>
      <c r="U267" s="68" t="s">
        <v>144</v>
      </c>
      <c r="V267" s="74" t="str">
        <f t="array" ref="V267">IFERROR(index('3. Công thức lab theo từng mã h'!J:J,MATCH(C267,'3. Công thức lab theo từng mã h'!L:L,0)),"")</f>
        <v/>
      </c>
      <c r="W267" s="74"/>
      <c r="X267" s="75"/>
    </row>
    <row r="268" hidden="1">
      <c r="A268" s="76">
        <f t="shared" si="2"/>
        <v>5</v>
      </c>
      <c r="B268" s="77" t="s">
        <v>69</v>
      </c>
      <c r="C268" s="78" t="s">
        <v>1120</v>
      </c>
      <c r="D268" s="117">
        <v>45986.0</v>
      </c>
      <c r="E268" s="80" t="s">
        <v>71</v>
      </c>
      <c r="F268" s="81" t="s">
        <v>72</v>
      </c>
      <c r="G268" s="127" t="s">
        <v>1121</v>
      </c>
      <c r="H268" s="80" t="s">
        <v>1122</v>
      </c>
      <c r="I268" s="80" t="s">
        <v>75</v>
      </c>
      <c r="J268" s="80" t="s">
        <v>258</v>
      </c>
      <c r="K268" s="80" t="s">
        <v>1123</v>
      </c>
      <c r="L268" s="80" t="s">
        <v>105</v>
      </c>
      <c r="M268" s="80" t="s">
        <v>79</v>
      </c>
      <c r="N268" s="81">
        <v>40.0</v>
      </c>
      <c r="O268" s="81">
        <v>20.0</v>
      </c>
      <c r="P268" s="81">
        <v>800.0</v>
      </c>
      <c r="Q268" s="71">
        <v>45996.0</v>
      </c>
      <c r="R268" s="83" t="s">
        <v>1124</v>
      </c>
      <c r="S268" s="96">
        <v>45986.0</v>
      </c>
      <c r="T268" s="85"/>
      <c r="U268" s="81" t="s">
        <v>134</v>
      </c>
      <c r="V268" s="85" t="str">
        <f t="array" ref="V268">IFERROR(index('3. Công thức lab theo từng mã h'!J:J,MATCH(C268,'3. Công thức lab theo từng mã h'!L:L,0)),"")</f>
        <v/>
      </c>
      <c r="W268" s="85"/>
      <c r="X268" s="75"/>
    </row>
    <row r="269" hidden="1">
      <c r="A269" s="64">
        <f t="shared" si="2"/>
        <v>1</v>
      </c>
      <c r="B269" s="65" t="s">
        <v>69</v>
      </c>
      <c r="C269" s="66" t="s">
        <v>1125</v>
      </c>
      <c r="D269" s="105">
        <v>45987.0</v>
      </c>
      <c r="E269" s="15" t="s">
        <v>71</v>
      </c>
      <c r="F269" s="68" t="s">
        <v>72</v>
      </c>
      <c r="G269" s="69" t="s">
        <v>1036</v>
      </c>
      <c r="H269" s="15" t="s">
        <v>1037</v>
      </c>
      <c r="I269" s="15" t="s">
        <v>75</v>
      </c>
      <c r="J269" s="15" t="s">
        <v>258</v>
      </c>
      <c r="K269" s="15" t="s">
        <v>1038</v>
      </c>
      <c r="L269" s="15" t="s">
        <v>105</v>
      </c>
      <c r="M269" s="15" t="s">
        <v>79</v>
      </c>
      <c r="N269" s="68">
        <v>40.0</v>
      </c>
      <c r="O269" s="68">
        <v>5.0</v>
      </c>
      <c r="P269" s="68">
        <v>200.0</v>
      </c>
      <c r="Q269" s="71">
        <v>45994.0</v>
      </c>
      <c r="R269" s="72" t="s">
        <v>1039</v>
      </c>
      <c r="S269" s="104">
        <v>45988.0</v>
      </c>
      <c r="T269" s="74"/>
      <c r="U269" s="68" t="s">
        <v>134</v>
      </c>
      <c r="V269" s="74" t="str">
        <f t="array" ref="V269">IFERROR(index('3. Công thức lab theo từng mã h'!J:J,MATCH(C269,'3. Công thức lab theo từng mã h'!L:L,0)),"")</f>
        <v/>
      </c>
      <c r="W269" s="74"/>
      <c r="X269" s="75"/>
    </row>
    <row r="270" hidden="1">
      <c r="A270" s="76">
        <f t="shared" si="2"/>
        <v>2</v>
      </c>
      <c r="B270" s="77" t="s">
        <v>69</v>
      </c>
      <c r="C270" s="78" t="s">
        <v>1126</v>
      </c>
      <c r="D270" s="117">
        <v>45988.0</v>
      </c>
      <c r="E270" s="80" t="s">
        <v>71</v>
      </c>
      <c r="F270" s="81" t="s">
        <v>72</v>
      </c>
      <c r="G270" s="82" t="s">
        <v>1127</v>
      </c>
      <c r="H270" s="80" t="s">
        <v>1128</v>
      </c>
      <c r="I270" s="80" t="s">
        <v>75</v>
      </c>
      <c r="J270" s="80" t="s">
        <v>140</v>
      </c>
      <c r="K270" s="86"/>
      <c r="L270" s="80" t="s">
        <v>90</v>
      </c>
      <c r="M270" s="80" t="s">
        <v>79</v>
      </c>
      <c r="N270" s="81">
        <v>40.0</v>
      </c>
      <c r="O270" s="81">
        <v>10.0</v>
      </c>
      <c r="P270" s="81">
        <v>400.0</v>
      </c>
      <c r="Q270" s="122">
        <v>46004.0</v>
      </c>
      <c r="R270" s="83" t="s">
        <v>305</v>
      </c>
      <c r="S270" s="96">
        <v>45988.0</v>
      </c>
      <c r="T270" s="85"/>
      <c r="U270" s="81" t="s">
        <v>134</v>
      </c>
      <c r="V270" s="85" t="str">
        <f t="array" ref="V270">IFERROR(index('3. Công thức lab theo từng mã h'!J:J,MATCH(C270,'3. Công thức lab theo từng mã h'!L:L,0)),"")</f>
        <v/>
      </c>
      <c r="W270" s="85"/>
      <c r="X270" s="75"/>
    </row>
    <row r="271" hidden="1">
      <c r="A271" s="64">
        <f t="shared" si="2"/>
        <v>1</v>
      </c>
      <c r="B271" s="65" t="s">
        <v>69</v>
      </c>
      <c r="C271" s="66" t="s">
        <v>1129</v>
      </c>
      <c r="D271" s="105">
        <v>45988.0</v>
      </c>
      <c r="E271" s="16"/>
      <c r="F271" s="68" t="s">
        <v>315</v>
      </c>
      <c r="G271" s="69" t="s">
        <v>1130</v>
      </c>
      <c r="H271" s="15" t="s">
        <v>1131</v>
      </c>
      <c r="I271" s="15" t="s">
        <v>75</v>
      </c>
      <c r="J271" s="15" t="s">
        <v>148</v>
      </c>
      <c r="K271" s="15" t="s">
        <v>1132</v>
      </c>
      <c r="L271" s="15" t="s">
        <v>105</v>
      </c>
      <c r="M271" s="15" t="s">
        <v>79</v>
      </c>
      <c r="N271" s="68">
        <v>40.0</v>
      </c>
      <c r="O271" s="68">
        <v>10.0</v>
      </c>
      <c r="P271" s="68">
        <v>400.0</v>
      </c>
      <c r="Q271" s="71">
        <v>45995.0</v>
      </c>
      <c r="R271" s="72" t="s">
        <v>849</v>
      </c>
      <c r="S271" s="104">
        <v>45989.0</v>
      </c>
      <c r="T271" s="74"/>
      <c r="U271" s="68" t="s">
        <v>134</v>
      </c>
      <c r="V271" s="74" t="str">
        <f t="array" ref="V271">IFERROR(index('3. Công thức lab theo từng mã h'!J:J,MATCH(C271,'3. Công thức lab theo từng mã h'!L:L,0)),"")</f>
        <v/>
      </c>
      <c r="W271" s="74"/>
      <c r="X271" s="75"/>
    </row>
    <row r="272" hidden="1">
      <c r="A272" s="76">
        <f t="shared" si="2"/>
        <v>2</v>
      </c>
      <c r="B272" s="77" t="s">
        <v>69</v>
      </c>
      <c r="C272" s="78" t="s">
        <v>1133</v>
      </c>
      <c r="D272" s="117">
        <v>45988.0</v>
      </c>
      <c r="E272" s="86"/>
      <c r="F272" s="81" t="s">
        <v>93</v>
      </c>
      <c r="G272" s="82" t="s">
        <v>226</v>
      </c>
      <c r="H272" s="80" t="s">
        <v>227</v>
      </c>
      <c r="I272" s="80" t="s">
        <v>75</v>
      </c>
      <c r="J272" s="80" t="s">
        <v>148</v>
      </c>
      <c r="K272" s="80" t="s">
        <v>736</v>
      </c>
      <c r="L272" s="80" t="s">
        <v>105</v>
      </c>
      <c r="M272" s="80" t="s">
        <v>79</v>
      </c>
      <c r="N272" s="81">
        <v>20.0</v>
      </c>
      <c r="O272" s="81">
        <v>10.0</v>
      </c>
      <c r="P272" s="81">
        <v>200.0</v>
      </c>
      <c r="Q272" s="71">
        <v>45993.0</v>
      </c>
      <c r="R272" s="83" t="s">
        <v>153</v>
      </c>
      <c r="S272" s="96">
        <v>45989.0</v>
      </c>
      <c r="T272" s="85"/>
      <c r="U272" s="81" t="s">
        <v>134</v>
      </c>
      <c r="V272" s="85" t="str">
        <f t="array" ref="V272">IFERROR(index('3. Công thức lab theo từng mã h'!J:J,MATCH(C272,'3. Công thức lab theo từng mã h'!L:L,0)),"")</f>
        <v/>
      </c>
      <c r="W272" s="85"/>
      <c r="X272" s="75"/>
    </row>
    <row r="273" hidden="1">
      <c r="A273" s="64">
        <f t="shared" si="2"/>
        <v>3</v>
      </c>
      <c r="B273" s="65" t="s">
        <v>69</v>
      </c>
      <c r="C273" s="66" t="s">
        <v>1134</v>
      </c>
      <c r="D273" s="105">
        <v>45988.0</v>
      </c>
      <c r="E273" s="15" t="s">
        <v>71</v>
      </c>
      <c r="F273" s="68" t="s">
        <v>72</v>
      </c>
      <c r="G273" s="69" t="s">
        <v>1135</v>
      </c>
      <c r="H273" s="15" t="s">
        <v>1136</v>
      </c>
      <c r="I273" s="15" t="s">
        <v>75</v>
      </c>
      <c r="J273" s="15" t="s">
        <v>157</v>
      </c>
      <c r="K273" s="15" t="s">
        <v>1137</v>
      </c>
      <c r="L273" s="15" t="s">
        <v>105</v>
      </c>
      <c r="M273" s="15" t="s">
        <v>79</v>
      </c>
      <c r="N273" s="68">
        <v>20.0</v>
      </c>
      <c r="O273" s="68">
        <v>10.0</v>
      </c>
      <c r="P273" s="68">
        <v>200.0</v>
      </c>
      <c r="Q273" s="71">
        <v>46000.0</v>
      </c>
      <c r="R273" s="72" t="s">
        <v>205</v>
      </c>
      <c r="S273" s="104">
        <v>45989.0</v>
      </c>
      <c r="T273" s="74"/>
      <c r="U273" s="68" t="s">
        <v>134</v>
      </c>
      <c r="V273" s="74" t="str">
        <f t="array" ref="V273">IFERROR(index('3. Công thức lab theo từng mã h'!J:J,MATCH(C273,'3. Công thức lab theo từng mã h'!L:L,0)),"")</f>
        <v/>
      </c>
      <c r="W273" s="74"/>
      <c r="X273" s="75"/>
    </row>
    <row r="274" hidden="1">
      <c r="A274" s="76">
        <f t="shared" si="2"/>
        <v>4</v>
      </c>
      <c r="B274" s="77" t="s">
        <v>69</v>
      </c>
      <c r="C274" s="78" t="s">
        <v>1138</v>
      </c>
      <c r="D274" s="117">
        <v>45989.0</v>
      </c>
      <c r="E274" s="80" t="s">
        <v>71</v>
      </c>
      <c r="F274" s="81" t="s">
        <v>72</v>
      </c>
      <c r="G274" s="82" t="s">
        <v>1139</v>
      </c>
      <c r="H274" s="80" t="s">
        <v>1140</v>
      </c>
      <c r="I274" s="80" t="s">
        <v>75</v>
      </c>
      <c r="J274" s="80" t="s">
        <v>140</v>
      </c>
      <c r="K274" s="80" t="s">
        <v>1141</v>
      </c>
      <c r="L274" s="80" t="s">
        <v>1142</v>
      </c>
      <c r="M274" s="80" t="s">
        <v>79</v>
      </c>
      <c r="N274" s="81">
        <v>20.0</v>
      </c>
      <c r="O274" s="81">
        <v>10.0</v>
      </c>
      <c r="P274" s="81">
        <v>200.0</v>
      </c>
      <c r="Q274" s="71">
        <v>46000.0</v>
      </c>
      <c r="R274" s="83" t="s">
        <v>1143</v>
      </c>
      <c r="S274" s="96">
        <v>45989.0</v>
      </c>
      <c r="T274" s="85"/>
      <c r="U274" s="81" t="s">
        <v>134</v>
      </c>
      <c r="V274" s="85" t="str">
        <f t="array" ref="V274">IFERROR(index('3. Công thức lab theo từng mã h'!J:J,MATCH(C274,'3. Công thức lab theo từng mã h'!L:L,0)),"")</f>
        <v/>
      </c>
      <c r="W274" s="85"/>
      <c r="X274" s="75"/>
    </row>
    <row r="275" hidden="1">
      <c r="A275" s="64">
        <f t="shared" si="2"/>
        <v>5</v>
      </c>
      <c r="B275" s="65" t="s">
        <v>69</v>
      </c>
      <c r="C275" s="66" t="s">
        <v>1144</v>
      </c>
      <c r="D275" s="105">
        <v>45989.0</v>
      </c>
      <c r="E275" s="15" t="s">
        <v>71</v>
      </c>
      <c r="F275" s="68" t="s">
        <v>72</v>
      </c>
      <c r="G275" s="69" t="s">
        <v>1145</v>
      </c>
      <c r="H275" s="15" t="s">
        <v>1146</v>
      </c>
      <c r="I275" s="15" t="s">
        <v>75</v>
      </c>
      <c r="J275" s="15" t="s">
        <v>148</v>
      </c>
      <c r="K275" s="15" t="s">
        <v>1147</v>
      </c>
      <c r="L275" s="15" t="s">
        <v>90</v>
      </c>
      <c r="M275" s="15" t="s">
        <v>79</v>
      </c>
      <c r="N275" s="68">
        <v>20.0</v>
      </c>
      <c r="O275" s="68">
        <v>10.0</v>
      </c>
      <c r="P275" s="68">
        <v>200.0</v>
      </c>
      <c r="Q275" s="71">
        <v>45996.0</v>
      </c>
      <c r="R275" s="72" t="s">
        <v>244</v>
      </c>
      <c r="S275" s="104">
        <v>45989.0</v>
      </c>
      <c r="T275" s="74"/>
      <c r="U275" s="68" t="s">
        <v>134</v>
      </c>
      <c r="V275" s="74" t="str">
        <f t="array" ref="V275">IFERROR(index('3. Công thức lab theo từng mã h'!J:J,MATCH(C275,'3. Công thức lab theo từng mã h'!L:L,0)),"")</f>
        <v/>
      </c>
      <c r="W275" s="74"/>
      <c r="X275" s="75"/>
    </row>
    <row r="276" hidden="1">
      <c r="A276" s="76">
        <f t="shared" si="2"/>
        <v>1</v>
      </c>
      <c r="B276" s="77" t="s">
        <v>69</v>
      </c>
      <c r="C276" s="78" t="s">
        <v>1148</v>
      </c>
      <c r="D276" s="117">
        <v>45990.0</v>
      </c>
      <c r="E276" s="80" t="s">
        <v>71</v>
      </c>
      <c r="F276" s="81" t="s">
        <v>72</v>
      </c>
      <c r="G276" s="82" t="s">
        <v>1149</v>
      </c>
      <c r="H276" s="80" t="s">
        <v>1150</v>
      </c>
      <c r="I276" s="80" t="s">
        <v>75</v>
      </c>
      <c r="J276" s="80" t="s">
        <v>323</v>
      </c>
      <c r="K276" s="80" t="s">
        <v>1151</v>
      </c>
      <c r="L276" s="80" t="s">
        <v>512</v>
      </c>
      <c r="M276" s="80" t="s">
        <v>79</v>
      </c>
      <c r="N276" s="81">
        <v>40.0</v>
      </c>
      <c r="O276" s="81">
        <v>10.0</v>
      </c>
      <c r="P276" s="81">
        <v>400.0</v>
      </c>
      <c r="Q276" s="122">
        <v>46003.0</v>
      </c>
      <c r="R276" s="83" t="s">
        <v>1152</v>
      </c>
      <c r="S276" s="96">
        <v>45992.0</v>
      </c>
      <c r="T276" s="85"/>
      <c r="U276" s="81" t="s">
        <v>134</v>
      </c>
      <c r="V276" s="85" t="str">
        <f t="array" ref="V276">IFERROR(index('3. Công thức lab theo từng mã h'!J:J,MATCH(C276,'3. Công thức lab theo từng mã h'!L:L,0)),"")</f>
        <v/>
      </c>
      <c r="W276" s="85"/>
      <c r="X276" s="75"/>
    </row>
    <row r="277" hidden="1">
      <c r="A277" s="64">
        <f t="shared" si="2"/>
        <v>2</v>
      </c>
      <c r="B277" s="65" t="s">
        <v>69</v>
      </c>
      <c r="C277" s="66" t="s">
        <v>1153</v>
      </c>
      <c r="D277" s="105">
        <v>45990.0</v>
      </c>
      <c r="E277" s="15" t="s">
        <v>71</v>
      </c>
      <c r="F277" s="68" t="s">
        <v>72</v>
      </c>
      <c r="G277" s="69" t="s">
        <v>1154</v>
      </c>
      <c r="H277" s="15" t="s">
        <v>1155</v>
      </c>
      <c r="I277" s="15" t="s">
        <v>75</v>
      </c>
      <c r="J277" s="15" t="s">
        <v>781</v>
      </c>
      <c r="K277" s="15" t="s">
        <v>1156</v>
      </c>
      <c r="L277" s="15" t="s">
        <v>105</v>
      </c>
      <c r="M277" s="15" t="s">
        <v>79</v>
      </c>
      <c r="N277" s="68">
        <v>40.0</v>
      </c>
      <c r="O277" s="68">
        <v>10.0</v>
      </c>
      <c r="P277" s="68">
        <v>400.0</v>
      </c>
      <c r="Q277" s="122">
        <v>46003.0</v>
      </c>
      <c r="R277" s="72" t="s">
        <v>81</v>
      </c>
      <c r="S277" s="104">
        <v>45992.0</v>
      </c>
      <c r="T277" s="74"/>
      <c r="U277" s="68" t="s">
        <v>134</v>
      </c>
      <c r="V277" s="74" t="str">
        <f t="array" ref="V277">IFERROR(index('3. Công thức lab theo từng mã h'!J:J,MATCH(C277,'3. Công thức lab theo từng mã h'!L:L,0)),"")</f>
        <v/>
      </c>
      <c r="W277" s="74"/>
      <c r="X277" s="75"/>
    </row>
    <row r="278" hidden="1">
      <c r="A278" s="76">
        <f t="shared" si="2"/>
        <v>3</v>
      </c>
      <c r="B278" s="77" t="s">
        <v>69</v>
      </c>
      <c r="C278" s="78" t="s">
        <v>1157</v>
      </c>
      <c r="D278" s="117">
        <v>45990.0</v>
      </c>
      <c r="E278" s="80" t="s">
        <v>71</v>
      </c>
      <c r="F278" s="81" t="s">
        <v>72</v>
      </c>
      <c r="G278" s="82" t="s">
        <v>1158</v>
      </c>
      <c r="H278" s="80" t="s">
        <v>1159</v>
      </c>
      <c r="I278" s="80" t="s">
        <v>75</v>
      </c>
      <c r="J278" s="80" t="s">
        <v>323</v>
      </c>
      <c r="K278" s="80" t="s">
        <v>1160</v>
      </c>
      <c r="L278" s="80" t="s">
        <v>1161</v>
      </c>
      <c r="M278" s="80" t="s">
        <v>79</v>
      </c>
      <c r="N278" s="81">
        <v>40.0</v>
      </c>
      <c r="O278" s="81">
        <v>10.0</v>
      </c>
      <c r="P278" s="81">
        <v>400.0</v>
      </c>
      <c r="Q278" s="122">
        <v>46008.0</v>
      </c>
      <c r="R278" s="83" t="s">
        <v>81</v>
      </c>
      <c r="S278" s="96">
        <v>45992.0</v>
      </c>
      <c r="T278" s="85"/>
      <c r="U278" s="81" t="s">
        <v>134</v>
      </c>
      <c r="V278" s="85" t="str">
        <f t="array" ref="V278">IFERROR(index('3. Công thức lab theo từng mã h'!J:J,MATCH(C278,'3. Công thức lab theo từng mã h'!L:L,0)),"")</f>
        <v/>
      </c>
      <c r="W278" s="85"/>
      <c r="X278" s="75"/>
    </row>
    <row r="279" hidden="1">
      <c r="A279" s="64">
        <f t="shared" si="2"/>
        <v>4</v>
      </c>
      <c r="B279" s="65" t="s">
        <v>69</v>
      </c>
      <c r="C279" s="66" t="s">
        <v>1162</v>
      </c>
      <c r="D279" s="105">
        <v>45990.0</v>
      </c>
      <c r="E279" s="15" t="s">
        <v>71</v>
      </c>
      <c r="F279" s="68" t="s">
        <v>72</v>
      </c>
      <c r="G279" s="69" t="s">
        <v>1163</v>
      </c>
      <c r="H279" s="15" t="s">
        <v>1164</v>
      </c>
      <c r="I279" s="15" t="s">
        <v>75</v>
      </c>
      <c r="J279" s="15" t="s">
        <v>171</v>
      </c>
      <c r="K279" s="15" t="s">
        <v>1165</v>
      </c>
      <c r="L279" s="15" t="s">
        <v>413</v>
      </c>
      <c r="M279" s="15" t="s">
        <v>79</v>
      </c>
      <c r="N279" s="68">
        <v>40.0</v>
      </c>
      <c r="O279" s="68">
        <v>10.0</v>
      </c>
      <c r="P279" s="68">
        <v>400.0</v>
      </c>
      <c r="Q279" s="122">
        <v>46008.0</v>
      </c>
      <c r="R279" s="72" t="s">
        <v>81</v>
      </c>
      <c r="S279" s="104">
        <v>45992.0</v>
      </c>
      <c r="T279" s="74"/>
      <c r="U279" s="68" t="s">
        <v>134</v>
      </c>
      <c r="V279" s="74" t="str">
        <f t="array" ref="V279">IFERROR(index('3. Công thức lab theo từng mã h'!J:J,MATCH(C279,'3. Công thức lab theo từng mã h'!L:L,0)),"")</f>
        <v/>
      </c>
      <c r="W279" s="74"/>
      <c r="X279" s="75"/>
    </row>
    <row r="280" hidden="1">
      <c r="A280" s="76">
        <f t="shared" si="2"/>
        <v>5</v>
      </c>
      <c r="B280" s="77" t="s">
        <v>69</v>
      </c>
      <c r="C280" s="78" t="s">
        <v>1166</v>
      </c>
      <c r="D280" s="117">
        <v>45990.0</v>
      </c>
      <c r="E280" s="80" t="s">
        <v>71</v>
      </c>
      <c r="F280" s="81" t="s">
        <v>72</v>
      </c>
      <c r="G280" s="82" t="s">
        <v>1167</v>
      </c>
      <c r="H280" s="80" t="s">
        <v>1168</v>
      </c>
      <c r="I280" s="80" t="s">
        <v>75</v>
      </c>
      <c r="J280" s="80" t="s">
        <v>258</v>
      </c>
      <c r="K280" s="80" t="s">
        <v>1169</v>
      </c>
      <c r="L280" s="80" t="s">
        <v>90</v>
      </c>
      <c r="M280" s="80" t="s">
        <v>79</v>
      </c>
      <c r="N280" s="81">
        <v>40.0</v>
      </c>
      <c r="O280" s="81">
        <v>5.0</v>
      </c>
      <c r="P280" s="81">
        <v>200.0</v>
      </c>
      <c r="Q280" s="122">
        <v>46003.0</v>
      </c>
      <c r="R280" s="83" t="s">
        <v>1170</v>
      </c>
      <c r="S280" s="96">
        <v>45992.0</v>
      </c>
      <c r="T280" s="85"/>
      <c r="U280" s="81" t="s">
        <v>134</v>
      </c>
      <c r="V280" s="85" t="str">
        <f t="array" ref="V280">IFERROR(index('3. Công thức lab theo từng mã h'!J:J,MATCH(C280,'3. Công thức lab theo từng mã h'!L:L,0)),"")</f>
        <v/>
      </c>
      <c r="W280" s="85"/>
      <c r="X280" s="75"/>
    </row>
    <row r="281" hidden="1">
      <c r="A281" s="64">
        <f t="shared" si="2"/>
        <v>6</v>
      </c>
      <c r="B281" s="65" t="s">
        <v>69</v>
      </c>
      <c r="C281" s="66" t="s">
        <v>1171</v>
      </c>
      <c r="D281" s="67">
        <v>45992.0</v>
      </c>
      <c r="E281" s="16"/>
      <c r="F281" s="68" t="s">
        <v>370</v>
      </c>
      <c r="G281" s="69" t="s">
        <v>874</v>
      </c>
      <c r="H281" s="15" t="s">
        <v>875</v>
      </c>
      <c r="I281" s="15" t="s">
        <v>75</v>
      </c>
      <c r="J281" s="15" t="s">
        <v>181</v>
      </c>
      <c r="K281" s="15"/>
      <c r="L281" s="15" t="s">
        <v>125</v>
      </c>
      <c r="M281" s="15" t="s">
        <v>79</v>
      </c>
      <c r="N281" s="68">
        <v>20.0</v>
      </c>
      <c r="O281" s="68">
        <v>50.0</v>
      </c>
      <c r="P281" s="70">
        <v>1000.0</v>
      </c>
      <c r="Q281" s="71">
        <v>45994.0</v>
      </c>
      <c r="R281" s="72" t="s">
        <v>856</v>
      </c>
      <c r="S281" s="104">
        <v>45992.0</v>
      </c>
      <c r="T281" s="74"/>
      <c r="U281" s="68" t="s">
        <v>134</v>
      </c>
      <c r="V281" s="74" t="str">
        <f t="array" ref="V281">IFERROR(index('3. Công thức lab theo từng mã h'!J:J,MATCH(C281,'3. Công thức lab theo từng mã h'!L:L,0)),"")</f>
        <v/>
      </c>
      <c r="W281" s="74"/>
      <c r="X281" s="75"/>
    </row>
    <row r="282" hidden="1">
      <c r="A282" s="76">
        <f t="shared" si="2"/>
        <v>7</v>
      </c>
      <c r="B282" s="77" t="s">
        <v>69</v>
      </c>
      <c r="C282" s="78" t="s">
        <v>1172</v>
      </c>
      <c r="D282" s="79">
        <v>45992.0</v>
      </c>
      <c r="E282" s="86"/>
      <c r="F282" s="81" t="s">
        <v>370</v>
      </c>
      <c r="G282" s="82" t="s">
        <v>874</v>
      </c>
      <c r="H282" s="80" t="s">
        <v>875</v>
      </c>
      <c r="I282" s="80" t="s">
        <v>75</v>
      </c>
      <c r="J282" s="80" t="s">
        <v>181</v>
      </c>
      <c r="K282" s="80"/>
      <c r="L282" s="80" t="s">
        <v>125</v>
      </c>
      <c r="M282" s="80" t="s">
        <v>79</v>
      </c>
      <c r="N282" s="81">
        <v>20.0</v>
      </c>
      <c r="O282" s="81">
        <v>50.0</v>
      </c>
      <c r="P282" s="87">
        <v>1000.0</v>
      </c>
      <c r="Q282" s="71">
        <v>45999.0</v>
      </c>
      <c r="R282" s="83" t="s">
        <v>856</v>
      </c>
      <c r="S282" s="96">
        <v>45992.0</v>
      </c>
      <c r="T282" s="85"/>
      <c r="U282" s="81" t="s">
        <v>134</v>
      </c>
      <c r="V282" s="85" t="str">
        <f t="array" ref="V282">IFERROR(index('3. Công thức lab theo từng mã h'!J:J,MATCH(C282,'3. Công thức lab theo từng mã h'!L:L,0)),"")</f>
        <v/>
      </c>
      <c r="W282" s="85"/>
      <c r="X282" s="75"/>
    </row>
    <row r="283" hidden="1">
      <c r="A283" s="64">
        <f t="shared" si="2"/>
        <v>1</v>
      </c>
      <c r="B283" s="65" t="s">
        <v>69</v>
      </c>
      <c r="C283" s="66" t="s">
        <v>1173</v>
      </c>
      <c r="D283" s="67">
        <v>45992.0</v>
      </c>
      <c r="E283" s="15" t="s">
        <v>71</v>
      </c>
      <c r="F283" s="68" t="s">
        <v>72</v>
      </c>
      <c r="G283" s="69" t="s">
        <v>1174</v>
      </c>
      <c r="H283" s="15" t="s">
        <v>1175</v>
      </c>
      <c r="I283" s="15" t="s">
        <v>75</v>
      </c>
      <c r="J283" s="15" t="s">
        <v>140</v>
      </c>
      <c r="K283" s="15" t="s">
        <v>1127</v>
      </c>
      <c r="L283" s="15" t="s">
        <v>90</v>
      </c>
      <c r="M283" s="15" t="s">
        <v>79</v>
      </c>
      <c r="N283" s="68">
        <v>40.0</v>
      </c>
      <c r="O283" s="68">
        <v>10.0</v>
      </c>
      <c r="P283" s="68">
        <v>400.0</v>
      </c>
      <c r="Q283" s="122">
        <v>46006.0</v>
      </c>
      <c r="R283" s="72" t="s">
        <v>305</v>
      </c>
      <c r="S283" s="104">
        <v>45993.0</v>
      </c>
      <c r="T283" s="74"/>
      <c r="U283" s="68" t="s">
        <v>134</v>
      </c>
      <c r="V283" s="74" t="str">
        <f t="array" ref="V283">IFERROR(index('3. Công thức lab theo từng mã h'!J:J,MATCH(C283,'3. Công thức lab theo từng mã h'!L:L,0)),"")</f>
        <v/>
      </c>
      <c r="W283" s="74"/>
      <c r="X283" s="75"/>
    </row>
    <row r="284" hidden="1">
      <c r="A284" s="76">
        <f t="shared" si="2"/>
        <v>2</v>
      </c>
      <c r="B284" s="77" t="s">
        <v>69</v>
      </c>
      <c r="C284" s="78" t="s">
        <v>1176</v>
      </c>
      <c r="D284" s="79">
        <v>45992.0</v>
      </c>
      <c r="E284" s="80" t="s">
        <v>71</v>
      </c>
      <c r="F284" s="81" t="s">
        <v>72</v>
      </c>
      <c r="G284" s="82" t="s">
        <v>471</v>
      </c>
      <c r="H284" s="80" t="s">
        <v>604</v>
      </c>
      <c r="I284" s="80" t="s">
        <v>75</v>
      </c>
      <c r="J284" s="80" t="s">
        <v>148</v>
      </c>
      <c r="K284" s="80" t="s">
        <v>1177</v>
      </c>
      <c r="L284" s="80" t="s">
        <v>105</v>
      </c>
      <c r="M284" s="80" t="s">
        <v>166</v>
      </c>
      <c r="N284" s="81">
        <v>4.0</v>
      </c>
      <c r="O284" s="81">
        <v>5.0</v>
      </c>
      <c r="P284" s="81">
        <v>20.0</v>
      </c>
      <c r="Q284" s="71">
        <v>45994.0</v>
      </c>
      <c r="R284" s="83" t="s">
        <v>674</v>
      </c>
      <c r="S284" s="96">
        <v>45993.0</v>
      </c>
      <c r="T284" s="85"/>
      <c r="U284" s="81" t="s">
        <v>134</v>
      </c>
      <c r="V284" s="85" t="str">
        <f t="array" ref="V284">IFERROR(index('3. Công thức lab theo từng mã h'!J:J,MATCH(C284,'3. Công thức lab theo từng mã h'!L:L,0)),"")</f>
        <v/>
      </c>
      <c r="W284" s="85"/>
      <c r="X284" s="75"/>
    </row>
    <row r="285" hidden="1">
      <c r="A285" s="64">
        <f t="shared" si="2"/>
        <v>3</v>
      </c>
      <c r="B285" s="65" t="s">
        <v>69</v>
      </c>
      <c r="C285" s="66" t="s">
        <v>1178</v>
      </c>
      <c r="D285" s="67">
        <v>45992.0</v>
      </c>
      <c r="E285" s="15" t="s">
        <v>71</v>
      </c>
      <c r="F285" s="68" t="s">
        <v>72</v>
      </c>
      <c r="G285" s="69" t="s">
        <v>989</v>
      </c>
      <c r="H285" s="15" t="s">
        <v>990</v>
      </c>
      <c r="I285" s="15" t="s">
        <v>75</v>
      </c>
      <c r="J285" s="15" t="s">
        <v>88</v>
      </c>
      <c r="K285" s="15" t="s">
        <v>1179</v>
      </c>
      <c r="L285" s="15" t="s">
        <v>105</v>
      </c>
      <c r="M285" s="15" t="s">
        <v>79</v>
      </c>
      <c r="N285" s="68">
        <v>20.0</v>
      </c>
      <c r="O285" s="68">
        <v>30.0</v>
      </c>
      <c r="P285" s="68">
        <v>600.0</v>
      </c>
      <c r="Q285" s="71">
        <v>45999.0</v>
      </c>
      <c r="R285" s="72" t="s">
        <v>1180</v>
      </c>
      <c r="S285" s="104">
        <v>45993.0</v>
      </c>
      <c r="T285" s="74"/>
      <c r="U285" s="68" t="s">
        <v>134</v>
      </c>
      <c r="V285" s="74" t="str">
        <f t="array" ref="V285">IFERROR(index('3. Công thức lab theo từng mã h'!J:J,MATCH(C285,'3. Công thức lab theo từng mã h'!L:L,0)),"")</f>
        <v/>
      </c>
      <c r="W285" s="74"/>
      <c r="X285" s="75"/>
    </row>
    <row r="286" hidden="1">
      <c r="A286" s="76">
        <f t="shared" si="2"/>
        <v>4</v>
      </c>
      <c r="B286" s="77" t="s">
        <v>69</v>
      </c>
      <c r="C286" s="78" t="s">
        <v>1181</v>
      </c>
      <c r="D286" s="79">
        <v>45261.0</v>
      </c>
      <c r="E286" s="80" t="s">
        <v>71</v>
      </c>
      <c r="F286" s="81" t="s">
        <v>72</v>
      </c>
      <c r="G286" s="82" t="s">
        <v>1182</v>
      </c>
      <c r="H286" s="80" t="s">
        <v>1183</v>
      </c>
      <c r="I286" s="80" t="s">
        <v>75</v>
      </c>
      <c r="J286" s="80" t="s">
        <v>88</v>
      </c>
      <c r="K286" s="80" t="s">
        <v>1184</v>
      </c>
      <c r="L286" s="80" t="s">
        <v>142</v>
      </c>
      <c r="M286" s="80" t="s">
        <v>79</v>
      </c>
      <c r="N286" s="81">
        <v>50.0</v>
      </c>
      <c r="O286" s="81">
        <v>10.0</v>
      </c>
      <c r="P286" s="81">
        <v>500.0</v>
      </c>
      <c r="Q286" s="122">
        <v>46004.0</v>
      </c>
      <c r="R286" s="83" t="s">
        <v>1185</v>
      </c>
      <c r="S286" s="96">
        <v>45993.0</v>
      </c>
      <c r="T286" s="85"/>
      <c r="U286" s="81" t="s">
        <v>134</v>
      </c>
      <c r="V286" s="85" t="str">
        <f t="array" ref="V286">IFERROR(index('3. Công thức lab theo từng mã h'!J:J,MATCH(C286,'3. Công thức lab theo từng mã h'!L:L,0)),"")</f>
        <v/>
      </c>
      <c r="W286" s="85"/>
      <c r="X286" s="75"/>
    </row>
    <row r="287" hidden="1">
      <c r="A287" s="64">
        <f t="shared" si="2"/>
        <v>5</v>
      </c>
      <c r="B287" s="65" t="s">
        <v>69</v>
      </c>
      <c r="C287" s="66" t="s">
        <v>1186</v>
      </c>
      <c r="D287" s="67">
        <v>45993.0</v>
      </c>
      <c r="E287" s="15" t="s">
        <v>71</v>
      </c>
      <c r="F287" s="68" t="s">
        <v>72</v>
      </c>
      <c r="G287" s="69" t="s">
        <v>1187</v>
      </c>
      <c r="H287" s="15" t="s">
        <v>1188</v>
      </c>
      <c r="I287" s="15" t="s">
        <v>75</v>
      </c>
      <c r="J287" s="15" t="s">
        <v>443</v>
      </c>
      <c r="K287" s="15" t="s">
        <v>947</v>
      </c>
      <c r="L287" s="15" t="s">
        <v>249</v>
      </c>
      <c r="M287" s="15" t="s">
        <v>79</v>
      </c>
      <c r="N287" s="68">
        <v>40.0</v>
      </c>
      <c r="O287" s="68">
        <v>22.0</v>
      </c>
      <c r="P287" s="68">
        <v>880.0</v>
      </c>
      <c r="Q287" s="122">
        <v>46004.0</v>
      </c>
      <c r="R287" s="72" t="s">
        <v>1189</v>
      </c>
      <c r="S287" s="104">
        <v>45993.0</v>
      </c>
      <c r="T287" s="74"/>
      <c r="U287" s="68" t="s">
        <v>134</v>
      </c>
      <c r="V287" s="74" t="str">
        <f t="array" ref="V287">IFERROR(index('3. Công thức lab theo từng mã h'!J:J,MATCH(C287,'3. Công thức lab theo từng mã h'!L:L,0)),"")</f>
        <v/>
      </c>
      <c r="W287" s="74"/>
      <c r="X287" s="75"/>
    </row>
    <row r="288" hidden="1">
      <c r="A288" s="76">
        <f t="shared" si="2"/>
        <v>6</v>
      </c>
      <c r="B288" s="77" t="s">
        <v>69</v>
      </c>
      <c r="C288" s="78" t="s">
        <v>1190</v>
      </c>
      <c r="D288" s="79">
        <v>45993.0</v>
      </c>
      <c r="E288" s="80" t="s">
        <v>71</v>
      </c>
      <c r="F288" s="81" t="s">
        <v>72</v>
      </c>
      <c r="G288" s="82" t="s">
        <v>1191</v>
      </c>
      <c r="H288" s="80" t="s">
        <v>1192</v>
      </c>
      <c r="I288" s="80" t="s">
        <v>75</v>
      </c>
      <c r="J288" s="80" t="s">
        <v>88</v>
      </c>
      <c r="K288" s="80" t="s">
        <v>1193</v>
      </c>
      <c r="L288" s="80" t="s">
        <v>105</v>
      </c>
      <c r="M288" s="80" t="s">
        <v>79</v>
      </c>
      <c r="N288" s="81">
        <v>30.0</v>
      </c>
      <c r="O288" s="81">
        <v>10.0</v>
      </c>
      <c r="P288" s="81">
        <v>300.0</v>
      </c>
      <c r="Q288" s="122">
        <v>46004.0</v>
      </c>
      <c r="R288" s="83" t="s">
        <v>709</v>
      </c>
      <c r="S288" s="96">
        <v>45993.0</v>
      </c>
      <c r="T288" s="85"/>
      <c r="U288" s="81" t="s">
        <v>134</v>
      </c>
      <c r="V288" s="85" t="str">
        <f t="array" ref="V288">IFERROR(index('3. Công thức lab theo từng mã h'!J:J,MATCH(C288,'3. Công thức lab theo từng mã h'!L:L,0)),"")</f>
        <v/>
      </c>
      <c r="W288" s="85"/>
      <c r="X288" s="75"/>
    </row>
    <row r="289" hidden="1">
      <c r="A289" s="64">
        <f t="shared" si="2"/>
        <v>7</v>
      </c>
      <c r="B289" s="65" t="s">
        <v>69</v>
      </c>
      <c r="C289" s="66" t="s">
        <v>1194</v>
      </c>
      <c r="D289" s="67">
        <v>45993.0</v>
      </c>
      <c r="E289" s="15" t="s">
        <v>71</v>
      </c>
      <c r="F289" s="68" t="s">
        <v>72</v>
      </c>
      <c r="G289" s="69" t="s">
        <v>657</v>
      </c>
      <c r="H289" s="15" t="s">
        <v>658</v>
      </c>
      <c r="I289" s="15" t="s">
        <v>75</v>
      </c>
      <c r="J289" s="15" t="s">
        <v>279</v>
      </c>
      <c r="K289" s="15" t="s">
        <v>659</v>
      </c>
      <c r="L289" s="15" t="s">
        <v>90</v>
      </c>
      <c r="M289" s="15" t="s">
        <v>166</v>
      </c>
      <c r="N289" s="68">
        <v>4.0</v>
      </c>
      <c r="O289" s="68">
        <v>10.0</v>
      </c>
      <c r="P289" s="68">
        <v>40.0</v>
      </c>
      <c r="Q289" s="71">
        <v>46000.0</v>
      </c>
      <c r="R289" s="72" t="s">
        <v>1195</v>
      </c>
      <c r="S289" s="104">
        <v>45993.0</v>
      </c>
      <c r="T289" s="74"/>
      <c r="U289" s="68" t="s">
        <v>134</v>
      </c>
      <c r="V289" s="74" t="str">
        <f t="array" ref="V289">IFERROR(index('3. Công thức lab theo từng mã h'!J:J,MATCH(C289,'3. Công thức lab theo từng mã h'!L:L,0)),"")</f>
        <v/>
      </c>
      <c r="W289" s="74"/>
      <c r="X289" s="75"/>
    </row>
    <row r="290" hidden="1">
      <c r="A290" s="76">
        <f t="shared" si="2"/>
        <v>1</v>
      </c>
      <c r="B290" s="77" t="s">
        <v>69</v>
      </c>
      <c r="C290" s="78" t="s">
        <v>1196</v>
      </c>
      <c r="D290" s="79">
        <v>45993.0</v>
      </c>
      <c r="E290" s="86"/>
      <c r="F290" s="81" t="s">
        <v>370</v>
      </c>
      <c r="G290" s="82" t="s">
        <v>510</v>
      </c>
      <c r="H290" s="80" t="s">
        <v>511</v>
      </c>
      <c r="I290" s="80" t="s">
        <v>75</v>
      </c>
      <c r="J290" s="80" t="s">
        <v>123</v>
      </c>
      <c r="K290" s="80" t="s">
        <v>736</v>
      </c>
      <c r="L290" s="80" t="s">
        <v>512</v>
      </c>
      <c r="M290" s="80" t="s">
        <v>79</v>
      </c>
      <c r="N290" s="81">
        <v>40.0</v>
      </c>
      <c r="O290" s="81">
        <v>10.0</v>
      </c>
      <c r="P290" s="81">
        <v>400.0</v>
      </c>
      <c r="Q290" s="71">
        <v>46000.0</v>
      </c>
      <c r="R290" s="83" t="s">
        <v>513</v>
      </c>
      <c r="S290" s="96">
        <v>45994.0</v>
      </c>
      <c r="T290" s="85"/>
      <c r="U290" s="81" t="s">
        <v>134</v>
      </c>
      <c r="V290" s="85" t="str">
        <f t="array" ref="V290">IFERROR(index('3. Công thức lab theo từng mã h'!J:J,MATCH(C290,'3. Công thức lab theo từng mã h'!L:L,0)),"")</f>
        <v/>
      </c>
      <c r="W290" s="85"/>
      <c r="X290" s="75"/>
    </row>
    <row r="291" hidden="1">
      <c r="A291" s="64">
        <f t="shared" si="2"/>
        <v>2</v>
      </c>
      <c r="B291" s="65" t="s">
        <v>69</v>
      </c>
      <c r="C291" s="66" t="s">
        <v>1197</v>
      </c>
      <c r="D291" s="67">
        <v>45993.0</v>
      </c>
      <c r="E291" s="16"/>
      <c r="F291" s="68" t="s">
        <v>370</v>
      </c>
      <c r="G291" s="69" t="s">
        <v>874</v>
      </c>
      <c r="H291" s="15" t="s">
        <v>875</v>
      </c>
      <c r="I291" s="15" t="s">
        <v>75</v>
      </c>
      <c r="J291" s="15" t="s">
        <v>181</v>
      </c>
      <c r="K291" s="16"/>
      <c r="L291" s="15" t="s">
        <v>125</v>
      </c>
      <c r="M291" s="15" t="s">
        <v>79</v>
      </c>
      <c r="N291" s="68">
        <v>20.0</v>
      </c>
      <c r="O291" s="68">
        <v>50.0</v>
      </c>
      <c r="P291" s="70">
        <v>1000.0</v>
      </c>
      <c r="Q291" s="122">
        <v>46001.0</v>
      </c>
      <c r="R291" s="72" t="s">
        <v>856</v>
      </c>
      <c r="S291" s="104">
        <v>45994.0</v>
      </c>
      <c r="T291" s="74"/>
      <c r="U291" s="68" t="s">
        <v>134</v>
      </c>
      <c r="V291" s="74" t="str">
        <f t="array" ref="V291">IFERROR(index('3. Công thức lab theo từng mã h'!J:J,MATCH(C291,'3. Công thức lab theo từng mã h'!L:L,0)),"")</f>
        <v/>
      </c>
      <c r="W291" s="74"/>
      <c r="X291" s="75"/>
    </row>
    <row r="292" hidden="1">
      <c r="A292" s="76">
        <f t="shared" si="2"/>
        <v>3</v>
      </c>
      <c r="B292" s="77" t="s">
        <v>69</v>
      </c>
      <c r="C292" s="78" t="s">
        <v>1198</v>
      </c>
      <c r="D292" s="79">
        <v>45993.0</v>
      </c>
      <c r="E292" s="86"/>
      <c r="F292" s="81" t="s">
        <v>370</v>
      </c>
      <c r="G292" s="82" t="s">
        <v>966</v>
      </c>
      <c r="H292" s="80" t="s">
        <v>967</v>
      </c>
      <c r="I292" s="80" t="s">
        <v>75</v>
      </c>
      <c r="J292" s="80" t="s">
        <v>181</v>
      </c>
      <c r="K292" s="80" t="s">
        <v>968</v>
      </c>
      <c r="L292" s="80" t="s">
        <v>125</v>
      </c>
      <c r="M292" s="80" t="s">
        <v>79</v>
      </c>
      <c r="N292" s="81">
        <v>20.0</v>
      </c>
      <c r="O292" s="81">
        <v>50.0</v>
      </c>
      <c r="P292" s="87">
        <v>1000.0</v>
      </c>
      <c r="Q292" s="122">
        <v>46002.0</v>
      </c>
      <c r="R292" s="83" t="s">
        <v>856</v>
      </c>
      <c r="S292" s="96">
        <v>45994.0</v>
      </c>
      <c r="T292" s="85"/>
      <c r="U292" s="81" t="s">
        <v>134</v>
      </c>
      <c r="V292" s="85" t="str">
        <f t="array" ref="V292">IFERROR(index('3. Công thức lab theo từng mã h'!J:J,MATCH(C292,'3. Công thức lab theo từng mã h'!L:L,0)),"")</f>
        <v/>
      </c>
      <c r="W292" s="85"/>
      <c r="X292" s="75"/>
    </row>
    <row r="293" hidden="1">
      <c r="A293" s="64">
        <f t="shared" si="2"/>
        <v>4</v>
      </c>
      <c r="B293" s="65" t="s">
        <v>69</v>
      </c>
      <c r="C293" s="66" t="s">
        <v>1199</v>
      </c>
      <c r="D293" s="67">
        <v>45993.0</v>
      </c>
      <c r="E293" s="16"/>
      <c r="F293" s="68" t="s">
        <v>370</v>
      </c>
      <c r="G293" s="69" t="s">
        <v>1200</v>
      </c>
      <c r="H293" s="15" t="s">
        <v>1201</v>
      </c>
      <c r="I293" s="15" t="s">
        <v>75</v>
      </c>
      <c r="J293" s="15" t="s">
        <v>1202</v>
      </c>
      <c r="K293" s="15" t="s">
        <v>736</v>
      </c>
      <c r="L293" s="15" t="s">
        <v>105</v>
      </c>
      <c r="M293" s="15" t="s">
        <v>79</v>
      </c>
      <c r="N293" s="68">
        <v>20.0</v>
      </c>
      <c r="O293" s="68">
        <v>10.0</v>
      </c>
      <c r="P293" s="68">
        <v>200.0</v>
      </c>
      <c r="Q293" s="71">
        <v>46000.0</v>
      </c>
      <c r="R293" s="72" t="s">
        <v>1203</v>
      </c>
      <c r="S293" s="104">
        <v>45994.0</v>
      </c>
      <c r="T293" s="74"/>
      <c r="U293" s="68" t="s">
        <v>134</v>
      </c>
      <c r="V293" s="74" t="str">
        <f t="array" ref="V293">IFERROR(index('3. Công thức lab theo từng mã h'!J:J,MATCH(C293,'3. Công thức lab theo từng mã h'!L:L,0)),"")</f>
        <v/>
      </c>
      <c r="W293" s="74"/>
      <c r="X293" s="75"/>
    </row>
    <row r="294" hidden="1">
      <c r="A294" s="76">
        <f t="shared" si="2"/>
        <v>5</v>
      </c>
      <c r="B294" s="77" t="s">
        <v>69</v>
      </c>
      <c r="C294" s="78" t="s">
        <v>1204</v>
      </c>
      <c r="D294" s="79">
        <v>45993.0</v>
      </c>
      <c r="E294" s="86"/>
      <c r="F294" s="81" t="s">
        <v>370</v>
      </c>
      <c r="G294" s="82" t="s">
        <v>1205</v>
      </c>
      <c r="H294" s="80" t="s">
        <v>1206</v>
      </c>
      <c r="I294" s="80" t="s">
        <v>75</v>
      </c>
      <c r="J294" s="80" t="s">
        <v>1207</v>
      </c>
      <c r="K294" s="80" t="s">
        <v>736</v>
      </c>
      <c r="L294" s="80" t="s">
        <v>1208</v>
      </c>
      <c r="M294" s="80" t="s">
        <v>79</v>
      </c>
      <c r="N294" s="81">
        <v>40.0</v>
      </c>
      <c r="O294" s="81">
        <v>10.0</v>
      </c>
      <c r="P294" s="81">
        <v>400.0</v>
      </c>
      <c r="Q294" s="122">
        <v>46001.0</v>
      </c>
      <c r="R294" s="83" t="s">
        <v>1209</v>
      </c>
      <c r="S294" s="96">
        <v>45994.0</v>
      </c>
      <c r="T294" s="85"/>
      <c r="U294" s="81" t="s">
        <v>134</v>
      </c>
      <c r="V294" s="85" t="str">
        <f t="array" ref="V294">IFERROR(index('3. Công thức lab theo từng mã h'!J:J,MATCH(C294,'3. Công thức lab theo từng mã h'!L:L,0)),"")</f>
        <v/>
      </c>
      <c r="W294" s="85"/>
      <c r="X294" s="75"/>
    </row>
    <row r="295" hidden="1">
      <c r="A295" s="64">
        <f t="shared" si="2"/>
        <v>6</v>
      </c>
      <c r="B295" s="65" t="s">
        <v>69</v>
      </c>
      <c r="C295" s="66" t="s">
        <v>1210</v>
      </c>
      <c r="D295" s="67">
        <v>45993.0</v>
      </c>
      <c r="E295" s="16"/>
      <c r="F295" s="68" t="s">
        <v>370</v>
      </c>
      <c r="G295" s="69" t="s">
        <v>1211</v>
      </c>
      <c r="H295" s="15" t="s">
        <v>1212</v>
      </c>
      <c r="I295" s="15" t="s">
        <v>75</v>
      </c>
      <c r="J295" s="15" t="s">
        <v>972</v>
      </c>
      <c r="K295" s="15" t="s">
        <v>736</v>
      </c>
      <c r="L295" s="15" t="s">
        <v>216</v>
      </c>
      <c r="M295" s="15" t="s">
        <v>79</v>
      </c>
      <c r="N295" s="68">
        <v>40.0</v>
      </c>
      <c r="O295" s="68">
        <v>10.0</v>
      </c>
      <c r="P295" s="68">
        <v>400.0</v>
      </c>
      <c r="Q295" s="122">
        <v>46001.0</v>
      </c>
      <c r="R295" s="72" t="s">
        <v>1213</v>
      </c>
      <c r="S295" s="104">
        <v>45994.0</v>
      </c>
      <c r="T295" s="74"/>
      <c r="U295" s="68" t="s">
        <v>134</v>
      </c>
      <c r="V295" s="74" t="str">
        <f t="array" ref="V295">IFERROR(index('3. Công thức lab theo từng mã h'!J:J,MATCH(C295,'3. Công thức lab theo từng mã h'!L:L,0)),"")</f>
        <v/>
      </c>
      <c r="W295" s="74"/>
      <c r="X295" s="75"/>
    </row>
    <row r="296" hidden="1">
      <c r="A296" s="76">
        <f t="shared" si="2"/>
        <v>7</v>
      </c>
      <c r="B296" s="77" t="s">
        <v>69</v>
      </c>
      <c r="C296" s="78" t="s">
        <v>1214</v>
      </c>
      <c r="D296" s="79">
        <v>45993.0</v>
      </c>
      <c r="E296" s="80" t="s">
        <v>71</v>
      </c>
      <c r="F296" s="81" t="s">
        <v>72</v>
      </c>
      <c r="G296" s="82" t="s">
        <v>611</v>
      </c>
      <c r="H296" s="80" t="s">
        <v>677</v>
      </c>
      <c r="I296" s="80" t="s">
        <v>75</v>
      </c>
      <c r="J296" s="80" t="s">
        <v>140</v>
      </c>
      <c r="K296" s="80" t="s">
        <v>1215</v>
      </c>
      <c r="L296" s="80" t="s">
        <v>105</v>
      </c>
      <c r="M296" s="80" t="s">
        <v>79</v>
      </c>
      <c r="N296" s="81">
        <v>40.0</v>
      </c>
      <c r="O296" s="81">
        <v>5.0</v>
      </c>
      <c r="P296" s="81">
        <v>200.0</v>
      </c>
      <c r="Q296" s="71">
        <v>46000.0</v>
      </c>
      <c r="R296" s="83" t="s">
        <v>614</v>
      </c>
      <c r="S296" s="96">
        <v>45994.0</v>
      </c>
      <c r="T296" s="85"/>
      <c r="U296" s="81" t="s">
        <v>134</v>
      </c>
      <c r="V296" s="85" t="str">
        <f t="array" ref="V296">IFERROR(index('3. Công thức lab theo từng mã h'!J:J,MATCH(C296,'3. Công thức lab theo từng mã h'!L:L,0)),"")</f>
        <v/>
      </c>
      <c r="W296" s="85"/>
      <c r="X296" s="75"/>
    </row>
    <row r="297" hidden="1">
      <c r="A297" s="64">
        <f t="shared" si="2"/>
        <v>1</v>
      </c>
      <c r="B297" s="65" t="s">
        <v>69</v>
      </c>
      <c r="C297" s="66" t="s">
        <v>1216</v>
      </c>
      <c r="D297" s="67">
        <v>45994.0</v>
      </c>
      <c r="E297" s="16"/>
      <c r="F297" s="68" t="s">
        <v>93</v>
      </c>
      <c r="G297" s="69" t="s">
        <v>226</v>
      </c>
      <c r="H297" s="15" t="s">
        <v>227</v>
      </c>
      <c r="I297" s="15" t="s">
        <v>75</v>
      </c>
      <c r="J297" s="15" t="s">
        <v>148</v>
      </c>
      <c r="K297" s="15" t="s">
        <v>736</v>
      </c>
      <c r="L297" s="15" t="s">
        <v>105</v>
      </c>
      <c r="M297" s="15" t="s">
        <v>79</v>
      </c>
      <c r="N297" s="68">
        <v>20.0</v>
      </c>
      <c r="O297" s="68">
        <v>30.0</v>
      </c>
      <c r="P297" s="68">
        <v>600.0</v>
      </c>
      <c r="Q297" s="122">
        <v>46001.0</v>
      </c>
      <c r="R297" s="72" t="s">
        <v>1217</v>
      </c>
      <c r="S297" s="104">
        <v>45995.0</v>
      </c>
      <c r="T297" s="74"/>
      <c r="U297" s="68" t="s">
        <v>134</v>
      </c>
      <c r="V297" s="74" t="str">
        <f t="array" ref="V297">IFERROR(index('3. Công thức lab theo từng mã h'!J:J,MATCH(C297,'3. Công thức lab theo từng mã h'!L:L,0)),"")</f>
        <v/>
      </c>
      <c r="W297" s="74"/>
      <c r="X297" s="75"/>
    </row>
    <row r="298" hidden="1">
      <c r="A298" s="76">
        <f t="shared" si="2"/>
        <v>2</v>
      </c>
      <c r="B298" s="77" t="s">
        <v>69</v>
      </c>
      <c r="C298" s="78" t="s">
        <v>1218</v>
      </c>
      <c r="D298" s="79">
        <v>45995.0</v>
      </c>
      <c r="E298" s="80" t="s">
        <v>71</v>
      </c>
      <c r="F298" s="81" t="s">
        <v>72</v>
      </c>
      <c r="G298" s="82" t="s">
        <v>1219</v>
      </c>
      <c r="H298" s="80" t="s">
        <v>1220</v>
      </c>
      <c r="I298" s="80" t="s">
        <v>75</v>
      </c>
      <c r="J298" s="80" t="s">
        <v>1022</v>
      </c>
      <c r="K298" s="80" t="s">
        <v>1221</v>
      </c>
      <c r="L298" s="80" t="s">
        <v>105</v>
      </c>
      <c r="M298" s="80" t="s">
        <v>79</v>
      </c>
      <c r="N298" s="81">
        <v>20.0</v>
      </c>
      <c r="O298" s="81">
        <v>10.0</v>
      </c>
      <c r="P298" s="81">
        <v>200.0</v>
      </c>
      <c r="Q298" s="122">
        <v>46001.0</v>
      </c>
      <c r="R298" s="83" t="s">
        <v>81</v>
      </c>
      <c r="S298" s="96">
        <v>45995.0</v>
      </c>
      <c r="T298" s="85"/>
      <c r="U298" s="81" t="s">
        <v>134</v>
      </c>
      <c r="V298" s="85"/>
      <c r="W298" s="85"/>
      <c r="X298" s="75"/>
    </row>
    <row r="299" hidden="1">
      <c r="A299" s="64">
        <f t="shared" si="2"/>
        <v>3</v>
      </c>
      <c r="B299" s="65" t="s">
        <v>69</v>
      </c>
      <c r="C299" s="66" t="s">
        <v>1222</v>
      </c>
      <c r="D299" s="67">
        <v>45995.0</v>
      </c>
      <c r="E299" s="15" t="s">
        <v>71</v>
      </c>
      <c r="F299" s="68" t="s">
        <v>72</v>
      </c>
      <c r="G299" s="69" t="s">
        <v>1223</v>
      </c>
      <c r="H299" s="15" t="s">
        <v>1224</v>
      </c>
      <c r="I299" s="15" t="s">
        <v>75</v>
      </c>
      <c r="J299" s="15" t="s">
        <v>157</v>
      </c>
      <c r="K299" s="15" t="s">
        <v>204</v>
      </c>
      <c r="L299" s="15" t="s">
        <v>105</v>
      </c>
      <c r="M299" s="15" t="s">
        <v>132</v>
      </c>
      <c r="N299" s="68">
        <v>200.0</v>
      </c>
      <c r="O299" s="68">
        <v>15.0</v>
      </c>
      <c r="P299" s="70">
        <v>3000.0</v>
      </c>
      <c r="Q299" s="122">
        <v>46006.0</v>
      </c>
      <c r="R299" s="68" t="s">
        <v>205</v>
      </c>
      <c r="S299" s="104">
        <v>45995.0</v>
      </c>
      <c r="T299" s="74"/>
      <c r="U299" s="68" t="s">
        <v>134</v>
      </c>
      <c r="V299" s="74" t="str">
        <f t="array" ref="V299">IFERROR(index('3. Công thức lab theo từng mã h'!J:J,MATCH(C299,'3. Công thức lab theo từng mã h'!L:L,0)),"")</f>
        <v/>
      </c>
      <c r="W299" s="74"/>
      <c r="X299" s="75"/>
    </row>
    <row r="300" hidden="1">
      <c r="A300" s="76">
        <f t="shared" si="2"/>
        <v>4</v>
      </c>
      <c r="B300" s="77" t="s">
        <v>69</v>
      </c>
      <c r="C300" s="78" t="s">
        <v>1225</v>
      </c>
      <c r="D300" s="79">
        <v>45995.0</v>
      </c>
      <c r="E300" s="80" t="s">
        <v>71</v>
      </c>
      <c r="F300" s="81" t="s">
        <v>72</v>
      </c>
      <c r="G300" s="82" t="s">
        <v>1226</v>
      </c>
      <c r="H300" s="80" t="s">
        <v>1227</v>
      </c>
      <c r="I300" s="80" t="s">
        <v>75</v>
      </c>
      <c r="J300" s="80" t="s">
        <v>781</v>
      </c>
      <c r="K300" s="80" t="s">
        <v>1228</v>
      </c>
      <c r="L300" s="80" t="s">
        <v>105</v>
      </c>
      <c r="M300" s="80" t="s">
        <v>79</v>
      </c>
      <c r="N300" s="81">
        <v>40.0</v>
      </c>
      <c r="O300" s="81">
        <v>50.0</v>
      </c>
      <c r="P300" s="87">
        <v>2000.0</v>
      </c>
      <c r="Q300" s="122">
        <v>46007.0</v>
      </c>
      <c r="R300" s="81" t="s">
        <v>1229</v>
      </c>
      <c r="S300" s="96">
        <v>45995.0</v>
      </c>
      <c r="T300" s="85"/>
      <c r="U300" s="81" t="s">
        <v>134</v>
      </c>
      <c r="V300" s="85" t="str">
        <f t="array" ref="V300">IFERROR(index('3. Công thức lab theo từng mã h'!J:J,MATCH(C300,'3. Công thức lab theo từng mã h'!L:L,0)),"")</f>
        <v/>
      </c>
      <c r="W300" s="85"/>
      <c r="X300" s="75"/>
    </row>
    <row r="301" hidden="1">
      <c r="A301" s="64">
        <f t="shared" si="2"/>
        <v>5</v>
      </c>
      <c r="B301" s="65" t="s">
        <v>69</v>
      </c>
      <c r="C301" s="66" t="s">
        <v>1230</v>
      </c>
      <c r="D301" s="67">
        <v>45995.0</v>
      </c>
      <c r="E301" s="15" t="s">
        <v>71</v>
      </c>
      <c r="F301" s="68" t="s">
        <v>72</v>
      </c>
      <c r="G301" s="69" t="s">
        <v>738</v>
      </c>
      <c r="H301" s="15" t="s">
        <v>1231</v>
      </c>
      <c r="I301" s="15" t="s">
        <v>75</v>
      </c>
      <c r="J301" s="15" t="s">
        <v>222</v>
      </c>
      <c r="K301" s="15" t="s">
        <v>1232</v>
      </c>
      <c r="L301" s="15" t="s">
        <v>105</v>
      </c>
      <c r="M301" s="15" t="s">
        <v>166</v>
      </c>
      <c r="N301" s="68">
        <v>1.0</v>
      </c>
      <c r="O301" s="68">
        <v>20.0</v>
      </c>
      <c r="P301" s="68">
        <v>20.0</v>
      </c>
      <c r="Q301" s="122">
        <v>46003.0</v>
      </c>
      <c r="R301" s="68" t="s">
        <v>741</v>
      </c>
      <c r="S301" s="104">
        <v>45995.0</v>
      </c>
      <c r="T301" s="74"/>
      <c r="U301" s="68" t="s">
        <v>134</v>
      </c>
      <c r="V301" s="74" t="str">
        <f t="array" ref="V301">IFERROR(index('3. Công thức lab theo từng mã h'!J:J,MATCH(C301,'3. Công thức lab theo từng mã h'!L:L,0)),"")</f>
        <v/>
      </c>
      <c r="W301" s="74"/>
      <c r="X301" s="75"/>
    </row>
    <row r="302" hidden="1">
      <c r="A302" s="76">
        <f t="shared" si="2"/>
        <v>1</v>
      </c>
      <c r="B302" s="77" t="s">
        <v>69</v>
      </c>
      <c r="C302" s="78" t="s">
        <v>1233</v>
      </c>
      <c r="D302" s="79">
        <v>45996.0</v>
      </c>
      <c r="E302" s="86"/>
      <c r="F302" s="81" t="s">
        <v>315</v>
      </c>
      <c r="G302" s="82" t="s">
        <v>637</v>
      </c>
      <c r="H302" s="80" t="s">
        <v>694</v>
      </c>
      <c r="I302" s="80" t="s">
        <v>75</v>
      </c>
      <c r="J302" s="80" t="s">
        <v>695</v>
      </c>
      <c r="K302" s="80" t="s">
        <v>362</v>
      </c>
      <c r="L302" s="80" t="s">
        <v>183</v>
      </c>
      <c r="M302" s="80" t="s">
        <v>79</v>
      </c>
      <c r="N302" s="81">
        <v>40.0</v>
      </c>
      <c r="O302" s="81">
        <v>10.0</v>
      </c>
      <c r="P302" s="81">
        <v>400.0</v>
      </c>
      <c r="Q302" s="122">
        <v>46006.0</v>
      </c>
      <c r="R302" s="83" t="s">
        <v>1234</v>
      </c>
      <c r="S302" s="96">
        <v>45999.0</v>
      </c>
      <c r="T302" s="85"/>
      <c r="U302" s="81" t="s">
        <v>134</v>
      </c>
      <c r="V302" s="85" t="str">
        <f t="array" ref="V302">IFERROR(index('3. Công thức lab theo từng mã h'!J:J,MATCH(C302,'3. Công thức lab theo từng mã h'!L:L,0)),"")</f>
        <v/>
      </c>
      <c r="W302" s="85"/>
      <c r="X302" s="75"/>
    </row>
    <row r="303" hidden="1">
      <c r="A303" s="64">
        <f t="shared" si="2"/>
        <v>2</v>
      </c>
      <c r="B303" s="65" t="s">
        <v>69</v>
      </c>
      <c r="C303" s="66" t="s">
        <v>1235</v>
      </c>
      <c r="D303" s="67">
        <v>45996.0</v>
      </c>
      <c r="E303" s="16"/>
      <c r="F303" s="68" t="s">
        <v>315</v>
      </c>
      <c r="G303" s="69" t="s">
        <v>1236</v>
      </c>
      <c r="H303" s="15" t="s">
        <v>1237</v>
      </c>
      <c r="I303" s="15" t="s">
        <v>75</v>
      </c>
      <c r="J303" s="15" t="s">
        <v>189</v>
      </c>
      <c r="K303" s="15" t="s">
        <v>1238</v>
      </c>
      <c r="L303" s="15" t="s">
        <v>105</v>
      </c>
      <c r="M303" s="15" t="s">
        <v>79</v>
      </c>
      <c r="N303" s="68">
        <v>50.0</v>
      </c>
      <c r="O303" s="68">
        <v>10.0</v>
      </c>
      <c r="P303" s="68">
        <v>500.0</v>
      </c>
      <c r="Q303" s="122">
        <v>46006.0</v>
      </c>
      <c r="R303" s="72" t="s">
        <v>1239</v>
      </c>
      <c r="S303" s="104">
        <v>45999.0</v>
      </c>
      <c r="T303" s="74"/>
      <c r="U303" s="68" t="s">
        <v>134</v>
      </c>
      <c r="V303" s="74" t="str">
        <f t="array" ref="V303">IFERROR(index('3. Công thức lab theo từng mã h'!J:J,MATCH(C303,'3. Công thức lab theo từng mã h'!L:L,0)),"")</f>
        <v/>
      </c>
      <c r="W303" s="74"/>
      <c r="X303" s="75"/>
    </row>
    <row r="304" hidden="1">
      <c r="A304" s="76">
        <f t="shared" si="2"/>
        <v>3</v>
      </c>
      <c r="B304" s="77" t="s">
        <v>69</v>
      </c>
      <c r="C304" s="78" t="s">
        <v>1240</v>
      </c>
      <c r="D304" s="79">
        <v>45997.0</v>
      </c>
      <c r="E304" s="80" t="s">
        <v>71</v>
      </c>
      <c r="F304" s="81" t="s">
        <v>72</v>
      </c>
      <c r="G304" s="82" t="s">
        <v>1241</v>
      </c>
      <c r="H304" s="80" t="s">
        <v>1242</v>
      </c>
      <c r="I304" s="80" t="s">
        <v>75</v>
      </c>
      <c r="J304" s="80" t="s">
        <v>619</v>
      </c>
      <c r="K304" s="80" t="s">
        <v>1243</v>
      </c>
      <c r="L304" s="80" t="s">
        <v>754</v>
      </c>
      <c r="M304" s="80" t="s">
        <v>79</v>
      </c>
      <c r="N304" s="81">
        <v>40.0</v>
      </c>
      <c r="O304" s="81">
        <v>10.0</v>
      </c>
      <c r="P304" s="81">
        <v>400.0</v>
      </c>
      <c r="Q304" s="122">
        <v>46003.0</v>
      </c>
      <c r="R304" s="83" t="s">
        <v>1244</v>
      </c>
      <c r="S304" s="96">
        <v>45999.0</v>
      </c>
      <c r="T304" s="85"/>
      <c r="U304" s="81" t="s">
        <v>134</v>
      </c>
      <c r="V304" s="85" t="str">
        <f t="array" ref="V304">IFERROR(index('3. Công thức lab theo từng mã h'!J:J,MATCH(C304,'3. Công thức lab theo từng mã h'!L:L,0)),"")</f>
        <v/>
      </c>
      <c r="W304" s="85"/>
      <c r="X304" s="75"/>
    </row>
    <row r="305" hidden="1">
      <c r="A305" s="64">
        <f t="shared" si="2"/>
        <v>4</v>
      </c>
      <c r="B305" s="65" t="s">
        <v>69</v>
      </c>
      <c r="C305" s="66" t="s">
        <v>1245</v>
      </c>
      <c r="D305" s="67">
        <v>45999.0</v>
      </c>
      <c r="E305" s="16"/>
      <c r="F305" s="68" t="s">
        <v>370</v>
      </c>
      <c r="G305" s="69" t="s">
        <v>966</v>
      </c>
      <c r="H305" s="15" t="s">
        <v>967</v>
      </c>
      <c r="I305" s="15" t="s">
        <v>75</v>
      </c>
      <c r="J305" s="15" t="s">
        <v>181</v>
      </c>
      <c r="K305" s="15" t="s">
        <v>1246</v>
      </c>
      <c r="L305" s="15" t="s">
        <v>125</v>
      </c>
      <c r="M305" s="15" t="s">
        <v>79</v>
      </c>
      <c r="N305" s="68">
        <v>20.0</v>
      </c>
      <c r="O305" s="68">
        <v>100.0</v>
      </c>
      <c r="P305" s="70">
        <v>2000.0</v>
      </c>
      <c r="Q305" s="122">
        <v>46006.0</v>
      </c>
      <c r="R305" s="72" t="s">
        <v>856</v>
      </c>
      <c r="S305" s="104">
        <v>45999.0</v>
      </c>
      <c r="T305" s="74"/>
      <c r="U305" s="68" t="s">
        <v>134</v>
      </c>
      <c r="V305" s="74" t="str">
        <f t="array" ref="V305">IFERROR(index('3. Công thức lab theo từng mã h'!J:J,MATCH(C305,'3. Công thức lab theo từng mã h'!L:L,0)),"")</f>
        <v/>
      </c>
      <c r="W305" s="74"/>
      <c r="X305" s="75"/>
    </row>
    <row r="306" hidden="1">
      <c r="A306" s="76">
        <f t="shared" si="2"/>
        <v>5</v>
      </c>
      <c r="B306" s="77" t="s">
        <v>69</v>
      </c>
      <c r="C306" s="78" t="s">
        <v>1247</v>
      </c>
      <c r="D306" s="79">
        <v>45999.0</v>
      </c>
      <c r="E306" s="86"/>
      <c r="F306" s="81" t="s">
        <v>370</v>
      </c>
      <c r="G306" s="82" t="s">
        <v>966</v>
      </c>
      <c r="H306" s="80" t="s">
        <v>967</v>
      </c>
      <c r="I306" s="80" t="s">
        <v>75</v>
      </c>
      <c r="J306" s="80" t="s">
        <v>181</v>
      </c>
      <c r="K306" s="80" t="s">
        <v>1246</v>
      </c>
      <c r="L306" s="80" t="s">
        <v>125</v>
      </c>
      <c r="M306" s="80" t="s">
        <v>79</v>
      </c>
      <c r="N306" s="81">
        <v>20.0</v>
      </c>
      <c r="O306" s="81">
        <v>100.0</v>
      </c>
      <c r="P306" s="87">
        <v>2000.0</v>
      </c>
      <c r="Q306" s="122">
        <v>46006.0</v>
      </c>
      <c r="R306" s="83" t="s">
        <v>856</v>
      </c>
      <c r="S306" s="96">
        <v>45999.0</v>
      </c>
      <c r="T306" s="85"/>
      <c r="U306" s="81" t="s">
        <v>134</v>
      </c>
      <c r="V306" s="85" t="str">
        <f t="array" ref="V306">IFERROR(index('3. Công thức lab theo từng mã h'!J:J,MATCH(C306,'3. Công thức lab theo từng mã h'!L:L,0)),"")</f>
        <v/>
      </c>
      <c r="W306" s="85"/>
      <c r="X306" s="75"/>
    </row>
    <row r="307" hidden="1">
      <c r="A307" s="64">
        <f t="shared" si="2"/>
        <v>6</v>
      </c>
      <c r="B307" s="65" t="s">
        <v>69</v>
      </c>
      <c r="C307" s="66" t="s">
        <v>1248</v>
      </c>
      <c r="D307" s="67">
        <v>45999.0</v>
      </c>
      <c r="E307" s="16"/>
      <c r="F307" s="68" t="s">
        <v>370</v>
      </c>
      <c r="G307" s="69" t="s">
        <v>966</v>
      </c>
      <c r="H307" s="15" t="s">
        <v>967</v>
      </c>
      <c r="I307" s="15" t="s">
        <v>75</v>
      </c>
      <c r="J307" s="15" t="s">
        <v>181</v>
      </c>
      <c r="K307" s="16"/>
      <c r="L307" s="15" t="s">
        <v>125</v>
      </c>
      <c r="M307" s="15" t="s">
        <v>79</v>
      </c>
      <c r="N307" s="68">
        <v>20.0</v>
      </c>
      <c r="O307" s="68">
        <v>100.0</v>
      </c>
      <c r="P307" s="70">
        <v>2000.0</v>
      </c>
      <c r="Q307" s="122">
        <v>46011.0</v>
      </c>
      <c r="R307" s="72" t="s">
        <v>1249</v>
      </c>
      <c r="S307" s="104">
        <v>45999.0</v>
      </c>
      <c r="T307" s="74"/>
      <c r="U307" s="68" t="s">
        <v>134</v>
      </c>
      <c r="V307" s="74" t="str">
        <f t="array" ref="V307">IFERROR(index('3. Công thức lab theo từng mã h'!J:J,MATCH(C307,'3. Công thức lab theo từng mã h'!L:L,0)),"")</f>
        <v/>
      </c>
      <c r="W307" s="74"/>
      <c r="X307" s="75"/>
    </row>
    <row r="308" hidden="1">
      <c r="A308" s="76">
        <f t="shared" si="2"/>
        <v>7</v>
      </c>
      <c r="B308" s="77" t="s">
        <v>69</v>
      </c>
      <c r="C308" s="78" t="s">
        <v>1250</v>
      </c>
      <c r="D308" s="79">
        <v>45999.0</v>
      </c>
      <c r="E308" s="86"/>
      <c r="F308" s="81" t="s">
        <v>93</v>
      </c>
      <c r="G308" s="82" t="s">
        <v>1251</v>
      </c>
      <c r="H308" s="80" t="s">
        <v>1252</v>
      </c>
      <c r="I308" s="80" t="s">
        <v>75</v>
      </c>
      <c r="J308" s="80" t="s">
        <v>181</v>
      </c>
      <c r="K308" s="86"/>
      <c r="L308" s="80" t="s">
        <v>125</v>
      </c>
      <c r="M308" s="80" t="s">
        <v>79</v>
      </c>
      <c r="N308" s="81">
        <v>40.0</v>
      </c>
      <c r="O308" s="81">
        <v>20.0</v>
      </c>
      <c r="P308" s="81">
        <v>800.0</v>
      </c>
      <c r="Q308" s="122">
        <v>46009.0</v>
      </c>
      <c r="R308" s="83" t="s">
        <v>1249</v>
      </c>
      <c r="S308" s="96">
        <v>45999.0</v>
      </c>
      <c r="T308" s="85"/>
      <c r="U308" s="81" t="s">
        <v>134</v>
      </c>
      <c r="V308" s="85" t="str">
        <f t="array" ref="V308">IFERROR(index('3. Công thức lab theo từng mã h'!J:J,MATCH(C308,'3. Công thức lab theo từng mã h'!L:L,0)),"")</f>
        <v/>
      </c>
      <c r="W308" s="85"/>
      <c r="X308" s="75"/>
    </row>
    <row r="309" hidden="1">
      <c r="A309" s="64">
        <f t="shared" si="2"/>
        <v>1</v>
      </c>
      <c r="B309" s="65" t="s">
        <v>69</v>
      </c>
      <c r="C309" s="66" t="s">
        <v>1253</v>
      </c>
      <c r="D309" s="67">
        <v>46000.0</v>
      </c>
      <c r="E309" s="16"/>
      <c r="F309" s="68" t="s">
        <v>93</v>
      </c>
      <c r="G309" s="69" t="s">
        <v>1254</v>
      </c>
      <c r="H309" s="15" t="s">
        <v>1255</v>
      </c>
      <c r="I309" s="15" t="s">
        <v>75</v>
      </c>
      <c r="J309" s="15" t="s">
        <v>148</v>
      </c>
      <c r="K309" s="15" t="s">
        <v>1256</v>
      </c>
      <c r="L309" s="15" t="s">
        <v>105</v>
      </c>
      <c r="M309" s="15" t="s">
        <v>79</v>
      </c>
      <c r="N309" s="68">
        <v>40.0</v>
      </c>
      <c r="O309" s="68">
        <v>50.0</v>
      </c>
      <c r="P309" s="70">
        <v>2000.0</v>
      </c>
      <c r="Q309" s="122">
        <v>46007.0</v>
      </c>
      <c r="R309" s="72" t="s">
        <v>149</v>
      </c>
      <c r="S309" s="104">
        <v>46001.0</v>
      </c>
      <c r="T309" s="74"/>
      <c r="U309" s="68" t="s">
        <v>134</v>
      </c>
      <c r="V309" s="74" t="str">
        <f t="array" ref="V309">IFERROR(index('3. Công thức lab theo từng mã h'!J:J,MATCH(C309,'3. Công thức lab theo từng mã h'!L:L,0)),"")</f>
        <v/>
      </c>
      <c r="W309" s="74"/>
      <c r="X309" s="75"/>
    </row>
    <row r="310" hidden="1">
      <c r="A310" s="76">
        <f t="shared" si="2"/>
        <v>2</v>
      </c>
      <c r="B310" s="77" t="s">
        <v>69</v>
      </c>
      <c r="C310" s="78" t="s">
        <v>1257</v>
      </c>
      <c r="D310" s="79">
        <v>46000.0</v>
      </c>
      <c r="E310" s="80" t="s">
        <v>71</v>
      </c>
      <c r="F310" s="81" t="s">
        <v>72</v>
      </c>
      <c r="G310" s="82" t="s">
        <v>750</v>
      </c>
      <c r="H310" s="80" t="s">
        <v>751</v>
      </c>
      <c r="I310" s="80" t="s">
        <v>75</v>
      </c>
      <c r="J310" s="80" t="s">
        <v>752</v>
      </c>
      <c r="K310" s="80" t="s">
        <v>753</v>
      </c>
      <c r="L310" s="80" t="s">
        <v>754</v>
      </c>
      <c r="M310" s="80" t="s">
        <v>79</v>
      </c>
      <c r="N310" s="81">
        <v>30.0</v>
      </c>
      <c r="O310" s="81">
        <v>10.0</v>
      </c>
      <c r="P310" s="81">
        <v>300.0</v>
      </c>
      <c r="Q310" s="122">
        <v>46004.0</v>
      </c>
      <c r="R310" s="83" t="s">
        <v>1258</v>
      </c>
      <c r="S310" s="96">
        <v>46001.0</v>
      </c>
      <c r="T310" s="85"/>
      <c r="U310" s="81" t="s">
        <v>134</v>
      </c>
      <c r="V310" s="85" t="str">
        <f t="array" ref="V310">IFERROR(index('3. Công thức lab theo từng mã h'!J:J,MATCH(C310,'3. Công thức lab theo từng mã h'!L:L,0)),"")</f>
        <v/>
      </c>
      <c r="W310" s="85"/>
      <c r="X310" s="75"/>
    </row>
    <row r="311" hidden="1">
      <c r="A311" s="64">
        <f t="shared" si="2"/>
        <v>3</v>
      </c>
      <c r="B311" s="65" t="s">
        <v>69</v>
      </c>
      <c r="C311" s="66" t="s">
        <v>1259</v>
      </c>
      <c r="D311" s="67">
        <v>46000.0</v>
      </c>
      <c r="E311" s="15" t="s">
        <v>71</v>
      </c>
      <c r="F311" s="68" t="s">
        <v>72</v>
      </c>
      <c r="G311" s="69" t="s">
        <v>1260</v>
      </c>
      <c r="H311" s="15" t="s">
        <v>1261</v>
      </c>
      <c r="I311" s="15" t="s">
        <v>75</v>
      </c>
      <c r="J311" s="15" t="s">
        <v>181</v>
      </c>
      <c r="K311" s="15" t="s">
        <v>182</v>
      </c>
      <c r="L311" s="15" t="s">
        <v>183</v>
      </c>
      <c r="M311" s="15" t="s">
        <v>79</v>
      </c>
      <c r="N311" s="68">
        <v>40.0</v>
      </c>
      <c r="O311" s="68">
        <v>10.0</v>
      </c>
      <c r="P311" s="68">
        <v>400.0</v>
      </c>
      <c r="Q311" s="122">
        <v>46006.0</v>
      </c>
      <c r="R311" s="72" t="s">
        <v>184</v>
      </c>
      <c r="S311" s="104">
        <v>46001.0</v>
      </c>
      <c r="T311" s="74"/>
      <c r="U311" s="68" t="s">
        <v>134</v>
      </c>
      <c r="V311" s="74" t="str">
        <f t="array" ref="V311">IFERROR(index('3. Công thức lab theo từng mã h'!J:J,MATCH(C311,'3. Công thức lab theo từng mã h'!L:L,0)),"")</f>
        <v/>
      </c>
      <c r="W311" s="74"/>
      <c r="X311" s="75"/>
    </row>
    <row r="312" hidden="1">
      <c r="A312" s="76">
        <f t="shared" si="2"/>
        <v>4</v>
      </c>
      <c r="B312" s="77" t="s">
        <v>69</v>
      </c>
      <c r="C312" s="78" t="s">
        <v>1262</v>
      </c>
      <c r="D312" s="79">
        <v>46000.0</v>
      </c>
      <c r="E312" s="80" t="s">
        <v>71</v>
      </c>
      <c r="F312" s="81" t="s">
        <v>72</v>
      </c>
      <c r="G312" s="82" t="s">
        <v>121</v>
      </c>
      <c r="H312" s="80" t="s">
        <v>1263</v>
      </c>
      <c r="I312" s="80" t="s">
        <v>75</v>
      </c>
      <c r="J312" s="80" t="s">
        <v>123</v>
      </c>
      <c r="K312" s="80" t="s">
        <v>124</v>
      </c>
      <c r="L312" s="80" t="s">
        <v>125</v>
      </c>
      <c r="M312" s="80" t="s">
        <v>79</v>
      </c>
      <c r="N312" s="81">
        <v>40.0</v>
      </c>
      <c r="O312" s="81">
        <v>5.0</v>
      </c>
      <c r="P312" s="81">
        <v>200.0</v>
      </c>
      <c r="Q312" s="122">
        <v>46011.0</v>
      </c>
      <c r="R312" s="83" t="s">
        <v>81</v>
      </c>
      <c r="S312" s="96">
        <v>46001.0</v>
      </c>
      <c r="T312" s="85"/>
      <c r="U312" s="81" t="s">
        <v>134</v>
      </c>
      <c r="V312" s="85" t="str">
        <f t="array" ref="V312">IFERROR(index('3. Công thức lab theo từng mã h'!J:J,MATCH(C312,'3. Công thức lab theo từng mã h'!L:L,0)),"")</f>
        <v/>
      </c>
      <c r="W312" s="85"/>
      <c r="X312" s="75"/>
    </row>
    <row r="313" hidden="1">
      <c r="A313" s="64">
        <f t="shared" si="2"/>
        <v>5</v>
      </c>
      <c r="B313" s="65" t="s">
        <v>69</v>
      </c>
      <c r="C313" s="66" t="s">
        <v>1264</v>
      </c>
      <c r="D313" s="67">
        <v>46000.0</v>
      </c>
      <c r="E313" s="15" t="s">
        <v>71</v>
      </c>
      <c r="F313" s="68" t="s">
        <v>72</v>
      </c>
      <c r="G313" s="69" t="s">
        <v>1265</v>
      </c>
      <c r="H313" s="15" t="s">
        <v>1266</v>
      </c>
      <c r="I313" s="15" t="s">
        <v>75</v>
      </c>
      <c r="J313" s="15" t="s">
        <v>123</v>
      </c>
      <c r="K313" s="15" t="s">
        <v>124</v>
      </c>
      <c r="L313" s="15" t="s">
        <v>125</v>
      </c>
      <c r="M313" s="15" t="s">
        <v>79</v>
      </c>
      <c r="N313" s="68">
        <v>40.0</v>
      </c>
      <c r="O313" s="68">
        <v>5.0</v>
      </c>
      <c r="P313" s="68">
        <v>200.0</v>
      </c>
      <c r="Q313" s="122">
        <v>46011.0</v>
      </c>
      <c r="R313" s="72" t="s">
        <v>81</v>
      </c>
      <c r="S313" s="104">
        <v>46001.0</v>
      </c>
      <c r="T313" s="74"/>
      <c r="U313" s="68" t="s">
        <v>134</v>
      </c>
      <c r="V313" s="74" t="str">
        <f t="array" ref="V313">IFERROR(index('3. Công thức lab theo từng mã h'!J:J,MATCH(C313,'3. Công thức lab theo từng mã h'!L:L,0)),"")</f>
        <v/>
      </c>
      <c r="W313" s="74"/>
      <c r="X313" s="75"/>
    </row>
    <row r="314" hidden="1">
      <c r="A314" s="76">
        <f t="shared" si="2"/>
        <v>6</v>
      </c>
      <c r="B314" s="77" t="s">
        <v>69</v>
      </c>
      <c r="C314" s="78" t="s">
        <v>1267</v>
      </c>
      <c r="D314" s="117">
        <v>46001.0</v>
      </c>
      <c r="E314" s="80" t="s">
        <v>71</v>
      </c>
      <c r="F314" s="81" t="s">
        <v>72</v>
      </c>
      <c r="G314" s="82" t="s">
        <v>1268</v>
      </c>
      <c r="H314" s="80" t="s">
        <v>1269</v>
      </c>
      <c r="I314" s="80" t="s">
        <v>75</v>
      </c>
      <c r="J314" s="80" t="s">
        <v>171</v>
      </c>
      <c r="K314" s="80" t="s">
        <v>1270</v>
      </c>
      <c r="L314" s="80" t="s">
        <v>1271</v>
      </c>
      <c r="M314" s="80" t="s">
        <v>79</v>
      </c>
      <c r="N314" s="81">
        <v>30.0</v>
      </c>
      <c r="O314" s="81">
        <v>10.0</v>
      </c>
      <c r="P314" s="81">
        <v>300.0</v>
      </c>
      <c r="Q314" s="122">
        <v>46013.0</v>
      </c>
      <c r="R314" s="83" t="s">
        <v>1272</v>
      </c>
      <c r="S314" s="96">
        <v>46001.0</v>
      </c>
      <c r="T314" s="85"/>
      <c r="U314" s="81" t="s">
        <v>134</v>
      </c>
      <c r="V314" s="85" t="str">
        <f t="array" ref="V314">IFERROR(index('3. Công thức lab theo từng mã h'!J:J,MATCH(C314,'3. Công thức lab theo từng mã h'!L:L,0)),"")</f>
        <v/>
      </c>
      <c r="W314" s="85"/>
      <c r="X314" s="75"/>
    </row>
    <row r="315" hidden="1">
      <c r="A315" s="64">
        <f t="shared" si="2"/>
        <v>1</v>
      </c>
      <c r="B315" s="65" t="s">
        <v>69</v>
      </c>
      <c r="C315" s="66" t="s">
        <v>1273</v>
      </c>
      <c r="D315" s="105">
        <v>46002.0</v>
      </c>
      <c r="E315" s="15" t="s">
        <v>71</v>
      </c>
      <c r="F315" s="68" t="s">
        <v>72</v>
      </c>
      <c r="G315" s="69" t="s">
        <v>1274</v>
      </c>
      <c r="H315" s="15" t="s">
        <v>1275</v>
      </c>
      <c r="I315" s="15" t="s">
        <v>75</v>
      </c>
      <c r="J315" s="15" t="s">
        <v>148</v>
      </c>
      <c r="K315" s="15" t="s">
        <v>1276</v>
      </c>
      <c r="L315" s="15" t="s">
        <v>105</v>
      </c>
      <c r="M315" s="15" t="s">
        <v>166</v>
      </c>
      <c r="N315" s="68">
        <v>4.0</v>
      </c>
      <c r="O315" s="68">
        <v>5.0</v>
      </c>
      <c r="P315" s="68">
        <v>20.0</v>
      </c>
      <c r="Q315" s="122">
        <v>46014.0</v>
      </c>
      <c r="R315" s="72" t="s">
        <v>177</v>
      </c>
      <c r="S315" s="104">
        <v>46003.0</v>
      </c>
      <c r="T315" s="74"/>
      <c r="U315" s="68" t="s">
        <v>134</v>
      </c>
      <c r="V315" s="74" t="str">
        <f t="array" ref="V315">IFERROR(index('3. Công thức lab theo từng mã h'!J:J,MATCH(C315,'3. Công thức lab theo từng mã h'!L:L,0)),"")</f>
        <v/>
      </c>
      <c r="W315" s="74"/>
      <c r="X315" s="75"/>
    </row>
    <row r="316" hidden="1">
      <c r="A316" s="76">
        <f t="shared" si="2"/>
        <v>2</v>
      </c>
      <c r="B316" s="77" t="s">
        <v>69</v>
      </c>
      <c r="C316" s="78" t="s">
        <v>1277</v>
      </c>
      <c r="D316" s="117">
        <v>46002.0</v>
      </c>
      <c r="E316" s="80" t="s">
        <v>71</v>
      </c>
      <c r="F316" s="81" t="s">
        <v>72</v>
      </c>
      <c r="G316" s="82" t="s">
        <v>1278</v>
      </c>
      <c r="H316" s="80" t="s">
        <v>1279</v>
      </c>
      <c r="I316" s="80" t="s">
        <v>75</v>
      </c>
      <c r="J316" s="80" t="s">
        <v>258</v>
      </c>
      <c r="K316" s="80" t="s">
        <v>1280</v>
      </c>
      <c r="L316" s="80" t="s">
        <v>105</v>
      </c>
      <c r="M316" s="80" t="s">
        <v>79</v>
      </c>
      <c r="N316" s="81">
        <v>40.0</v>
      </c>
      <c r="O316" s="81">
        <v>20.0</v>
      </c>
      <c r="P316" s="81">
        <v>800.0</v>
      </c>
      <c r="Q316" s="122">
        <v>46014.0</v>
      </c>
      <c r="R316" s="83" t="s">
        <v>1124</v>
      </c>
      <c r="S316" s="96">
        <v>46003.0</v>
      </c>
      <c r="T316" s="85"/>
      <c r="U316" s="81" t="s">
        <v>134</v>
      </c>
      <c r="V316" s="85" t="str">
        <f t="array" ref="V316">IFERROR(index('3. Công thức lab theo từng mã h'!J:J,MATCH(C316,'3. Công thức lab theo từng mã h'!L:L,0)),"")</f>
        <v/>
      </c>
      <c r="W316" s="85"/>
      <c r="X316" s="75"/>
    </row>
    <row r="317" hidden="1">
      <c r="A317" s="64">
        <f t="shared" si="2"/>
        <v>3</v>
      </c>
      <c r="B317" s="65" t="s">
        <v>69</v>
      </c>
      <c r="C317" s="66" t="s">
        <v>1281</v>
      </c>
      <c r="D317" s="105">
        <v>46002.0</v>
      </c>
      <c r="E317" s="16"/>
      <c r="F317" s="68" t="s">
        <v>93</v>
      </c>
      <c r="G317" s="69" t="s">
        <v>226</v>
      </c>
      <c r="H317" s="15" t="s">
        <v>227</v>
      </c>
      <c r="I317" s="15" t="s">
        <v>75</v>
      </c>
      <c r="J317" s="15" t="s">
        <v>148</v>
      </c>
      <c r="K317" s="16"/>
      <c r="L317" s="15" t="s">
        <v>105</v>
      </c>
      <c r="M317" s="15" t="s">
        <v>79</v>
      </c>
      <c r="N317" s="68">
        <v>20.0</v>
      </c>
      <c r="O317" s="68">
        <v>20.0</v>
      </c>
      <c r="P317" s="68">
        <v>400.0</v>
      </c>
      <c r="Q317" s="122">
        <v>46009.0</v>
      </c>
      <c r="R317" s="72" t="s">
        <v>1217</v>
      </c>
      <c r="S317" s="104">
        <v>46003.0</v>
      </c>
      <c r="T317" s="74"/>
      <c r="U317" s="68" t="s">
        <v>134</v>
      </c>
      <c r="V317" s="74" t="str">
        <f t="array" ref="V317">IFERROR(index('3. Công thức lab theo từng mã h'!J:J,MATCH(C317,'3. Công thức lab theo từng mã h'!L:L,0)),"")</f>
        <v/>
      </c>
      <c r="W317" s="74"/>
      <c r="X317" s="75"/>
    </row>
    <row r="318" hidden="1">
      <c r="A318" s="76">
        <f t="shared" si="2"/>
        <v>1</v>
      </c>
      <c r="B318" s="77" t="s">
        <v>69</v>
      </c>
      <c r="C318" s="78" t="s">
        <v>1282</v>
      </c>
      <c r="D318" s="117">
        <v>46006.0</v>
      </c>
      <c r="E318" s="86"/>
      <c r="F318" s="81" t="s">
        <v>502</v>
      </c>
      <c r="G318" s="82" t="s">
        <v>503</v>
      </c>
      <c r="H318" s="80" t="s">
        <v>504</v>
      </c>
      <c r="I318" s="80" t="s">
        <v>75</v>
      </c>
      <c r="J318" s="80" t="s">
        <v>148</v>
      </c>
      <c r="K318" s="80" t="s">
        <v>97</v>
      </c>
      <c r="L318" s="80" t="s">
        <v>105</v>
      </c>
      <c r="M318" s="80" t="s">
        <v>166</v>
      </c>
      <c r="N318" s="81">
        <v>4.0</v>
      </c>
      <c r="O318" s="81">
        <v>5.0</v>
      </c>
      <c r="P318" s="81">
        <v>20.0</v>
      </c>
      <c r="Q318" s="122">
        <v>46009.0</v>
      </c>
      <c r="R318" s="83" t="s">
        <v>159</v>
      </c>
      <c r="S318" s="96">
        <v>46007.0</v>
      </c>
      <c r="T318" s="85"/>
      <c r="U318" s="81" t="s">
        <v>134</v>
      </c>
      <c r="V318" s="85" t="str">
        <f t="array" ref="V318">IFERROR(index('3. Công thức lab theo từng mã h'!J:J,MATCH(C318,'3. Công thức lab theo từng mã h'!L:L,0)),"")</f>
        <v/>
      </c>
      <c r="W318" s="85"/>
      <c r="X318" s="75"/>
    </row>
    <row r="319" hidden="1">
      <c r="A319" s="64">
        <f t="shared" si="2"/>
        <v>2</v>
      </c>
      <c r="B319" s="65" t="s">
        <v>69</v>
      </c>
      <c r="C319" s="66" t="s">
        <v>1283</v>
      </c>
      <c r="D319" s="105">
        <v>46006.0</v>
      </c>
      <c r="E319" s="16"/>
      <c r="F319" s="68" t="s">
        <v>93</v>
      </c>
      <c r="G319" s="69" t="s">
        <v>1284</v>
      </c>
      <c r="H319" s="15" t="s">
        <v>1285</v>
      </c>
      <c r="I319" s="15" t="s">
        <v>75</v>
      </c>
      <c r="J319" s="15" t="s">
        <v>148</v>
      </c>
      <c r="K319" s="15" t="s">
        <v>1286</v>
      </c>
      <c r="L319" s="15" t="s">
        <v>105</v>
      </c>
      <c r="M319" s="15" t="s">
        <v>79</v>
      </c>
      <c r="N319" s="68">
        <v>20.0</v>
      </c>
      <c r="O319" s="68">
        <v>40.0</v>
      </c>
      <c r="P319" s="68">
        <v>800.0</v>
      </c>
      <c r="Q319" s="122">
        <v>46011.0</v>
      </c>
      <c r="R319" s="72" t="s">
        <v>1217</v>
      </c>
      <c r="S319" s="104">
        <v>46007.0</v>
      </c>
      <c r="T319" s="74"/>
      <c r="U319" s="68" t="s">
        <v>134</v>
      </c>
      <c r="V319" s="74" t="str">
        <f t="array" ref="V319">IFERROR(index('3. Công thức lab theo từng mã h'!J:J,MATCH(C319,'3. Công thức lab theo từng mã h'!L:L,0)),"")</f>
        <v/>
      </c>
      <c r="W319" s="74"/>
      <c r="X319" s="75"/>
    </row>
    <row r="320" hidden="1">
      <c r="A320" s="76">
        <f t="shared" si="2"/>
        <v>3</v>
      </c>
      <c r="B320" s="77" t="s">
        <v>69</v>
      </c>
      <c r="C320" s="78" t="s">
        <v>1287</v>
      </c>
      <c r="D320" s="117">
        <v>46006.0</v>
      </c>
      <c r="E320" s="86"/>
      <c r="F320" s="81" t="s">
        <v>93</v>
      </c>
      <c r="G320" s="82" t="s">
        <v>1284</v>
      </c>
      <c r="H320" s="80" t="s">
        <v>1285</v>
      </c>
      <c r="I320" s="80" t="s">
        <v>75</v>
      </c>
      <c r="J320" s="80" t="s">
        <v>148</v>
      </c>
      <c r="K320" s="80" t="s">
        <v>1286</v>
      </c>
      <c r="L320" s="80" t="s">
        <v>105</v>
      </c>
      <c r="M320" s="80" t="s">
        <v>79</v>
      </c>
      <c r="N320" s="81">
        <v>20.0</v>
      </c>
      <c r="O320" s="81">
        <v>20.0</v>
      </c>
      <c r="P320" s="81">
        <v>400.0</v>
      </c>
      <c r="Q320" s="122">
        <v>46009.0</v>
      </c>
      <c r="R320" s="83" t="s">
        <v>1217</v>
      </c>
      <c r="S320" s="96">
        <v>46007.0</v>
      </c>
      <c r="T320" s="85"/>
      <c r="U320" s="81" t="s">
        <v>134</v>
      </c>
      <c r="V320" s="85" t="str">
        <f t="array" ref="V320">IFERROR(index('3. Công thức lab theo từng mã h'!J:J,MATCH(C320,'3. Công thức lab theo từng mã h'!L:L,0)),"")</f>
        <v/>
      </c>
      <c r="W320" s="85"/>
      <c r="X320" s="75"/>
    </row>
    <row r="321" hidden="1">
      <c r="A321" s="64">
        <f t="shared" si="2"/>
        <v>4</v>
      </c>
      <c r="B321" s="65" t="s">
        <v>69</v>
      </c>
      <c r="C321" s="66" t="s">
        <v>1288</v>
      </c>
      <c r="D321" s="105">
        <v>46006.0</v>
      </c>
      <c r="E321" s="15" t="s">
        <v>71</v>
      </c>
      <c r="F321" s="68" t="s">
        <v>72</v>
      </c>
      <c r="G321" s="69" t="s">
        <v>1289</v>
      </c>
      <c r="H321" s="15" t="s">
        <v>1290</v>
      </c>
      <c r="I321" s="15" t="s">
        <v>75</v>
      </c>
      <c r="J321" s="15" t="s">
        <v>148</v>
      </c>
      <c r="K321" s="15" t="s">
        <v>1291</v>
      </c>
      <c r="L321" s="15" t="s">
        <v>105</v>
      </c>
      <c r="M321" s="15" t="s">
        <v>79</v>
      </c>
      <c r="N321" s="68">
        <v>20.0</v>
      </c>
      <c r="O321" s="68">
        <v>10.0</v>
      </c>
      <c r="P321" s="68">
        <v>200.0</v>
      </c>
      <c r="Q321" s="122">
        <v>46015.0</v>
      </c>
      <c r="R321" s="72" t="s">
        <v>674</v>
      </c>
      <c r="S321" s="104">
        <v>46007.0</v>
      </c>
      <c r="T321" s="74"/>
      <c r="U321" s="68" t="s">
        <v>134</v>
      </c>
      <c r="V321" s="74" t="str">
        <f t="array" ref="V321">IFERROR(index('3. Công thức lab theo từng mã h'!J:J,MATCH(C321,'3. Công thức lab theo từng mã h'!L:L,0)),"")</f>
        <v/>
      </c>
      <c r="W321" s="74"/>
      <c r="X321" s="75"/>
    </row>
    <row r="322" hidden="1">
      <c r="A322" s="76">
        <f t="shared" si="2"/>
        <v>5</v>
      </c>
      <c r="B322" s="77" t="s">
        <v>69</v>
      </c>
      <c r="C322" s="78" t="s">
        <v>1292</v>
      </c>
      <c r="D322" s="117">
        <v>46006.0</v>
      </c>
      <c r="E322" s="80" t="s">
        <v>71</v>
      </c>
      <c r="F322" s="81" t="s">
        <v>72</v>
      </c>
      <c r="G322" s="82" t="s">
        <v>1293</v>
      </c>
      <c r="H322" s="80" t="s">
        <v>1294</v>
      </c>
      <c r="I322" s="80" t="s">
        <v>75</v>
      </c>
      <c r="J322" s="80" t="s">
        <v>148</v>
      </c>
      <c r="K322" s="80" t="s">
        <v>1295</v>
      </c>
      <c r="L322" s="80" t="s">
        <v>105</v>
      </c>
      <c r="M322" s="80" t="s">
        <v>79</v>
      </c>
      <c r="N322" s="81">
        <v>40.0</v>
      </c>
      <c r="O322" s="81">
        <v>10.0</v>
      </c>
      <c r="P322" s="81">
        <v>400.0</v>
      </c>
      <c r="Q322" s="122">
        <v>46020.0</v>
      </c>
      <c r="R322" s="83" t="s">
        <v>1296</v>
      </c>
      <c r="S322" s="96">
        <v>46007.0</v>
      </c>
      <c r="T322" s="85"/>
      <c r="U322" s="81" t="s">
        <v>134</v>
      </c>
      <c r="V322" s="85" t="str">
        <f t="array" ref="V322">IFERROR(index('3. Công thức lab theo từng mã h'!J:J,MATCH(C322,'3. Công thức lab theo từng mã h'!L:L,0)),"")</f>
        <v/>
      </c>
      <c r="W322" s="85"/>
      <c r="X322" s="75"/>
    </row>
    <row r="323" hidden="1">
      <c r="A323" s="64">
        <f t="shared" si="2"/>
        <v>6</v>
      </c>
      <c r="B323" s="65" t="s">
        <v>69</v>
      </c>
      <c r="C323" s="66" t="s">
        <v>1297</v>
      </c>
      <c r="D323" s="105">
        <v>46006.0</v>
      </c>
      <c r="E323" s="15" t="s">
        <v>71</v>
      </c>
      <c r="F323" s="68" t="s">
        <v>72</v>
      </c>
      <c r="G323" s="69" t="s">
        <v>1298</v>
      </c>
      <c r="H323" s="15" t="s">
        <v>1299</v>
      </c>
      <c r="I323" s="15" t="s">
        <v>75</v>
      </c>
      <c r="J323" s="15" t="s">
        <v>148</v>
      </c>
      <c r="K323" s="15" t="s">
        <v>1295</v>
      </c>
      <c r="L323" s="15" t="s">
        <v>105</v>
      </c>
      <c r="M323" s="15" t="s">
        <v>79</v>
      </c>
      <c r="N323" s="68">
        <v>100.0</v>
      </c>
      <c r="O323" s="68">
        <v>10.0</v>
      </c>
      <c r="P323" s="70">
        <v>1000.0</v>
      </c>
      <c r="Q323" s="122">
        <v>46020.0</v>
      </c>
      <c r="R323" s="72" t="s">
        <v>1296</v>
      </c>
      <c r="S323" s="104">
        <v>46007.0</v>
      </c>
      <c r="T323" s="74"/>
      <c r="U323" s="68" t="s">
        <v>134</v>
      </c>
      <c r="V323" s="74" t="str">
        <f t="array" ref="V323">IFERROR(index('3. Công thức lab theo từng mã h'!J:J,MATCH(C323,'3. Công thức lab theo từng mã h'!L:L,0)),"")</f>
        <v/>
      </c>
      <c r="W323" s="74"/>
      <c r="X323" s="75"/>
    </row>
    <row r="324" hidden="1">
      <c r="A324" s="76">
        <f t="shared" si="2"/>
        <v>7</v>
      </c>
      <c r="B324" s="77" t="s">
        <v>69</v>
      </c>
      <c r="C324" s="78" t="s">
        <v>1300</v>
      </c>
      <c r="D324" s="117">
        <v>46006.0</v>
      </c>
      <c r="E324" s="80" t="s">
        <v>71</v>
      </c>
      <c r="F324" s="81" t="s">
        <v>72</v>
      </c>
      <c r="G324" s="82" t="s">
        <v>1301</v>
      </c>
      <c r="H324" s="80" t="s">
        <v>1302</v>
      </c>
      <c r="I324" s="80" t="s">
        <v>75</v>
      </c>
      <c r="J324" s="80" t="s">
        <v>171</v>
      </c>
      <c r="K324" s="80" t="s">
        <v>1303</v>
      </c>
      <c r="L324" s="80" t="s">
        <v>1271</v>
      </c>
      <c r="M324" s="80" t="s">
        <v>79</v>
      </c>
      <c r="N324" s="81">
        <v>30.0</v>
      </c>
      <c r="O324" s="81">
        <v>10.0</v>
      </c>
      <c r="P324" s="81">
        <v>300.0</v>
      </c>
      <c r="Q324" s="122">
        <v>46013.0</v>
      </c>
      <c r="R324" s="83" t="s">
        <v>1272</v>
      </c>
      <c r="S324" s="96">
        <v>46007.0</v>
      </c>
      <c r="T324" s="85"/>
      <c r="U324" s="81" t="s">
        <v>134</v>
      </c>
      <c r="V324" s="85" t="str">
        <f t="array" ref="V324">IFERROR(index('3. Công thức lab theo từng mã h'!J:J,MATCH(C324,'3. Công thức lab theo từng mã h'!L:L,0)),"")</f>
        <v/>
      </c>
      <c r="W324" s="85"/>
      <c r="X324" s="75"/>
    </row>
    <row r="325" hidden="1">
      <c r="A325" s="64">
        <f t="shared" si="2"/>
        <v>8</v>
      </c>
      <c r="B325" s="65" t="s">
        <v>69</v>
      </c>
      <c r="C325" s="66" t="s">
        <v>1304</v>
      </c>
      <c r="D325" s="105">
        <v>46004.0</v>
      </c>
      <c r="E325" s="16"/>
      <c r="F325" s="68" t="s">
        <v>315</v>
      </c>
      <c r="G325" s="69" t="s">
        <v>1305</v>
      </c>
      <c r="H325" s="15" t="s">
        <v>1306</v>
      </c>
      <c r="I325" s="15" t="s">
        <v>75</v>
      </c>
      <c r="J325" s="15" t="s">
        <v>123</v>
      </c>
      <c r="K325" s="15" t="s">
        <v>350</v>
      </c>
      <c r="L325" s="15" t="s">
        <v>195</v>
      </c>
      <c r="M325" s="15" t="s">
        <v>79</v>
      </c>
      <c r="N325" s="68">
        <v>40.0</v>
      </c>
      <c r="O325" s="68">
        <v>80.0</v>
      </c>
      <c r="P325" s="70">
        <v>3200.0</v>
      </c>
      <c r="Q325" s="122">
        <v>46014.0</v>
      </c>
      <c r="R325" s="72" t="s">
        <v>921</v>
      </c>
      <c r="S325" s="104">
        <v>46007.0</v>
      </c>
      <c r="T325" s="74"/>
      <c r="U325" s="68" t="s">
        <v>134</v>
      </c>
      <c r="V325" s="74" t="str">
        <f t="array" ref="V325">IFERROR(index('3. Công thức lab theo từng mã h'!J:J,MATCH(C325,'3. Công thức lab theo từng mã h'!L:L,0)),"")</f>
        <v/>
      </c>
      <c r="W325" s="74"/>
      <c r="X325" s="75"/>
    </row>
    <row r="326" hidden="1">
      <c r="A326" s="76">
        <f t="shared" si="2"/>
        <v>9</v>
      </c>
      <c r="B326" s="77" t="s">
        <v>69</v>
      </c>
      <c r="C326" s="78" t="s">
        <v>1307</v>
      </c>
      <c r="D326" s="117">
        <v>46007.0</v>
      </c>
      <c r="E326" s="80" t="s">
        <v>71</v>
      </c>
      <c r="F326" s="81" t="s">
        <v>72</v>
      </c>
      <c r="G326" s="127" t="s">
        <v>1308</v>
      </c>
      <c r="H326" s="80" t="s">
        <v>1309</v>
      </c>
      <c r="I326" s="80" t="s">
        <v>75</v>
      </c>
      <c r="J326" s="80" t="s">
        <v>323</v>
      </c>
      <c r="K326" s="80" t="s">
        <v>1310</v>
      </c>
      <c r="L326" s="80" t="s">
        <v>325</v>
      </c>
      <c r="M326" s="80" t="s">
        <v>79</v>
      </c>
      <c r="N326" s="81">
        <v>30.0</v>
      </c>
      <c r="O326" s="81">
        <v>33.0</v>
      </c>
      <c r="P326" s="81">
        <v>990.0</v>
      </c>
      <c r="Q326" s="122">
        <v>46017.0</v>
      </c>
      <c r="R326" s="83" t="s">
        <v>81</v>
      </c>
      <c r="S326" s="96">
        <v>46007.0</v>
      </c>
      <c r="T326" s="85"/>
      <c r="U326" s="81" t="s">
        <v>134</v>
      </c>
      <c r="V326" s="85" t="str">
        <f t="array" ref="V326">IFERROR(index('3. Công thức lab theo từng mã h'!J:J,MATCH(C326,'3. Công thức lab theo từng mã h'!L:L,0)),"")</f>
        <v/>
      </c>
      <c r="W326" s="85"/>
      <c r="X326" s="75"/>
    </row>
    <row r="327" hidden="1">
      <c r="A327" s="64">
        <f t="shared" si="2"/>
        <v>1</v>
      </c>
      <c r="B327" s="98" t="s">
        <v>69</v>
      </c>
      <c r="C327" s="64" t="s">
        <v>1311</v>
      </c>
      <c r="D327" s="99">
        <v>46014.0</v>
      </c>
      <c r="E327" s="16"/>
      <c r="F327" s="100" t="s">
        <v>502</v>
      </c>
      <c r="G327" s="101" t="s">
        <v>1312</v>
      </c>
      <c r="H327" s="16" t="s">
        <v>1313</v>
      </c>
      <c r="I327" s="16" t="s">
        <v>75</v>
      </c>
      <c r="J327" s="102" t="s">
        <v>148</v>
      </c>
      <c r="K327" s="110" t="s">
        <v>1314</v>
      </c>
      <c r="L327" s="16" t="s">
        <v>105</v>
      </c>
      <c r="M327" s="16" t="s">
        <v>166</v>
      </c>
      <c r="N327" s="103">
        <v>4.0</v>
      </c>
      <c r="O327" s="103">
        <v>5.0</v>
      </c>
      <c r="P327" s="103">
        <v>20.0</v>
      </c>
      <c r="Q327" s="123">
        <v>46021.0</v>
      </c>
      <c r="R327" s="72" t="s">
        <v>153</v>
      </c>
      <c r="S327" s="104">
        <v>46014.0</v>
      </c>
      <c r="T327" s="74"/>
      <c r="U327" s="68" t="s">
        <v>134</v>
      </c>
      <c r="V327" s="74" t="str">
        <f t="array" ref="V327">IFERROR(index('3. Công thức lab theo từng mã h'!J:J,MATCH(C327,'3. Công thức lab theo từng mã h'!L:L,0)),"")</f>
        <v/>
      </c>
      <c r="W327" s="74"/>
      <c r="X327" s="75"/>
    </row>
    <row r="328" hidden="1">
      <c r="A328" s="76">
        <f t="shared" si="2"/>
        <v>2</v>
      </c>
      <c r="B328" s="88" t="s">
        <v>69</v>
      </c>
      <c r="C328" s="76" t="s">
        <v>1315</v>
      </c>
      <c r="D328" s="89">
        <v>46013.0</v>
      </c>
      <c r="E328" s="86" t="s">
        <v>71</v>
      </c>
      <c r="F328" s="90" t="s">
        <v>72</v>
      </c>
      <c r="G328" s="91" t="s">
        <v>1316</v>
      </c>
      <c r="H328" s="86" t="s">
        <v>1317</v>
      </c>
      <c r="I328" s="86" t="s">
        <v>75</v>
      </c>
      <c r="J328" s="92" t="s">
        <v>148</v>
      </c>
      <c r="K328" s="114" t="s">
        <v>1147</v>
      </c>
      <c r="L328" s="86" t="s">
        <v>105</v>
      </c>
      <c r="M328" s="86" t="s">
        <v>79</v>
      </c>
      <c r="N328" s="93">
        <v>40.0</v>
      </c>
      <c r="O328" s="93">
        <v>10.0</v>
      </c>
      <c r="P328" s="93">
        <v>400.0</v>
      </c>
      <c r="Q328" s="132">
        <v>45660.0</v>
      </c>
      <c r="R328" s="83" t="s">
        <v>244</v>
      </c>
      <c r="S328" s="96">
        <v>46014.0</v>
      </c>
      <c r="T328" s="85"/>
      <c r="U328" s="81" t="s">
        <v>134</v>
      </c>
      <c r="V328" s="85" t="str">
        <f t="array" ref="V328">IFERROR(index('3. Công thức lab theo từng mã h'!J:J,MATCH(C328,'3. Công thức lab theo từng mã h'!L:L,0)),"")</f>
        <v/>
      </c>
      <c r="W328" s="85"/>
      <c r="X328" s="75"/>
    </row>
    <row r="329" hidden="1">
      <c r="A329" s="64">
        <f t="shared" si="2"/>
        <v>3</v>
      </c>
      <c r="B329" s="98" t="s">
        <v>69</v>
      </c>
      <c r="C329" s="64" t="s">
        <v>1318</v>
      </c>
      <c r="D329" s="99">
        <v>46013.0</v>
      </c>
      <c r="E329" s="16" t="s">
        <v>71</v>
      </c>
      <c r="F329" s="100" t="s">
        <v>72</v>
      </c>
      <c r="G329" s="101" t="s">
        <v>1319</v>
      </c>
      <c r="H329" s="16" t="s">
        <v>1320</v>
      </c>
      <c r="I329" s="16" t="s">
        <v>75</v>
      </c>
      <c r="J329" s="102" t="s">
        <v>258</v>
      </c>
      <c r="K329" s="110" t="s">
        <v>1321</v>
      </c>
      <c r="L329" s="16" t="s">
        <v>90</v>
      </c>
      <c r="M329" s="16" t="s">
        <v>265</v>
      </c>
      <c r="N329" s="103">
        <v>1.0</v>
      </c>
      <c r="O329" s="103">
        <v>12.0</v>
      </c>
      <c r="P329" s="103">
        <v>12.0</v>
      </c>
      <c r="Q329" s="123">
        <v>46022.0</v>
      </c>
      <c r="R329" s="107"/>
      <c r="S329" s="104">
        <v>46014.0</v>
      </c>
      <c r="T329" s="74"/>
      <c r="U329" s="68" t="s">
        <v>134</v>
      </c>
      <c r="V329" s="74" t="str">
        <f t="array" ref="V329">IFERROR(index('3. Công thức lab theo từng mã h'!J:J,MATCH(C329,'3. Công thức lab theo từng mã h'!L:L,0)),"")</f>
        <v/>
      </c>
      <c r="W329" s="74"/>
      <c r="X329" s="75"/>
    </row>
    <row r="330" hidden="1">
      <c r="A330" s="76">
        <f t="shared" si="2"/>
        <v>1</v>
      </c>
      <c r="B330" s="88" t="s">
        <v>69</v>
      </c>
      <c r="C330" s="76" t="s">
        <v>1322</v>
      </c>
      <c r="D330" s="89">
        <v>46015.0</v>
      </c>
      <c r="E330" s="86" t="s">
        <v>71</v>
      </c>
      <c r="F330" s="90" t="s">
        <v>72</v>
      </c>
      <c r="G330" s="91" t="s">
        <v>1323</v>
      </c>
      <c r="H330" s="86" t="s">
        <v>1324</v>
      </c>
      <c r="I330" s="86" t="s">
        <v>75</v>
      </c>
      <c r="J330" s="92" t="s">
        <v>171</v>
      </c>
      <c r="K330" s="114" t="s">
        <v>172</v>
      </c>
      <c r="L330" s="86" t="s">
        <v>105</v>
      </c>
      <c r="M330" s="86" t="s">
        <v>79</v>
      </c>
      <c r="N330" s="93">
        <v>40.0</v>
      </c>
      <c r="O330" s="93">
        <v>20.0</v>
      </c>
      <c r="P330" s="93">
        <v>800.0</v>
      </c>
      <c r="Q330" s="132">
        <v>45663.0</v>
      </c>
      <c r="R330" s="83" t="s">
        <v>173</v>
      </c>
      <c r="S330" s="96">
        <v>46015.0</v>
      </c>
      <c r="T330" s="85"/>
      <c r="U330" s="81" t="s">
        <v>134</v>
      </c>
      <c r="V330" s="85" t="str">
        <f t="array" ref="V330">IFERROR(index('3. Công thức lab theo từng mã h'!J:J,MATCH(C330,'3. Công thức lab theo từng mã h'!L:L,0)),"")</f>
        <v/>
      </c>
      <c r="W330" s="85"/>
      <c r="X330" s="75"/>
    </row>
    <row r="331" hidden="1">
      <c r="A331" s="64">
        <f t="shared" si="2"/>
        <v>2</v>
      </c>
      <c r="B331" s="98" t="s">
        <v>69</v>
      </c>
      <c r="C331" s="64" t="s">
        <v>1325</v>
      </c>
      <c r="D331" s="99">
        <v>46015.0</v>
      </c>
      <c r="E331" s="16" t="s">
        <v>71</v>
      </c>
      <c r="F331" s="100" t="s">
        <v>72</v>
      </c>
      <c r="G331" s="101" t="s">
        <v>1326</v>
      </c>
      <c r="H331" s="16" t="s">
        <v>1327</v>
      </c>
      <c r="I331" s="16" t="s">
        <v>75</v>
      </c>
      <c r="J331" s="102" t="s">
        <v>323</v>
      </c>
      <c r="K331" s="110" t="s">
        <v>1151</v>
      </c>
      <c r="L331" s="16" t="s">
        <v>512</v>
      </c>
      <c r="M331" s="16" t="s">
        <v>79</v>
      </c>
      <c r="N331" s="103">
        <v>40.0</v>
      </c>
      <c r="O331" s="103">
        <v>15.0</v>
      </c>
      <c r="P331" s="103">
        <v>600.0</v>
      </c>
      <c r="Q331" s="123">
        <v>45663.0</v>
      </c>
      <c r="R331" s="72" t="s">
        <v>1152</v>
      </c>
      <c r="S331" s="104">
        <v>46015.0</v>
      </c>
      <c r="T331" s="74"/>
      <c r="U331" s="68" t="s">
        <v>134</v>
      </c>
      <c r="V331" s="74" t="str">
        <f t="array" ref="V331">IFERROR(index('3. Công thức lab theo từng mã h'!J:J,MATCH(C331,'3. Công thức lab theo từng mã h'!L:L,0)),"")</f>
        <v/>
      </c>
      <c r="W331" s="74"/>
      <c r="X331" s="75"/>
    </row>
    <row r="332" hidden="1">
      <c r="A332" s="76">
        <f t="shared" si="2"/>
        <v>3</v>
      </c>
      <c r="B332" s="88" t="s">
        <v>69</v>
      </c>
      <c r="C332" s="76" t="s">
        <v>1328</v>
      </c>
      <c r="D332" s="89">
        <v>46015.0</v>
      </c>
      <c r="E332" s="86" t="s">
        <v>71</v>
      </c>
      <c r="F332" s="90" t="s">
        <v>72</v>
      </c>
      <c r="G332" s="91" t="s">
        <v>1329</v>
      </c>
      <c r="H332" s="86" t="s">
        <v>1155</v>
      </c>
      <c r="I332" s="86" t="s">
        <v>75</v>
      </c>
      <c r="J332" s="92" t="s">
        <v>781</v>
      </c>
      <c r="K332" s="114" t="s">
        <v>1156</v>
      </c>
      <c r="L332" s="86" t="s">
        <v>105</v>
      </c>
      <c r="M332" s="86" t="s">
        <v>79</v>
      </c>
      <c r="N332" s="93">
        <v>40.0</v>
      </c>
      <c r="O332" s="93">
        <v>15.0</v>
      </c>
      <c r="P332" s="93">
        <v>600.0</v>
      </c>
      <c r="Q332" s="132">
        <v>45663.0</v>
      </c>
      <c r="R332" s="83" t="s">
        <v>1229</v>
      </c>
      <c r="S332" s="96">
        <v>46015.0</v>
      </c>
      <c r="T332" s="85"/>
      <c r="U332" s="81" t="s">
        <v>134</v>
      </c>
      <c r="V332" s="85" t="str">
        <f t="array" ref="V332">IFERROR(index('3. Công thức lab theo từng mã h'!J:J,MATCH(C332,'3. Công thức lab theo từng mã h'!L:L,0)),"")</f>
        <v/>
      </c>
      <c r="W332" s="85"/>
      <c r="X332" s="75"/>
    </row>
    <row r="333">
      <c r="A333" s="64">
        <f t="shared" si="2"/>
        <v>1</v>
      </c>
      <c r="B333" s="65" t="s">
        <v>69</v>
      </c>
      <c r="C333" s="66" t="s">
        <v>1330</v>
      </c>
      <c r="D333" s="105">
        <v>46017.0</v>
      </c>
      <c r="E333" s="15" t="s">
        <v>71</v>
      </c>
      <c r="F333" s="68" t="s">
        <v>72</v>
      </c>
      <c r="G333" s="69" t="s">
        <v>1331</v>
      </c>
      <c r="H333" s="15" t="s">
        <v>1332</v>
      </c>
      <c r="I333" s="15" t="s">
        <v>75</v>
      </c>
      <c r="J333" s="15" t="s">
        <v>148</v>
      </c>
      <c r="K333" s="15" t="s">
        <v>1333</v>
      </c>
      <c r="L333" s="15" t="s">
        <v>195</v>
      </c>
      <c r="M333" s="15" t="s">
        <v>79</v>
      </c>
      <c r="N333" s="68">
        <v>40.0</v>
      </c>
      <c r="O333" s="68">
        <v>5.0</v>
      </c>
      <c r="P333" s="68">
        <v>200.0</v>
      </c>
      <c r="Q333" s="71">
        <v>46028.0</v>
      </c>
      <c r="R333" s="72" t="s">
        <v>1334</v>
      </c>
      <c r="S333" s="111">
        <v>46017.0</v>
      </c>
      <c r="T333" s="15"/>
      <c r="U333" s="68" t="s">
        <v>134</v>
      </c>
      <c r="V333" s="74" t="str">
        <f t="array" ref="V333">IFERROR(index('3. Công thức lab theo từng mã h'!J:J,MATCH(C333,'3. Công thức lab theo từng mã h'!L:L,0)),"")</f>
        <v/>
      </c>
      <c r="W333" s="74"/>
      <c r="X333" s="75"/>
    </row>
    <row r="334">
      <c r="A334" s="76">
        <f t="shared" si="2"/>
        <v>2</v>
      </c>
      <c r="B334" s="77" t="s">
        <v>69</v>
      </c>
      <c r="C334" s="78" t="s">
        <v>1335</v>
      </c>
      <c r="D334" s="117">
        <v>46017.0</v>
      </c>
      <c r="E334" s="80" t="s">
        <v>71</v>
      </c>
      <c r="F334" s="81" t="s">
        <v>72</v>
      </c>
      <c r="G334" s="82" t="s">
        <v>1336</v>
      </c>
      <c r="H334" s="80" t="s">
        <v>1337</v>
      </c>
      <c r="I334" s="80" t="s">
        <v>75</v>
      </c>
      <c r="J334" s="80" t="s">
        <v>148</v>
      </c>
      <c r="K334" s="80" t="s">
        <v>1333</v>
      </c>
      <c r="L334" s="80" t="s">
        <v>195</v>
      </c>
      <c r="M334" s="80" t="s">
        <v>79</v>
      </c>
      <c r="N334" s="81">
        <v>40.0</v>
      </c>
      <c r="O334" s="81">
        <v>5.0</v>
      </c>
      <c r="P334" s="81">
        <v>200.0</v>
      </c>
      <c r="Q334" s="71">
        <v>46028.0</v>
      </c>
      <c r="R334" s="83" t="s">
        <v>1334</v>
      </c>
      <c r="S334" s="112">
        <v>46017.0</v>
      </c>
      <c r="T334" s="85"/>
      <c r="U334" s="81" t="s">
        <v>134</v>
      </c>
      <c r="V334" s="85" t="str">
        <f t="array" ref="V334">IFERROR(index('3. Công thức lab theo từng mã h'!J:J,MATCH(C334,'3. Công thức lab theo từng mã h'!L:L,0)),"")</f>
        <v/>
      </c>
      <c r="W334" s="85"/>
      <c r="X334" s="75"/>
    </row>
    <row r="335">
      <c r="A335" s="64">
        <f t="shared" si="2"/>
        <v>1</v>
      </c>
      <c r="B335" s="65" t="s">
        <v>69</v>
      </c>
      <c r="C335" s="66" t="s">
        <v>1338</v>
      </c>
      <c r="D335" s="105">
        <v>46020.0</v>
      </c>
      <c r="E335" s="15" t="s">
        <v>71</v>
      </c>
      <c r="F335" s="68" t="s">
        <v>72</v>
      </c>
      <c r="G335" s="69" t="s">
        <v>1339</v>
      </c>
      <c r="H335" s="15" t="s">
        <v>1340</v>
      </c>
      <c r="I335" s="15" t="s">
        <v>75</v>
      </c>
      <c r="J335" s="15" t="s">
        <v>140</v>
      </c>
      <c r="K335" s="15" t="s">
        <v>1341</v>
      </c>
      <c r="L335" s="15" t="s">
        <v>90</v>
      </c>
      <c r="M335" s="15" t="s">
        <v>166</v>
      </c>
      <c r="N335" s="68">
        <v>1.0</v>
      </c>
      <c r="O335" s="68">
        <v>20.0</v>
      </c>
      <c r="P335" s="68">
        <v>20.0</v>
      </c>
      <c r="Q335" s="71">
        <v>46025.0</v>
      </c>
      <c r="R335" s="72" t="s">
        <v>1342</v>
      </c>
      <c r="S335" s="111">
        <v>46020.0</v>
      </c>
      <c r="T335" s="74"/>
      <c r="U335" s="68" t="s">
        <v>134</v>
      </c>
      <c r="V335" s="74" t="str">
        <f t="array" ref="V335">IFERROR(index('3. Công thức lab theo từng mã h'!J:J,MATCH(C335,'3. Công thức lab theo từng mã h'!L:L,0)),"")</f>
        <v/>
      </c>
      <c r="W335" s="74"/>
      <c r="X335" s="75"/>
    </row>
    <row r="336">
      <c r="A336" s="76">
        <f t="shared" si="2"/>
        <v>1</v>
      </c>
      <c r="B336" s="77" t="s">
        <v>69</v>
      </c>
      <c r="C336" s="78" t="s">
        <v>1343</v>
      </c>
      <c r="D336" s="117">
        <v>46022.0</v>
      </c>
      <c r="E336" s="80" t="s">
        <v>71</v>
      </c>
      <c r="F336" s="81" t="s">
        <v>72</v>
      </c>
      <c r="G336" s="82" t="s">
        <v>1344</v>
      </c>
      <c r="H336" s="80" t="s">
        <v>1345</v>
      </c>
      <c r="I336" s="80" t="s">
        <v>75</v>
      </c>
      <c r="J336" s="80" t="s">
        <v>781</v>
      </c>
      <c r="K336" s="80" t="s">
        <v>1346</v>
      </c>
      <c r="L336" s="80" t="s">
        <v>987</v>
      </c>
      <c r="M336" s="80" t="s">
        <v>79</v>
      </c>
      <c r="N336" s="81">
        <v>40.0</v>
      </c>
      <c r="O336" s="81">
        <v>25.0</v>
      </c>
      <c r="P336" s="87">
        <v>1000.0</v>
      </c>
      <c r="Q336" s="71">
        <v>46036.0</v>
      </c>
      <c r="R336" s="83" t="s">
        <v>1347</v>
      </c>
      <c r="S336" s="112">
        <v>46022.0</v>
      </c>
      <c r="T336" s="85"/>
      <c r="U336" s="81" t="s">
        <v>134</v>
      </c>
      <c r="V336" s="85" t="str">
        <f t="array" ref="V336">IFERROR(index('3. Công thức lab theo từng mã h'!J:J,MATCH(C336,'3. Công thức lab theo từng mã h'!L:L,0)),"")</f>
        <v/>
      </c>
      <c r="W336" s="85"/>
      <c r="X336" s="75"/>
    </row>
    <row r="337">
      <c r="A337" s="64">
        <f t="shared" si="2"/>
        <v>1</v>
      </c>
      <c r="B337" s="65" t="s">
        <v>69</v>
      </c>
      <c r="C337" s="66" t="s">
        <v>1348</v>
      </c>
      <c r="D337" s="67">
        <v>46024.0</v>
      </c>
      <c r="E337" s="16"/>
      <c r="F337" s="68" t="s">
        <v>315</v>
      </c>
      <c r="G337" s="69" t="s">
        <v>418</v>
      </c>
      <c r="H337" s="15" t="s">
        <v>560</v>
      </c>
      <c r="I337" s="15" t="s">
        <v>75</v>
      </c>
      <c r="J337" s="15" t="s">
        <v>686</v>
      </c>
      <c r="K337" s="15" t="s">
        <v>562</v>
      </c>
      <c r="L337" s="15" t="s">
        <v>183</v>
      </c>
      <c r="M337" s="15" t="s">
        <v>79</v>
      </c>
      <c r="N337" s="68">
        <v>40.0</v>
      </c>
      <c r="O337" s="68">
        <v>10.0</v>
      </c>
      <c r="P337" s="68">
        <v>400.0</v>
      </c>
      <c r="Q337" s="71">
        <v>46032.0</v>
      </c>
      <c r="R337" s="72" t="s">
        <v>1349</v>
      </c>
      <c r="S337" s="73">
        <v>46024.0</v>
      </c>
      <c r="T337" s="74"/>
      <c r="U337" s="68" t="s">
        <v>134</v>
      </c>
      <c r="V337" s="74" t="str">
        <f t="array" ref="V337">IFERROR(index('3. Công thức lab theo từng mã h'!J:J,MATCH(C337,'3. Công thức lab theo từng mã h'!L:L,0)),"")</f>
        <v/>
      </c>
      <c r="W337" s="74"/>
      <c r="X337" s="75"/>
    </row>
    <row r="338">
      <c r="A338" s="76">
        <f t="shared" si="2"/>
        <v>1</v>
      </c>
      <c r="B338" s="77" t="s">
        <v>69</v>
      </c>
      <c r="C338" s="78" t="s">
        <v>1350</v>
      </c>
      <c r="D338" s="79">
        <v>46025.0</v>
      </c>
      <c r="E338" s="80" t="s">
        <v>71</v>
      </c>
      <c r="F338" s="81" t="s">
        <v>72</v>
      </c>
      <c r="G338" s="82" t="s">
        <v>768</v>
      </c>
      <c r="H338" s="80" t="s">
        <v>1351</v>
      </c>
      <c r="I338" s="80" t="s">
        <v>75</v>
      </c>
      <c r="J338" s="80" t="s">
        <v>140</v>
      </c>
      <c r="K338" s="80" t="s">
        <v>1341</v>
      </c>
      <c r="L338" s="80" t="s">
        <v>90</v>
      </c>
      <c r="M338" s="80" t="s">
        <v>166</v>
      </c>
      <c r="N338" s="81">
        <v>4.0</v>
      </c>
      <c r="O338" s="81">
        <v>10.0</v>
      </c>
      <c r="P338" s="81">
        <v>40.0</v>
      </c>
      <c r="Q338" s="71">
        <v>45669.0</v>
      </c>
      <c r="R338" s="83" t="s">
        <v>1342</v>
      </c>
      <c r="S338" s="84">
        <v>46025.0</v>
      </c>
      <c r="T338" s="85"/>
      <c r="U338" s="81" t="s">
        <v>134</v>
      </c>
      <c r="V338" s="85" t="str">
        <f t="array" ref="V338">IFERROR(index('3. Công thức lab theo từng mã h'!J:J,MATCH(C338,'3. Công thức lab theo từng mã h'!L:L,0)),"")</f>
        <v/>
      </c>
      <c r="W338" s="85"/>
      <c r="X338" s="75"/>
    </row>
    <row r="339">
      <c r="A339" s="64">
        <f t="shared" si="2"/>
        <v>2</v>
      </c>
      <c r="B339" s="65" t="s">
        <v>69</v>
      </c>
      <c r="C339" s="66" t="s">
        <v>1352</v>
      </c>
      <c r="D339" s="67">
        <v>46025.0</v>
      </c>
      <c r="E339" s="16"/>
      <c r="F339" s="68" t="s">
        <v>370</v>
      </c>
      <c r="G339" s="69" t="s">
        <v>1353</v>
      </c>
      <c r="H339" s="15" t="s">
        <v>1354</v>
      </c>
      <c r="I339" s="15" t="s">
        <v>75</v>
      </c>
      <c r="J339" s="15" t="s">
        <v>123</v>
      </c>
      <c r="K339" s="15" t="s">
        <v>1355</v>
      </c>
      <c r="L339" s="15" t="s">
        <v>125</v>
      </c>
      <c r="M339" s="15" t="s">
        <v>79</v>
      </c>
      <c r="N339" s="68">
        <v>40.0</v>
      </c>
      <c r="O339" s="68">
        <v>10.0</v>
      </c>
      <c r="P339" s="68">
        <v>400.0</v>
      </c>
      <c r="Q339" s="71">
        <v>46030.0</v>
      </c>
      <c r="R339" s="72" t="s">
        <v>1356</v>
      </c>
      <c r="S339" s="73">
        <v>46025.0</v>
      </c>
      <c r="T339" s="74"/>
      <c r="U339" s="68" t="s">
        <v>134</v>
      </c>
      <c r="V339" s="74" t="str">
        <f t="array" ref="V339">IFERROR(index('3. Công thức lab theo từng mã h'!J:J,MATCH(C339,'3. Công thức lab theo từng mã h'!L:L,0)),"")</f>
        <v/>
      </c>
      <c r="W339" s="74"/>
      <c r="X339" s="75"/>
    </row>
    <row r="340">
      <c r="A340" s="76">
        <f t="shared" si="2"/>
        <v>0</v>
      </c>
      <c r="B340" s="88"/>
      <c r="C340" s="76"/>
      <c r="D340" s="86"/>
      <c r="E340" s="86"/>
      <c r="F340" s="90"/>
      <c r="G340" s="91"/>
      <c r="H340" s="86"/>
      <c r="I340" s="86"/>
      <c r="J340" s="86"/>
      <c r="K340" s="86"/>
      <c r="L340" s="86"/>
      <c r="M340" s="86"/>
      <c r="N340" s="90"/>
      <c r="O340" s="90"/>
      <c r="P340" s="90"/>
      <c r="Q340" s="106"/>
      <c r="R340" s="95"/>
      <c r="S340" s="96"/>
      <c r="T340" s="85"/>
      <c r="U340" s="97"/>
      <c r="V340" s="85" t="str">
        <f t="array" ref="V340">IFERROR(index('3. Công thức lab theo từng mã h'!J:J,MATCH(C340,'3. Công thức lab theo từng mã h'!L:L,0)),"")</f>
        <v/>
      </c>
      <c r="W340" s="85"/>
      <c r="X340" s="75"/>
    </row>
    <row r="341">
      <c r="A341" s="64">
        <f t="shared" si="2"/>
        <v>0</v>
      </c>
      <c r="B341" s="98"/>
      <c r="C341" s="64"/>
      <c r="D341" s="16"/>
      <c r="E341" s="16"/>
      <c r="F341" s="100"/>
      <c r="G341" s="101"/>
      <c r="H341" s="16"/>
      <c r="I341" s="16"/>
      <c r="J341" s="16"/>
      <c r="K341" s="16"/>
      <c r="L341" s="16"/>
      <c r="M341" s="16"/>
      <c r="N341" s="100"/>
      <c r="O341" s="100"/>
      <c r="P341" s="100"/>
      <c r="Q341" s="106"/>
      <c r="R341" s="107"/>
      <c r="S341" s="104"/>
      <c r="T341" s="74"/>
      <c r="U341" s="108"/>
      <c r="V341" s="74" t="str">
        <f t="array" ref="V341">IFERROR(index('3. Công thức lab theo từng mã h'!J:J,MATCH(C341,'3. Công thức lab theo từng mã h'!L:L,0)),"")</f>
        <v/>
      </c>
      <c r="W341" s="74"/>
      <c r="X341" s="75"/>
    </row>
    <row r="342">
      <c r="A342" s="76">
        <f t="shared" si="2"/>
        <v>0</v>
      </c>
      <c r="B342" s="88"/>
      <c r="C342" s="76"/>
      <c r="D342" s="86"/>
      <c r="E342" s="86"/>
      <c r="F342" s="90"/>
      <c r="G342" s="91"/>
      <c r="H342" s="86"/>
      <c r="I342" s="86"/>
      <c r="J342" s="86"/>
      <c r="K342" s="86"/>
      <c r="L342" s="86"/>
      <c r="M342" s="86"/>
      <c r="N342" s="90"/>
      <c r="O342" s="90"/>
      <c r="P342" s="90"/>
      <c r="Q342" s="106"/>
      <c r="R342" s="95"/>
      <c r="S342" s="96"/>
      <c r="T342" s="85"/>
      <c r="U342" s="97"/>
      <c r="V342" s="85" t="str">
        <f t="array" ref="V342">IFERROR(index('3. Công thức lab theo từng mã h'!J:J,MATCH(C342,'3. Công thức lab theo từng mã h'!L:L,0)),"")</f>
        <v/>
      </c>
      <c r="W342" s="85"/>
      <c r="X342" s="75"/>
    </row>
    <row r="343">
      <c r="A343" s="64">
        <f t="shared" si="2"/>
        <v>0</v>
      </c>
      <c r="B343" s="98"/>
      <c r="C343" s="64"/>
      <c r="D343" s="16"/>
      <c r="E343" s="16"/>
      <c r="F343" s="100"/>
      <c r="G343" s="101"/>
      <c r="H343" s="16"/>
      <c r="I343" s="16"/>
      <c r="J343" s="16"/>
      <c r="K343" s="16"/>
      <c r="L343" s="16"/>
      <c r="M343" s="16"/>
      <c r="N343" s="100"/>
      <c r="O343" s="100"/>
      <c r="P343" s="100"/>
      <c r="Q343" s="106"/>
      <c r="R343" s="107"/>
      <c r="S343" s="104"/>
      <c r="T343" s="74"/>
      <c r="U343" s="108"/>
      <c r="V343" s="74" t="str">
        <f t="array" ref="V343">IFERROR(index('3. Công thức lab theo từng mã h'!J:J,MATCH(C343,'3. Công thức lab theo từng mã h'!L:L,0)),"")</f>
        <v/>
      </c>
      <c r="W343" s="74"/>
      <c r="X343" s="75"/>
    </row>
    <row r="344">
      <c r="A344" s="76">
        <f t="shared" si="2"/>
        <v>0</v>
      </c>
      <c r="B344" s="88"/>
      <c r="C344" s="76"/>
      <c r="D344" s="86"/>
      <c r="E344" s="86"/>
      <c r="F344" s="90"/>
      <c r="G344" s="91"/>
      <c r="H344" s="86"/>
      <c r="I344" s="86"/>
      <c r="J344" s="86"/>
      <c r="K344" s="86"/>
      <c r="L344" s="86"/>
      <c r="M344" s="86"/>
      <c r="N344" s="90"/>
      <c r="O344" s="90"/>
      <c r="P344" s="90"/>
      <c r="Q344" s="106"/>
      <c r="R344" s="95"/>
      <c r="S344" s="96"/>
      <c r="T344" s="85"/>
      <c r="U344" s="97"/>
      <c r="V344" s="85" t="str">
        <f t="array" ref="V344">IFERROR(index('3. Công thức lab theo từng mã h'!J:J,MATCH(C344,'3. Công thức lab theo từng mã h'!L:L,0)),"")</f>
        <v/>
      </c>
      <c r="W344" s="85"/>
      <c r="X344" s="75"/>
    </row>
    <row r="345">
      <c r="A345" s="64">
        <f t="shared" si="2"/>
        <v>0</v>
      </c>
      <c r="B345" s="98"/>
      <c r="C345" s="64"/>
      <c r="D345" s="16"/>
      <c r="E345" s="16"/>
      <c r="F345" s="100"/>
      <c r="G345" s="101"/>
      <c r="H345" s="16"/>
      <c r="I345" s="16"/>
      <c r="J345" s="16"/>
      <c r="K345" s="16"/>
      <c r="L345" s="16"/>
      <c r="M345" s="16"/>
      <c r="N345" s="100"/>
      <c r="O345" s="100"/>
      <c r="P345" s="100"/>
      <c r="Q345" s="106"/>
      <c r="R345" s="107"/>
      <c r="S345" s="104"/>
      <c r="T345" s="74"/>
      <c r="U345" s="108"/>
      <c r="V345" s="74" t="str">
        <f t="array" ref="V345">IFERROR(index('3. Công thức lab theo từng mã h'!J:J,MATCH(C345,'3. Công thức lab theo từng mã h'!L:L,0)),"")</f>
        <v/>
      </c>
      <c r="W345" s="74"/>
      <c r="X345" s="75"/>
    </row>
    <row r="346">
      <c r="A346" s="76">
        <f t="shared" si="2"/>
        <v>0</v>
      </c>
      <c r="B346" s="88"/>
      <c r="C346" s="76"/>
      <c r="D346" s="86"/>
      <c r="E346" s="86"/>
      <c r="F346" s="90"/>
      <c r="G346" s="91"/>
      <c r="H346" s="86"/>
      <c r="I346" s="86"/>
      <c r="J346" s="86"/>
      <c r="K346" s="86"/>
      <c r="L346" s="86"/>
      <c r="M346" s="86"/>
      <c r="N346" s="90"/>
      <c r="O346" s="90"/>
      <c r="P346" s="90"/>
      <c r="Q346" s="106"/>
      <c r="R346" s="95"/>
      <c r="S346" s="96"/>
      <c r="T346" s="85"/>
      <c r="U346" s="97"/>
      <c r="V346" s="85" t="str">
        <f t="array" ref="V346">IFERROR(index('3. Công thức lab theo từng mã h'!J:J,MATCH(C346,'3. Công thức lab theo từng mã h'!L:L,0)),"")</f>
        <v/>
      </c>
      <c r="W346" s="85"/>
      <c r="X346" s="75"/>
    </row>
    <row r="347">
      <c r="A347" s="64">
        <f t="shared" si="2"/>
        <v>0</v>
      </c>
      <c r="B347" s="98"/>
      <c r="C347" s="64"/>
      <c r="D347" s="16"/>
      <c r="E347" s="16"/>
      <c r="F347" s="100"/>
      <c r="G347" s="101"/>
      <c r="H347" s="16"/>
      <c r="I347" s="16"/>
      <c r="J347" s="16"/>
      <c r="K347" s="16"/>
      <c r="L347" s="16"/>
      <c r="M347" s="16"/>
      <c r="N347" s="100"/>
      <c r="O347" s="100"/>
      <c r="P347" s="100"/>
      <c r="Q347" s="106"/>
      <c r="R347" s="107"/>
      <c r="S347" s="104"/>
      <c r="T347" s="74"/>
      <c r="U347" s="108"/>
      <c r="V347" s="74" t="str">
        <f t="array" ref="V347">IFERROR(index('3. Công thức lab theo từng mã h'!J:J,MATCH(C347,'3. Công thức lab theo từng mã h'!L:L,0)),"")</f>
        <v/>
      </c>
      <c r="W347" s="74"/>
      <c r="X347" s="75"/>
    </row>
    <row r="348">
      <c r="A348" s="76">
        <f t="shared" si="2"/>
        <v>0</v>
      </c>
      <c r="B348" s="88"/>
      <c r="C348" s="76"/>
      <c r="D348" s="86"/>
      <c r="E348" s="86"/>
      <c r="F348" s="90"/>
      <c r="G348" s="91"/>
      <c r="H348" s="86"/>
      <c r="I348" s="86"/>
      <c r="J348" s="86"/>
      <c r="K348" s="86"/>
      <c r="L348" s="86"/>
      <c r="M348" s="86"/>
      <c r="N348" s="90"/>
      <c r="O348" s="90"/>
      <c r="P348" s="90"/>
      <c r="Q348" s="106"/>
      <c r="R348" s="95"/>
      <c r="S348" s="96"/>
      <c r="T348" s="85"/>
      <c r="U348" s="97"/>
      <c r="V348" s="85" t="str">
        <f t="array" ref="V348">IFERROR(index('3. Công thức lab theo từng mã h'!J:J,MATCH(C348,'3. Công thức lab theo từng mã h'!L:L,0)),"")</f>
        <v/>
      </c>
      <c r="W348" s="85"/>
      <c r="X348" s="75"/>
    </row>
    <row r="349">
      <c r="A349" s="64">
        <f t="shared" si="2"/>
        <v>0</v>
      </c>
      <c r="B349" s="98"/>
      <c r="C349" s="64"/>
      <c r="D349" s="16"/>
      <c r="E349" s="16"/>
      <c r="F349" s="100"/>
      <c r="G349" s="101"/>
      <c r="H349" s="16"/>
      <c r="I349" s="16"/>
      <c r="J349" s="16"/>
      <c r="K349" s="16"/>
      <c r="L349" s="16"/>
      <c r="M349" s="16"/>
      <c r="N349" s="100"/>
      <c r="O349" s="100"/>
      <c r="P349" s="100"/>
      <c r="Q349" s="106"/>
      <c r="R349" s="107"/>
      <c r="S349" s="104"/>
      <c r="T349" s="74"/>
      <c r="U349" s="108"/>
      <c r="V349" s="74" t="str">
        <f t="array" ref="V349">IFERROR(index('3. Công thức lab theo từng mã h'!J:J,MATCH(C349,'3. Công thức lab theo từng mã h'!L:L,0)),"")</f>
        <v/>
      </c>
      <c r="W349" s="74"/>
      <c r="X349" s="75"/>
    </row>
    <row r="350">
      <c r="A350" s="76">
        <f t="shared" si="2"/>
        <v>0</v>
      </c>
      <c r="B350" s="88"/>
      <c r="C350" s="76"/>
      <c r="D350" s="86"/>
      <c r="E350" s="86"/>
      <c r="F350" s="90"/>
      <c r="G350" s="91"/>
      <c r="H350" s="86"/>
      <c r="I350" s="86"/>
      <c r="J350" s="86"/>
      <c r="K350" s="86"/>
      <c r="L350" s="86"/>
      <c r="M350" s="86"/>
      <c r="N350" s="90"/>
      <c r="O350" s="90"/>
      <c r="P350" s="90"/>
      <c r="Q350" s="106"/>
      <c r="R350" s="95"/>
      <c r="S350" s="96"/>
      <c r="T350" s="85"/>
      <c r="U350" s="97"/>
      <c r="V350" s="85" t="str">
        <f t="array" ref="V350">IFERROR(index('3. Công thức lab theo từng mã h'!J:J,MATCH(C350,'3. Công thức lab theo từng mã h'!L:L,0)),"")</f>
        <v/>
      </c>
      <c r="W350" s="85"/>
      <c r="X350" s="75"/>
    </row>
    <row r="351">
      <c r="A351" s="64">
        <f t="shared" si="2"/>
        <v>0</v>
      </c>
      <c r="B351" s="98"/>
      <c r="C351" s="64"/>
      <c r="D351" s="16"/>
      <c r="E351" s="16"/>
      <c r="F351" s="100"/>
      <c r="G351" s="101"/>
      <c r="H351" s="16"/>
      <c r="I351" s="16"/>
      <c r="J351" s="16"/>
      <c r="K351" s="16"/>
      <c r="L351" s="16"/>
      <c r="M351" s="16"/>
      <c r="N351" s="100"/>
      <c r="O351" s="100"/>
      <c r="P351" s="100"/>
      <c r="Q351" s="106"/>
      <c r="R351" s="107"/>
      <c r="S351" s="104"/>
      <c r="T351" s="74"/>
      <c r="U351" s="108"/>
      <c r="V351" s="74" t="str">
        <f t="array" ref="V351">IFERROR(index('3. Công thức lab theo từng mã h'!J:J,MATCH(C351,'3. Công thức lab theo từng mã h'!L:L,0)),"")</f>
        <v/>
      </c>
      <c r="W351" s="74"/>
      <c r="X351" s="75"/>
    </row>
    <row r="352">
      <c r="A352" s="76">
        <f t="shared" si="2"/>
        <v>0</v>
      </c>
      <c r="B352" s="88"/>
      <c r="C352" s="76"/>
      <c r="D352" s="86"/>
      <c r="E352" s="86"/>
      <c r="F352" s="90"/>
      <c r="G352" s="91"/>
      <c r="H352" s="86"/>
      <c r="I352" s="86"/>
      <c r="J352" s="86"/>
      <c r="K352" s="86"/>
      <c r="L352" s="86"/>
      <c r="M352" s="86"/>
      <c r="N352" s="90"/>
      <c r="O352" s="90"/>
      <c r="P352" s="90"/>
      <c r="Q352" s="106"/>
      <c r="R352" s="95"/>
      <c r="S352" s="96"/>
      <c r="T352" s="85"/>
      <c r="U352" s="97"/>
      <c r="V352" s="85" t="str">
        <f t="array" ref="V352">IFERROR(index('3. Công thức lab theo từng mã h'!J:J,MATCH(C352,'3. Công thức lab theo từng mã h'!L:L,0)),"")</f>
        <v/>
      </c>
      <c r="W352" s="85"/>
      <c r="X352" s="75"/>
    </row>
    <row r="353">
      <c r="A353" s="64">
        <f t="shared" si="2"/>
        <v>0</v>
      </c>
      <c r="B353" s="98"/>
      <c r="C353" s="64"/>
      <c r="D353" s="16"/>
      <c r="E353" s="16"/>
      <c r="F353" s="100"/>
      <c r="G353" s="101"/>
      <c r="H353" s="16"/>
      <c r="I353" s="16"/>
      <c r="J353" s="16"/>
      <c r="K353" s="16"/>
      <c r="L353" s="16"/>
      <c r="M353" s="16"/>
      <c r="N353" s="100"/>
      <c r="O353" s="100"/>
      <c r="P353" s="100"/>
      <c r="Q353" s="106"/>
      <c r="R353" s="107"/>
      <c r="S353" s="104"/>
      <c r="T353" s="74"/>
      <c r="U353" s="108"/>
      <c r="V353" s="74" t="str">
        <f t="array" ref="V353">IFERROR(index('3. Công thức lab theo từng mã h'!J:J,MATCH(C353,'3. Công thức lab theo từng mã h'!L:L,0)),"")</f>
        <v/>
      </c>
      <c r="W353" s="74"/>
      <c r="X353" s="75"/>
    </row>
    <row r="354">
      <c r="A354" s="76">
        <f t="shared" si="2"/>
        <v>0</v>
      </c>
      <c r="B354" s="88"/>
      <c r="C354" s="76"/>
      <c r="D354" s="86"/>
      <c r="E354" s="86"/>
      <c r="F354" s="90"/>
      <c r="G354" s="91"/>
      <c r="H354" s="86"/>
      <c r="I354" s="86"/>
      <c r="J354" s="86"/>
      <c r="K354" s="86"/>
      <c r="L354" s="86"/>
      <c r="M354" s="86"/>
      <c r="N354" s="90"/>
      <c r="O354" s="90"/>
      <c r="P354" s="90"/>
      <c r="Q354" s="106"/>
      <c r="R354" s="95"/>
      <c r="S354" s="96"/>
      <c r="T354" s="85"/>
      <c r="U354" s="97"/>
      <c r="V354" s="85" t="str">
        <f t="array" ref="V354">IFERROR(index('3. Công thức lab theo từng mã h'!J:J,MATCH(C354,'3. Công thức lab theo từng mã h'!L:L,0)),"")</f>
        <v/>
      </c>
      <c r="W354" s="85"/>
      <c r="X354" s="75"/>
    </row>
    <row r="355">
      <c r="A355" s="64">
        <f t="shared" si="2"/>
        <v>0</v>
      </c>
      <c r="B355" s="98"/>
      <c r="C355" s="64"/>
      <c r="D355" s="16"/>
      <c r="E355" s="16"/>
      <c r="F355" s="100"/>
      <c r="G355" s="101"/>
      <c r="H355" s="16"/>
      <c r="I355" s="16"/>
      <c r="J355" s="16"/>
      <c r="K355" s="16"/>
      <c r="L355" s="16"/>
      <c r="M355" s="16"/>
      <c r="N355" s="100"/>
      <c r="O355" s="100"/>
      <c r="P355" s="100"/>
      <c r="Q355" s="106"/>
      <c r="R355" s="107"/>
      <c r="S355" s="104"/>
      <c r="T355" s="74"/>
      <c r="U355" s="108"/>
      <c r="V355" s="74" t="str">
        <f t="array" ref="V355">IFERROR(index('3. Công thức lab theo từng mã h'!J:J,MATCH(C355,'3. Công thức lab theo từng mã h'!L:L,0)),"")</f>
        <v/>
      </c>
      <c r="W355" s="74"/>
      <c r="X355" s="75"/>
    </row>
    <row r="356">
      <c r="A356" s="76">
        <f t="shared" si="2"/>
        <v>0</v>
      </c>
      <c r="B356" s="88"/>
      <c r="C356" s="76"/>
      <c r="D356" s="86"/>
      <c r="E356" s="86"/>
      <c r="F356" s="90"/>
      <c r="G356" s="91"/>
      <c r="H356" s="86"/>
      <c r="I356" s="86"/>
      <c r="J356" s="86"/>
      <c r="K356" s="86"/>
      <c r="L356" s="86"/>
      <c r="M356" s="86"/>
      <c r="N356" s="90"/>
      <c r="O356" s="90"/>
      <c r="P356" s="90"/>
      <c r="Q356" s="106"/>
      <c r="R356" s="95"/>
      <c r="S356" s="96"/>
      <c r="T356" s="85"/>
      <c r="U356" s="97"/>
      <c r="V356" s="85" t="str">
        <f t="array" ref="V356">IFERROR(index('3. Công thức lab theo từng mã h'!J:J,MATCH(C356,'3. Công thức lab theo từng mã h'!L:L,0)),"")</f>
        <v/>
      </c>
      <c r="W356" s="85"/>
      <c r="X356" s="75"/>
    </row>
    <row r="357">
      <c r="A357" s="64">
        <f t="shared" si="2"/>
        <v>0</v>
      </c>
      <c r="B357" s="98"/>
      <c r="C357" s="64"/>
      <c r="D357" s="16"/>
      <c r="E357" s="16"/>
      <c r="F357" s="100"/>
      <c r="G357" s="101"/>
      <c r="H357" s="16"/>
      <c r="I357" s="16"/>
      <c r="J357" s="16"/>
      <c r="K357" s="16"/>
      <c r="L357" s="16"/>
      <c r="M357" s="16"/>
      <c r="N357" s="100"/>
      <c r="O357" s="100"/>
      <c r="P357" s="100"/>
      <c r="Q357" s="106"/>
      <c r="R357" s="107"/>
      <c r="S357" s="104"/>
      <c r="T357" s="74"/>
      <c r="U357" s="108"/>
      <c r="V357" s="74" t="str">
        <f t="array" ref="V357">IFERROR(index('3. Công thức lab theo từng mã h'!J:J,MATCH(C357,'3. Công thức lab theo từng mã h'!L:L,0)),"")</f>
        <v/>
      </c>
      <c r="W357" s="74"/>
      <c r="X357" s="75"/>
    </row>
    <row r="358">
      <c r="A358" s="76">
        <f t="shared" si="2"/>
        <v>0</v>
      </c>
      <c r="B358" s="88"/>
      <c r="C358" s="76"/>
      <c r="D358" s="86"/>
      <c r="E358" s="86"/>
      <c r="F358" s="90"/>
      <c r="G358" s="91"/>
      <c r="H358" s="86"/>
      <c r="I358" s="86"/>
      <c r="J358" s="86"/>
      <c r="K358" s="86"/>
      <c r="L358" s="86"/>
      <c r="M358" s="86"/>
      <c r="N358" s="90"/>
      <c r="O358" s="90"/>
      <c r="P358" s="90"/>
      <c r="Q358" s="106"/>
      <c r="R358" s="95"/>
      <c r="S358" s="96"/>
      <c r="T358" s="85"/>
      <c r="U358" s="97"/>
      <c r="V358" s="85" t="str">
        <f t="array" ref="V358">IFERROR(index('3. Công thức lab theo từng mã h'!J:J,MATCH(C358,'3. Công thức lab theo từng mã h'!L:L,0)),"")</f>
        <v/>
      </c>
      <c r="W358" s="85"/>
      <c r="X358" s="75"/>
    </row>
    <row r="359">
      <c r="A359" s="64">
        <f t="shared" si="2"/>
        <v>0</v>
      </c>
      <c r="B359" s="98"/>
      <c r="C359" s="64"/>
      <c r="D359" s="16"/>
      <c r="E359" s="16"/>
      <c r="F359" s="100"/>
      <c r="G359" s="101"/>
      <c r="H359" s="16"/>
      <c r="I359" s="16"/>
      <c r="J359" s="16"/>
      <c r="K359" s="16"/>
      <c r="L359" s="16"/>
      <c r="M359" s="16"/>
      <c r="N359" s="100"/>
      <c r="O359" s="100"/>
      <c r="P359" s="100"/>
      <c r="Q359" s="106"/>
      <c r="R359" s="107"/>
      <c r="S359" s="104"/>
      <c r="T359" s="74"/>
      <c r="U359" s="108"/>
      <c r="V359" s="74" t="str">
        <f t="array" ref="V359">IFERROR(index('3. Công thức lab theo từng mã h'!J:J,MATCH(C359,'3. Công thức lab theo từng mã h'!L:L,0)),"")</f>
        <v/>
      </c>
      <c r="W359" s="74"/>
      <c r="X359" s="75"/>
    </row>
    <row r="360">
      <c r="A360" s="76">
        <f t="shared" si="2"/>
        <v>0</v>
      </c>
      <c r="B360" s="88"/>
      <c r="C360" s="76"/>
      <c r="D360" s="86"/>
      <c r="E360" s="86"/>
      <c r="F360" s="90"/>
      <c r="G360" s="91"/>
      <c r="H360" s="86"/>
      <c r="I360" s="86"/>
      <c r="J360" s="86"/>
      <c r="K360" s="86"/>
      <c r="L360" s="86"/>
      <c r="M360" s="86"/>
      <c r="N360" s="90"/>
      <c r="O360" s="90"/>
      <c r="P360" s="90"/>
      <c r="Q360" s="106"/>
      <c r="R360" s="95"/>
      <c r="S360" s="96"/>
      <c r="T360" s="85"/>
      <c r="U360" s="97"/>
      <c r="V360" s="85" t="str">
        <f t="array" ref="V360">IFERROR(index('3. Công thức lab theo từng mã h'!J:J,MATCH(C360,'3. Công thức lab theo từng mã h'!L:L,0)),"")</f>
        <v/>
      </c>
      <c r="W360" s="85"/>
      <c r="X360" s="75"/>
    </row>
    <row r="361">
      <c r="A361" s="64">
        <f t="shared" si="2"/>
        <v>0</v>
      </c>
      <c r="B361" s="98"/>
      <c r="C361" s="64"/>
      <c r="D361" s="16"/>
      <c r="E361" s="16"/>
      <c r="F361" s="100"/>
      <c r="G361" s="101"/>
      <c r="H361" s="16"/>
      <c r="I361" s="16"/>
      <c r="J361" s="16"/>
      <c r="K361" s="16"/>
      <c r="L361" s="16"/>
      <c r="M361" s="16"/>
      <c r="N361" s="100"/>
      <c r="O361" s="100"/>
      <c r="P361" s="100"/>
      <c r="Q361" s="106"/>
      <c r="R361" s="107"/>
      <c r="S361" s="104"/>
      <c r="T361" s="74"/>
      <c r="U361" s="108"/>
      <c r="V361" s="74" t="str">
        <f t="array" ref="V361">IFERROR(index('3. Công thức lab theo từng mã h'!J:J,MATCH(C361,'3. Công thức lab theo từng mã h'!L:L,0)),"")</f>
        <v/>
      </c>
      <c r="W361" s="74"/>
      <c r="X361" s="75"/>
    </row>
    <row r="362">
      <c r="A362" s="76">
        <f t="shared" si="2"/>
        <v>0</v>
      </c>
      <c r="B362" s="88"/>
      <c r="C362" s="76"/>
      <c r="D362" s="86"/>
      <c r="E362" s="86"/>
      <c r="F362" s="90"/>
      <c r="G362" s="91"/>
      <c r="H362" s="86"/>
      <c r="I362" s="86"/>
      <c r="J362" s="86"/>
      <c r="K362" s="86"/>
      <c r="L362" s="86"/>
      <c r="M362" s="86"/>
      <c r="N362" s="90"/>
      <c r="O362" s="90"/>
      <c r="P362" s="90"/>
      <c r="Q362" s="106"/>
      <c r="R362" s="95"/>
      <c r="S362" s="96"/>
      <c r="T362" s="85"/>
      <c r="U362" s="97"/>
      <c r="V362" s="85" t="str">
        <f t="array" ref="V362">IFERROR(index('3. Công thức lab theo từng mã h'!J:J,MATCH(C362,'3. Công thức lab theo từng mã h'!L:L,0)),"")</f>
        <v/>
      </c>
      <c r="W362" s="85"/>
      <c r="X362" s="75"/>
    </row>
    <row r="363">
      <c r="A363" s="64">
        <f t="shared" si="2"/>
        <v>0</v>
      </c>
      <c r="B363" s="98"/>
      <c r="C363" s="64"/>
      <c r="D363" s="16"/>
      <c r="E363" s="16"/>
      <c r="F363" s="100"/>
      <c r="G363" s="101"/>
      <c r="H363" s="16"/>
      <c r="I363" s="16"/>
      <c r="J363" s="16"/>
      <c r="K363" s="16"/>
      <c r="L363" s="16"/>
      <c r="M363" s="16"/>
      <c r="N363" s="100"/>
      <c r="O363" s="100"/>
      <c r="P363" s="100"/>
      <c r="Q363" s="106"/>
      <c r="R363" s="107"/>
      <c r="S363" s="104"/>
      <c r="T363" s="74"/>
      <c r="U363" s="108"/>
      <c r="V363" s="74" t="str">
        <f t="array" ref="V363">IFERROR(index('3. Công thức lab theo từng mã h'!J:J,MATCH(C363,'3. Công thức lab theo từng mã h'!L:L,0)),"")</f>
        <v/>
      </c>
      <c r="W363" s="74"/>
      <c r="X363" s="75"/>
    </row>
    <row r="364">
      <c r="A364" s="76">
        <f t="shared" si="2"/>
        <v>0</v>
      </c>
      <c r="B364" s="88"/>
      <c r="C364" s="76"/>
      <c r="D364" s="86"/>
      <c r="E364" s="86"/>
      <c r="F364" s="90"/>
      <c r="G364" s="91"/>
      <c r="H364" s="86"/>
      <c r="I364" s="86"/>
      <c r="J364" s="86"/>
      <c r="K364" s="86"/>
      <c r="L364" s="86"/>
      <c r="M364" s="86"/>
      <c r="N364" s="90"/>
      <c r="O364" s="90"/>
      <c r="P364" s="90"/>
      <c r="Q364" s="106"/>
      <c r="R364" s="95"/>
      <c r="S364" s="96"/>
      <c r="T364" s="85"/>
      <c r="U364" s="97"/>
      <c r="V364" s="85" t="str">
        <f t="array" ref="V364">IFERROR(index('3. Công thức lab theo từng mã h'!J:J,MATCH(C364,'3. Công thức lab theo từng mã h'!L:L,0)),"")</f>
        <v/>
      </c>
      <c r="W364" s="85"/>
      <c r="X364" s="75"/>
    </row>
    <row r="365">
      <c r="A365" s="64">
        <f t="shared" si="2"/>
        <v>0</v>
      </c>
      <c r="B365" s="98"/>
      <c r="C365" s="64"/>
      <c r="D365" s="16"/>
      <c r="E365" s="16"/>
      <c r="F365" s="100"/>
      <c r="G365" s="101"/>
      <c r="H365" s="16"/>
      <c r="I365" s="16"/>
      <c r="J365" s="16"/>
      <c r="K365" s="16"/>
      <c r="L365" s="16"/>
      <c r="M365" s="16"/>
      <c r="N365" s="100"/>
      <c r="O365" s="100"/>
      <c r="P365" s="100"/>
      <c r="Q365" s="106"/>
      <c r="R365" s="107"/>
      <c r="S365" s="104"/>
      <c r="T365" s="74"/>
      <c r="U365" s="108"/>
      <c r="V365" s="74" t="str">
        <f t="array" ref="V365">IFERROR(index('3. Công thức lab theo từng mã h'!J:J,MATCH(C365,'3. Công thức lab theo từng mã h'!L:L,0)),"")</f>
        <v/>
      </c>
      <c r="W365" s="74"/>
      <c r="X365" s="75"/>
    </row>
    <row r="366">
      <c r="A366" s="76">
        <f t="shared" si="2"/>
        <v>0</v>
      </c>
      <c r="B366" s="88"/>
      <c r="C366" s="76"/>
      <c r="D366" s="86"/>
      <c r="E366" s="86"/>
      <c r="F366" s="90"/>
      <c r="G366" s="91"/>
      <c r="H366" s="86"/>
      <c r="I366" s="86"/>
      <c r="J366" s="86"/>
      <c r="K366" s="86"/>
      <c r="L366" s="86"/>
      <c r="M366" s="86"/>
      <c r="N366" s="90"/>
      <c r="O366" s="90"/>
      <c r="P366" s="90"/>
      <c r="Q366" s="106"/>
      <c r="R366" s="95"/>
      <c r="S366" s="96"/>
      <c r="T366" s="85"/>
      <c r="U366" s="97"/>
      <c r="V366" s="85" t="str">
        <f t="array" ref="V366">IFERROR(index('3. Công thức lab theo từng mã h'!J:J,MATCH(C366,'3. Công thức lab theo từng mã h'!L:L,0)),"")</f>
        <v/>
      </c>
      <c r="W366" s="85"/>
      <c r="X366" s="75"/>
    </row>
    <row r="367">
      <c r="A367" s="64">
        <f t="shared" si="2"/>
        <v>0</v>
      </c>
      <c r="B367" s="98"/>
      <c r="C367" s="64"/>
      <c r="D367" s="16"/>
      <c r="E367" s="16"/>
      <c r="F367" s="100"/>
      <c r="G367" s="101"/>
      <c r="H367" s="16"/>
      <c r="I367" s="16"/>
      <c r="J367" s="16"/>
      <c r="K367" s="16"/>
      <c r="L367" s="16"/>
      <c r="M367" s="16"/>
      <c r="N367" s="100"/>
      <c r="O367" s="100"/>
      <c r="P367" s="100"/>
      <c r="Q367" s="106"/>
      <c r="R367" s="107"/>
      <c r="S367" s="104"/>
      <c r="T367" s="74"/>
      <c r="U367" s="108"/>
      <c r="V367" s="74" t="str">
        <f t="array" ref="V367">IFERROR(index('3. Công thức lab theo từng mã h'!J:J,MATCH(C367,'3. Công thức lab theo từng mã h'!L:L,0)),"")</f>
        <v/>
      </c>
      <c r="W367" s="74"/>
      <c r="X367" s="75"/>
    </row>
    <row r="368">
      <c r="A368" s="76">
        <f t="shared" si="2"/>
        <v>0</v>
      </c>
      <c r="B368" s="88"/>
      <c r="C368" s="76"/>
      <c r="D368" s="86"/>
      <c r="E368" s="86"/>
      <c r="F368" s="90"/>
      <c r="G368" s="91"/>
      <c r="H368" s="86"/>
      <c r="I368" s="86"/>
      <c r="J368" s="86"/>
      <c r="K368" s="86"/>
      <c r="L368" s="86"/>
      <c r="M368" s="86"/>
      <c r="N368" s="90"/>
      <c r="O368" s="90"/>
      <c r="P368" s="90"/>
      <c r="Q368" s="106"/>
      <c r="R368" s="95"/>
      <c r="S368" s="96"/>
      <c r="T368" s="85"/>
      <c r="U368" s="97"/>
      <c r="V368" s="85" t="str">
        <f t="array" ref="V368">IFERROR(index('3. Công thức lab theo từng mã h'!J:J,MATCH(C368,'3. Công thức lab theo từng mã h'!L:L,0)),"")</f>
        <v/>
      </c>
      <c r="W368" s="85"/>
      <c r="X368" s="75"/>
    </row>
    <row r="369">
      <c r="A369" s="64">
        <f t="shared" si="2"/>
        <v>0</v>
      </c>
      <c r="B369" s="98"/>
      <c r="C369" s="64"/>
      <c r="D369" s="16"/>
      <c r="E369" s="16"/>
      <c r="F369" s="100"/>
      <c r="G369" s="101"/>
      <c r="H369" s="16"/>
      <c r="I369" s="16"/>
      <c r="J369" s="16"/>
      <c r="K369" s="16"/>
      <c r="L369" s="16"/>
      <c r="M369" s="16"/>
      <c r="N369" s="100"/>
      <c r="O369" s="100"/>
      <c r="P369" s="100"/>
      <c r="Q369" s="106"/>
      <c r="R369" s="107"/>
      <c r="S369" s="104"/>
      <c r="T369" s="74"/>
      <c r="U369" s="108"/>
      <c r="V369" s="74" t="str">
        <f t="array" ref="V369">IFERROR(index('3. Công thức lab theo từng mã h'!J:J,MATCH(C369,'3. Công thức lab theo từng mã h'!L:L,0)),"")</f>
        <v/>
      </c>
      <c r="W369" s="74"/>
      <c r="X369" s="75"/>
    </row>
    <row r="370">
      <c r="A370" s="76">
        <f t="shared" si="2"/>
        <v>0</v>
      </c>
      <c r="B370" s="88"/>
      <c r="C370" s="76"/>
      <c r="D370" s="86"/>
      <c r="E370" s="86"/>
      <c r="F370" s="90"/>
      <c r="G370" s="91"/>
      <c r="H370" s="86"/>
      <c r="I370" s="86"/>
      <c r="J370" s="86"/>
      <c r="K370" s="86"/>
      <c r="L370" s="86"/>
      <c r="M370" s="86"/>
      <c r="N370" s="90"/>
      <c r="O370" s="90"/>
      <c r="P370" s="90"/>
      <c r="Q370" s="106"/>
      <c r="R370" s="95"/>
      <c r="S370" s="96"/>
      <c r="T370" s="85"/>
      <c r="U370" s="97"/>
      <c r="V370" s="85" t="str">
        <f t="array" ref="V370">IFERROR(index('3. Công thức lab theo từng mã h'!J:J,MATCH(C370,'3. Công thức lab theo từng mã h'!L:L,0)),"")</f>
        <v/>
      </c>
      <c r="W370" s="85"/>
      <c r="X370" s="75"/>
    </row>
    <row r="371">
      <c r="A371" s="64">
        <f t="shared" si="2"/>
        <v>0</v>
      </c>
      <c r="B371" s="98"/>
      <c r="C371" s="64"/>
      <c r="D371" s="16"/>
      <c r="E371" s="16"/>
      <c r="F371" s="100"/>
      <c r="G371" s="101"/>
      <c r="H371" s="16"/>
      <c r="I371" s="16"/>
      <c r="J371" s="16"/>
      <c r="K371" s="16"/>
      <c r="L371" s="16"/>
      <c r="M371" s="16"/>
      <c r="N371" s="100"/>
      <c r="O371" s="100"/>
      <c r="P371" s="100"/>
      <c r="Q371" s="106"/>
      <c r="R371" s="107"/>
      <c r="S371" s="104"/>
      <c r="T371" s="74"/>
      <c r="U371" s="108"/>
      <c r="V371" s="74" t="str">
        <f t="array" ref="V371">IFERROR(index('3. Công thức lab theo từng mã h'!J:J,MATCH(C371,'3. Công thức lab theo từng mã h'!L:L,0)),"")</f>
        <v/>
      </c>
      <c r="W371" s="74"/>
      <c r="X371" s="75"/>
    </row>
    <row r="372">
      <c r="A372" s="76">
        <f t="shared" si="2"/>
        <v>0</v>
      </c>
      <c r="B372" s="88"/>
      <c r="C372" s="76"/>
      <c r="D372" s="86"/>
      <c r="E372" s="86"/>
      <c r="F372" s="90"/>
      <c r="G372" s="91"/>
      <c r="H372" s="86"/>
      <c r="I372" s="86"/>
      <c r="J372" s="86"/>
      <c r="K372" s="86"/>
      <c r="L372" s="86"/>
      <c r="M372" s="86"/>
      <c r="N372" s="90"/>
      <c r="O372" s="90"/>
      <c r="P372" s="90"/>
      <c r="Q372" s="106"/>
      <c r="R372" s="95"/>
      <c r="S372" s="96"/>
      <c r="T372" s="85"/>
      <c r="U372" s="97"/>
      <c r="V372" s="85" t="str">
        <f t="array" ref="V372">IFERROR(index('3. Công thức lab theo từng mã h'!J:J,MATCH(C372,'3. Công thức lab theo từng mã h'!L:L,0)),"")</f>
        <v/>
      </c>
      <c r="W372" s="85"/>
      <c r="X372" s="75"/>
    </row>
    <row r="373">
      <c r="A373" s="64">
        <f t="shared" si="2"/>
        <v>0</v>
      </c>
      <c r="B373" s="98"/>
      <c r="C373" s="64"/>
      <c r="D373" s="16"/>
      <c r="E373" s="16"/>
      <c r="F373" s="100"/>
      <c r="G373" s="101"/>
      <c r="H373" s="16"/>
      <c r="I373" s="16"/>
      <c r="J373" s="16"/>
      <c r="K373" s="16"/>
      <c r="L373" s="16"/>
      <c r="M373" s="16"/>
      <c r="N373" s="100"/>
      <c r="O373" s="100"/>
      <c r="P373" s="100"/>
      <c r="Q373" s="106"/>
      <c r="R373" s="107"/>
      <c r="S373" s="104"/>
      <c r="T373" s="74"/>
      <c r="U373" s="108"/>
      <c r="V373" s="74" t="str">
        <f t="array" ref="V373">IFERROR(index('3. Công thức lab theo từng mã h'!J:J,MATCH(C373,'3. Công thức lab theo từng mã h'!L:L,0)),"")</f>
        <v/>
      </c>
      <c r="W373" s="74"/>
      <c r="X373" s="75"/>
    </row>
    <row r="374">
      <c r="A374" s="76">
        <f t="shared" si="2"/>
        <v>0</v>
      </c>
      <c r="B374" s="88"/>
      <c r="C374" s="76"/>
      <c r="D374" s="86"/>
      <c r="E374" s="86"/>
      <c r="F374" s="90"/>
      <c r="G374" s="91"/>
      <c r="H374" s="86"/>
      <c r="I374" s="86"/>
      <c r="J374" s="86"/>
      <c r="K374" s="86"/>
      <c r="L374" s="86"/>
      <c r="M374" s="86"/>
      <c r="N374" s="90"/>
      <c r="O374" s="90"/>
      <c r="P374" s="90"/>
      <c r="Q374" s="106"/>
      <c r="R374" s="95"/>
      <c r="S374" s="96"/>
      <c r="T374" s="85"/>
      <c r="U374" s="97"/>
      <c r="V374" s="85" t="str">
        <f t="array" ref="V374">IFERROR(index('3. Công thức lab theo từng mã h'!J:J,MATCH(C374,'3. Công thức lab theo từng mã h'!L:L,0)),"")</f>
        <v/>
      </c>
      <c r="W374" s="85"/>
      <c r="X374" s="75"/>
    </row>
    <row r="375">
      <c r="A375" s="64">
        <f t="shared" si="2"/>
        <v>0</v>
      </c>
      <c r="B375" s="98"/>
      <c r="C375" s="64"/>
      <c r="D375" s="16"/>
      <c r="E375" s="16"/>
      <c r="F375" s="100"/>
      <c r="G375" s="101"/>
      <c r="H375" s="16"/>
      <c r="I375" s="16"/>
      <c r="J375" s="16"/>
      <c r="K375" s="16"/>
      <c r="L375" s="16"/>
      <c r="M375" s="16"/>
      <c r="N375" s="100"/>
      <c r="O375" s="100"/>
      <c r="P375" s="100"/>
      <c r="Q375" s="106"/>
      <c r="R375" s="107"/>
      <c r="S375" s="104"/>
      <c r="T375" s="74"/>
      <c r="U375" s="108"/>
      <c r="V375" s="74" t="str">
        <f t="array" ref="V375">IFERROR(index('3. Công thức lab theo từng mã h'!J:J,MATCH(C375,'3. Công thức lab theo từng mã h'!L:L,0)),"")</f>
        <v/>
      </c>
      <c r="W375" s="74"/>
      <c r="X375" s="75"/>
    </row>
    <row r="376">
      <c r="A376" s="76">
        <f t="shared" si="2"/>
        <v>0</v>
      </c>
      <c r="B376" s="88"/>
      <c r="C376" s="76"/>
      <c r="D376" s="86"/>
      <c r="E376" s="86"/>
      <c r="F376" s="90"/>
      <c r="G376" s="91"/>
      <c r="H376" s="86"/>
      <c r="I376" s="86"/>
      <c r="J376" s="86"/>
      <c r="K376" s="86"/>
      <c r="L376" s="86"/>
      <c r="M376" s="86"/>
      <c r="N376" s="90"/>
      <c r="O376" s="90"/>
      <c r="P376" s="90"/>
      <c r="Q376" s="106"/>
      <c r="R376" s="95"/>
      <c r="S376" s="96"/>
      <c r="T376" s="85"/>
      <c r="U376" s="97"/>
      <c r="V376" s="85" t="str">
        <f t="array" ref="V376">IFERROR(index('3. Công thức lab theo từng mã h'!J:J,MATCH(C376,'3. Công thức lab theo từng mã h'!L:L,0)),"")</f>
        <v/>
      </c>
      <c r="W376" s="85"/>
      <c r="X376" s="75"/>
    </row>
    <row r="377">
      <c r="A377" s="64">
        <f t="shared" si="2"/>
        <v>0</v>
      </c>
      <c r="B377" s="98"/>
      <c r="C377" s="64"/>
      <c r="D377" s="16"/>
      <c r="E377" s="16"/>
      <c r="F377" s="100"/>
      <c r="G377" s="101"/>
      <c r="H377" s="16"/>
      <c r="I377" s="16"/>
      <c r="J377" s="16"/>
      <c r="K377" s="16"/>
      <c r="L377" s="16"/>
      <c r="M377" s="16"/>
      <c r="N377" s="100"/>
      <c r="O377" s="100"/>
      <c r="P377" s="100"/>
      <c r="Q377" s="106"/>
      <c r="R377" s="107"/>
      <c r="S377" s="104"/>
      <c r="T377" s="74"/>
      <c r="U377" s="108"/>
      <c r="V377" s="74" t="str">
        <f t="array" ref="V377">IFERROR(index('3. Công thức lab theo từng mã h'!J:J,MATCH(C377,'3. Công thức lab theo từng mã h'!L:L,0)),"")</f>
        <v/>
      </c>
      <c r="W377" s="74"/>
      <c r="X377" s="75"/>
    </row>
    <row r="378">
      <c r="A378" s="76">
        <f t="shared" si="2"/>
        <v>0</v>
      </c>
      <c r="B378" s="88"/>
      <c r="C378" s="76"/>
      <c r="D378" s="86"/>
      <c r="E378" s="86"/>
      <c r="F378" s="90"/>
      <c r="G378" s="91"/>
      <c r="H378" s="86"/>
      <c r="I378" s="86"/>
      <c r="J378" s="86"/>
      <c r="K378" s="86"/>
      <c r="L378" s="86"/>
      <c r="M378" s="86"/>
      <c r="N378" s="90"/>
      <c r="O378" s="90"/>
      <c r="P378" s="90"/>
      <c r="Q378" s="106"/>
      <c r="R378" s="95"/>
      <c r="S378" s="96"/>
      <c r="T378" s="85"/>
      <c r="U378" s="97"/>
      <c r="V378" s="85" t="str">
        <f t="array" ref="V378">IFERROR(index('3. Công thức lab theo từng mã h'!J:J,MATCH(C378,'3. Công thức lab theo từng mã h'!L:L,0)),"")</f>
        <v/>
      </c>
      <c r="W378" s="85"/>
      <c r="X378" s="75"/>
    </row>
    <row r="379">
      <c r="A379" s="64">
        <f t="shared" si="2"/>
        <v>0</v>
      </c>
      <c r="B379" s="98"/>
      <c r="C379" s="64"/>
      <c r="D379" s="16"/>
      <c r="E379" s="16"/>
      <c r="F379" s="100"/>
      <c r="G379" s="101"/>
      <c r="H379" s="16"/>
      <c r="I379" s="16"/>
      <c r="J379" s="16"/>
      <c r="K379" s="16"/>
      <c r="L379" s="16"/>
      <c r="M379" s="16"/>
      <c r="N379" s="100"/>
      <c r="O379" s="100"/>
      <c r="P379" s="100"/>
      <c r="Q379" s="106"/>
      <c r="R379" s="107"/>
      <c r="S379" s="104"/>
      <c r="T379" s="74"/>
      <c r="U379" s="108"/>
      <c r="V379" s="74" t="str">
        <f t="array" ref="V379">IFERROR(index('3. Công thức lab theo từng mã h'!J:J,MATCH(C379,'3. Công thức lab theo từng mã h'!L:L,0)),"")</f>
        <v/>
      </c>
      <c r="W379" s="74"/>
      <c r="X379" s="75"/>
    </row>
    <row r="380">
      <c r="A380" s="76">
        <f t="shared" si="2"/>
        <v>0</v>
      </c>
      <c r="B380" s="88"/>
      <c r="C380" s="76"/>
      <c r="D380" s="86"/>
      <c r="E380" s="86"/>
      <c r="F380" s="90"/>
      <c r="G380" s="91"/>
      <c r="H380" s="86"/>
      <c r="I380" s="86"/>
      <c r="J380" s="86"/>
      <c r="K380" s="86"/>
      <c r="L380" s="86"/>
      <c r="M380" s="86"/>
      <c r="N380" s="90"/>
      <c r="O380" s="90"/>
      <c r="P380" s="90"/>
      <c r="Q380" s="106"/>
      <c r="R380" s="95"/>
      <c r="S380" s="96"/>
      <c r="T380" s="85"/>
      <c r="U380" s="97"/>
      <c r="V380" s="85" t="str">
        <f t="array" ref="V380">IFERROR(index('3. Công thức lab theo từng mã h'!J:J,MATCH(C380,'3. Công thức lab theo từng mã h'!L:L,0)),"")</f>
        <v/>
      </c>
      <c r="W380" s="85"/>
      <c r="X380" s="75"/>
    </row>
    <row r="381">
      <c r="A381" s="64">
        <f t="shared" si="2"/>
        <v>0</v>
      </c>
      <c r="B381" s="98"/>
      <c r="C381" s="64"/>
      <c r="D381" s="16"/>
      <c r="E381" s="16"/>
      <c r="F381" s="100"/>
      <c r="G381" s="101"/>
      <c r="H381" s="16"/>
      <c r="I381" s="16"/>
      <c r="J381" s="16"/>
      <c r="K381" s="16"/>
      <c r="L381" s="16"/>
      <c r="M381" s="16"/>
      <c r="N381" s="100"/>
      <c r="O381" s="100"/>
      <c r="P381" s="100"/>
      <c r="Q381" s="106"/>
      <c r="R381" s="107"/>
      <c r="S381" s="104"/>
      <c r="T381" s="74"/>
      <c r="U381" s="108"/>
      <c r="V381" s="74" t="str">
        <f t="array" ref="V381">IFERROR(index('3. Công thức lab theo từng mã h'!J:J,MATCH(C381,'3. Công thức lab theo từng mã h'!L:L,0)),"")</f>
        <v/>
      </c>
      <c r="W381" s="74"/>
      <c r="X381" s="75"/>
    </row>
    <row r="382">
      <c r="A382" s="76">
        <f t="shared" si="2"/>
        <v>0</v>
      </c>
      <c r="B382" s="88"/>
      <c r="C382" s="76"/>
      <c r="D382" s="86"/>
      <c r="E382" s="86"/>
      <c r="F382" s="90"/>
      <c r="G382" s="91"/>
      <c r="H382" s="86"/>
      <c r="I382" s="86"/>
      <c r="J382" s="86"/>
      <c r="K382" s="86"/>
      <c r="L382" s="86"/>
      <c r="M382" s="86"/>
      <c r="N382" s="90"/>
      <c r="O382" s="90"/>
      <c r="P382" s="90"/>
      <c r="Q382" s="106"/>
      <c r="R382" s="95"/>
      <c r="S382" s="96"/>
      <c r="T382" s="85"/>
      <c r="U382" s="97"/>
      <c r="V382" s="85" t="str">
        <f t="array" ref="V382">IFERROR(index('3. Công thức lab theo từng mã h'!J:J,MATCH(C382,'3. Công thức lab theo từng mã h'!L:L,0)),"")</f>
        <v/>
      </c>
      <c r="W382" s="85"/>
      <c r="X382" s="75"/>
    </row>
    <row r="383">
      <c r="A383" s="64">
        <f t="shared" si="2"/>
        <v>0</v>
      </c>
      <c r="B383" s="98"/>
      <c r="C383" s="64"/>
      <c r="D383" s="16"/>
      <c r="E383" s="16"/>
      <c r="F383" s="100"/>
      <c r="G383" s="101"/>
      <c r="H383" s="16"/>
      <c r="I383" s="16"/>
      <c r="J383" s="16"/>
      <c r="K383" s="16"/>
      <c r="L383" s="16"/>
      <c r="M383" s="16"/>
      <c r="N383" s="100"/>
      <c r="O383" s="100"/>
      <c r="P383" s="100"/>
      <c r="Q383" s="106"/>
      <c r="R383" s="107"/>
      <c r="S383" s="104"/>
      <c r="T383" s="74"/>
      <c r="U383" s="108"/>
      <c r="V383" s="74" t="str">
        <f t="array" ref="V383">IFERROR(index('3. Công thức lab theo từng mã h'!J:J,MATCH(C383,'3. Công thức lab theo từng mã h'!L:L,0)),"")</f>
        <v/>
      </c>
      <c r="W383" s="74"/>
      <c r="X383" s="75"/>
    </row>
    <row r="384">
      <c r="A384" s="76">
        <f t="shared" si="2"/>
        <v>0</v>
      </c>
      <c r="B384" s="88"/>
      <c r="C384" s="76"/>
      <c r="D384" s="86"/>
      <c r="E384" s="86"/>
      <c r="F384" s="90"/>
      <c r="G384" s="91"/>
      <c r="H384" s="86"/>
      <c r="I384" s="86"/>
      <c r="J384" s="86"/>
      <c r="K384" s="86"/>
      <c r="L384" s="86"/>
      <c r="M384" s="86"/>
      <c r="N384" s="90"/>
      <c r="O384" s="90"/>
      <c r="P384" s="90"/>
      <c r="Q384" s="106"/>
      <c r="R384" s="95"/>
      <c r="S384" s="96"/>
      <c r="T384" s="85"/>
      <c r="U384" s="97"/>
      <c r="V384" s="85" t="str">
        <f t="array" ref="V384">IFERROR(index('3. Công thức lab theo từng mã h'!J:J,MATCH(C384,'3. Công thức lab theo từng mã h'!L:L,0)),"")</f>
        <v/>
      </c>
      <c r="W384" s="85"/>
      <c r="X384" s="75"/>
    </row>
    <row r="385">
      <c r="A385" s="64">
        <f t="shared" si="2"/>
        <v>0</v>
      </c>
      <c r="B385" s="98"/>
      <c r="C385" s="64"/>
      <c r="D385" s="16"/>
      <c r="E385" s="16"/>
      <c r="F385" s="100"/>
      <c r="G385" s="101"/>
      <c r="H385" s="16"/>
      <c r="I385" s="16"/>
      <c r="J385" s="16"/>
      <c r="K385" s="16"/>
      <c r="L385" s="16"/>
      <c r="M385" s="16"/>
      <c r="N385" s="100"/>
      <c r="O385" s="100"/>
      <c r="P385" s="100"/>
      <c r="Q385" s="106"/>
      <c r="R385" s="107"/>
      <c r="S385" s="104"/>
      <c r="T385" s="74"/>
      <c r="U385" s="108"/>
      <c r="V385" s="74" t="str">
        <f t="array" ref="V385">IFERROR(index('3. Công thức lab theo từng mã h'!J:J,MATCH(C385,'3. Công thức lab theo từng mã h'!L:L,0)),"")</f>
        <v/>
      </c>
      <c r="W385" s="74"/>
      <c r="X385" s="75"/>
    </row>
    <row r="386">
      <c r="A386" s="76">
        <f t="shared" si="2"/>
        <v>0</v>
      </c>
      <c r="B386" s="88"/>
      <c r="C386" s="76"/>
      <c r="D386" s="86"/>
      <c r="E386" s="86"/>
      <c r="F386" s="90"/>
      <c r="G386" s="91"/>
      <c r="H386" s="86"/>
      <c r="I386" s="86"/>
      <c r="J386" s="86"/>
      <c r="K386" s="86"/>
      <c r="L386" s="86"/>
      <c r="M386" s="86"/>
      <c r="N386" s="90"/>
      <c r="O386" s="90"/>
      <c r="P386" s="90"/>
      <c r="Q386" s="106"/>
      <c r="R386" s="95"/>
      <c r="S386" s="96"/>
      <c r="T386" s="85"/>
      <c r="U386" s="97"/>
      <c r="V386" s="85" t="str">
        <f t="array" ref="V386">IFERROR(index('3. Công thức lab theo từng mã h'!J:J,MATCH(C386,'3. Công thức lab theo từng mã h'!L:L,0)),"")</f>
        <v/>
      </c>
      <c r="W386" s="85"/>
      <c r="X386" s="75"/>
    </row>
    <row r="387">
      <c r="A387" s="64">
        <f t="shared" si="2"/>
        <v>0</v>
      </c>
      <c r="B387" s="98"/>
      <c r="C387" s="64"/>
      <c r="D387" s="16"/>
      <c r="E387" s="16"/>
      <c r="F387" s="100"/>
      <c r="G387" s="101"/>
      <c r="H387" s="16"/>
      <c r="I387" s="16"/>
      <c r="J387" s="16"/>
      <c r="K387" s="16"/>
      <c r="L387" s="16"/>
      <c r="M387" s="16"/>
      <c r="N387" s="100"/>
      <c r="O387" s="100"/>
      <c r="P387" s="100"/>
      <c r="Q387" s="106"/>
      <c r="R387" s="107"/>
      <c r="S387" s="104"/>
      <c r="T387" s="74"/>
      <c r="U387" s="108"/>
      <c r="V387" s="74" t="str">
        <f t="array" ref="V387">IFERROR(index('3. Công thức lab theo từng mã h'!J:J,MATCH(C387,'3. Công thức lab theo từng mã h'!L:L,0)),"")</f>
        <v/>
      </c>
      <c r="W387" s="74"/>
      <c r="X387" s="75"/>
    </row>
    <row r="388">
      <c r="A388" s="76">
        <f t="shared" si="2"/>
        <v>0</v>
      </c>
      <c r="B388" s="88"/>
      <c r="C388" s="76"/>
      <c r="D388" s="86"/>
      <c r="E388" s="86"/>
      <c r="F388" s="90"/>
      <c r="G388" s="91"/>
      <c r="H388" s="86"/>
      <c r="I388" s="86"/>
      <c r="J388" s="86"/>
      <c r="K388" s="86"/>
      <c r="L388" s="86"/>
      <c r="M388" s="86"/>
      <c r="N388" s="90"/>
      <c r="O388" s="90"/>
      <c r="P388" s="90"/>
      <c r="Q388" s="106"/>
      <c r="R388" s="95"/>
      <c r="S388" s="96"/>
      <c r="T388" s="85"/>
      <c r="U388" s="97"/>
      <c r="V388" s="85" t="str">
        <f t="array" ref="V388">IFERROR(index('3. Công thức lab theo từng mã h'!J:J,MATCH(C388,'3. Công thức lab theo từng mã h'!L:L,0)),"")</f>
        <v/>
      </c>
      <c r="W388" s="85"/>
      <c r="X388" s="75"/>
    </row>
    <row r="389">
      <c r="A389" s="64">
        <f t="shared" si="2"/>
        <v>0</v>
      </c>
      <c r="B389" s="98"/>
      <c r="C389" s="64"/>
      <c r="D389" s="16"/>
      <c r="E389" s="16"/>
      <c r="F389" s="100"/>
      <c r="G389" s="101"/>
      <c r="H389" s="16"/>
      <c r="I389" s="16"/>
      <c r="J389" s="16"/>
      <c r="K389" s="16"/>
      <c r="L389" s="16"/>
      <c r="M389" s="16"/>
      <c r="N389" s="100"/>
      <c r="O389" s="100"/>
      <c r="P389" s="100"/>
      <c r="Q389" s="106"/>
      <c r="R389" s="107"/>
      <c r="S389" s="104"/>
      <c r="T389" s="74"/>
      <c r="U389" s="108"/>
      <c r="V389" s="74" t="str">
        <f t="array" ref="V389">IFERROR(index('3. Công thức lab theo từng mã h'!J:J,MATCH(C389,'3. Công thức lab theo từng mã h'!L:L,0)),"")</f>
        <v/>
      </c>
      <c r="W389" s="74"/>
      <c r="X389" s="75"/>
    </row>
    <row r="390">
      <c r="A390" s="76">
        <f t="shared" si="2"/>
        <v>0</v>
      </c>
      <c r="B390" s="88"/>
      <c r="C390" s="76"/>
      <c r="D390" s="86"/>
      <c r="E390" s="86"/>
      <c r="F390" s="90"/>
      <c r="G390" s="91"/>
      <c r="H390" s="86"/>
      <c r="I390" s="86"/>
      <c r="J390" s="86"/>
      <c r="K390" s="86"/>
      <c r="L390" s="86"/>
      <c r="M390" s="86"/>
      <c r="N390" s="90"/>
      <c r="O390" s="90"/>
      <c r="P390" s="90"/>
      <c r="Q390" s="106"/>
      <c r="R390" s="95"/>
      <c r="S390" s="96"/>
      <c r="T390" s="85"/>
      <c r="U390" s="97"/>
      <c r="V390" s="85" t="str">
        <f t="array" ref="V390">IFERROR(index('3. Công thức lab theo từng mã h'!J:J,MATCH(C390,'3. Công thức lab theo từng mã h'!L:L,0)),"")</f>
        <v/>
      </c>
      <c r="W390" s="85"/>
      <c r="X390" s="75"/>
    </row>
    <row r="391">
      <c r="A391" s="64">
        <f t="shared" si="2"/>
        <v>0</v>
      </c>
      <c r="B391" s="98"/>
      <c r="C391" s="64"/>
      <c r="D391" s="16"/>
      <c r="E391" s="16"/>
      <c r="F391" s="100"/>
      <c r="G391" s="101"/>
      <c r="H391" s="16"/>
      <c r="I391" s="16"/>
      <c r="J391" s="16"/>
      <c r="K391" s="16"/>
      <c r="L391" s="16"/>
      <c r="M391" s="16"/>
      <c r="N391" s="100"/>
      <c r="O391" s="100"/>
      <c r="P391" s="100"/>
      <c r="Q391" s="106"/>
      <c r="R391" s="107"/>
      <c r="S391" s="104"/>
      <c r="T391" s="74"/>
      <c r="U391" s="108"/>
      <c r="V391" s="74" t="str">
        <f t="array" ref="V391">IFERROR(index('3. Công thức lab theo từng mã h'!J:J,MATCH(C391,'3. Công thức lab theo từng mã h'!L:L,0)),"")</f>
        <v/>
      </c>
      <c r="W391" s="74"/>
      <c r="X391" s="75"/>
    </row>
    <row r="392">
      <c r="A392" s="76">
        <f t="shared" si="2"/>
        <v>0</v>
      </c>
      <c r="B392" s="88"/>
      <c r="C392" s="76"/>
      <c r="D392" s="86"/>
      <c r="E392" s="86"/>
      <c r="F392" s="90"/>
      <c r="G392" s="91"/>
      <c r="H392" s="86"/>
      <c r="I392" s="86"/>
      <c r="J392" s="86"/>
      <c r="K392" s="86"/>
      <c r="L392" s="86"/>
      <c r="M392" s="86"/>
      <c r="N392" s="90"/>
      <c r="O392" s="90"/>
      <c r="P392" s="90"/>
      <c r="Q392" s="106"/>
      <c r="R392" s="95"/>
      <c r="S392" s="96"/>
      <c r="T392" s="85"/>
      <c r="U392" s="97"/>
      <c r="V392" s="85" t="str">
        <f t="array" ref="V392">IFERROR(index('3. Công thức lab theo từng mã h'!J:J,MATCH(C392,'3. Công thức lab theo từng mã h'!L:L,0)),"")</f>
        <v/>
      </c>
      <c r="W392" s="85"/>
      <c r="X392" s="75"/>
    </row>
    <row r="393">
      <c r="A393" s="64">
        <f t="shared" si="2"/>
        <v>0</v>
      </c>
      <c r="B393" s="98"/>
      <c r="C393" s="64"/>
      <c r="D393" s="16"/>
      <c r="E393" s="16"/>
      <c r="F393" s="100"/>
      <c r="G393" s="101"/>
      <c r="H393" s="16"/>
      <c r="I393" s="16"/>
      <c r="J393" s="16"/>
      <c r="K393" s="16"/>
      <c r="L393" s="16"/>
      <c r="M393" s="16"/>
      <c r="N393" s="100"/>
      <c r="O393" s="100"/>
      <c r="P393" s="100"/>
      <c r="Q393" s="106"/>
      <c r="R393" s="107"/>
      <c r="S393" s="104"/>
      <c r="T393" s="74"/>
      <c r="U393" s="108"/>
      <c r="V393" s="74" t="str">
        <f t="array" ref="V393">IFERROR(index('3. Công thức lab theo từng mã h'!J:J,MATCH(C393,'3. Công thức lab theo từng mã h'!L:L,0)),"")</f>
        <v/>
      </c>
      <c r="W393" s="74"/>
      <c r="X393" s="75"/>
    </row>
    <row r="394">
      <c r="A394" s="76">
        <f t="shared" si="2"/>
        <v>0</v>
      </c>
      <c r="B394" s="88"/>
      <c r="C394" s="76"/>
      <c r="D394" s="86"/>
      <c r="E394" s="86"/>
      <c r="F394" s="90"/>
      <c r="G394" s="91"/>
      <c r="H394" s="86"/>
      <c r="I394" s="86"/>
      <c r="J394" s="86"/>
      <c r="K394" s="86"/>
      <c r="L394" s="86"/>
      <c r="M394" s="86"/>
      <c r="N394" s="90"/>
      <c r="O394" s="90"/>
      <c r="P394" s="90"/>
      <c r="Q394" s="106"/>
      <c r="R394" s="95"/>
      <c r="S394" s="96"/>
      <c r="T394" s="85"/>
      <c r="U394" s="97"/>
      <c r="V394" s="85" t="str">
        <f t="array" ref="V394">IFERROR(index('3. Công thức lab theo từng mã h'!J:J,MATCH(C394,'3. Công thức lab theo từng mã h'!L:L,0)),"")</f>
        <v/>
      </c>
      <c r="W394" s="85"/>
      <c r="X394" s="75"/>
    </row>
    <row r="395">
      <c r="A395" s="64">
        <f t="shared" si="2"/>
        <v>0</v>
      </c>
      <c r="B395" s="98"/>
      <c r="C395" s="64"/>
      <c r="D395" s="16"/>
      <c r="E395" s="16"/>
      <c r="F395" s="100"/>
      <c r="G395" s="101"/>
      <c r="H395" s="16"/>
      <c r="I395" s="16"/>
      <c r="J395" s="16"/>
      <c r="K395" s="16"/>
      <c r="L395" s="16"/>
      <c r="M395" s="16"/>
      <c r="N395" s="100"/>
      <c r="O395" s="100"/>
      <c r="P395" s="100"/>
      <c r="Q395" s="106"/>
      <c r="R395" s="107"/>
      <c r="S395" s="104"/>
      <c r="T395" s="74"/>
      <c r="U395" s="108"/>
      <c r="V395" s="74" t="str">
        <f t="array" ref="V395">IFERROR(index('3. Công thức lab theo từng mã h'!J:J,MATCH(C395,'3. Công thức lab theo từng mã h'!L:L,0)),"")</f>
        <v/>
      </c>
      <c r="W395" s="74"/>
      <c r="X395" s="75"/>
    </row>
    <row r="396">
      <c r="A396" s="76">
        <f t="shared" si="2"/>
        <v>0</v>
      </c>
      <c r="B396" s="88"/>
      <c r="C396" s="76"/>
      <c r="D396" s="86"/>
      <c r="E396" s="86"/>
      <c r="F396" s="90"/>
      <c r="G396" s="91"/>
      <c r="H396" s="86"/>
      <c r="I396" s="86"/>
      <c r="J396" s="86"/>
      <c r="K396" s="86"/>
      <c r="L396" s="86"/>
      <c r="M396" s="86"/>
      <c r="N396" s="90"/>
      <c r="O396" s="90"/>
      <c r="P396" s="90"/>
      <c r="Q396" s="106"/>
      <c r="R396" s="95"/>
      <c r="S396" s="96"/>
      <c r="T396" s="85"/>
      <c r="U396" s="97"/>
      <c r="V396" s="85" t="str">
        <f t="array" ref="V396">IFERROR(index('3. Công thức lab theo từng mã h'!J:J,MATCH(C396,'3. Công thức lab theo từng mã h'!L:L,0)),"")</f>
        <v/>
      </c>
      <c r="W396" s="85"/>
      <c r="X396" s="75"/>
    </row>
    <row r="397">
      <c r="A397" s="64">
        <f t="shared" si="2"/>
        <v>0</v>
      </c>
      <c r="B397" s="98"/>
      <c r="C397" s="64"/>
      <c r="D397" s="16"/>
      <c r="E397" s="16"/>
      <c r="F397" s="100"/>
      <c r="G397" s="101"/>
      <c r="H397" s="16"/>
      <c r="I397" s="16"/>
      <c r="J397" s="16"/>
      <c r="K397" s="16"/>
      <c r="L397" s="16"/>
      <c r="M397" s="16"/>
      <c r="N397" s="100"/>
      <c r="O397" s="100"/>
      <c r="P397" s="100"/>
      <c r="Q397" s="106"/>
      <c r="R397" s="107"/>
      <c r="S397" s="104"/>
      <c r="T397" s="74"/>
      <c r="U397" s="108"/>
      <c r="V397" s="74" t="str">
        <f t="array" ref="V397">IFERROR(index('3. Công thức lab theo từng mã h'!J:J,MATCH(C397,'3. Công thức lab theo từng mã h'!L:L,0)),"")</f>
        <v/>
      </c>
      <c r="W397" s="74"/>
      <c r="X397" s="75"/>
    </row>
    <row r="398">
      <c r="A398" s="76">
        <f t="shared" si="2"/>
        <v>0</v>
      </c>
      <c r="B398" s="88"/>
      <c r="C398" s="76"/>
      <c r="D398" s="86"/>
      <c r="E398" s="86"/>
      <c r="F398" s="90"/>
      <c r="G398" s="91"/>
      <c r="H398" s="86"/>
      <c r="I398" s="86"/>
      <c r="J398" s="86"/>
      <c r="K398" s="86"/>
      <c r="L398" s="86"/>
      <c r="M398" s="86"/>
      <c r="N398" s="90"/>
      <c r="O398" s="90"/>
      <c r="P398" s="90"/>
      <c r="Q398" s="106"/>
      <c r="R398" s="95"/>
      <c r="S398" s="96"/>
      <c r="T398" s="85"/>
      <c r="U398" s="97"/>
      <c r="V398" s="85" t="str">
        <f t="array" ref="V398">IFERROR(index('3. Công thức lab theo từng mã h'!J:J,MATCH(C398,'3. Công thức lab theo từng mã h'!L:L,0)),"")</f>
        <v/>
      </c>
      <c r="W398" s="85"/>
      <c r="X398" s="75"/>
    </row>
    <row r="399">
      <c r="A399" s="64">
        <f t="shared" si="2"/>
        <v>0</v>
      </c>
      <c r="B399" s="98"/>
      <c r="C399" s="64"/>
      <c r="D399" s="16"/>
      <c r="E399" s="16"/>
      <c r="F399" s="100"/>
      <c r="G399" s="101"/>
      <c r="H399" s="16"/>
      <c r="I399" s="16"/>
      <c r="J399" s="16"/>
      <c r="K399" s="16"/>
      <c r="L399" s="16"/>
      <c r="M399" s="16"/>
      <c r="N399" s="100"/>
      <c r="O399" s="100"/>
      <c r="P399" s="100"/>
      <c r="Q399" s="106"/>
      <c r="R399" s="107"/>
      <c r="S399" s="104"/>
      <c r="T399" s="74"/>
      <c r="U399" s="108"/>
      <c r="V399" s="74" t="str">
        <f t="array" ref="V399">IFERROR(index('3. Công thức lab theo từng mã h'!J:J,MATCH(C399,'3. Công thức lab theo từng mã h'!L:L,0)),"")</f>
        <v/>
      </c>
      <c r="W399" s="74"/>
      <c r="X399" s="75"/>
    </row>
    <row r="400">
      <c r="A400" s="76">
        <f t="shared" si="2"/>
        <v>0</v>
      </c>
      <c r="B400" s="88"/>
      <c r="C400" s="76"/>
      <c r="D400" s="86"/>
      <c r="E400" s="86"/>
      <c r="F400" s="90"/>
      <c r="G400" s="91"/>
      <c r="H400" s="86"/>
      <c r="I400" s="86"/>
      <c r="J400" s="86"/>
      <c r="K400" s="86"/>
      <c r="L400" s="86"/>
      <c r="M400" s="86"/>
      <c r="N400" s="90"/>
      <c r="O400" s="90"/>
      <c r="P400" s="90"/>
      <c r="Q400" s="106"/>
      <c r="R400" s="95"/>
      <c r="S400" s="96"/>
      <c r="T400" s="85"/>
      <c r="U400" s="97"/>
      <c r="V400" s="85" t="str">
        <f t="array" ref="V400">IFERROR(index('3. Công thức lab theo từng mã h'!J:J,MATCH(C400,'3. Công thức lab theo từng mã h'!L:L,0)),"")</f>
        <v/>
      </c>
      <c r="W400" s="85"/>
      <c r="X400" s="75"/>
    </row>
    <row r="401">
      <c r="A401" s="64">
        <f t="shared" si="2"/>
        <v>0</v>
      </c>
      <c r="B401" s="98"/>
      <c r="C401" s="64"/>
      <c r="D401" s="16"/>
      <c r="E401" s="16"/>
      <c r="F401" s="100"/>
      <c r="G401" s="101"/>
      <c r="H401" s="16"/>
      <c r="I401" s="16"/>
      <c r="J401" s="16"/>
      <c r="K401" s="16"/>
      <c r="L401" s="16"/>
      <c r="M401" s="16"/>
      <c r="N401" s="100"/>
      <c r="O401" s="100"/>
      <c r="P401" s="100"/>
      <c r="Q401" s="106"/>
      <c r="R401" s="107"/>
      <c r="S401" s="104"/>
      <c r="T401" s="74"/>
      <c r="U401" s="108"/>
      <c r="V401" s="74" t="str">
        <f t="array" ref="V401">IFERROR(index('3. Công thức lab theo từng mã h'!J:J,MATCH(C401,'3. Công thức lab theo từng mã h'!L:L,0)),"")</f>
        <v/>
      </c>
      <c r="W401" s="74"/>
      <c r="X401" s="75"/>
    </row>
    <row r="402">
      <c r="A402" s="76">
        <f t="shared" si="2"/>
        <v>0</v>
      </c>
      <c r="B402" s="88"/>
      <c r="C402" s="76"/>
      <c r="D402" s="86"/>
      <c r="E402" s="86"/>
      <c r="F402" s="90"/>
      <c r="G402" s="91"/>
      <c r="H402" s="86"/>
      <c r="I402" s="86"/>
      <c r="J402" s="86"/>
      <c r="K402" s="86"/>
      <c r="L402" s="86"/>
      <c r="M402" s="86"/>
      <c r="N402" s="90"/>
      <c r="O402" s="90"/>
      <c r="P402" s="90"/>
      <c r="Q402" s="106"/>
      <c r="R402" s="95"/>
      <c r="S402" s="96"/>
      <c r="T402" s="85"/>
      <c r="U402" s="97"/>
      <c r="V402" s="85" t="str">
        <f t="array" ref="V402">IFERROR(index('3. Công thức lab theo từng mã h'!J:J,MATCH(C402,'3. Công thức lab theo từng mã h'!L:L,0)),"")</f>
        <v/>
      </c>
      <c r="W402" s="85"/>
      <c r="X402" s="75"/>
    </row>
    <row r="403">
      <c r="A403" s="64">
        <f t="shared" si="2"/>
        <v>0</v>
      </c>
      <c r="B403" s="98"/>
      <c r="C403" s="64"/>
      <c r="D403" s="16"/>
      <c r="E403" s="16"/>
      <c r="F403" s="100"/>
      <c r="G403" s="101"/>
      <c r="H403" s="16"/>
      <c r="I403" s="16"/>
      <c r="J403" s="16"/>
      <c r="K403" s="16"/>
      <c r="L403" s="16"/>
      <c r="M403" s="16"/>
      <c r="N403" s="100"/>
      <c r="O403" s="100"/>
      <c r="P403" s="100"/>
      <c r="Q403" s="106"/>
      <c r="R403" s="107"/>
      <c r="S403" s="104"/>
      <c r="T403" s="74"/>
      <c r="U403" s="108"/>
      <c r="V403" s="74" t="str">
        <f t="array" ref="V403">IFERROR(index('3. Công thức lab theo từng mã h'!J:J,MATCH(C403,'3. Công thức lab theo từng mã h'!L:L,0)),"")</f>
        <v/>
      </c>
      <c r="W403" s="74"/>
      <c r="X403" s="75"/>
    </row>
    <row r="404">
      <c r="A404" s="76">
        <f t="shared" si="2"/>
        <v>0</v>
      </c>
      <c r="B404" s="88"/>
      <c r="C404" s="76"/>
      <c r="D404" s="86"/>
      <c r="E404" s="86"/>
      <c r="F404" s="90"/>
      <c r="G404" s="91"/>
      <c r="H404" s="86"/>
      <c r="I404" s="86"/>
      <c r="J404" s="86"/>
      <c r="K404" s="86"/>
      <c r="L404" s="86"/>
      <c r="M404" s="86"/>
      <c r="N404" s="90"/>
      <c r="O404" s="90"/>
      <c r="P404" s="90"/>
      <c r="Q404" s="106"/>
      <c r="R404" s="95"/>
      <c r="S404" s="96"/>
      <c r="T404" s="85"/>
      <c r="U404" s="97"/>
      <c r="V404" s="85" t="str">
        <f t="array" ref="V404">IFERROR(index('3. Công thức lab theo từng mã h'!J:J,MATCH(C404,'3. Công thức lab theo từng mã h'!L:L,0)),"")</f>
        <v/>
      </c>
      <c r="W404" s="85"/>
      <c r="X404" s="75"/>
    </row>
    <row r="405">
      <c r="A405" s="64">
        <f t="shared" si="2"/>
        <v>0</v>
      </c>
      <c r="B405" s="98"/>
      <c r="C405" s="64"/>
      <c r="D405" s="16"/>
      <c r="E405" s="16"/>
      <c r="F405" s="100"/>
      <c r="G405" s="101"/>
      <c r="H405" s="16"/>
      <c r="I405" s="16"/>
      <c r="J405" s="16"/>
      <c r="K405" s="16"/>
      <c r="L405" s="16"/>
      <c r="M405" s="16"/>
      <c r="N405" s="100"/>
      <c r="O405" s="100"/>
      <c r="P405" s="100"/>
      <c r="Q405" s="106"/>
      <c r="R405" s="107"/>
      <c r="S405" s="104"/>
      <c r="T405" s="74"/>
      <c r="U405" s="108"/>
      <c r="V405" s="74" t="str">
        <f t="array" ref="V405">IFERROR(index('3. Công thức lab theo từng mã h'!J:J,MATCH(C405,'3. Công thức lab theo từng mã h'!L:L,0)),"")</f>
        <v/>
      </c>
      <c r="W405" s="74"/>
      <c r="X405" s="75"/>
    </row>
    <row r="406">
      <c r="A406" s="76">
        <f t="shared" si="2"/>
        <v>0</v>
      </c>
      <c r="B406" s="88"/>
      <c r="C406" s="76"/>
      <c r="D406" s="86"/>
      <c r="E406" s="86"/>
      <c r="F406" s="90"/>
      <c r="G406" s="91"/>
      <c r="H406" s="86"/>
      <c r="I406" s="86"/>
      <c r="J406" s="86"/>
      <c r="K406" s="86"/>
      <c r="L406" s="86"/>
      <c r="M406" s="86"/>
      <c r="N406" s="90"/>
      <c r="O406" s="90"/>
      <c r="P406" s="90"/>
      <c r="Q406" s="106"/>
      <c r="R406" s="95"/>
      <c r="S406" s="96"/>
      <c r="T406" s="85"/>
      <c r="U406" s="97"/>
      <c r="V406" s="85" t="str">
        <f t="array" ref="V406">IFERROR(index('3. Công thức lab theo từng mã h'!J:J,MATCH(C406,'3. Công thức lab theo từng mã h'!L:L,0)),"")</f>
        <v/>
      </c>
      <c r="W406" s="85"/>
      <c r="X406" s="75"/>
    </row>
    <row r="407">
      <c r="A407" s="64">
        <f t="shared" si="2"/>
        <v>0</v>
      </c>
      <c r="B407" s="98"/>
      <c r="C407" s="64"/>
      <c r="D407" s="16"/>
      <c r="E407" s="16"/>
      <c r="F407" s="100"/>
      <c r="G407" s="101"/>
      <c r="H407" s="16"/>
      <c r="I407" s="16"/>
      <c r="J407" s="16"/>
      <c r="K407" s="16"/>
      <c r="L407" s="16"/>
      <c r="M407" s="16"/>
      <c r="N407" s="100"/>
      <c r="O407" s="100"/>
      <c r="P407" s="100"/>
      <c r="Q407" s="106"/>
      <c r="R407" s="107"/>
      <c r="S407" s="104"/>
      <c r="T407" s="74"/>
      <c r="U407" s="108"/>
      <c r="V407" s="74" t="str">
        <f t="array" ref="V407">IFERROR(index('3. Công thức lab theo từng mã h'!J:J,MATCH(C407,'3. Công thức lab theo từng mã h'!L:L,0)),"")</f>
        <v/>
      </c>
      <c r="W407" s="74"/>
      <c r="X407" s="75"/>
    </row>
    <row r="408">
      <c r="A408" s="76">
        <f t="shared" si="2"/>
        <v>0</v>
      </c>
      <c r="B408" s="88"/>
      <c r="C408" s="76"/>
      <c r="D408" s="86"/>
      <c r="E408" s="86"/>
      <c r="F408" s="90"/>
      <c r="G408" s="91"/>
      <c r="H408" s="86"/>
      <c r="I408" s="86"/>
      <c r="J408" s="86"/>
      <c r="K408" s="86"/>
      <c r="L408" s="86"/>
      <c r="M408" s="86"/>
      <c r="N408" s="90"/>
      <c r="O408" s="90"/>
      <c r="P408" s="90"/>
      <c r="Q408" s="106"/>
      <c r="R408" s="95"/>
      <c r="S408" s="96"/>
      <c r="T408" s="85"/>
      <c r="U408" s="97"/>
      <c r="V408" s="85" t="str">
        <f t="array" ref="V408">IFERROR(index('3. Công thức lab theo từng mã h'!J:J,MATCH(C408,'3. Công thức lab theo từng mã h'!L:L,0)),"")</f>
        <v/>
      </c>
      <c r="W408" s="85"/>
      <c r="X408" s="75"/>
    </row>
    <row r="409">
      <c r="A409" s="64">
        <f t="shared" si="2"/>
        <v>0</v>
      </c>
      <c r="B409" s="98"/>
      <c r="C409" s="64"/>
      <c r="D409" s="16"/>
      <c r="E409" s="16"/>
      <c r="F409" s="100"/>
      <c r="G409" s="101"/>
      <c r="H409" s="16"/>
      <c r="I409" s="16"/>
      <c r="J409" s="16"/>
      <c r="K409" s="16"/>
      <c r="L409" s="16"/>
      <c r="M409" s="16"/>
      <c r="N409" s="100"/>
      <c r="O409" s="100"/>
      <c r="P409" s="100"/>
      <c r="Q409" s="106"/>
      <c r="R409" s="107"/>
      <c r="S409" s="104"/>
      <c r="T409" s="74"/>
      <c r="U409" s="108"/>
      <c r="V409" s="74" t="str">
        <f t="array" ref="V409">IFERROR(index('3. Công thức lab theo từng mã h'!J:J,MATCH(C409,'3. Công thức lab theo từng mã h'!L:L,0)),"")</f>
        <v/>
      </c>
      <c r="W409" s="74"/>
      <c r="X409" s="75"/>
    </row>
    <row r="410">
      <c r="A410" s="76">
        <f t="shared" si="2"/>
        <v>0</v>
      </c>
      <c r="B410" s="88"/>
      <c r="C410" s="76"/>
      <c r="D410" s="86"/>
      <c r="E410" s="86"/>
      <c r="F410" s="90"/>
      <c r="G410" s="91"/>
      <c r="H410" s="86"/>
      <c r="I410" s="86"/>
      <c r="J410" s="86"/>
      <c r="K410" s="86"/>
      <c r="L410" s="86"/>
      <c r="M410" s="86"/>
      <c r="N410" s="90"/>
      <c r="O410" s="90"/>
      <c r="P410" s="90"/>
      <c r="Q410" s="106"/>
      <c r="R410" s="95"/>
      <c r="S410" s="96"/>
      <c r="T410" s="85"/>
      <c r="U410" s="97"/>
      <c r="V410" s="85" t="str">
        <f t="array" ref="V410">IFERROR(index('3. Công thức lab theo từng mã h'!J:J,MATCH(C410,'3. Công thức lab theo từng mã h'!L:L,0)),"")</f>
        <v/>
      </c>
      <c r="W410" s="85"/>
      <c r="X410" s="75"/>
    </row>
    <row r="411">
      <c r="A411" s="64">
        <f t="shared" si="2"/>
        <v>0</v>
      </c>
      <c r="B411" s="98"/>
      <c r="C411" s="64"/>
      <c r="D411" s="16"/>
      <c r="E411" s="16"/>
      <c r="F411" s="100"/>
      <c r="G411" s="101"/>
      <c r="H411" s="16"/>
      <c r="I411" s="16"/>
      <c r="J411" s="16"/>
      <c r="K411" s="16"/>
      <c r="L411" s="16"/>
      <c r="M411" s="16"/>
      <c r="N411" s="100"/>
      <c r="O411" s="100"/>
      <c r="P411" s="100"/>
      <c r="Q411" s="106"/>
      <c r="R411" s="107"/>
      <c r="S411" s="104"/>
      <c r="T411" s="74"/>
      <c r="U411" s="108"/>
      <c r="V411" s="74" t="str">
        <f t="array" ref="V411">IFERROR(index('3. Công thức lab theo từng mã h'!J:J,MATCH(C411,'3. Công thức lab theo từng mã h'!L:L,0)),"")</f>
        <v/>
      </c>
      <c r="W411" s="74"/>
      <c r="X411" s="75"/>
    </row>
    <row r="412">
      <c r="A412" s="76">
        <f t="shared" si="2"/>
        <v>0</v>
      </c>
      <c r="B412" s="88"/>
      <c r="C412" s="76"/>
      <c r="D412" s="86"/>
      <c r="E412" s="86"/>
      <c r="F412" s="90"/>
      <c r="G412" s="91"/>
      <c r="H412" s="86"/>
      <c r="I412" s="86"/>
      <c r="J412" s="86"/>
      <c r="K412" s="86"/>
      <c r="L412" s="86"/>
      <c r="M412" s="86"/>
      <c r="N412" s="90"/>
      <c r="O412" s="90"/>
      <c r="P412" s="90"/>
      <c r="Q412" s="106"/>
      <c r="R412" s="95"/>
      <c r="S412" s="96"/>
      <c r="T412" s="85"/>
      <c r="U412" s="97"/>
      <c r="V412" s="85" t="str">
        <f t="array" ref="V412">IFERROR(index('3. Công thức lab theo từng mã h'!J:J,MATCH(C412,'3. Công thức lab theo từng mã h'!L:L,0)),"")</f>
        <v/>
      </c>
      <c r="W412" s="85"/>
      <c r="X412" s="75"/>
    </row>
    <row r="413">
      <c r="A413" s="64">
        <f t="shared" si="2"/>
        <v>0</v>
      </c>
      <c r="B413" s="98"/>
      <c r="C413" s="64"/>
      <c r="D413" s="16"/>
      <c r="E413" s="16"/>
      <c r="F413" s="100"/>
      <c r="G413" s="101"/>
      <c r="H413" s="16"/>
      <c r="I413" s="16"/>
      <c r="J413" s="16"/>
      <c r="K413" s="16"/>
      <c r="L413" s="16"/>
      <c r="M413" s="16"/>
      <c r="N413" s="100"/>
      <c r="O413" s="100"/>
      <c r="P413" s="100"/>
      <c r="Q413" s="106"/>
      <c r="R413" s="107"/>
      <c r="S413" s="104"/>
      <c r="T413" s="74"/>
      <c r="U413" s="108"/>
      <c r="V413" s="74" t="str">
        <f t="array" ref="V413">IFERROR(index('3. Công thức lab theo từng mã h'!J:J,MATCH(C413,'3. Công thức lab theo từng mã h'!L:L,0)),"")</f>
        <v/>
      </c>
      <c r="W413" s="74"/>
      <c r="X413" s="75"/>
    </row>
    <row r="414">
      <c r="A414" s="76">
        <f t="shared" si="2"/>
        <v>0</v>
      </c>
      <c r="B414" s="88"/>
      <c r="C414" s="76"/>
      <c r="D414" s="86"/>
      <c r="E414" s="86"/>
      <c r="F414" s="90"/>
      <c r="G414" s="91"/>
      <c r="H414" s="86"/>
      <c r="I414" s="86"/>
      <c r="J414" s="86"/>
      <c r="K414" s="86"/>
      <c r="L414" s="86"/>
      <c r="M414" s="86"/>
      <c r="N414" s="90"/>
      <c r="O414" s="90"/>
      <c r="P414" s="90"/>
      <c r="Q414" s="106"/>
      <c r="R414" s="95"/>
      <c r="S414" s="96"/>
      <c r="T414" s="85"/>
      <c r="U414" s="97"/>
      <c r="V414" s="85" t="str">
        <f t="array" ref="V414">IFERROR(index('3. Công thức lab theo từng mã h'!J:J,MATCH(C414,'3. Công thức lab theo từng mã h'!L:L,0)),"")</f>
        <v/>
      </c>
      <c r="W414" s="85"/>
      <c r="X414" s="75"/>
    </row>
    <row r="415">
      <c r="A415" s="64">
        <f t="shared" si="2"/>
        <v>0</v>
      </c>
      <c r="B415" s="98"/>
      <c r="C415" s="64"/>
      <c r="D415" s="16"/>
      <c r="E415" s="16"/>
      <c r="F415" s="100"/>
      <c r="G415" s="101"/>
      <c r="H415" s="16"/>
      <c r="I415" s="16"/>
      <c r="J415" s="16"/>
      <c r="K415" s="16"/>
      <c r="L415" s="16"/>
      <c r="M415" s="16"/>
      <c r="N415" s="100"/>
      <c r="O415" s="100"/>
      <c r="P415" s="100"/>
      <c r="Q415" s="106"/>
      <c r="R415" s="107"/>
      <c r="S415" s="104"/>
      <c r="T415" s="74"/>
      <c r="U415" s="108"/>
      <c r="V415" s="74" t="str">
        <f t="array" ref="V415">IFERROR(index('3. Công thức lab theo từng mã h'!J:J,MATCH(C415,'3. Công thức lab theo từng mã h'!L:L,0)),"")</f>
        <v/>
      </c>
      <c r="W415" s="74"/>
      <c r="X415" s="75"/>
    </row>
    <row r="416">
      <c r="A416" s="76">
        <f t="shared" si="2"/>
        <v>0</v>
      </c>
      <c r="B416" s="88"/>
      <c r="C416" s="76"/>
      <c r="D416" s="86"/>
      <c r="E416" s="86"/>
      <c r="F416" s="90"/>
      <c r="G416" s="91"/>
      <c r="H416" s="86"/>
      <c r="I416" s="86"/>
      <c r="J416" s="86"/>
      <c r="K416" s="86"/>
      <c r="L416" s="86"/>
      <c r="M416" s="86"/>
      <c r="N416" s="90"/>
      <c r="O416" s="90"/>
      <c r="P416" s="90"/>
      <c r="Q416" s="106"/>
      <c r="R416" s="95"/>
      <c r="S416" s="96"/>
      <c r="T416" s="85"/>
      <c r="U416" s="97"/>
      <c r="V416" s="85" t="str">
        <f t="array" ref="V416">IFERROR(index('3. Công thức lab theo từng mã h'!J:J,MATCH(C416,'3. Công thức lab theo từng mã h'!L:L,0)),"")</f>
        <v/>
      </c>
      <c r="W416" s="85"/>
      <c r="X416" s="75"/>
    </row>
    <row r="417">
      <c r="A417" s="64">
        <f t="shared" si="2"/>
        <v>0</v>
      </c>
      <c r="B417" s="98"/>
      <c r="C417" s="64"/>
      <c r="D417" s="16"/>
      <c r="E417" s="16"/>
      <c r="F417" s="100"/>
      <c r="G417" s="101"/>
      <c r="H417" s="16"/>
      <c r="I417" s="16"/>
      <c r="J417" s="16"/>
      <c r="K417" s="16"/>
      <c r="L417" s="16"/>
      <c r="M417" s="16"/>
      <c r="N417" s="100"/>
      <c r="O417" s="100"/>
      <c r="P417" s="100"/>
      <c r="Q417" s="106"/>
      <c r="R417" s="107"/>
      <c r="S417" s="104"/>
      <c r="T417" s="74"/>
      <c r="U417" s="108"/>
      <c r="V417" s="74" t="str">
        <f t="array" ref="V417">IFERROR(index('3. Công thức lab theo từng mã h'!J:J,MATCH(C417,'3. Công thức lab theo từng mã h'!L:L,0)),"")</f>
        <v/>
      </c>
      <c r="W417" s="74"/>
      <c r="X417" s="75"/>
    </row>
    <row r="418">
      <c r="A418" s="76">
        <f t="shared" si="2"/>
        <v>0</v>
      </c>
      <c r="B418" s="88"/>
      <c r="C418" s="76"/>
      <c r="D418" s="86"/>
      <c r="E418" s="86"/>
      <c r="F418" s="90"/>
      <c r="G418" s="91"/>
      <c r="H418" s="86"/>
      <c r="I418" s="86"/>
      <c r="J418" s="86"/>
      <c r="K418" s="86"/>
      <c r="L418" s="86"/>
      <c r="M418" s="86"/>
      <c r="N418" s="90"/>
      <c r="O418" s="90"/>
      <c r="P418" s="90"/>
      <c r="Q418" s="106"/>
      <c r="R418" s="95"/>
      <c r="S418" s="96"/>
      <c r="T418" s="85"/>
      <c r="U418" s="97"/>
      <c r="V418" s="85" t="str">
        <f t="array" ref="V418">IFERROR(index('3. Công thức lab theo từng mã h'!J:J,MATCH(C418,'3. Công thức lab theo từng mã h'!L:L,0)),"")</f>
        <v/>
      </c>
      <c r="W418" s="85"/>
      <c r="X418" s="75"/>
    </row>
    <row r="419">
      <c r="A419" s="64">
        <f t="shared" si="2"/>
        <v>0</v>
      </c>
      <c r="B419" s="98"/>
      <c r="C419" s="64"/>
      <c r="D419" s="16"/>
      <c r="E419" s="16"/>
      <c r="F419" s="100"/>
      <c r="G419" s="101"/>
      <c r="H419" s="16"/>
      <c r="I419" s="16"/>
      <c r="J419" s="16"/>
      <c r="K419" s="16"/>
      <c r="L419" s="16"/>
      <c r="M419" s="16"/>
      <c r="N419" s="100"/>
      <c r="O419" s="100"/>
      <c r="P419" s="100"/>
      <c r="Q419" s="106"/>
      <c r="R419" s="107"/>
      <c r="S419" s="104"/>
      <c r="T419" s="74"/>
      <c r="U419" s="108"/>
      <c r="V419" s="74" t="str">
        <f t="array" ref="V419">IFERROR(index('3. Công thức lab theo từng mã h'!J:J,MATCH(C419,'3. Công thức lab theo từng mã h'!L:L,0)),"")</f>
        <v/>
      </c>
      <c r="W419" s="74"/>
      <c r="X419" s="75"/>
    </row>
    <row r="420">
      <c r="A420" s="76">
        <f t="shared" si="2"/>
        <v>0</v>
      </c>
      <c r="B420" s="88"/>
      <c r="C420" s="76"/>
      <c r="D420" s="86"/>
      <c r="E420" s="86"/>
      <c r="F420" s="90"/>
      <c r="G420" s="91"/>
      <c r="H420" s="86"/>
      <c r="I420" s="86"/>
      <c r="J420" s="86"/>
      <c r="K420" s="86"/>
      <c r="L420" s="86"/>
      <c r="M420" s="86"/>
      <c r="N420" s="90"/>
      <c r="O420" s="90"/>
      <c r="P420" s="90"/>
      <c r="Q420" s="106"/>
      <c r="R420" s="95"/>
      <c r="S420" s="96"/>
      <c r="T420" s="85"/>
      <c r="U420" s="97"/>
      <c r="V420" s="85" t="str">
        <f t="array" ref="V420">IFERROR(index('3. Công thức lab theo từng mã h'!J:J,MATCH(C420,'3. Công thức lab theo từng mã h'!L:L,0)),"")</f>
        <v/>
      </c>
      <c r="W420" s="85"/>
      <c r="X420" s="75"/>
    </row>
    <row r="421">
      <c r="A421" s="64">
        <f t="shared" si="2"/>
        <v>0</v>
      </c>
      <c r="B421" s="98"/>
      <c r="C421" s="64"/>
      <c r="D421" s="16"/>
      <c r="E421" s="16"/>
      <c r="F421" s="100"/>
      <c r="G421" s="101"/>
      <c r="H421" s="16"/>
      <c r="I421" s="16"/>
      <c r="J421" s="16"/>
      <c r="K421" s="16"/>
      <c r="L421" s="16"/>
      <c r="M421" s="16"/>
      <c r="N421" s="100"/>
      <c r="O421" s="100"/>
      <c r="P421" s="100"/>
      <c r="Q421" s="106"/>
      <c r="R421" s="107"/>
      <c r="S421" s="104"/>
      <c r="T421" s="74"/>
      <c r="U421" s="108"/>
      <c r="V421" s="74" t="str">
        <f t="array" ref="V421">IFERROR(index('3. Công thức lab theo từng mã h'!J:J,MATCH(C421,'3. Công thức lab theo từng mã h'!L:L,0)),"")</f>
        <v/>
      </c>
      <c r="W421" s="74"/>
      <c r="X421" s="75"/>
    </row>
    <row r="422">
      <c r="A422" s="76">
        <f t="shared" si="2"/>
        <v>0</v>
      </c>
      <c r="B422" s="88"/>
      <c r="C422" s="76"/>
      <c r="D422" s="86"/>
      <c r="E422" s="86"/>
      <c r="F422" s="90"/>
      <c r="G422" s="91"/>
      <c r="H422" s="86"/>
      <c r="I422" s="86"/>
      <c r="J422" s="86"/>
      <c r="K422" s="86"/>
      <c r="L422" s="86"/>
      <c r="M422" s="86"/>
      <c r="N422" s="90"/>
      <c r="O422" s="90"/>
      <c r="P422" s="90"/>
      <c r="Q422" s="106"/>
      <c r="R422" s="95"/>
      <c r="S422" s="96"/>
      <c r="T422" s="85"/>
      <c r="U422" s="97"/>
      <c r="V422" s="85" t="str">
        <f t="array" ref="V422">IFERROR(index('3. Công thức lab theo từng mã h'!J:J,MATCH(C422,'3. Công thức lab theo từng mã h'!L:L,0)),"")</f>
        <v/>
      </c>
      <c r="W422" s="85"/>
      <c r="X422" s="75"/>
    </row>
    <row r="423">
      <c r="A423" s="64">
        <f t="shared" si="2"/>
        <v>0</v>
      </c>
      <c r="B423" s="98"/>
      <c r="C423" s="64"/>
      <c r="D423" s="16"/>
      <c r="E423" s="16"/>
      <c r="F423" s="100"/>
      <c r="G423" s="101"/>
      <c r="H423" s="16"/>
      <c r="I423" s="16"/>
      <c r="J423" s="16"/>
      <c r="K423" s="16"/>
      <c r="L423" s="16"/>
      <c r="M423" s="16"/>
      <c r="N423" s="100"/>
      <c r="O423" s="100"/>
      <c r="P423" s="100"/>
      <c r="Q423" s="106"/>
      <c r="R423" s="107"/>
      <c r="S423" s="104"/>
      <c r="T423" s="74"/>
      <c r="U423" s="108"/>
      <c r="V423" s="74" t="str">
        <f t="array" ref="V423">IFERROR(index('3. Công thức lab theo từng mã h'!J:J,MATCH(C423,'3. Công thức lab theo từng mã h'!L:L,0)),"")</f>
        <v/>
      </c>
      <c r="W423" s="74"/>
      <c r="X423" s="75"/>
    </row>
    <row r="424">
      <c r="A424" s="76">
        <f t="shared" si="2"/>
        <v>0</v>
      </c>
      <c r="B424" s="88"/>
      <c r="C424" s="76"/>
      <c r="D424" s="86"/>
      <c r="E424" s="86"/>
      <c r="F424" s="90"/>
      <c r="G424" s="91"/>
      <c r="H424" s="86"/>
      <c r="I424" s="86"/>
      <c r="J424" s="86"/>
      <c r="K424" s="86"/>
      <c r="L424" s="86"/>
      <c r="M424" s="86"/>
      <c r="N424" s="90"/>
      <c r="O424" s="90"/>
      <c r="P424" s="90"/>
      <c r="Q424" s="106"/>
      <c r="R424" s="95"/>
      <c r="S424" s="96"/>
      <c r="T424" s="85"/>
      <c r="U424" s="97"/>
      <c r="V424" s="85" t="str">
        <f t="array" ref="V424">IFERROR(index('3. Công thức lab theo từng mã h'!J:J,MATCH(C424,'3. Công thức lab theo từng mã h'!L:L,0)),"")</f>
        <v/>
      </c>
      <c r="W424" s="85"/>
      <c r="X424" s="75"/>
    </row>
    <row r="425">
      <c r="A425" s="64">
        <f t="shared" si="2"/>
        <v>0</v>
      </c>
      <c r="B425" s="98"/>
      <c r="C425" s="64"/>
      <c r="D425" s="16"/>
      <c r="E425" s="16"/>
      <c r="F425" s="100"/>
      <c r="G425" s="101"/>
      <c r="H425" s="16"/>
      <c r="I425" s="16"/>
      <c r="J425" s="16"/>
      <c r="K425" s="16"/>
      <c r="L425" s="16"/>
      <c r="M425" s="16"/>
      <c r="N425" s="100"/>
      <c r="O425" s="100"/>
      <c r="P425" s="100"/>
      <c r="Q425" s="106"/>
      <c r="R425" s="107"/>
      <c r="S425" s="104"/>
      <c r="T425" s="74"/>
      <c r="U425" s="108"/>
      <c r="V425" s="74" t="str">
        <f t="array" ref="V425">IFERROR(index('3. Công thức lab theo từng mã h'!J:J,MATCH(C425,'3. Công thức lab theo từng mã h'!L:L,0)),"")</f>
        <v/>
      </c>
      <c r="W425" s="74"/>
      <c r="X425" s="75"/>
    </row>
    <row r="426">
      <c r="A426" s="76">
        <f t="shared" si="2"/>
        <v>0</v>
      </c>
      <c r="B426" s="88"/>
      <c r="C426" s="76"/>
      <c r="D426" s="86"/>
      <c r="E426" s="86"/>
      <c r="F426" s="90"/>
      <c r="G426" s="91"/>
      <c r="H426" s="86"/>
      <c r="I426" s="86"/>
      <c r="J426" s="86"/>
      <c r="K426" s="86"/>
      <c r="L426" s="86"/>
      <c r="M426" s="86"/>
      <c r="N426" s="90"/>
      <c r="O426" s="90"/>
      <c r="P426" s="90"/>
      <c r="Q426" s="106"/>
      <c r="R426" s="95"/>
      <c r="S426" s="96"/>
      <c r="T426" s="85"/>
      <c r="U426" s="97"/>
      <c r="V426" s="85" t="str">
        <f t="array" ref="V426">IFERROR(index('3. Công thức lab theo từng mã h'!J:J,MATCH(C426,'3. Công thức lab theo từng mã h'!L:L,0)),"")</f>
        <v/>
      </c>
      <c r="W426" s="85"/>
      <c r="X426" s="75"/>
    </row>
    <row r="427">
      <c r="A427" s="64">
        <f t="shared" si="2"/>
        <v>0</v>
      </c>
      <c r="B427" s="98"/>
      <c r="C427" s="64"/>
      <c r="D427" s="16"/>
      <c r="E427" s="16"/>
      <c r="F427" s="100"/>
      <c r="G427" s="101"/>
      <c r="H427" s="16"/>
      <c r="I427" s="16"/>
      <c r="J427" s="16"/>
      <c r="K427" s="16"/>
      <c r="L427" s="16"/>
      <c r="M427" s="16"/>
      <c r="N427" s="100"/>
      <c r="O427" s="100"/>
      <c r="P427" s="100"/>
      <c r="Q427" s="106"/>
      <c r="R427" s="107"/>
      <c r="S427" s="104"/>
      <c r="T427" s="74"/>
      <c r="U427" s="108"/>
      <c r="V427" s="74" t="str">
        <f t="array" ref="V427">IFERROR(index('3. Công thức lab theo từng mã h'!J:J,MATCH(C427,'3. Công thức lab theo từng mã h'!L:L,0)),"")</f>
        <v/>
      </c>
      <c r="W427" s="74"/>
      <c r="X427" s="75"/>
    </row>
    <row r="428">
      <c r="A428" s="76">
        <f t="shared" si="2"/>
        <v>0</v>
      </c>
      <c r="B428" s="88"/>
      <c r="C428" s="76"/>
      <c r="D428" s="86"/>
      <c r="E428" s="86"/>
      <c r="F428" s="90"/>
      <c r="G428" s="91"/>
      <c r="H428" s="86"/>
      <c r="I428" s="86"/>
      <c r="J428" s="86"/>
      <c r="K428" s="86"/>
      <c r="L428" s="86"/>
      <c r="M428" s="86"/>
      <c r="N428" s="90"/>
      <c r="O428" s="90"/>
      <c r="P428" s="90"/>
      <c r="Q428" s="106"/>
      <c r="R428" s="95"/>
      <c r="S428" s="96"/>
      <c r="T428" s="85"/>
      <c r="U428" s="97"/>
      <c r="V428" s="85" t="str">
        <f t="array" ref="V428">IFERROR(index('3. Công thức lab theo từng mã h'!J:J,MATCH(C428,'3. Công thức lab theo từng mã h'!L:L,0)),"")</f>
        <v/>
      </c>
      <c r="W428" s="85"/>
      <c r="X428" s="75"/>
    </row>
    <row r="429">
      <c r="A429" s="64">
        <f t="shared" si="2"/>
        <v>0</v>
      </c>
      <c r="B429" s="98"/>
      <c r="C429" s="64"/>
      <c r="D429" s="16"/>
      <c r="E429" s="16"/>
      <c r="F429" s="100"/>
      <c r="G429" s="101"/>
      <c r="H429" s="16"/>
      <c r="I429" s="16"/>
      <c r="J429" s="16"/>
      <c r="K429" s="16"/>
      <c r="L429" s="16"/>
      <c r="M429" s="16"/>
      <c r="N429" s="100"/>
      <c r="O429" s="100"/>
      <c r="P429" s="100"/>
      <c r="Q429" s="106"/>
      <c r="R429" s="107"/>
      <c r="S429" s="104"/>
      <c r="T429" s="74"/>
      <c r="U429" s="108"/>
      <c r="V429" s="74" t="str">
        <f t="array" ref="V429">IFERROR(index('3. Công thức lab theo từng mã h'!J:J,MATCH(C429,'3. Công thức lab theo từng mã h'!L:L,0)),"")</f>
        <v/>
      </c>
      <c r="W429" s="74"/>
      <c r="X429" s="75"/>
    </row>
    <row r="430">
      <c r="A430" s="76">
        <f t="shared" si="2"/>
        <v>0</v>
      </c>
      <c r="B430" s="88"/>
      <c r="C430" s="76"/>
      <c r="D430" s="86"/>
      <c r="E430" s="86"/>
      <c r="F430" s="90"/>
      <c r="G430" s="91"/>
      <c r="H430" s="86"/>
      <c r="I430" s="86"/>
      <c r="J430" s="86"/>
      <c r="K430" s="86"/>
      <c r="L430" s="86"/>
      <c r="M430" s="86"/>
      <c r="N430" s="90"/>
      <c r="O430" s="90"/>
      <c r="P430" s="90"/>
      <c r="Q430" s="106"/>
      <c r="R430" s="95"/>
      <c r="S430" s="96"/>
      <c r="T430" s="85"/>
      <c r="U430" s="97"/>
      <c r="V430" s="85" t="str">
        <f t="array" ref="V430">IFERROR(index('3. Công thức lab theo từng mã h'!J:J,MATCH(C430,'3. Công thức lab theo từng mã h'!L:L,0)),"")</f>
        <v/>
      </c>
      <c r="W430" s="85"/>
      <c r="X430" s="75"/>
    </row>
    <row r="431">
      <c r="A431" s="64">
        <f t="shared" si="2"/>
        <v>0</v>
      </c>
      <c r="B431" s="98"/>
      <c r="C431" s="64"/>
      <c r="D431" s="16"/>
      <c r="E431" s="16"/>
      <c r="F431" s="100"/>
      <c r="G431" s="101"/>
      <c r="H431" s="16"/>
      <c r="I431" s="16"/>
      <c r="J431" s="16"/>
      <c r="K431" s="16"/>
      <c r="L431" s="16"/>
      <c r="M431" s="16"/>
      <c r="N431" s="100"/>
      <c r="O431" s="100"/>
      <c r="P431" s="100"/>
      <c r="Q431" s="106"/>
      <c r="R431" s="107"/>
      <c r="S431" s="104"/>
      <c r="T431" s="74"/>
      <c r="U431" s="108"/>
      <c r="V431" s="74" t="str">
        <f t="array" ref="V431">IFERROR(index('3. Công thức lab theo từng mã h'!J:J,MATCH(C431,'3. Công thức lab theo từng mã h'!L:L,0)),"")</f>
        <v/>
      </c>
      <c r="W431" s="74"/>
      <c r="X431" s="75"/>
    </row>
    <row r="432">
      <c r="A432" s="76">
        <f t="shared" si="2"/>
        <v>0</v>
      </c>
      <c r="B432" s="88"/>
      <c r="C432" s="76"/>
      <c r="D432" s="86"/>
      <c r="E432" s="86"/>
      <c r="F432" s="90"/>
      <c r="G432" s="91"/>
      <c r="H432" s="86"/>
      <c r="I432" s="86"/>
      <c r="J432" s="86"/>
      <c r="K432" s="86"/>
      <c r="L432" s="86"/>
      <c r="M432" s="86"/>
      <c r="N432" s="90"/>
      <c r="O432" s="90"/>
      <c r="P432" s="90"/>
      <c r="Q432" s="106"/>
      <c r="R432" s="95"/>
      <c r="S432" s="96"/>
      <c r="T432" s="85"/>
      <c r="U432" s="97"/>
      <c r="V432" s="85" t="str">
        <f t="array" ref="V432">IFERROR(index('3. Công thức lab theo từng mã h'!J:J,MATCH(C432,'3. Công thức lab theo từng mã h'!L:L,0)),"")</f>
        <v/>
      </c>
      <c r="W432" s="85"/>
      <c r="X432" s="75"/>
    </row>
    <row r="433">
      <c r="A433" s="64">
        <f t="shared" si="2"/>
        <v>0</v>
      </c>
      <c r="B433" s="98"/>
      <c r="C433" s="64"/>
      <c r="D433" s="16"/>
      <c r="E433" s="16"/>
      <c r="F433" s="100"/>
      <c r="G433" s="101"/>
      <c r="H433" s="16"/>
      <c r="I433" s="16"/>
      <c r="J433" s="16"/>
      <c r="K433" s="16"/>
      <c r="L433" s="16"/>
      <c r="M433" s="16"/>
      <c r="N433" s="100"/>
      <c r="O433" s="100"/>
      <c r="P433" s="100"/>
      <c r="Q433" s="106"/>
      <c r="R433" s="107"/>
      <c r="S433" s="104"/>
      <c r="T433" s="74"/>
      <c r="U433" s="108"/>
      <c r="V433" s="74" t="str">
        <f t="array" ref="V433">IFERROR(index('3. Công thức lab theo từng mã h'!J:J,MATCH(C433,'3. Công thức lab theo từng mã h'!L:L,0)),"")</f>
        <v/>
      </c>
      <c r="W433" s="74"/>
      <c r="X433" s="75"/>
    </row>
    <row r="434">
      <c r="A434" s="76">
        <f t="shared" si="2"/>
        <v>0</v>
      </c>
      <c r="B434" s="88"/>
      <c r="C434" s="76"/>
      <c r="D434" s="86"/>
      <c r="E434" s="86"/>
      <c r="F434" s="90"/>
      <c r="G434" s="91"/>
      <c r="H434" s="86"/>
      <c r="I434" s="86"/>
      <c r="J434" s="86"/>
      <c r="K434" s="86"/>
      <c r="L434" s="86"/>
      <c r="M434" s="86"/>
      <c r="N434" s="90"/>
      <c r="O434" s="90"/>
      <c r="P434" s="90"/>
      <c r="Q434" s="106"/>
      <c r="R434" s="95"/>
      <c r="S434" s="96"/>
      <c r="T434" s="85"/>
      <c r="U434" s="97"/>
      <c r="V434" s="85" t="str">
        <f t="array" ref="V434">IFERROR(index('3. Công thức lab theo từng mã h'!J:J,MATCH(C434,'3. Công thức lab theo từng mã h'!L:L,0)),"")</f>
        <v/>
      </c>
      <c r="W434" s="85"/>
      <c r="X434" s="75"/>
    </row>
    <row r="435">
      <c r="A435" s="64">
        <f t="shared" si="2"/>
        <v>0</v>
      </c>
      <c r="B435" s="98"/>
      <c r="C435" s="64"/>
      <c r="D435" s="16"/>
      <c r="E435" s="16"/>
      <c r="F435" s="100"/>
      <c r="G435" s="101"/>
      <c r="H435" s="16"/>
      <c r="I435" s="16"/>
      <c r="J435" s="16"/>
      <c r="K435" s="16"/>
      <c r="L435" s="16"/>
      <c r="M435" s="16"/>
      <c r="N435" s="100"/>
      <c r="O435" s="100"/>
      <c r="P435" s="100"/>
      <c r="Q435" s="106"/>
      <c r="R435" s="107"/>
      <c r="S435" s="104"/>
      <c r="T435" s="74"/>
      <c r="U435" s="108"/>
      <c r="V435" s="74" t="str">
        <f t="array" ref="V435">IFERROR(index('3. Công thức lab theo từng mã h'!J:J,MATCH(C435,'3. Công thức lab theo từng mã h'!L:L,0)),"")</f>
        <v/>
      </c>
      <c r="W435" s="74"/>
      <c r="X435" s="75"/>
    </row>
    <row r="436">
      <c r="A436" s="76">
        <f t="shared" si="2"/>
        <v>0</v>
      </c>
      <c r="B436" s="88"/>
      <c r="C436" s="76"/>
      <c r="D436" s="86"/>
      <c r="E436" s="86"/>
      <c r="F436" s="90"/>
      <c r="G436" s="91"/>
      <c r="H436" s="86"/>
      <c r="I436" s="86"/>
      <c r="J436" s="86"/>
      <c r="K436" s="86"/>
      <c r="L436" s="86"/>
      <c r="M436" s="86"/>
      <c r="N436" s="90"/>
      <c r="O436" s="90"/>
      <c r="P436" s="90"/>
      <c r="Q436" s="106"/>
      <c r="R436" s="95"/>
      <c r="S436" s="96"/>
      <c r="T436" s="85"/>
      <c r="U436" s="97"/>
      <c r="V436" s="85" t="str">
        <f t="array" ref="V436">IFERROR(index('3. Công thức lab theo từng mã h'!J:J,MATCH(C436,'3. Công thức lab theo từng mã h'!L:L,0)),"")</f>
        <v/>
      </c>
      <c r="W436" s="85"/>
      <c r="X436" s="75"/>
    </row>
    <row r="437">
      <c r="A437" s="64">
        <f t="shared" si="2"/>
        <v>0</v>
      </c>
      <c r="B437" s="98"/>
      <c r="C437" s="64"/>
      <c r="D437" s="16"/>
      <c r="E437" s="16"/>
      <c r="F437" s="100"/>
      <c r="G437" s="101"/>
      <c r="H437" s="16"/>
      <c r="I437" s="16"/>
      <c r="J437" s="16"/>
      <c r="K437" s="16"/>
      <c r="L437" s="16"/>
      <c r="M437" s="16"/>
      <c r="N437" s="100"/>
      <c r="O437" s="100"/>
      <c r="P437" s="100"/>
      <c r="Q437" s="106"/>
      <c r="R437" s="107"/>
      <c r="S437" s="104"/>
      <c r="T437" s="74"/>
      <c r="U437" s="108"/>
      <c r="V437" s="74" t="str">
        <f t="array" ref="V437">IFERROR(index('3. Công thức lab theo từng mã h'!J:J,MATCH(C437,'3. Công thức lab theo từng mã h'!L:L,0)),"")</f>
        <v/>
      </c>
      <c r="W437" s="74"/>
      <c r="X437" s="75"/>
    </row>
    <row r="438">
      <c r="A438" s="76">
        <f t="shared" si="2"/>
        <v>0</v>
      </c>
      <c r="B438" s="88"/>
      <c r="C438" s="76"/>
      <c r="D438" s="86"/>
      <c r="E438" s="86"/>
      <c r="F438" s="90"/>
      <c r="G438" s="91"/>
      <c r="H438" s="86"/>
      <c r="I438" s="86"/>
      <c r="J438" s="86"/>
      <c r="K438" s="86"/>
      <c r="L438" s="86"/>
      <c r="M438" s="86"/>
      <c r="N438" s="90"/>
      <c r="O438" s="90"/>
      <c r="P438" s="90"/>
      <c r="Q438" s="106"/>
      <c r="R438" s="95"/>
      <c r="S438" s="96"/>
      <c r="T438" s="85"/>
      <c r="U438" s="97"/>
      <c r="V438" s="85" t="str">
        <f t="array" ref="V438">IFERROR(index('3. Công thức lab theo từng mã h'!J:J,MATCH(C438,'3. Công thức lab theo từng mã h'!L:L,0)),"")</f>
        <v/>
      </c>
      <c r="W438" s="85"/>
      <c r="X438" s="75"/>
    </row>
    <row r="439">
      <c r="A439" s="64">
        <f t="shared" si="2"/>
        <v>0</v>
      </c>
      <c r="B439" s="98"/>
      <c r="C439" s="64"/>
      <c r="D439" s="16"/>
      <c r="E439" s="16"/>
      <c r="F439" s="100"/>
      <c r="G439" s="101"/>
      <c r="H439" s="16"/>
      <c r="I439" s="16"/>
      <c r="J439" s="16"/>
      <c r="K439" s="16"/>
      <c r="L439" s="16"/>
      <c r="M439" s="16"/>
      <c r="N439" s="100"/>
      <c r="O439" s="100"/>
      <c r="P439" s="100"/>
      <c r="Q439" s="106"/>
      <c r="R439" s="107"/>
      <c r="S439" s="104"/>
      <c r="T439" s="74"/>
      <c r="U439" s="108"/>
      <c r="V439" s="74" t="str">
        <f t="array" ref="V439">IFERROR(index('3. Công thức lab theo từng mã h'!J:J,MATCH(C439,'3. Công thức lab theo từng mã h'!L:L,0)),"")</f>
        <v/>
      </c>
      <c r="W439" s="74"/>
      <c r="X439" s="75"/>
    </row>
    <row r="440">
      <c r="A440" s="76">
        <f t="shared" si="2"/>
        <v>0</v>
      </c>
      <c r="B440" s="88"/>
      <c r="C440" s="76"/>
      <c r="D440" s="86"/>
      <c r="E440" s="86"/>
      <c r="F440" s="90"/>
      <c r="G440" s="91"/>
      <c r="H440" s="86"/>
      <c r="I440" s="86"/>
      <c r="J440" s="86"/>
      <c r="K440" s="86"/>
      <c r="L440" s="86"/>
      <c r="M440" s="86"/>
      <c r="N440" s="90"/>
      <c r="O440" s="90"/>
      <c r="P440" s="90"/>
      <c r="Q440" s="106"/>
      <c r="R440" s="95"/>
      <c r="S440" s="96"/>
      <c r="T440" s="85"/>
      <c r="U440" s="97"/>
      <c r="V440" s="85" t="str">
        <f t="array" ref="V440">IFERROR(index('3. Công thức lab theo từng mã h'!J:J,MATCH(C440,'3. Công thức lab theo từng mã h'!L:L,0)),"")</f>
        <v/>
      </c>
      <c r="W440" s="85"/>
      <c r="X440" s="75"/>
    </row>
    <row r="441">
      <c r="A441" s="64">
        <f t="shared" si="2"/>
        <v>0</v>
      </c>
      <c r="B441" s="98"/>
      <c r="C441" s="64"/>
      <c r="D441" s="16"/>
      <c r="E441" s="16"/>
      <c r="F441" s="100"/>
      <c r="G441" s="101"/>
      <c r="H441" s="16"/>
      <c r="I441" s="16"/>
      <c r="J441" s="16"/>
      <c r="K441" s="16"/>
      <c r="L441" s="16"/>
      <c r="M441" s="16"/>
      <c r="N441" s="100"/>
      <c r="O441" s="100"/>
      <c r="P441" s="100"/>
      <c r="Q441" s="106"/>
      <c r="R441" s="107"/>
      <c r="S441" s="104"/>
      <c r="T441" s="74"/>
      <c r="U441" s="108"/>
      <c r="V441" s="74" t="str">
        <f t="array" ref="V441">IFERROR(index('3. Công thức lab theo từng mã h'!J:J,MATCH(C441,'3. Công thức lab theo từng mã h'!L:L,0)),"")</f>
        <v/>
      </c>
      <c r="W441" s="74"/>
      <c r="X441" s="75"/>
    </row>
    <row r="442">
      <c r="A442" s="76">
        <f t="shared" si="2"/>
        <v>0</v>
      </c>
      <c r="B442" s="88"/>
      <c r="C442" s="76"/>
      <c r="D442" s="86"/>
      <c r="E442" s="86"/>
      <c r="F442" s="90"/>
      <c r="G442" s="91"/>
      <c r="H442" s="86"/>
      <c r="I442" s="86"/>
      <c r="J442" s="86"/>
      <c r="K442" s="86"/>
      <c r="L442" s="86"/>
      <c r="M442" s="86"/>
      <c r="N442" s="90"/>
      <c r="O442" s="90"/>
      <c r="P442" s="90"/>
      <c r="Q442" s="106"/>
      <c r="R442" s="95"/>
      <c r="S442" s="96"/>
      <c r="T442" s="85"/>
      <c r="U442" s="97"/>
      <c r="V442" s="85" t="str">
        <f t="array" ref="V442">IFERROR(index('3. Công thức lab theo từng mã h'!J:J,MATCH(C442,'3. Công thức lab theo từng mã h'!L:L,0)),"")</f>
        <v/>
      </c>
      <c r="W442" s="85"/>
      <c r="X442" s="75"/>
    </row>
    <row r="443">
      <c r="A443" s="64">
        <f t="shared" si="2"/>
        <v>0</v>
      </c>
      <c r="B443" s="98"/>
      <c r="C443" s="64"/>
      <c r="D443" s="16"/>
      <c r="E443" s="16"/>
      <c r="F443" s="100"/>
      <c r="G443" s="101"/>
      <c r="H443" s="16"/>
      <c r="I443" s="16"/>
      <c r="J443" s="16"/>
      <c r="K443" s="16"/>
      <c r="L443" s="16"/>
      <c r="M443" s="16"/>
      <c r="N443" s="100"/>
      <c r="O443" s="100"/>
      <c r="P443" s="100"/>
      <c r="Q443" s="106"/>
      <c r="R443" s="107"/>
      <c r="S443" s="104"/>
      <c r="T443" s="74"/>
      <c r="U443" s="108"/>
      <c r="V443" s="74" t="str">
        <f t="array" ref="V443">IFERROR(index('3. Công thức lab theo từng mã h'!J:J,MATCH(C443,'3. Công thức lab theo từng mã h'!L:L,0)),"")</f>
        <v/>
      </c>
      <c r="W443" s="74"/>
      <c r="X443" s="75"/>
    </row>
    <row r="444">
      <c r="A444" s="76">
        <f t="shared" si="2"/>
        <v>0</v>
      </c>
      <c r="B444" s="88"/>
      <c r="C444" s="76"/>
      <c r="D444" s="86"/>
      <c r="E444" s="86"/>
      <c r="F444" s="90"/>
      <c r="G444" s="91"/>
      <c r="H444" s="86"/>
      <c r="I444" s="86"/>
      <c r="J444" s="86"/>
      <c r="K444" s="86"/>
      <c r="L444" s="86"/>
      <c r="M444" s="86"/>
      <c r="N444" s="90"/>
      <c r="O444" s="90"/>
      <c r="P444" s="90"/>
      <c r="Q444" s="106"/>
      <c r="R444" s="95"/>
      <c r="S444" s="96"/>
      <c r="T444" s="85"/>
      <c r="U444" s="97"/>
      <c r="V444" s="85" t="str">
        <f t="array" ref="V444">IFERROR(index('3. Công thức lab theo từng mã h'!J:J,MATCH(C444,'3. Công thức lab theo từng mã h'!L:L,0)),"")</f>
        <v/>
      </c>
      <c r="W444" s="85"/>
      <c r="X444" s="75"/>
    </row>
    <row r="445">
      <c r="A445" s="64">
        <f t="shared" si="2"/>
        <v>0</v>
      </c>
      <c r="B445" s="98"/>
      <c r="C445" s="64"/>
      <c r="D445" s="16"/>
      <c r="E445" s="16"/>
      <c r="F445" s="100"/>
      <c r="G445" s="101"/>
      <c r="H445" s="16"/>
      <c r="I445" s="16"/>
      <c r="J445" s="16"/>
      <c r="K445" s="16"/>
      <c r="L445" s="16"/>
      <c r="M445" s="16"/>
      <c r="N445" s="100"/>
      <c r="O445" s="100"/>
      <c r="P445" s="100"/>
      <c r="Q445" s="106"/>
      <c r="R445" s="107"/>
      <c r="S445" s="104"/>
      <c r="T445" s="74"/>
      <c r="U445" s="108"/>
      <c r="V445" s="74" t="str">
        <f t="array" ref="V445">IFERROR(index('3. Công thức lab theo từng mã h'!J:J,MATCH(C445,'3. Công thức lab theo từng mã h'!L:L,0)),"")</f>
        <v/>
      </c>
      <c r="W445" s="74"/>
      <c r="X445" s="75"/>
    </row>
    <row r="446">
      <c r="A446" s="76">
        <f t="shared" si="2"/>
        <v>0</v>
      </c>
      <c r="B446" s="88"/>
      <c r="C446" s="76"/>
      <c r="D446" s="86"/>
      <c r="E446" s="86"/>
      <c r="F446" s="90"/>
      <c r="G446" s="91"/>
      <c r="H446" s="86"/>
      <c r="I446" s="86"/>
      <c r="J446" s="86"/>
      <c r="K446" s="86"/>
      <c r="L446" s="86"/>
      <c r="M446" s="86"/>
      <c r="N446" s="90"/>
      <c r="O446" s="90"/>
      <c r="P446" s="90"/>
      <c r="Q446" s="106"/>
      <c r="R446" s="95"/>
      <c r="S446" s="96"/>
      <c r="T446" s="85"/>
      <c r="U446" s="97"/>
      <c r="V446" s="85" t="str">
        <f t="array" ref="V446">IFERROR(index('3. Công thức lab theo từng mã h'!J:J,MATCH(C446,'3. Công thức lab theo từng mã h'!L:L,0)),"")</f>
        <v/>
      </c>
      <c r="W446" s="85"/>
      <c r="X446" s="75"/>
    </row>
    <row r="447">
      <c r="A447" s="64">
        <f t="shared" si="2"/>
        <v>0</v>
      </c>
      <c r="B447" s="98"/>
      <c r="C447" s="64"/>
      <c r="D447" s="16"/>
      <c r="E447" s="16"/>
      <c r="F447" s="100"/>
      <c r="G447" s="101"/>
      <c r="H447" s="16"/>
      <c r="I447" s="16"/>
      <c r="J447" s="16"/>
      <c r="K447" s="16"/>
      <c r="L447" s="16"/>
      <c r="M447" s="16"/>
      <c r="N447" s="100"/>
      <c r="O447" s="100"/>
      <c r="P447" s="100"/>
      <c r="Q447" s="106"/>
      <c r="R447" s="107"/>
      <c r="S447" s="104"/>
      <c r="T447" s="74"/>
      <c r="U447" s="108"/>
      <c r="V447" s="74" t="str">
        <f t="array" ref="V447">IFERROR(index('3. Công thức lab theo từng mã h'!J:J,MATCH(C447,'3. Công thức lab theo từng mã h'!L:L,0)),"")</f>
        <v/>
      </c>
      <c r="W447" s="74"/>
      <c r="X447" s="75"/>
    </row>
    <row r="448">
      <c r="A448" s="76">
        <f t="shared" si="2"/>
        <v>0</v>
      </c>
      <c r="B448" s="88"/>
      <c r="C448" s="76"/>
      <c r="D448" s="86"/>
      <c r="E448" s="86"/>
      <c r="F448" s="90"/>
      <c r="G448" s="91"/>
      <c r="H448" s="86"/>
      <c r="I448" s="86"/>
      <c r="J448" s="86"/>
      <c r="K448" s="86"/>
      <c r="L448" s="86"/>
      <c r="M448" s="86"/>
      <c r="N448" s="90"/>
      <c r="O448" s="90"/>
      <c r="P448" s="90"/>
      <c r="Q448" s="106"/>
      <c r="R448" s="95"/>
      <c r="S448" s="96"/>
      <c r="T448" s="85"/>
      <c r="U448" s="97"/>
      <c r="V448" s="85" t="str">
        <f t="array" ref="V448">IFERROR(index('3. Công thức lab theo từng mã h'!J:J,MATCH(C448,'3. Công thức lab theo từng mã h'!L:L,0)),"")</f>
        <v/>
      </c>
      <c r="W448" s="85"/>
      <c r="X448" s="75"/>
    </row>
    <row r="449">
      <c r="A449" s="64">
        <f t="shared" si="2"/>
        <v>0</v>
      </c>
      <c r="B449" s="98"/>
      <c r="C449" s="64"/>
      <c r="D449" s="16"/>
      <c r="E449" s="16"/>
      <c r="F449" s="100"/>
      <c r="G449" s="101"/>
      <c r="H449" s="16"/>
      <c r="I449" s="16"/>
      <c r="J449" s="16"/>
      <c r="K449" s="16"/>
      <c r="L449" s="16"/>
      <c r="M449" s="16"/>
      <c r="N449" s="100"/>
      <c r="O449" s="100"/>
      <c r="P449" s="100"/>
      <c r="Q449" s="106"/>
      <c r="R449" s="107"/>
      <c r="S449" s="104"/>
      <c r="T449" s="74"/>
      <c r="U449" s="108"/>
      <c r="V449" s="74" t="str">
        <f t="array" ref="V449">IFERROR(index('3. Công thức lab theo từng mã h'!J:J,MATCH(C449,'3. Công thức lab theo từng mã h'!L:L,0)),"")</f>
        <v/>
      </c>
      <c r="W449" s="74"/>
      <c r="X449" s="75"/>
    </row>
    <row r="450">
      <c r="A450" s="76">
        <f t="shared" si="2"/>
        <v>0</v>
      </c>
      <c r="B450" s="88"/>
      <c r="C450" s="76"/>
      <c r="D450" s="86"/>
      <c r="E450" s="86"/>
      <c r="F450" s="90"/>
      <c r="G450" s="91"/>
      <c r="H450" s="86"/>
      <c r="I450" s="86"/>
      <c r="J450" s="86"/>
      <c r="K450" s="86"/>
      <c r="L450" s="86"/>
      <c r="M450" s="86"/>
      <c r="N450" s="90"/>
      <c r="O450" s="90"/>
      <c r="P450" s="90"/>
      <c r="Q450" s="106"/>
      <c r="R450" s="95"/>
      <c r="S450" s="96"/>
      <c r="T450" s="85"/>
      <c r="U450" s="97"/>
      <c r="V450" s="85" t="str">
        <f t="array" ref="V450">IFERROR(index('3. Công thức lab theo từng mã h'!J:J,MATCH(C450,'3. Công thức lab theo từng mã h'!L:L,0)),"")</f>
        <v/>
      </c>
      <c r="W450" s="85"/>
      <c r="X450" s="75"/>
    </row>
    <row r="451">
      <c r="A451" s="64">
        <f t="shared" si="2"/>
        <v>0</v>
      </c>
      <c r="B451" s="98"/>
      <c r="C451" s="64"/>
      <c r="D451" s="16"/>
      <c r="E451" s="16"/>
      <c r="F451" s="100"/>
      <c r="G451" s="101"/>
      <c r="H451" s="16"/>
      <c r="I451" s="16"/>
      <c r="J451" s="16"/>
      <c r="K451" s="16"/>
      <c r="L451" s="16"/>
      <c r="M451" s="16"/>
      <c r="N451" s="100"/>
      <c r="O451" s="100"/>
      <c r="P451" s="100"/>
      <c r="Q451" s="106"/>
      <c r="R451" s="107"/>
      <c r="S451" s="104"/>
      <c r="T451" s="74"/>
      <c r="U451" s="108"/>
      <c r="V451" s="74" t="str">
        <f t="array" ref="V451">IFERROR(index('3. Công thức lab theo từng mã h'!J:J,MATCH(C451,'3. Công thức lab theo từng mã h'!L:L,0)),"")</f>
        <v/>
      </c>
      <c r="W451" s="74"/>
      <c r="X451" s="75"/>
    </row>
    <row r="452">
      <c r="A452" s="76">
        <f t="shared" si="2"/>
        <v>0</v>
      </c>
      <c r="B452" s="88"/>
      <c r="C452" s="76"/>
      <c r="D452" s="86"/>
      <c r="E452" s="86"/>
      <c r="F452" s="90"/>
      <c r="G452" s="91"/>
      <c r="H452" s="86"/>
      <c r="I452" s="86"/>
      <c r="J452" s="86"/>
      <c r="K452" s="86"/>
      <c r="L452" s="86"/>
      <c r="M452" s="86"/>
      <c r="N452" s="90"/>
      <c r="O452" s="90"/>
      <c r="P452" s="90"/>
      <c r="Q452" s="106"/>
      <c r="R452" s="95"/>
      <c r="S452" s="96"/>
      <c r="T452" s="85"/>
      <c r="U452" s="97"/>
      <c r="V452" s="85" t="str">
        <f t="array" ref="V452">IFERROR(index('3. Công thức lab theo từng mã h'!J:J,MATCH(C452,'3. Công thức lab theo từng mã h'!L:L,0)),"")</f>
        <v/>
      </c>
      <c r="W452" s="85"/>
      <c r="X452" s="75"/>
    </row>
    <row r="453">
      <c r="A453" s="64">
        <f t="shared" si="2"/>
        <v>0</v>
      </c>
      <c r="B453" s="98"/>
      <c r="C453" s="64"/>
      <c r="D453" s="16"/>
      <c r="E453" s="16"/>
      <c r="F453" s="100"/>
      <c r="G453" s="101"/>
      <c r="H453" s="16"/>
      <c r="I453" s="16"/>
      <c r="J453" s="16"/>
      <c r="K453" s="16"/>
      <c r="L453" s="16"/>
      <c r="M453" s="16"/>
      <c r="N453" s="100"/>
      <c r="O453" s="100"/>
      <c r="P453" s="100"/>
      <c r="Q453" s="106"/>
      <c r="R453" s="107"/>
      <c r="S453" s="104"/>
      <c r="T453" s="74"/>
      <c r="U453" s="108"/>
      <c r="V453" s="74" t="str">
        <f t="array" ref="V453">IFERROR(index('3. Công thức lab theo từng mã h'!J:J,MATCH(C453,'3. Công thức lab theo từng mã h'!L:L,0)),"")</f>
        <v/>
      </c>
      <c r="W453" s="74"/>
      <c r="X453" s="75"/>
    </row>
    <row r="454">
      <c r="A454" s="76">
        <f t="shared" si="2"/>
        <v>0</v>
      </c>
      <c r="B454" s="88"/>
      <c r="C454" s="76"/>
      <c r="D454" s="86"/>
      <c r="E454" s="86"/>
      <c r="F454" s="90"/>
      <c r="G454" s="91"/>
      <c r="H454" s="86"/>
      <c r="I454" s="86"/>
      <c r="J454" s="86"/>
      <c r="K454" s="86"/>
      <c r="L454" s="86"/>
      <c r="M454" s="86"/>
      <c r="N454" s="90"/>
      <c r="O454" s="90"/>
      <c r="P454" s="90"/>
      <c r="Q454" s="106"/>
      <c r="R454" s="95"/>
      <c r="S454" s="96"/>
      <c r="T454" s="85"/>
      <c r="U454" s="97"/>
      <c r="V454" s="85" t="str">
        <f t="array" ref="V454">IFERROR(index('3. Công thức lab theo từng mã h'!J:J,MATCH(C454,'3. Công thức lab theo từng mã h'!L:L,0)),"")</f>
        <v/>
      </c>
      <c r="W454" s="85"/>
      <c r="X454" s="75"/>
    </row>
    <row r="455">
      <c r="A455" s="64">
        <f t="shared" si="2"/>
        <v>0</v>
      </c>
      <c r="B455" s="98"/>
      <c r="C455" s="64"/>
      <c r="D455" s="16"/>
      <c r="E455" s="16"/>
      <c r="F455" s="100"/>
      <c r="G455" s="101"/>
      <c r="H455" s="16"/>
      <c r="I455" s="16"/>
      <c r="J455" s="16"/>
      <c r="K455" s="16"/>
      <c r="L455" s="16"/>
      <c r="M455" s="16"/>
      <c r="N455" s="100"/>
      <c r="O455" s="100"/>
      <c r="P455" s="100"/>
      <c r="Q455" s="106"/>
      <c r="R455" s="107"/>
      <c r="S455" s="104"/>
      <c r="T455" s="74"/>
      <c r="U455" s="108"/>
      <c r="V455" s="74" t="str">
        <f t="array" ref="V455">IFERROR(index('3. Công thức lab theo từng mã h'!J:J,MATCH(C455,'3. Công thức lab theo từng mã h'!L:L,0)),"")</f>
        <v/>
      </c>
      <c r="W455" s="74"/>
      <c r="X455" s="75"/>
    </row>
    <row r="456">
      <c r="A456" s="76">
        <f t="shared" si="2"/>
        <v>0</v>
      </c>
      <c r="B456" s="88"/>
      <c r="C456" s="76"/>
      <c r="D456" s="86"/>
      <c r="E456" s="86"/>
      <c r="F456" s="90"/>
      <c r="G456" s="91"/>
      <c r="H456" s="86"/>
      <c r="I456" s="86"/>
      <c r="J456" s="86"/>
      <c r="K456" s="86"/>
      <c r="L456" s="86"/>
      <c r="M456" s="86"/>
      <c r="N456" s="90"/>
      <c r="O456" s="90"/>
      <c r="P456" s="90"/>
      <c r="Q456" s="106"/>
      <c r="R456" s="95"/>
      <c r="S456" s="96"/>
      <c r="T456" s="85"/>
      <c r="U456" s="97"/>
      <c r="V456" s="85" t="str">
        <f t="array" ref="V456">IFERROR(index('3. Công thức lab theo từng mã h'!J:J,MATCH(C456,'3. Công thức lab theo từng mã h'!L:L,0)),"")</f>
        <v/>
      </c>
      <c r="W456" s="85"/>
      <c r="X456" s="75"/>
    </row>
    <row r="457">
      <c r="A457" s="64">
        <f t="shared" si="2"/>
        <v>0</v>
      </c>
      <c r="B457" s="98"/>
      <c r="C457" s="64"/>
      <c r="D457" s="16"/>
      <c r="E457" s="16"/>
      <c r="F457" s="100"/>
      <c r="G457" s="101"/>
      <c r="H457" s="16"/>
      <c r="I457" s="16"/>
      <c r="J457" s="16"/>
      <c r="K457" s="16"/>
      <c r="L457" s="16"/>
      <c r="M457" s="16"/>
      <c r="N457" s="100"/>
      <c r="O457" s="100"/>
      <c r="P457" s="100"/>
      <c r="Q457" s="106"/>
      <c r="R457" s="107"/>
      <c r="S457" s="104"/>
      <c r="T457" s="74"/>
      <c r="U457" s="108"/>
      <c r="V457" s="74" t="str">
        <f t="array" ref="V457">IFERROR(index('3. Công thức lab theo từng mã h'!J:J,MATCH(C457,'3. Công thức lab theo từng mã h'!L:L,0)),"")</f>
        <v/>
      </c>
      <c r="W457" s="74"/>
      <c r="X457" s="75"/>
    </row>
    <row r="458">
      <c r="A458" s="76">
        <f t="shared" si="2"/>
        <v>0</v>
      </c>
      <c r="B458" s="88"/>
      <c r="C458" s="76"/>
      <c r="D458" s="86"/>
      <c r="E458" s="86"/>
      <c r="F458" s="90"/>
      <c r="G458" s="91"/>
      <c r="H458" s="86"/>
      <c r="I458" s="86"/>
      <c r="J458" s="86"/>
      <c r="K458" s="86"/>
      <c r="L458" s="86"/>
      <c r="M458" s="86"/>
      <c r="N458" s="90"/>
      <c r="O458" s="90"/>
      <c r="P458" s="90"/>
      <c r="Q458" s="106"/>
      <c r="R458" s="95"/>
      <c r="S458" s="96"/>
      <c r="T458" s="85"/>
      <c r="U458" s="97"/>
      <c r="V458" s="85" t="str">
        <f t="array" ref="V458">IFERROR(index('3. Công thức lab theo từng mã h'!J:J,MATCH(C458,'3. Công thức lab theo từng mã h'!L:L,0)),"")</f>
        <v/>
      </c>
      <c r="W458" s="85"/>
      <c r="X458" s="75"/>
    </row>
    <row r="459">
      <c r="A459" s="64">
        <f t="shared" si="2"/>
        <v>0</v>
      </c>
      <c r="B459" s="98"/>
      <c r="C459" s="64"/>
      <c r="D459" s="16"/>
      <c r="E459" s="16"/>
      <c r="F459" s="100"/>
      <c r="G459" s="101"/>
      <c r="H459" s="16"/>
      <c r="I459" s="16"/>
      <c r="J459" s="16"/>
      <c r="K459" s="16"/>
      <c r="L459" s="16"/>
      <c r="M459" s="16"/>
      <c r="N459" s="100"/>
      <c r="O459" s="100"/>
      <c r="P459" s="100"/>
      <c r="Q459" s="106"/>
      <c r="R459" s="107"/>
      <c r="S459" s="104"/>
      <c r="T459" s="74"/>
      <c r="U459" s="108"/>
      <c r="V459" s="74" t="str">
        <f t="array" ref="V459">IFERROR(index('3. Công thức lab theo từng mã h'!J:J,MATCH(C459,'3. Công thức lab theo từng mã h'!L:L,0)),"")</f>
        <v/>
      </c>
      <c r="W459" s="74"/>
      <c r="X459" s="75"/>
    </row>
    <row r="460">
      <c r="A460" s="76">
        <f t="shared" si="2"/>
        <v>0</v>
      </c>
      <c r="B460" s="88"/>
      <c r="C460" s="76"/>
      <c r="D460" s="86"/>
      <c r="E460" s="86"/>
      <c r="F460" s="90"/>
      <c r="G460" s="91"/>
      <c r="H460" s="86"/>
      <c r="I460" s="86"/>
      <c r="J460" s="86"/>
      <c r="K460" s="86"/>
      <c r="L460" s="86"/>
      <c r="M460" s="86"/>
      <c r="N460" s="90"/>
      <c r="O460" s="90"/>
      <c r="P460" s="90"/>
      <c r="Q460" s="106"/>
      <c r="R460" s="95"/>
      <c r="S460" s="96"/>
      <c r="T460" s="85"/>
      <c r="U460" s="97"/>
      <c r="V460" s="85" t="str">
        <f t="array" ref="V460">IFERROR(index('3. Công thức lab theo từng mã h'!J:J,MATCH(C460,'3. Công thức lab theo từng mã h'!L:L,0)),"")</f>
        <v/>
      </c>
      <c r="W460" s="85"/>
      <c r="X460" s="75"/>
    </row>
    <row r="461">
      <c r="A461" s="64">
        <f t="shared" si="2"/>
        <v>0</v>
      </c>
      <c r="B461" s="98"/>
      <c r="C461" s="64"/>
      <c r="D461" s="16"/>
      <c r="E461" s="16"/>
      <c r="F461" s="100"/>
      <c r="G461" s="101"/>
      <c r="H461" s="16"/>
      <c r="I461" s="16"/>
      <c r="J461" s="16"/>
      <c r="K461" s="16"/>
      <c r="L461" s="16"/>
      <c r="M461" s="16"/>
      <c r="N461" s="100"/>
      <c r="O461" s="100"/>
      <c r="P461" s="100"/>
      <c r="Q461" s="106"/>
      <c r="R461" s="107"/>
      <c r="S461" s="104"/>
      <c r="T461" s="74"/>
      <c r="U461" s="108"/>
      <c r="V461" s="74" t="str">
        <f t="array" ref="V461">IFERROR(index('3. Công thức lab theo từng mã h'!J:J,MATCH(C461,'3. Công thức lab theo từng mã h'!L:L,0)),"")</f>
        <v/>
      </c>
      <c r="W461" s="74"/>
      <c r="X461" s="75"/>
    </row>
    <row r="462">
      <c r="A462" s="76">
        <f t="shared" si="2"/>
        <v>0</v>
      </c>
      <c r="B462" s="88"/>
      <c r="C462" s="76"/>
      <c r="D462" s="86"/>
      <c r="E462" s="86"/>
      <c r="F462" s="90"/>
      <c r="G462" s="91"/>
      <c r="H462" s="86"/>
      <c r="I462" s="86"/>
      <c r="J462" s="86"/>
      <c r="K462" s="86"/>
      <c r="L462" s="86"/>
      <c r="M462" s="86"/>
      <c r="N462" s="90"/>
      <c r="O462" s="90"/>
      <c r="P462" s="90"/>
      <c r="Q462" s="106"/>
      <c r="R462" s="95"/>
      <c r="S462" s="96"/>
      <c r="T462" s="85"/>
      <c r="U462" s="97"/>
      <c r="V462" s="85" t="str">
        <f t="array" ref="V462">IFERROR(index('3. Công thức lab theo từng mã h'!J:J,MATCH(C462,'3. Công thức lab theo từng mã h'!L:L,0)),"")</f>
        <v/>
      </c>
      <c r="W462" s="85"/>
      <c r="X462" s="75"/>
    </row>
    <row r="463">
      <c r="A463" s="64">
        <f t="shared" si="2"/>
        <v>0</v>
      </c>
      <c r="B463" s="98"/>
      <c r="C463" s="64"/>
      <c r="D463" s="16"/>
      <c r="E463" s="16"/>
      <c r="F463" s="100"/>
      <c r="G463" s="101"/>
      <c r="H463" s="16"/>
      <c r="I463" s="16"/>
      <c r="J463" s="16"/>
      <c r="K463" s="16"/>
      <c r="L463" s="16"/>
      <c r="M463" s="16"/>
      <c r="N463" s="100"/>
      <c r="O463" s="100"/>
      <c r="P463" s="100"/>
      <c r="Q463" s="106"/>
      <c r="R463" s="107"/>
      <c r="S463" s="104"/>
      <c r="T463" s="74"/>
      <c r="U463" s="108"/>
      <c r="V463" s="74" t="str">
        <f t="array" ref="V463">IFERROR(index('3. Công thức lab theo từng mã h'!J:J,MATCH(C463,'3. Công thức lab theo từng mã h'!L:L,0)),"")</f>
        <v/>
      </c>
      <c r="W463" s="74"/>
      <c r="X463" s="75"/>
    </row>
    <row r="464">
      <c r="A464" s="76">
        <f t="shared" si="2"/>
        <v>0</v>
      </c>
      <c r="B464" s="88"/>
      <c r="C464" s="76"/>
      <c r="D464" s="86"/>
      <c r="E464" s="86"/>
      <c r="F464" s="90"/>
      <c r="G464" s="91"/>
      <c r="H464" s="86"/>
      <c r="I464" s="86"/>
      <c r="J464" s="86"/>
      <c r="K464" s="86"/>
      <c r="L464" s="86"/>
      <c r="M464" s="86"/>
      <c r="N464" s="90"/>
      <c r="O464" s="90"/>
      <c r="P464" s="90"/>
      <c r="Q464" s="106"/>
      <c r="R464" s="95"/>
      <c r="S464" s="96"/>
      <c r="T464" s="85"/>
      <c r="U464" s="97"/>
      <c r="V464" s="85" t="str">
        <f t="array" ref="V464">IFERROR(index('3. Công thức lab theo từng mã h'!J:J,MATCH(C464,'3. Công thức lab theo từng mã h'!L:L,0)),"")</f>
        <v/>
      </c>
      <c r="W464" s="85"/>
      <c r="X464" s="75"/>
    </row>
    <row r="465">
      <c r="A465" s="64">
        <f t="shared" si="2"/>
        <v>0</v>
      </c>
      <c r="B465" s="98"/>
      <c r="C465" s="64"/>
      <c r="D465" s="16"/>
      <c r="E465" s="16"/>
      <c r="F465" s="100"/>
      <c r="G465" s="101"/>
      <c r="H465" s="16"/>
      <c r="I465" s="16"/>
      <c r="J465" s="16"/>
      <c r="K465" s="16"/>
      <c r="L465" s="16"/>
      <c r="M465" s="16"/>
      <c r="N465" s="100"/>
      <c r="O465" s="100"/>
      <c r="P465" s="100"/>
      <c r="Q465" s="106"/>
      <c r="R465" s="107"/>
      <c r="S465" s="104"/>
      <c r="T465" s="74"/>
      <c r="U465" s="108"/>
      <c r="V465" s="74" t="str">
        <f t="array" ref="V465">IFERROR(index('3. Công thức lab theo từng mã h'!J:J,MATCH(C465,'3. Công thức lab theo từng mã h'!L:L,0)),"")</f>
        <v/>
      </c>
      <c r="W465" s="74"/>
      <c r="X465" s="75"/>
    </row>
    <row r="466">
      <c r="A466" s="76">
        <f t="shared" si="2"/>
        <v>0</v>
      </c>
      <c r="B466" s="88"/>
      <c r="C466" s="76"/>
      <c r="D466" s="86"/>
      <c r="E466" s="86"/>
      <c r="F466" s="90"/>
      <c r="G466" s="91"/>
      <c r="H466" s="86"/>
      <c r="I466" s="86"/>
      <c r="J466" s="86"/>
      <c r="K466" s="86"/>
      <c r="L466" s="86"/>
      <c r="M466" s="86"/>
      <c r="N466" s="90"/>
      <c r="O466" s="90"/>
      <c r="P466" s="90"/>
      <c r="Q466" s="106"/>
      <c r="R466" s="95"/>
      <c r="S466" s="96"/>
      <c r="T466" s="85"/>
      <c r="U466" s="97"/>
      <c r="V466" s="85" t="str">
        <f t="array" ref="V466">IFERROR(index('3. Công thức lab theo từng mã h'!J:J,MATCH(C466,'3. Công thức lab theo từng mã h'!L:L,0)),"")</f>
        <v/>
      </c>
      <c r="W466" s="85"/>
      <c r="X466" s="75"/>
    </row>
    <row r="467">
      <c r="A467" s="64">
        <f t="shared" si="2"/>
        <v>0</v>
      </c>
      <c r="B467" s="98"/>
      <c r="C467" s="64"/>
      <c r="D467" s="16"/>
      <c r="E467" s="16"/>
      <c r="F467" s="100"/>
      <c r="G467" s="101"/>
      <c r="H467" s="16"/>
      <c r="I467" s="16"/>
      <c r="J467" s="16"/>
      <c r="K467" s="16"/>
      <c r="L467" s="16"/>
      <c r="M467" s="16"/>
      <c r="N467" s="100"/>
      <c r="O467" s="100"/>
      <c r="P467" s="100"/>
      <c r="Q467" s="106"/>
      <c r="R467" s="107"/>
      <c r="S467" s="104"/>
      <c r="T467" s="74"/>
      <c r="U467" s="108"/>
      <c r="V467" s="74" t="str">
        <f t="array" ref="V467">IFERROR(index('3. Công thức lab theo từng mã h'!J:J,MATCH(C467,'3. Công thức lab theo từng mã h'!L:L,0)),"")</f>
        <v/>
      </c>
      <c r="W467" s="74"/>
      <c r="X467" s="75"/>
    </row>
    <row r="468">
      <c r="A468" s="76">
        <f t="shared" si="2"/>
        <v>0</v>
      </c>
      <c r="B468" s="88"/>
      <c r="C468" s="76"/>
      <c r="D468" s="86"/>
      <c r="E468" s="86"/>
      <c r="F468" s="90"/>
      <c r="G468" s="91"/>
      <c r="H468" s="86"/>
      <c r="I468" s="86"/>
      <c r="J468" s="86"/>
      <c r="K468" s="86"/>
      <c r="L468" s="86"/>
      <c r="M468" s="86"/>
      <c r="N468" s="90"/>
      <c r="O468" s="90"/>
      <c r="P468" s="90"/>
      <c r="Q468" s="106"/>
      <c r="R468" s="95"/>
      <c r="S468" s="96"/>
      <c r="T468" s="85"/>
      <c r="U468" s="97"/>
      <c r="V468" s="85" t="str">
        <f t="array" ref="V468">IFERROR(index('3. Công thức lab theo từng mã h'!J:J,MATCH(C468,'3. Công thức lab theo từng mã h'!L:L,0)),"")</f>
        <v/>
      </c>
      <c r="W468" s="85"/>
      <c r="X468" s="75"/>
    </row>
    <row r="469">
      <c r="A469" s="64">
        <f t="shared" si="2"/>
        <v>0</v>
      </c>
      <c r="B469" s="98"/>
      <c r="C469" s="64"/>
      <c r="D469" s="16"/>
      <c r="E469" s="16"/>
      <c r="F469" s="100"/>
      <c r="G469" s="101"/>
      <c r="H469" s="16"/>
      <c r="I469" s="16"/>
      <c r="J469" s="16"/>
      <c r="K469" s="16"/>
      <c r="L469" s="16"/>
      <c r="M469" s="16"/>
      <c r="N469" s="100"/>
      <c r="O469" s="100"/>
      <c r="P469" s="100"/>
      <c r="Q469" s="106"/>
      <c r="R469" s="107"/>
      <c r="S469" s="104"/>
      <c r="T469" s="74"/>
      <c r="U469" s="108"/>
      <c r="V469" s="74" t="str">
        <f t="array" ref="V469">IFERROR(index('3. Công thức lab theo từng mã h'!J:J,MATCH(C469,'3. Công thức lab theo từng mã h'!L:L,0)),"")</f>
        <v/>
      </c>
      <c r="W469" s="74"/>
      <c r="X469" s="75"/>
    </row>
    <row r="470">
      <c r="A470" s="76">
        <f t="shared" si="2"/>
        <v>0</v>
      </c>
      <c r="B470" s="88"/>
      <c r="C470" s="76"/>
      <c r="D470" s="86"/>
      <c r="E470" s="86"/>
      <c r="F470" s="90"/>
      <c r="G470" s="91"/>
      <c r="H470" s="86"/>
      <c r="I470" s="86"/>
      <c r="J470" s="86"/>
      <c r="K470" s="86"/>
      <c r="L470" s="86"/>
      <c r="M470" s="86"/>
      <c r="N470" s="90"/>
      <c r="O470" s="90"/>
      <c r="P470" s="90"/>
      <c r="Q470" s="106"/>
      <c r="R470" s="95"/>
      <c r="S470" s="96"/>
      <c r="T470" s="85"/>
      <c r="U470" s="97"/>
      <c r="V470" s="85" t="str">
        <f t="array" ref="V470">IFERROR(index('3. Công thức lab theo từng mã h'!J:J,MATCH(C470,'3. Công thức lab theo từng mã h'!L:L,0)),"")</f>
        <v/>
      </c>
      <c r="W470" s="85"/>
      <c r="X470" s="75"/>
    </row>
    <row r="471">
      <c r="A471" s="64">
        <f t="shared" si="2"/>
        <v>0</v>
      </c>
      <c r="B471" s="98"/>
      <c r="C471" s="64"/>
      <c r="D471" s="16"/>
      <c r="E471" s="16"/>
      <c r="F471" s="100"/>
      <c r="G471" s="101"/>
      <c r="H471" s="16"/>
      <c r="I471" s="16"/>
      <c r="J471" s="16"/>
      <c r="K471" s="16"/>
      <c r="L471" s="16"/>
      <c r="M471" s="16"/>
      <c r="N471" s="100"/>
      <c r="O471" s="100"/>
      <c r="P471" s="100"/>
      <c r="Q471" s="106"/>
      <c r="R471" s="107"/>
      <c r="S471" s="104"/>
      <c r="T471" s="74"/>
      <c r="U471" s="108"/>
      <c r="V471" s="74" t="str">
        <f t="array" ref="V471">IFERROR(index('3. Công thức lab theo từng mã h'!J:J,MATCH(C471,'3. Công thức lab theo từng mã h'!L:L,0)),"")</f>
        <v/>
      </c>
      <c r="W471" s="74"/>
      <c r="X471" s="75"/>
    </row>
    <row r="472">
      <c r="A472" s="76">
        <f t="shared" si="2"/>
        <v>0</v>
      </c>
      <c r="B472" s="88"/>
      <c r="C472" s="76"/>
      <c r="D472" s="86"/>
      <c r="E472" s="86"/>
      <c r="F472" s="90"/>
      <c r="G472" s="91"/>
      <c r="H472" s="86"/>
      <c r="I472" s="86"/>
      <c r="J472" s="86"/>
      <c r="K472" s="86"/>
      <c r="L472" s="86"/>
      <c r="M472" s="86"/>
      <c r="N472" s="90"/>
      <c r="O472" s="90"/>
      <c r="P472" s="90"/>
      <c r="Q472" s="106"/>
      <c r="R472" s="95"/>
      <c r="S472" s="96"/>
      <c r="T472" s="85"/>
      <c r="U472" s="97"/>
      <c r="V472" s="85" t="str">
        <f t="array" ref="V472">IFERROR(index('3. Công thức lab theo từng mã h'!J:J,MATCH(C472,'3. Công thức lab theo từng mã h'!L:L,0)),"")</f>
        <v/>
      </c>
      <c r="W472" s="85"/>
      <c r="X472" s="75"/>
    </row>
    <row r="473">
      <c r="A473" s="64">
        <f t="shared" si="2"/>
        <v>0</v>
      </c>
      <c r="B473" s="98"/>
      <c r="C473" s="64"/>
      <c r="D473" s="16"/>
      <c r="E473" s="16"/>
      <c r="F473" s="100"/>
      <c r="G473" s="101"/>
      <c r="H473" s="16"/>
      <c r="I473" s="16"/>
      <c r="J473" s="16"/>
      <c r="K473" s="16"/>
      <c r="L473" s="16"/>
      <c r="M473" s="16"/>
      <c r="N473" s="100"/>
      <c r="O473" s="100"/>
      <c r="P473" s="100"/>
      <c r="Q473" s="106"/>
      <c r="R473" s="107"/>
      <c r="S473" s="104"/>
      <c r="T473" s="74"/>
      <c r="U473" s="108"/>
      <c r="V473" s="74" t="str">
        <f t="array" ref="V473">IFERROR(index('3. Công thức lab theo từng mã h'!J:J,MATCH(C473,'3. Công thức lab theo từng mã h'!L:L,0)),"")</f>
        <v/>
      </c>
      <c r="W473" s="74"/>
      <c r="X473" s="75"/>
    </row>
    <row r="474">
      <c r="A474" s="76">
        <f t="shared" si="2"/>
        <v>0</v>
      </c>
      <c r="B474" s="88"/>
      <c r="C474" s="76"/>
      <c r="D474" s="86"/>
      <c r="E474" s="86"/>
      <c r="F474" s="90"/>
      <c r="G474" s="91"/>
      <c r="H474" s="86"/>
      <c r="I474" s="86"/>
      <c r="J474" s="86"/>
      <c r="K474" s="86"/>
      <c r="L474" s="86"/>
      <c r="M474" s="86"/>
      <c r="N474" s="90"/>
      <c r="O474" s="90"/>
      <c r="P474" s="90"/>
      <c r="Q474" s="106"/>
      <c r="R474" s="95"/>
      <c r="S474" s="96"/>
      <c r="T474" s="85"/>
      <c r="U474" s="97"/>
      <c r="V474" s="85" t="str">
        <f t="array" ref="V474">IFERROR(index('3. Công thức lab theo từng mã h'!J:J,MATCH(C474,'3. Công thức lab theo từng mã h'!L:L,0)),"")</f>
        <v/>
      </c>
      <c r="W474" s="85"/>
      <c r="X474" s="75"/>
    </row>
    <row r="475">
      <c r="A475" s="64">
        <f t="shared" si="2"/>
        <v>0</v>
      </c>
      <c r="B475" s="98"/>
      <c r="C475" s="64"/>
      <c r="D475" s="16"/>
      <c r="E475" s="16"/>
      <c r="F475" s="100"/>
      <c r="G475" s="101"/>
      <c r="H475" s="16"/>
      <c r="I475" s="16"/>
      <c r="J475" s="16"/>
      <c r="K475" s="16"/>
      <c r="L475" s="16"/>
      <c r="M475" s="16"/>
      <c r="N475" s="100"/>
      <c r="O475" s="100"/>
      <c r="P475" s="100"/>
      <c r="Q475" s="106"/>
      <c r="R475" s="107"/>
      <c r="S475" s="104"/>
      <c r="T475" s="74"/>
      <c r="U475" s="108"/>
      <c r="V475" s="74" t="str">
        <f t="array" ref="V475">IFERROR(index('3. Công thức lab theo từng mã h'!J:J,MATCH(C475,'3. Công thức lab theo từng mã h'!L:L,0)),"")</f>
        <v/>
      </c>
      <c r="W475" s="74"/>
      <c r="X475" s="75"/>
    </row>
    <row r="476">
      <c r="A476" s="76">
        <f t="shared" si="2"/>
        <v>0</v>
      </c>
      <c r="B476" s="88"/>
      <c r="C476" s="76"/>
      <c r="D476" s="86"/>
      <c r="E476" s="86"/>
      <c r="F476" s="90"/>
      <c r="G476" s="91"/>
      <c r="H476" s="86"/>
      <c r="I476" s="86"/>
      <c r="J476" s="86"/>
      <c r="K476" s="86"/>
      <c r="L476" s="86"/>
      <c r="M476" s="86"/>
      <c r="N476" s="90"/>
      <c r="O476" s="90"/>
      <c r="P476" s="90"/>
      <c r="Q476" s="106"/>
      <c r="R476" s="95"/>
      <c r="S476" s="96"/>
      <c r="T476" s="85"/>
      <c r="U476" s="97"/>
      <c r="V476" s="85" t="str">
        <f t="array" ref="V476">IFERROR(index('3. Công thức lab theo từng mã h'!J:J,MATCH(C476,'3. Công thức lab theo từng mã h'!L:L,0)),"")</f>
        <v/>
      </c>
      <c r="W476" s="85"/>
      <c r="X476" s="75"/>
    </row>
    <row r="477">
      <c r="A477" s="64">
        <f t="shared" si="2"/>
        <v>0</v>
      </c>
      <c r="B477" s="98"/>
      <c r="C477" s="64"/>
      <c r="D477" s="16"/>
      <c r="E477" s="16"/>
      <c r="F477" s="100"/>
      <c r="G477" s="101"/>
      <c r="H477" s="16"/>
      <c r="I477" s="16"/>
      <c r="J477" s="16"/>
      <c r="K477" s="16"/>
      <c r="L477" s="16"/>
      <c r="M477" s="16"/>
      <c r="N477" s="100"/>
      <c r="O477" s="100"/>
      <c r="P477" s="100"/>
      <c r="Q477" s="106"/>
      <c r="R477" s="107"/>
      <c r="S477" s="104"/>
      <c r="T477" s="74"/>
      <c r="U477" s="108"/>
      <c r="V477" s="74" t="str">
        <f t="array" ref="V477">IFERROR(index('3. Công thức lab theo từng mã h'!J:J,MATCH(C477,'3. Công thức lab theo từng mã h'!L:L,0)),"")</f>
        <v/>
      </c>
      <c r="W477" s="74"/>
      <c r="X477" s="75"/>
    </row>
    <row r="478">
      <c r="A478" s="76">
        <f t="shared" si="2"/>
        <v>0</v>
      </c>
      <c r="B478" s="88"/>
      <c r="C478" s="76"/>
      <c r="D478" s="86"/>
      <c r="E478" s="86"/>
      <c r="F478" s="90"/>
      <c r="G478" s="91"/>
      <c r="H478" s="86"/>
      <c r="I478" s="86"/>
      <c r="J478" s="86"/>
      <c r="K478" s="86"/>
      <c r="L478" s="86"/>
      <c r="M478" s="86"/>
      <c r="N478" s="90"/>
      <c r="O478" s="90"/>
      <c r="P478" s="90"/>
      <c r="Q478" s="106"/>
      <c r="R478" s="95"/>
      <c r="S478" s="96"/>
      <c r="T478" s="85"/>
      <c r="U478" s="97"/>
      <c r="V478" s="85" t="str">
        <f t="array" ref="V478">IFERROR(index('3. Công thức lab theo từng mã h'!J:J,MATCH(C478,'3. Công thức lab theo từng mã h'!L:L,0)),"")</f>
        <v/>
      </c>
      <c r="W478" s="85"/>
      <c r="X478" s="75"/>
    </row>
    <row r="479">
      <c r="A479" s="64">
        <f t="shared" si="2"/>
        <v>0</v>
      </c>
      <c r="B479" s="98"/>
      <c r="C479" s="64"/>
      <c r="D479" s="16"/>
      <c r="E479" s="16"/>
      <c r="F479" s="100"/>
      <c r="G479" s="101"/>
      <c r="H479" s="16"/>
      <c r="I479" s="16"/>
      <c r="J479" s="16"/>
      <c r="K479" s="16"/>
      <c r="L479" s="16"/>
      <c r="M479" s="16"/>
      <c r="N479" s="100"/>
      <c r="O479" s="100"/>
      <c r="P479" s="100"/>
      <c r="Q479" s="106"/>
      <c r="R479" s="107"/>
      <c r="S479" s="104"/>
      <c r="T479" s="74"/>
      <c r="U479" s="108"/>
      <c r="V479" s="74" t="str">
        <f t="array" ref="V479">IFERROR(index('3. Công thức lab theo từng mã h'!J:J,MATCH(C479,'3. Công thức lab theo từng mã h'!L:L,0)),"")</f>
        <v/>
      </c>
      <c r="W479" s="74"/>
      <c r="X479" s="75"/>
    </row>
    <row r="480">
      <c r="A480" s="76">
        <f t="shared" si="2"/>
        <v>0</v>
      </c>
      <c r="B480" s="88"/>
      <c r="C480" s="76"/>
      <c r="D480" s="86"/>
      <c r="E480" s="86"/>
      <c r="F480" s="90"/>
      <c r="G480" s="91"/>
      <c r="H480" s="86"/>
      <c r="I480" s="86"/>
      <c r="J480" s="86"/>
      <c r="K480" s="86"/>
      <c r="L480" s="86"/>
      <c r="M480" s="86"/>
      <c r="N480" s="90"/>
      <c r="O480" s="90"/>
      <c r="P480" s="90"/>
      <c r="Q480" s="106"/>
      <c r="R480" s="95"/>
      <c r="S480" s="96"/>
      <c r="T480" s="85"/>
      <c r="U480" s="97"/>
      <c r="V480" s="85" t="str">
        <f t="array" ref="V480">IFERROR(index('3. Công thức lab theo từng mã h'!J:J,MATCH(C480,'3. Công thức lab theo từng mã h'!L:L,0)),"")</f>
        <v/>
      </c>
      <c r="W480" s="85"/>
      <c r="X480" s="75"/>
    </row>
    <row r="481">
      <c r="A481" s="64">
        <f t="shared" si="2"/>
        <v>0</v>
      </c>
      <c r="B481" s="98"/>
      <c r="C481" s="64"/>
      <c r="D481" s="16"/>
      <c r="E481" s="16"/>
      <c r="F481" s="100"/>
      <c r="G481" s="101"/>
      <c r="H481" s="16"/>
      <c r="I481" s="16"/>
      <c r="J481" s="16"/>
      <c r="K481" s="16"/>
      <c r="L481" s="16"/>
      <c r="M481" s="16"/>
      <c r="N481" s="100"/>
      <c r="O481" s="100"/>
      <c r="P481" s="100"/>
      <c r="Q481" s="106"/>
      <c r="R481" s="107"/>
      <c r="S481" s="104"/>
      <c r="T481" s="74"/>
      <c r="U481" s="108"/>
      <c r="V481" s="74" t="str">
        <f t="array" ref="V481">IFERROR(index('3. Công thức lab theo từng mã h'!J:J,MATCH(C481,'3. Công thức lab theo từng mã h'!L:L,0)),"")</f>
        <v/>
      </c>
      <c r="W481" s="74"/>
      <c r="X481" s="75"/>
    </row>
    <row r="482">
      <c r="A482" s="76">
        <f t="shared" si="2"/>
        <v>0</v>
      </c>
      <c r="B482" s="88"/>
      <c r="C482" s="76"/>
      <c r="D482" s="86"/>
      <c r="E482" s="86"/>
      <c r="F482" s="90"/>
      <c r="G482" s="91"/>
      <c r="H482" s="86"/>
      <c r="I482" s="86"/>
      <c r="J482" s="86"/>
      <c r="K482" s="86"/>
      <c r="L482" s="86"/>
      <c r="M482" s="86"/>
      <c r="N482" s="90"/>
      <c r="O482" s="90"/>
      <c r="P482" s="90"/>
      <c r="Q482" s="106"/>
      <c r="R482" s="95"/>
      <c r="S482" s="96"/>
      <c r="T482" s="85"/>
      <c r="U482" s="97"/>
      <c r="V482" s="85" t="str">
        <f t="array" ref="V482">IFERROR(index('3. Công thức lab theo từng mã h'!J:J,MATCH(C482,'3. Công thức lab theo từng mã h'!L:L,0)),"")</f>
        <v/>
      </c>
      <c r="W482" s="85"/>
      <c r="X482" s="75"/>
    </row>
    <row r="483">
      <c r="A483" s="64">
        <f t="shared" si="2"/>
        <v>0</v>
      </c>
      <c r="B483" s="98"/>
      <c r="C483" s="64"/>
      <c r="D483" s="16"/>
      <c r="E483" s="16"/>
      <c r="F483" s="100"/>
      <c r="G483" s="101"/>
      <c r="H483" s="16"/>
      <c r="I483" s="16"/>
      <c r="J483" s="16"/>
      <c r="K483" s="16"/>
      <c r="L483" s="16"/>
      <c r="M483" s="16"/>
      <c r="N483" s="100"/>
      <c r="O483" s="100"/>
      <c r="P483" s="100"/>
      <c r="Q483" s="106"/>
      <c r="R483" s="107"/>
      <c r="S483" s="104"/>
      <c r="T483" s="74"/>
      <c r="U483" s="108"/>
      <c r="V483" s="74" t="str">
        <f t="array" ref="V483">IFERROR(index('3. Công thức lab theo từng mã h'!J:J,MATCH(C483,'3. Công thức lab theo từng mã h'!L:L,0)),"")</f>
        <v/>
      </c>
      <c r="W483" s="74"/>
      <c r="X483" s="75"/>
    </row>
    <row r="484">
      <c r="A484" s="76">
        <f t="shared" si="2"/>
        <v>0</v>
      </c>
      <c r="B484" s="88"/>
      <c r="C484" s="76"/>
      <c r="D484" s="86"/>
      <c r="E484" s="86"/>
      <c r="F484" s="90"/>
      <c r="G484" s="91"/>
      <c r="H484" s="86"/>
      <c r="I484" s="86"/>
      <c r="J484" s="86"/>
      <c r="K484" s="86"/>
      <c r="L484" s="86"/>
      <c r="M484" s="86"/>
      <c r="N484" s="90"/>
      <c r="O484" s="90"/>
      <c r="P484" s="90"/>
      <c r="Q484" s="106"/>
      <c r="R484" s="95"/>
      <c r="S484" s="96"/>
      <c r="T484" s="85"/>
      <c r="U484" s="97"/>
      <c r="V484" s="85" t="str">
        <f t="array" ref="V484">IFERROR(index('3. Công thức lab theo từng mã h'!J:J,MATCH(C484,'3. Công thức lab theo từng mã h'!L:L,0)),"")</f>
        <v/>
      </c>
      <c r="W484" s="85"/>
      <c r="X484" s="75"/>
    </row>
    <row r="485">
      <c r="A485" s="64">
        <f t="shared" si="2"/>
        <v>0</v>
      </c>
      <c r="B485" s="98"/>
      <c r="C485" s="64"/>
      <c r="D485" s="16"/>
      <c r="E485" s="16"/>
      <c r="F485" s="100"/>
      <c r="G485" s="101"/>
      <c r="H485" s="16"/>
      <c r="I485" s="16"/>
      <c r="J485" s="16"/>
      <c r="K485" s="16"/>
      <c r="L485" s="16"/>
      <c r="M485" s="16"/>
      <c r="N485" s="100"/>
      <c r="O485" s="100"/>
      <c r="P485" s="100"/>
      <c r="Q485" s="106"/>
      <c r="R485" s="107"/>
      <c r="S485" s="104"/>
      <c r="T485" s="74"/>
      <c r="U485" s="108"/>
      <c r="V485" s="74" t="str">
        <f t="array" ref="V485">IFERROR(index('3. Công thức lab theo từng mã h'!J:J,MATCH(C485,'3. Công thức lab theo từng mã h'!L:L,0)),"")</f>
        <v/>
      </c>
      <c r="W485" s="74"/>
      <c r="X485" s="75"/>
    </row>
    <row r="486">
      <c r="A486" s="76">
        <f t="shared" si="2"/>
        <v>0</v>
      </c>
      <c r="B486" s="88"/>
      <c r="C486" s="76"/>
      <c r="D486" s="86"/>
      <c r="E486" s="86"/>
      <c r="F486" s="90"/>
      <c r="G486" s="91"/>
      <c r="H486" s="86"/>
      <c r="I486" s="86"/>
      <c r="J486" s="86"/>
      <c r="K486" s="86"/>
      <c r="L486" s="86"/>
      <c r="M486" s="86"/>
      <c r="N486" s="90"/>
      <c r="O486" s="90"/>
      <c r="P486" s="90"/>
      <c r="Q486" s="106"/>
      <c r="R486" s="95"/>
      <c r="S486" s="96"/>
      <c r="T486" s="85"/>
      <c r="U486" s="97"/>
      <c r="V486" s="85" t="str">
        <f t="array" ref="V486">IFERROR(index('3. Công thức lab theo từng mã h'!J:J,MATCH(C486,'3. Công thức lab theo từng mã h'!L:L,0)),"")</f>
        <v/>
      </c>
      <c r="W486" s="85"/>
      <c r="X486" s="75"/>
    </row>
    <row r="487">
      <c r="A487" s="64">
        <f t="shared" si="2"/>
        <v>0</v>
      </c>
      <c r="B487" s="98"/>
      <c r="C487" s="64"/>
      <c r="D487" s="16"/>
      <c r="E487" s="16"/>
      <c r="F487" s="100"/>
      <c r="G487" s="101"/>
      <c r="H487" s="16"/>
      <c r="I487" s="16"/>
      <c r="J487" s="16"/>
      <c r="K487" s="16"/>
      <c r="L487" s="16"/>
      <c r="M487" s="16"/>
      <c r="N487" s="100"/>
      <c r="O487" s="100"/>
      <c r="P487" s="100"/>
      <c r="Q487" s="106"/>
      <c r="R487" s="107"/>
      <c r="S487" s="104"/>
      <c r="T487" s="74"/>
      <c r="U487" s="108"/>
      <c r="V487" s="74" t="str">
        <f t="array" ref="V487">IFERROR(index('3. Công thức lab theo từng mã h'!J:J,MATCH(C487,'3. Công thức lab theo từng mã h'!L:L,0)),"")</f>
        <v/>
      </c>
      <c r="W487" s="74"/>
      <c r="X487" s="75"/>
    </row>
    <row r="488">
      <c r="A488" s="76">
        <f t="shared" si="2"/>
        <v>0</v>
      </c>
      <c r="B488" s="88"/>
      <c r="C488" s="76"/>
      <c r="D488" s="86"/>
      <c r="E488" s="86"/>
      <c r="F488" s="90"/>
      <c r="G488" s="91"/>
      <c r="H488" s="86"/>
      <c r="I488" s="86"/>
      <c r="J488" s="86"/>
      <c r="K488" s="86"/>
      <c r="L488" s="86"/>
      <c r="M488" s="86"/>
      <c r="N488" s="90"/>
      <c r="O488" s="90"/>
      <c r="P488" s="90"/>
      <c r="Q488" s="106"/>
      <c r="R488" s="95"/>
      <c r="S488" s="96"/>
      <c r="T488" s="85"/>
      <c r="U488" s="97"/>
      <c r="V488" s="85" t="str">
        <f t="array" ref="V488">IFERROR(index('3. Công thức lab theo từng mã h'!J:J,MATCH(C488,'3. Công thức lab theo từng mã h'!L:L,0)),"")</f>
        <v/>
      </c>
      <c r="W488" s="85"/>
      <c r="X488" s="75"/>
    </row>
    <row r="489">
      <c r="A489" s="64">
        <f t="shared" si="2"/>
        <v>0</v>
      </c>
      <c r="B489" s="98"/>
      <c r="C489" s="64"/>
      <c r="D489" s="16"/>
      <c r="E489" s="16"/>
      <c r="F489" s="100"/>
      <c r="G489" s="101"/>
      <c r="H489" s="16"/>
      <c r="I489" s="16"/>
      <c r="J489" s="16"/>
      <c r="K489" s="16"/>
      <c r="L489" s="16"/>
      <c r="M489" s="16"/>
      <c r="N489" s="100"/>
      <c r="O489" s="100"/>
      <c r="P489" s="100"/>
      <c r="Q489" s="106"/>
      <c r="R489" s="107"/>
      <c r="S489" s="104"/>
      <c r="T489" s="74"/>
      <c r="U489" s="108"/>
      <c r="V489" s="74" t="str">
        <f t="array" ref="V489">IFERROR(index('3. Công thức lab theo từng mã h'!J:J,MATCH(C489,'3. Công thức lab theo từng mã h'!L:L,0)),"")</f>
        <v/>
      </c>
      <c r="W489" s="74"/>
      <c r="X489" s="75"/>
    </row>
    <row r="490">
      <c r="A490" s="76">
        <f t="shared" si="2"/>
        <v>0</v>
      </c>
      <c r="B490" s="88"/>
      <c r="C490" s="76"/>
      <c r="D490" s="86"/>
      <c r="E490" s="86"/>
      <c r="F490" s="90"/>
      <c r="G490" s="91"/>
      <c r="H490" s="86"/>
      <c r="I490" s="86"/>
      <c r="J490" s="86"/>
      <c r="K490" s="86"/>
      <c r="L490" s="86"/>
      <c r="M490" s="86"/>
      <c r="N490" s="90"/>
      <c r="O490" s="90"/>
      <c r="P490" s="90"/>
      <c r="Q490" s="106"/>
      <c r="R490" s="95"/>
      <c r="S490" s="96"/>
      <c r="T490" s="85"/>
      <c r="U490" s="97"/>
      <c r="V490" s="85" t="str">
        <f t="array" ref="V490">IFERROR(index('3. Công thức lab theo từng mã h'!J:J,MATCH(C490,'3. Công thức lab theo từng mã h'!L:L,0)),"")</f>
        <v/>
      </c>
      <c r="W490" s="85"/>
      <c r="X490" s="75"/>
    </row>
    <row r="491">
      <c r="A491" s="64">
        <f t="shared" si="2"/>
        <v>0</v>
      </c>
      <c r="B491" s="98"/>
      <c r="C491" s="64"/>
      <c r="D491" s="16"/>
      <c r="E491" s="16"/>
      <c r="F491" s="100"/>
      <c r="G491" s="101"/>
      <c r="H491" s="16"/>
      <c r="I491" s="16"/>
      <c r="J491" s="16"/>
      <c r="K491" s="16"/>
      <c r="L491" s="16"/>
      <c r="M491" s="16"/>
      <c r="N491" s="100"/>
      <c r="O491" s="100"/>
      <c r="P491" s="100"/>
      <c r="Q491" s="106"/>
      <c r="R491" s="107"/>
      <c r="S491" s="104"/>
      <c r="T491" s="74"/>
      <c r="U491" s="108"/>
      <c r="V491" s="74" t="str">
        <f t="array" ref="V491">IFERROR(index('3. Công thức lab theo từng mã h'!J:J,MATCH(C491,'3. Công thức lab theo từng mã h'!L:L,0)),"")</f>
        <v/>
      </c>
      <c r="W491" s="74"/>
      <c r="X491" s="75"/>
    </row>
    <row r="492">
      <c r="A492" s="76">
        <f t="shared" si="2"/>
        <v>0</v>
      </c>
      <c r="B492" s="88"/>
      <c r="C492" s="76"/>
      <c r="D492" s="86"/>
      <c r="E492" s="86"/>
      <c r="F492" s="90"/>
      <c r="G492" s="91"/>
      <c r="H492" s="86"/>
      <c r="I492" s="86"/>
      <c r="J492" s="86"/>
      <c r="K492" s="86"/>
      <c r="L492" s="86"/>
      <c r="M492" s="86"/>
      <c r="N492" s="90"/>
      <c r="O492" s="90"/>
      <c r="P492" s="90"/>
      <c r="Q492" s="106"/>
      <c r="R492" s="95"/>
      <c r="S492" s="96"/>
      <c r="T492" s="85"/>
      <c r="U492" s="97"/>
      <c r="V492" s="85" t="str">
        <f t="array" ref="V492">IFERROR(index('3. Công thức lab theo từng mã h'!J:J,MATCH(C492,'3. Công thức lab theo từng mã h'!L:L,0)),"")</f>
        <v/>
      </c>
      <c r="W492" s="85"/>
      <c r="X492" s="75"/>
    </row>
    <row r="493">
      <c r="A493" s="64">
        <f t="shared" si="2"/>
        <v>0</v>
      </c>
      <c r="B493" s="98"/>
      <c r="C493" s="64"/>
      <c r="D493" s="16"/>
      <c r="E493" s="16"/>
      <c r="F493" s="100"/>
      <c r="G493" s="101"/>
      <c r="H493" s="16"/>
      <c r="I493" s="16"/>
      <c r="J493" s="16"/>
      <c r="K493" s="16"/>
      <c r="L493" s="16"/>
      <c r="M493" s="16"/>
      <c r="N493" s="100"/>
      <c r="O493" s="100"/>
      <c r="P493" s="100"/>
      <c r="Q493" s="106"/>
      <c r="R493" s="107"/>
      <c r="S493" s="104"/>
      <c r="T493" s="74"/>
      <c r="U493" s="108"/>
      <c r="V493" s="74" t="str">
        <f t="array" ref="V493">IFERROR(index('3. Công thức lab theo từng mã h'!J:J,MATCH(C493,'3. Công thức lab theo từng mã h'!L:L,0)),"")</f>
        <v/>
      </c>
      <c r="W493" s="74"/>
      <c r="X493" s="75"/>
    </row>
    <row r="494">
      <c r="A494" s="76">
        <f t="shared" si="2"/>
        <v>0</v>
      </c>
      <c r="B494" s="88"/>
      <c r="C494" s="76"/>
      <c r="D494" s="86"/>
      <c r="E494" s="86"/>
      <c r="F494" s="90"/>
      <c r="G494" s="91"/>
      <c r="H494" s="86"/>
      <c r="I494" s="86"/>
      <c r="J494" s="86"/>
      <c r="K494" s="86"/>
      <c r="L494" s="86"/>
      <c r="M494" s="86"/>
      <c r="N494" s="90"/>
      <c r="O494" s="90"/>
      <c r="P494" s="90"/>
      <c r="Q494" s="106"/>
      <c r="R494" s="95"/>
      <c r="S494" s="96"/>
      <c r="T494" s="85"/>
      <c r="U494" s="97"/>
      <c r="V494" s="85" t="str">
        <f t="array" ref="V494">IFERROR(index('3. Công thức lab theo từng mã h'!J:J,MATCH(C494,'3. Công thức lab theo từng mã h'!L:L,0)),"")</f>
        <v/>
      </c>
      <c r="W494" s="85"/>
      <c r="X494" s="75"/>
    </row>
    <row r="495">
      <c r="A495" s="64">
        <f t="shared" si="2"/>
        <v>0</v>
      </c>
      <c r="B495" s="98"/>
      <c r="C495" s="64"/>
      <c r="D495" s="16"/>
      <c r="E495" s="16"/>
      <c r="F495" s="100"/>
      <c r="G495" s="101"/>
      <c r="H495" s="16"/>
      <c r="I495" s="16"/>
      <c r="J495" s="16"/>
      <c r="K495" s="16"/>
      <c r="L495" s="16"/>
      <c r="M495" s="16"/>
      <c r="N495" s="100"/>
      <c r="O495" s="100"/>
      <c r="P495" s="100"/>
      <c r="Q495" s="106"/>
      <c r="R495" s="107"/>
      <c r="S495" s="104"/>
      <c r="T495" s="74"/>
      <c r="U495" s="108"/>
      <c r="V495" s="74" t="str">
        <f t="array" ref="V495">IFERROR(index('3. Công thức lab theo từng mã h'!J:J,MATCH(C495,'3. Công thức lab theo từng mã h'!L:L,0)),"")</f>
        <v/>
      </c>
      <c r="W495" s="74"/>
      <c r="X495" s="75"/>
    </row>
    <row r="496">
      <c r="A496" s="76">
        <f t="shared" si="2"/>
        <v>0</v>
      </c>
      <c r="B496" s="88"/>
      <c r="C496" s="76"/>
      <c r="D496" s="86"/>
      <c r="E496" s="86"/>
      <c r="F496" s="90"/>
      <c r="G496" s="91"/>
      <c r="H496" s="86"/>
      <c r="I496" s="86"/>
      <c r="J496" s="86"/>
      <c r="K496" s="86"/>
      <c r="L496" s="86"/>
      <c r="M496" s="86"/>
      <c r="N496" s="90"/>
      <c r="O496" s="90"/>
      <c r="P496" s="90"/>
      <c r="Q496" s="106"/>
      <c r="R496" s="95"/>
      <c r="S496" s="96"/>
      <c r="T496" s="85"/>
      <c r="U496" s="97"/>
      <c r="V496" s="85" t="str">
        <f t="array" ref="V496">IFERROR(index('3. Công thức lab theo từng mã h'!J:J,MATCH(C496,'3. Công thức lab theo từng mã h'!L:L,0)),"")</f>
        <v/>
      </c>
      <c r="W496" s="85"/>
      <c r="X496" s="75"/>
    </row>
    <row r="497">
      <c r="A497" s="64">
        <f t="shared" si="2"/>
        <v>0</v>
      </c>
      <c r="B497" s="98"/>
      <c r="C497" s="64"/>
      <c r="D497" s="16"/>
      <c r="E497" s="16"/>
      <c r="F497" s="100"/>
      <c r="G497" s="101"/>
      <c r="H497" s="16"/>
      <c r="I497" s="16"/>
      <c r="J497" s="16"/>
      <c r="K497" s="16"/>
      <c r="L497" s="16"/>
      <c r="M497" s="16"/>
      <c r="N497" s="100"/>
      <c r="O497" s="100"/>
      <c r="P497" s="100"/>
      <c r="Q497" s="106"/>
      <c r="R497" s="107"/>
      <c r="S497" s="104"/>
      <c r="T497" s="74"/>
      <c r="U497" s="108"/>
      <c r="V497" s="74" t="str">
        <f t="array" ref="V497">IFERROR(index('3. Công thức lab theo từng mã h'!J:J,MATCH(C497,'3. Công thức lab theo từng mã h'!L:L,0)),"")</f>
        <v/>
      </c>
      <c r="W497" s="74"/>
      <c r="X497" s="75"/>
    </row>
    <row r="498">
      <c r="A498" s="76">
        <f t="shared" si="2"/>
        <v>0</v>
      </c>
      <c r="B498" s="88"/>
      <c r="C498" s="76"/>
      <c r="D498" s="86"/>
      <c r="E498" s="86"/>
      <c r="F498" s="90"/>
      <c r="G498" s="91"/>
      <c r="H498" s="86"/>
      <c r="I498" s="86"/>
      <c r="J498" s="86"/>
      <c r="K498" s="86"/>
      <c r="L498" s="86"/>
      <c r="M498" s="86"/>
      <c r="N498" s="90"/>
      <c r="O498" s="90"/>
      <c r="P498" s="90"/>
      <c r="Q498" s="106"/>
      <c r="R498" s="95"/>
      <c r="S498" s="96"/>
      <c r="T498" s="85"/>
      <c r="U498" s="97"/>
      <c r="V498" s="85" t="str">
        <f t="array" ref="V498">IFERROR(index('3. Công thức lab theo từng mã h'!J:J,MATCH(C498,'3. Công thức lab theo từng mã h'!L:L,0)),"")</f>
        <v/>
      </c>
      <c r="W498" s="85"/>
      <c r="X498" s="75"/>
    </row>
    <row r="499">
      <c r="A499" s="64">
        <f t="shared" si="2"/>
        <v>0</v>
      </c>
      <c r="B499" s="98"/>
      <c r="C499" s="64"/>
      <c r="D499" s="16"/>
      <c r="E499" s="16"/>
      <c r="F499" s="100"/>
      <c r="G499" s="101"/>
      <c r="H499" s="16"/>
      <c r="I499" s="16"/>
      <c r="J499" s="16"/>
      <c r="K499" s="16"/>
      <c r="L499" s="16"/>
      <c r="M499" s="16"/>
      <c r="N499" s="100"/>
      <c r="O499" s="100"/>
      <c r="P499" s="100"/>
      <c r="Q499" s="106"/>
      <c r="R499" s="107"/>
      <c r="S499" s="104"/>
      <c r="T499" s="74"/>
      <c r="U499" s="108"/>
      <c r="V499" s="74" t="str">
        <f t="array" ref="V499">IFERROR(index('3. Công thức lab theo từng mã h'!J:J,MATCH(C499,'3. Công thức lab theo từng mã h'!L:L,0)),"")</f>
        <v/>
      </c>
      <c r="W499" s="74"/>
      <c r="X499" s="75"/>
    </row>
    <row r="500">
      <c r="A500" s="76">
        <f t="shared" si="2"/>
        <v>0</v>
      </c>
      <c r="B500" s="88"/>
      <c r="C500" s="76"/>
      <c r="D500" s="86"/>
      <c r="E500" s="86"/>
      <c r="F500" s="90"/>
      <c r="G500" s="91"/>
      <c r="H500" s="86"/>
      <c r="I500" s="86"/>
      <c r="J500" s="86"/>
      <c r="K500" s="86"/>
      <c r="L500" s="86"/>
      <c r="M500" s="86"/>
      <c r="N500" s="90"/>
      <c r="O500" s="90"/>
      <c r="P500" s="90"/>
      <c r="Q500" s="106"/>
      <c r="R500" s="95"/>
      <c r="S500" s="96"/>
      <c r="T500" s="85"/>
      <c r="U500" s="97"/>
      <c r="V500" s="85" t="str">
        <f t="array" ref="V500">IFERROR(index('3. Công thức lab theo từng mã h'!J:J,MATCH(C500,'3. Công thức lab theo từng mã h'!L:L,0)),"")</f>
        <v/>
      </c>
      <c r="W500" s="85"/>
      <c r="X500" s="75"/>
    </row>
    <row r="501">
      <c r="A501" s="64">
        <f t="shared" si="2"/>
        <v>0</v>
      </c>
      <c r="B501" s="98"/>
      <c r="C501" s="64"/>
      <c r="D501" s="16"/>
      <c r="E501" s="16"/>
      <c r="F501" s="100"/>
      <c r="G501" s="101"/>
      <c r="H501" s="16"/>
      <c r="I501" s="16"/>
      <c r="J501" s="16"/>
      <c r="K501" s="16"/>
      <c r="L501" s="16"/>
      <c r="M501" s="16"/>
      <c r="N501" s="100"/>
      <c r="O501" s="100"/>
      <c r="P501" s="100"/>
      <c r="Q501" s="106"/>
      <c r="R501" s="107"/>
      <c r="S501" s="104"/>
      <c r="T501" s="74"/>
      <c r="U501" s="108"/>
      <c r="V501" s="74" t="str">
        <f t="array" ref="V501">IFERROR(index('3. Công thức lab theo từng mã h'!J:J,MATCH(C501,'3. Công thức lab theo từng mã h'!L:L,0)),"")</f>
        <v/>
      </c>
      <c r="W501" s="74"/>
      <c r="X501" s="75"/>
    </row>
    <row r="502">
      <c r="A502" s="76">
        <f t="shared" si="2"/>
        <v>0</v>
      </c>
      <c r="B502" s="88"/>
      <c r="C502" s="76"/>
      <c r="D502" s="86"/>
      <c r="E502" s="86"/>
      <c r="F502" s="90"/>
      <c r="G502" s="91"/>
      <c r="H502" s="86"/>
      <c r="I502" s="86"/>
      <c r="J502" s="86"/>
      <c r="K502" s="86"/>
      <c r="L502" s="86"/>
      <c r="M502" s="86"/>
      <c r="N502" s="90"/>
      <c r="O502" s="90"/>
      <c r="P502" s="90"/>
      <c r="Q502" s="106"/>
      <c r="R502" s="95"/>
      <c r="S502" s="96"/>
      <c r="T502" s="85"/>
      <c r="U502" s="97"/>
      <c r="V502" s="85" t="str">
        <f t="array" ref="V502">IFERROR(index('3. Công thức lab theo từng mã h'!J:J,MATCH(C502,'3. Công thức lab theo từng mã h'!L:L,0)),"")</f>
        <v/>
      </c>
      <c r="W502" s="85"/>
      <c r="X502" s="75"/>
    </row>
    <row r="503">
      <c r="A503" s="64">
        <f t="shared" si="2"/>
        <v>0</v>
      </c>
      <c r="B503" s="98"/>
      <c r="C503" s="64"/>
      <c r="D503" s="16"/>
      <c r="E503" s="16"/>
      <c r="F503" s="100"/>
      <c r="G503" s="101"/>
      <c r="H503" s="16"/>
      <c r="I503" s="16"/>
      <c r="J503" s="16"/>
      <c r="K503" s="16"/>
      <c r="L503" s="16"/>
      <c r="M503" s="16"/>
      <c r="N503" s="100"/>
      <c r="O503" s="100"/>
      <c r="P503" s="100"/>
      <c r="Q503" s="106"/>
      <c r="R503" s="107"/>
      <c r="S503" s="104"/>
      <c r="T503" s="74"/>
      <c r="U503" s="108"/>
      <c r="V503" s="74" t="str">
        <f t="array" ref="V503">IFERROR(index('3. Công thức lab theo từng mã h'!J:J,MATCH(C503,'3. Công thức lab theo từng mã h'!L:L,0)),"")</f>
        <v/>
      </c>
      <c r="W503" s="74"/>
      <c r="X503" s="75"/>
    </row>
    <row r="504">
      <c r="A504" s="76">
        <f t="shared" si="2"/>
        <v>0</v>
      </c>
      <c r="B504" s="88"/>
      <c r="C504" s="76"/>
      <c r="D504" s="86"/>
      <c r="E504" s="86"/>
      <c r="F504" s="90"/>
      <c r="G504" s="91"/>
      <c r="H504" s="86"/>
      <c r="I504" s="86"/>
      <c r="J504" s="86"/>
      <c r="K504" s="86"/>
      <c r="L504" s="86"/>
      <c r="M504" s="86"/>
      <c r="N504" s="90"/>
      <c r="O504" s="90"/>
      <c r="P504" s="90"/>
      <c r="Q504" s="106"/>
      <c r="R504" s="95"/>
      <c r="S504" s="96"/>
      <c r="T504" s="85"/>
      <c r="U504" s="97"/>
      <c r="V504" s="85" t="str">
        <f t="array" ref="V504">IFERROR(index('3. Công thức lab theo từng mã h'!J:J,MATCH(C504,'3. Công thức lab theo từng mã h'!L:L,0)),"")</f>
        <v/>
      </c>
      <c r="W504" s="85"/>
      <c r="X504" s="75"/>
    </row>
    <row r="505">
      <c r="A505" s="64">
        <f t="shared" si="2"/>
        <v>0</v>
      </c>
      <c r="B505" s="98"/>
      <c r="C505" s="64"/>
      <c r="D505" s="16"/>
      <c r="E505" s="16"/>
      <c r="F505" s="100"/>
      <c r="G505" s="101"/>
      <c r="H505" s="16"/>
      <c r="I505" s="16"/>
      <c r="J505" s="16"/>
      <c r="K505" s="16"/>
      <c r="L505" s="16"/>
      <c r="M505" s="16"/>
      <c r="N505" s="100"/>
      <c r="O505" s="100"/>
      <c r="P505" s="100"/>
      <c r="Q505" s="106"/>
      <c r="R505" s="107"/>
      <c r="S505" s="104"/>
      <c r="T505" s="74"/>
      <c r="U505" s="108"/>
      <c r="V505" s="74" t="str">
        <f t="array" ref="V505">IFERROR(index('3. Công thức lab theo từng mã h'!J:J,MATCH(C505,'3. Công thức lab theo từng mã h'!L:L,0)),"")</f>
        <v/>
      </c>
      <c r="W505" s="74"/>
      <c r="X505" s="75"/>
    </row>
    <row r="506">
      <c r="A506" s="76">
        <f t="shared" si="2"/>
        <v>0</v>
      </c>
      <c r="B506" s="88"/>
      <c r="C506" s="76"/>
      <c r="D506" s="86"/>
      <c r="E506" s="86"/>
      <c r="F506" s="90"/>
      <c r="G506" s="91"/>
      <c r="H506" s="86"/>
      <c r="I506" s="86"/>
      <c r="J506" s="86"/>
      <c r="K506" s="86"/>
      <c r="L506" s="86"/>
      <c r="M506" s="86"/>
      <c r="N506" s="90"/>
      <c r="O506" s="90"/>
      <c r="P506" s="90"/>
      <c r="Q506" s="106"/>
      <c r="R506" s="95"/>
      <c r="S506" s="96"/>
      <c r="T506" s="85"/>
      <c r="U506" s="97"/>
      <c r="V506" s="85" t="str">
        <f t="array" ref="V506">IFERROR(index('3. Công thức lab theo từng mã h'!J:J,MATCH(C506,'3. Công thức lab theo từng mã h'!L:L,0)),"")</f>
        <v/>
      </c>
      <c r="W506" s="85"/>
      <c r="X506" s="75"/>
    </row>
    <row r="507">
      <c r="A507" s="64">
        <f t="shared" si="2"/>
        <v>0</v>
      </c>
      <c r="B507" s="98"/>
      <c r="C507" s="64"/>
      <c r="D507" s="16"/>
      <c r="E507" s="16"/>
      <c r="F507" s="100"/>
      <c r="G507" s="101"/>
      <c r="H507" s="16"/>
      <c r="I507" s="16"/>
      <c r="J507" s="16"/>
      <c r="K507" s="16"/>
      <c r="L507" s="16"/>
      <c r="M507" s="16"/>
      <c r="N507" s="100"/>
      <c r="O507" s="100"/>
      <c r="P507" s="100"/>
      <c r="Q507" s="106"/>
      <c r="R507" s="107"/>
      <c r="S507" s="104"/>
      <c r="T507" s="74"/>
      <c r="U507" s="108"/>
      <c r="V507" s="74" t="str">
        <f t="array" ref="V507">IFERROR(index('3. Công thức lab theo từng mã h'!J:J,MATCH(C507,'3. Công thức lab theo từng mã h'!L:L,0)),"")</f>
        <v/>
      </c>
      <c r="W507" s="74"/>
      <c r="X507" s="75"/>
    </row>
    <row r="508">
      <c r="A508" s="76">
        <f t="shared" si="2"/>
        <v>0</v>
      </c>
      <c r="B508" s="88"/>
      <c r="C508" s="76"/>
      <c r="D508" s="86"/>
      <c r="E508" s="86"/>
      <c r="F508" s="90"/>
      <c r="G508" s="91"/>
      <c r="H508" s="86"/>
      <c r="I508" s="86"/>
      <c r="J508" s="86"/>
      <c r="K508" s="86"/>
      <c r="L508" s="86"/>
      <c r="M508" s="86"/>
      <c r="N508" s="90"/>
      <c r="O508" s="90"/>
      <c r="P508" s="90"/>
      <c r="Q508" s="106"/>
      <c r="R508" s="95"/>
      <c r="S508" s="96"/>
      <c r="T508" s="85"/>
      <c r="U508" s="97"/>
      <c r="V508" s="85" t="str">
        <f t="array" ref="V508">IFERROR(index('3. Công thức lab theo từng mã h'!J:J,MATCH(C508,'3. Công thức lab theo từng mã h'!L:L,0)),"")</f>
        <v/>
      </c>
      <c r="W508" s="85"/>
      <c r="X508" s="75"/>
    </row>
    <row r="509">
      <c r="A509" s="64">
        <f t="shared" si="2"/>
        <v>0</v>
      </c>
      <c r="B509" s="98"/>
      <c r="C509" s="64"/>
      <c r="D509" s="16"/>
      <c r="E509" s="16"/>
      <c r="F509" s="100"/>
      <c r="G509" s="101"/>
      <c r="H509" s="16"/>
      <c r="I509" s="16"/>
      <c r="J509" s="16"/>
      <c r="K509" s="16"/>
      <c r="L509" s="16"/>
      <c r="M509" s="16"/>
      <c r="N509" s="100"/>
      <c r="O509" s="100"/>
      <c r="P509" s="100"/>
      <c r="Q509" s="106"/>
      <c r="R509" s="107"/>
      <c r="S509" s="104"/>
      <c r="T509" s="74"/>
      <c r="U509" s="108"/>
      <c r="V509" s="74" t="str">
        <f t="array" ref="V509">IFERROR(index('3. Công thức lab theo từng mã h'!J:J,MATCH(C509,'3. Công thức lab theo từng mã h'!L:L,0)),"")</f>
        <v/>
      </c>
      <c r="W509" s="74"/>
      <c r="X509" s="75"/>
    </row>
    <row r="510">
      <c r="A510" s="76">
        <f t="shared" si="2"/>
        <v>0</v>
      </c>
      <c r="B510" s="88"/>
      <c r="C510" s="76"/>
      <c r="D510" s="86"/>
      <c r="E510" s="86"/>
      <c r="F510" s="90"/>
      <c r="G510" s="91"/>
      <c r="H510" s="86"/>
      <c r="I510" s="86"/>
      <c r="J510" s="86"/>
      <c r="K510" s="86"/>
      <c r="L510" s="86"/>
      <c r="M510" s="86"/>
      <c r="N510" s="90"/>
      <c r="O510" s="90"/>
      <c r="P510" s="90"/>
      <c r="Q510" s="106"/>
      <c r="R510" s="95"/>
      <c r="S510" s="96"/>
      <c r="T510" s="85"/>
      <c r="U510" s="97"/>
      <c r="V510" s="85" t="str">
        <f t="array" ref="V510">IFERROR(index('3. Công thức lab theo từng mã h'!J:J,MATCH(C510,'3. Công thức lab theo từng mã h'!L:L,0)),"")</f>
        <v/>
      </c>
      <c r="W510" s="85"/>
      <c r="X510" s="75"/>
    </row>
    <row r="511">
      <c r="A511" s="64">
        <f t="shared" si="2"/>
        <v>0</v>
      </c>
      <c r="B511" s="98"/>
      <c r="C511" s="64"/>
      <c r="D511" s="16"/>
      <c r="E511" s="16"/>
      <c r="F511" s="100"/>
      <c r="G511" s="101"/>
      <c r="H511" s="16"/>
      <c r="I511" s="16"/>
      <c r="J511" s="16"/>
      <c r="K511" s="16"/>
      <c r="L511" s="16"/>
      <c r="M511" s="16"/>
      <c r="N511" s="100"/>
      <c r="O511" s="100"/>
      <c r="P511" s="100"/>
      <c r="Q511" s="106"/>
      <c r="R511" s="107"/>
      <c r="S511" s="104"/>
      <c r="T511" s="74"/>
      <c r="U511" s="108"/>
      <c r="V511" s="74" t="str">
        <f t="array" ref="V511">IFERROR(index('3. Công thức lab theo từng mã h'!J:J,MATCH(C511,'3. Công thức lab theo từng mã h'!L:L,0)),"")</f>
        <v/>
      </c>
      <c r="W511" s="74"/>
      <c r="X511" s="75"/>
    </row>
    <row r="512">
      <c r="A512" s="76">
        <f t="shared" si="2"/>
        <v>0</v>
      </c>
      <c r="B512" s="88"/>
      <c r="C512" s="76"/>
      <c r="D512" s="86"/>
      <c r="E512" s="86"/>
      <c r="F512" s="90"/>
      <c r="G512" s="91"/>
      <c r="H512" s="86"/>
      <c r="I512" s="86"/>
      <c r="J512" s="86"/>
      <c r="K512" s="86"/>
      <c r="L512" s="86"/>
      <c r="M512" s="86"/>
      <c r="N512" s="90"/>
      <c r="O512" s="90"/>
      <c r="P512" s="90"/>
      <c r="Q512" s="106"/>
      <c r="R512" s="95"/>
      <c r="S512" s="96"/>
      <c r="T512" s="85"/>
      <c r="U512" s="97"/>
      <c r="V512" s="85" t="str">
        <f t="array" ref="V512">IFERROR(index('3. Công thức lab theo từng mã h'!J:J,MATCH(C512,'3. Công thức lab theo từng mã h'!L:L,0)),"")</f>
        <v/>
      </c>
      <c r="W512" s="85"/>
      <c r="X512" s="75"/>
    </row>
    <row r="513">
      <c r="A513" s="64">
        <f t="shared" si="2"/>
        <v>0</v>
      </c>
      <c r="B513" s="98"/>
      <c r="C513" s="64"/>
      <c r="D513" s="16"/>
      <c r="E513" s="16"/>
      <c r="F513" s="100"/>
      <c r="G513" s="101"/>
      <c r="H513" s="16"/>
      <c r="I513" s="16"/>
      <c r="J513" s="16"/>
      <c r="K513" s="16"/>
      <c r="L513" s="16"/>
      <c r="M513" s="16"/>
      <c r="N513" s="100"/>
      <c r="O513" s="100"/>
      <c r="P513" s="100"/>
      <c r="Q513" s="106"/>
      <c r="R513" s="107"/>
      <c r="S513" s="104"/>
      <c r="T513" s="74"/>
      <c r="U513" s="108"/>
      <c r="V513" s="74" t="str">
        <f t="array" ref="V513">IFERROR(index('3. Công thức lab theo từng mã h'!J:J,MATCH(C513,'3. Công thức lab theo từng mã h'!L:L,0)),"")</f>
        <v/>
      </c>
      <c r="W513" s="74"/>
      <c r="X513" s="75"/>
    </row>
    <row r="514">
      <c r="A514" s="76">
        <f t="shared" si="2"/>
        <v>0</v>
      </c>
      <c r="B514" s="88"/>
      <c r="C514" s="76"/>
      <c r="D514" s="86"/>
      <c r="E514" s="86"/>
      <c r="F514" s="90"/>
      <c r="G514" s="91"/>
      <c r="H514" s="86"/>
      <c r="I514" s="86"/>
      <c r="J514" s="86"/>
      <c r="K514" s="86"/>
      <c r="L514" s="86"/>
      <c r="M514" s="86"/>
      <c r="N514" s="90"/>
      <c r="O514" s="90"/>
      <c r="P514" s="90"/>
      <c r="Q514" s="106"/>
      <c r="R514" s="95"/>
      <c r="S514" s="96"/>
      <c r="T514" s="85"/>
      <c r="U514" s="97"/>
      <c r="V514" s="85" t="str">
        <f t="array" ref="V514">IFERROR(index('3. Công thức lab theo từng mã h'!J:J,MATCH(C514,'3. Công thức lab theo từng mã h'!L:L,0)),"")</f>
        <v/>
      </c>
      <c r="W514" s="85"/>
      <c r="X514" s="75"/>
    </row>
    <row r="515">
      <c r="A515" s="64">
        <f t="shared" si="2"/>
        <v>0</v>
      </c>
      <c r="B515" s="98"/>
      <c r="C515" s="64"/>
      <c r="D515" s="16"/>
      <c r="E515" s="16"/>
      <c r="F515" s="100"/>
      <c r="G515" s="101"/>
      <c r="H515" s="16"/>
      <c r="I515" s="16"/>
      <c r="J515" s="16"/>
      <c r="K515" s="16"/>
      <c r="L515" s="16"/>
      <c r="M515" s="16"/>
      <c r="N515" s="100"/>
      <c r="O515" s="100"/>
      <c r="P515" s="100"/>
      <c r="Q515" s="106"/>
      <c r="R515" s="107"/>
      <c r="S515" s="104"/>
      <c r="T515" s="74"/>
      <c r="U515" s="108"/>
      <c r="V515" s="74" t="str">
        <f t="array" ref="V515">IFERROR(index('3. Công thức lab theo từng mã h'!J:J,MATCH(C515,'3. Công thức lab theo từng mã h'!L:L,0)),"")</f>
        <v/>
      </c>
      <c r="W515" s="74"/>
      <c r="X515" s="75"/>
    </row>
    <row r="516">
      <c r="A516" s="76">
        <f t="shared" si="2"/>
        <v>0</v>
      </c>
      <c r="B516" s="88"/>
      <c r="C516" s="76"/>
      <c r="D516" s="86"/>
      <c r="E516" s="86"/>
      <c r="F516" s="90"/>
      <c r="G516" s="91"/>
      <c r="H516" s="86"/>
      <c r="I516" s="86"/>
      <c r="J516" s="86"/>
      <c r="K516" s="86"/>
      <c r="L516" s="86"/>
      <c r="M516" s="86"/>
      <c r="N516" s="90"/>
      <c r="O516" s="90"/>
      <c r="P516" s="90"/>
      <c r="Q516" s="106"/>
      <c r="R516" s="95"/>
      <c r="S516" s="96"/>
      <c r="T516" s="85"/>
      <c r="U516" s="97"/>
      <c r="V516" s="85" t="str">
        <f t="array" ref="V516">IFERROR(index('3. Công thức lab theo từng mã h'!J:J,MATCH(C516,'3. Công thức lab theo từng mã h'!L:L,0)),"")</f>
        <v/>
      </c>
      <c r="W516" s="85"/>
      <c r="X516" s="75"/>
    </row>
    <row r="517">
      <c r="A517" s="64">
        <f t="shared" si="2"/>
        <v>0</v>
      </c>
      <c r="B517" s="98"/>
      <c r="C517" s="64"/>
      <c r="D517" s="16"/>
      <c r="E517" s="16"/>
      <c r="F517" s="100"/>
      <c r="G517" s="101"/>
      <c r="H517" s="16"/>
      <c r="I517" s="16"/>
      <c r="J517" s="16"/>
      <c r="K517" s="16"/>
      <c r="L517" s="16"/>
      <c r="M517" s="16"/>
      <c r="N517" s="100"/>
      <c r="O517" s="100"/>
      <c r="P517" s="100"/>
      <c r="Q517" s="106"/>
      <c r="R517" s="107"/>
      <c r="S517" s="104"/>
      <c r="T517" s="74"/>
      <c r="U517" s="108"/>
      <c r="V517" s="74" t="str">
        <f t="array" ref="V517">IFERROR(index('3. Công thức lab theo từng mã h'!J:J,MATCH(C517,'3. Công thức lab theo từng mã h'!L:L,0)),"")</f>
        <v/>
      </c>
      <c r="W517" s="74"/>
      <c r="X517" s="75"/>
    </row>
    <row r="518">
      <c r="A518" s="76">
        <f t="shared" si="2"/>
        <v>0</v>
      </c>
      <c r="B518" s="88"/>
      <c r="C518" s="76"/>
      <c r="D518" s="86"/>
      <c r="E518" s="86"/>
      <c r="F518" s="90"/>
      <c r="G518" s="91"/>
      <c r="H518" s="86"/>
      <c r="I518" s="86"/>
      <c r="J518" s="86"/>
      <c r="K518" s="86"/>
      <c r="L518" s="86"/>
      <c r="M518" s="86"/>
      <c r="N518" s="90"/>
      <c r="O518" s="90"/>
      <c r="P518" s="90"/>
      <c r="Q518" s="106"/>
      <c r="R518" s="95"/>
      <c r="S518" s="96"/>
      <c r="T518" s="85"/>
      <c r="U518" s="97"/>
      <c r="V518" s="85" t="str">
        <f t="array" ref="V518">IFERROR(index('3. Công thức lab theo từng mã h'!J:J,MATCH(C518,'3. Công thức lab theo từng mã h'!L:L,0)),"")</f>
        <v/>
      </c>
      <c r="W518" s="85"/>
      <c r="X518" s="75"/>
    </row>
    <row r="519">
      <c r="A519" s="64">
        <f t="shared" si="2"/>
        <v>0</v>
      </c>
      <c r="B519" s="98"/>
      <c r="C519" s="64"/>
      <c r="D519" s="16"/>
      <c r="E519" s="16"/>
      <c r="F519" s="100"/>
      <c r="G519" s="101"/>
      <c r="H519" s="16"/>
      <c r="I519" s="16"/>
      <c r="J519" s="16"/>
      <c r="K519" s="16"/>
      <c r="L519" s="16"/>
      <c r="M519" s="16"/>
      <c r="N519" s="100"/>
      <c r="O519" s="100"/>
      <c r="P519" s="100"/>
      <c r="Q519" s="106"/>
      <c r="R519" s="107"/>
      <c r="S519" s="104"/>
      <c r="T519" s="74"/>
      <c r="U519" s="108"/>
      <c r="V519" s="74" t="str">
        <f t="array" ref="V519">IFERROR(index('3. Công thức lab theo từng mã h'!J:J,MATCH(C519,'3. Công thức lab theo từng mã h'!L:L,0)),"")</f>
        <v/>
      </c>
      <c r="W519" s="74"/>
      <c r="X519" s="75"/>
    </row>
    <row r="520">
      <c r="A520" s="76">
        <f t="shared" si="2"/>
        <v>0</v>
      </c>
      <c r="B520" s="88"/>
      <c r="C520" s="76"/>
      <c r="D520" s="86"/>
      <c r="E520" s="86"/>
      <c r="F520" s="90"/>
      <c r="G520" s="91"/>
      <c r="H520" s="86"/>
      <c r="I520" s="86"/>
      <c r="J520" s="86"/>
      <c r="K520" s="86"/>
      <c r="L520" s="86"/>
      <c r="M520" s="86"/>
      <c r="N520" s="90"/>
      <c r="O520" s="90"/>
      <c r="P520" s="90"/>
      <c r="Q520" s="106"/>
      <c r="R520" s="95"/>
      <c r="S520" s="96"/>
      <c r="T520" s="85"/>
      <c r="U520" s="97"/>
      <c r="V520" s="85" t="str">
        <f t="array" ref="V520">IFERROR(index('3. Công thức lab theo từng mã h'!J:J,MATCH(C520,'3. Công thức lab theo từng mã h'!L:L,0)),"")</f>
        <v/>
      </c>
      <c r="W520" s="85"/>
      <c r="X520" s="75"/>
    </row>
    <row r="521">
      <c r="A521" s="64">
        <f t="shared" si="2"/>
        <v>0</v>
      </c>
      <c r="B521" s="98"/>
      <c r="C521" s="64"/>
      <c r="D521" s="16"/>
      <c r="E521" s="16"/>
      <c r="F521" s="100"/>
      <c r="G521" s="101"/>
      <c r="H521" s="16"/>
      <c r="I521" s="16"/>
      <c r="J521" s="16"/>
      <c r="K521" s="16"/>
      <c r="L521" s="16"/>
      <c r="M521" s="16"/>
      <c r="N521" s="100"/>
      <c r="O521" s="100"/>
      <c r="P521" s="100"/>
      <c r="Q521" s="106"/>
      <c r="R521" s="107"/>
      <c r="S521" s="104"/>
      <c r="T521" s="74"/>
      <c r="U521" s="108"/>
      <c r="V521" s="74" t="str">
        <f t="array" ref="V521">IFERROR(index('3. Công thức lab theo từng mã h'!J:J,MATCH(C521,'3. Công thức lab theo từng mã h'!L:L,0)),"")</f>
        <v/>
      </c>
      <c r="W521" s="74"/>
      <c r="X521" s="75"/>
    </row>
    <row r="522">
      <c r="A522" s="76">
        <f t="shared" si="2"/>
        <v>0</v>
      </c>
      <c r="B522" s="88"/>
      <c r="C522" s="76"/>
      <c r="D522" s="86"/>
      <c r="E522" s="86"/>
      <c r="F522" s="90"/>
      <c r="G522" s="91"/>
      <c r="H522" s="86"/>
      <c r="I522" s="86"/>
      <c r="J522" s="86"/>
      <c r="K522" s="86"/>
      <c r="L522" s="86"/>
      <c r="M522" s="86"/>
      <c r="N522" s="90"/>
      <c r="O522" s="90"/>
      <c r="P522" s="90"/>
      <c r="Q522" s="106"/>
      <c r="R522" s="95"/>
      <c r="S522" s="96"/>
      <c r="T522" s="85"/>
      <c r="U522" s="97"/>
      <c r="V522" s="85" t="str">
        <f t="array" ref="V522">IFERROR(index('3. Công thức lab theo từng mã h'!J:J,MATCH(C522,'3. Công thức lab theo từng mã h'!L:L,0)),"")</f>
        <v/>
      </c>
      <c r="W522" s="85"/>
      <c r="X522" s="75"/>
    </row>
    <row r="523">
      <c r="A523" s="64">
        <f t="shared" si="2"/>
        <v>0</v>
      </c>
      <c r="B523" s="98"/>
      <c r="C523" s="64"/>
      <c r="D523" s="16"/>
      <c r="E523" s="16"/>
      <c r="F523" s="100"/>
      <c r="G523" s="101"/>
      <c r="H523" s="16"/>
      <c r="I523" s="16"/>
      <c r="J523" s="16"/>
      <c r="K523" s="16"/>
      <c r="L523" s="16"/>
      <c r="M523" s="16"/>
      <c r="N523" s="100"/>
      <c r="O523" s="100"/>
      <c r="P523" s="100"/>
      <c r="Q523" s="106"/>
      <c r="R523" s="107"/>
      <c r="S523" s="104"/>
      <c r="T523" s="74"/>
      <c r="U523" s="108"/>
      <c r="V523" s="74" t="str">
        <f t="array" ref="V523">IFERROR(index('3. Công thức lab theo từng mã h'!J:J,MATCH(C523,'3. Công thức lab theo từng mã h'!L:L,0)),"")</f>
        <v/>
      </c>
      <c r="W523" s="74"/>
      <c r="X523" s="75"/>
    </row>
    <row r="524">
      <c r="A524" s="76">
        <f t="shared" si="2"/>
        <v>0</v>
      </c>
      <c r="B524" s="88"/>
      <c r="C524" s="76"/>
      <c r="D524" s="86"/>
      <c r="E524" s="86"/>
      <c r="F524" s="90"/>
      <c r="G524" s="91"/>
      <c r="H524" s="86"/>
      <c r="I524" s="86"/>
      <c r="J524" s="86"/>
      <c r="K524" s="86"/>
      <c r="L524" s="86"/>
      <c r="M524" s="86"/>
      <c r="N524" s="90"/>
      <c r="O524" s="90"/>
      <c r="P524" s="90"/>
      <c r="Q524" s="106"/>
      <c r="R524" s="95"/>
      <c r="S524" s="96"/>
      <c r="T524" s="85"/>
      <c r="U524" s="97"/>
      <c r="V524" s="85" t="str">
        <f t="array" ref="V524">IFERROR(index('3. Công thức lab theo từng mã h'!J:J,MATCH(C524,'3. Công thức lab theo từng mã h'!L:L,0)),"")</f>
        <v/>
      </c>
      <c r="W524" s="85"/>
      <c r="X524" s="75"/>
    </row>
    <row r="525">
      <c r="A525" s="64">
        <f t="shared" si="2"/>
        <v>0</v>
      </c>
      <c r="B525" s="98"/>
      <c r="C525" s="64"/>
      <c r="D525" s="16"/>
      <c r="E525" s="16"/>
      <c r="F525" s="100"/>
      <c r="G525" s="101"/>
      <c r="H525" s="16"/>
      <c r="I525" s="16"/>
      <c r="J525" s="16"/>
      <c r="K525" s="16"/>
      <c r="L525" s="16"/>
      <c r="M525" s="16"/>
      <c r="N525" s="100"/>
      <c r="O525" s="100"/>
      <c r="P525" s="100"/>
      <c r="Q525" s="106"/>
      <c r="R525" s="107"/>
      <c r="S525" s="104"/>
      <c r="T525" s="74"/>
      <c r="U525" s="108"/>
      <c r="V525" s="74" t="str">
        <f t="array" ref="V525">IFERROR(index('3. Công thức lab theo từng mã h'!J:J,MATCH(C525,'3. Công thức lab theo từng mã h'!L:L,0)),"")</f>
        <v/>
      </c>
      <c r="W525" s="74"/>
      <c r="X525" s="75"/>
    </row>
    <row r="526">
      <c r="A526" s="76">
        <f t="shared" si="2"/>
        <v>0</v>
      </c>
      <c r="B526" s="88"/>
      <c r="C526" s="76"/>
      <c r="D526" s="86"/>
      <c r="E526" s="86"/>
      <c r="F526" s="90"/>
      <c r="G526" s="91"/>
      <c r="H526" s="86"/>
      <c r="I526" s="86"/>
      <c r="J526" s="86"/>
      <c r="K526" s="86"/>
      <c r="L526" s="86"/>
      <c r="M526" s="86"/>
      <c r="N526" s="90"/>
      <c r="O526" s="90"/>
      <c r="P526" s="90"/>
      <c r="Q526" s="106"/>
      <c r="R526" s="95"/>
      <c r="S526" s="96"/>
      <c r="T526" s="85"/>
      <c r="U526" s="97"/>
      <c r="V526" s="85" t="str">
        <f t="array" ref="V526">IFERROR(index('3. Công thức lab theo từng mã h'!J:J,MATCH(C526,'3. Công thức lab theo từng mã h'!L:L,0)),"")</f>
        <v/>
      </c>
      <c r="W526" s="85"/>
      <c r="X526" s="75"/>
    </row>
    <row r="527">
      <c r="A527" s="64">
        <f t="shared" si="2"/>
        <v>0</v>
      </c>
      <c r="B527" s="98"/>
      <c r="C527" s="64"/>
      <c r="D527" s="16"/>
      <c r="E527" s="16"/>
      <c r="F527" s="100"/>
      <c r="G527" s="101"/>
      <c r="H527" s="16"/>
      <c r="I527" s="16"/>
      <c r="J527" s="16"/>
      <c r="K527" s="16"/>
      <c r="L527" s="16"/>
      <c r="M527" s="16"/>
      <c r="N527" s="100"/>
      <c r="O527" s="100"/>
      <c r="P527" s="100"/>
      <c r="Q527" s="106"/>
      <c r="R527" s="107"/>
      <c r="S527" s="104"/>
      <c r="T527" s="74"/>
      <c r="U527" s="108"/>
      <c r="V527" s="74" t="str">
        <f t="array" ref="V527">IFERROR(index('3. Công thức lab theo từng mã h'!J:J,MATCH(C527,'3. Công thức lab theo từng mã h'!L:L,0)),"")</f>
        <v/>
      </c>
      <c r="W527" s="74"/>
      <c r="X527" s="75"/>
    </row>
    <row r="528">
      <c r="A528" s="76">
        <f t="shared" si="2"/>
        <v>0</v>
      </c>
      <c r="B528" s="88"/>
      <c r="C528" s="76"/>
      <c r="D528" s="86"/>
      <c r="E528" s="86"/>
      <c r="F528" s="90"/>
      <c r="G528" s="91"/>
      <c r="H528" s="86"/>
      <c r="I528" s="86"/>
      <c r="J528" s="86"/>
      <c r="K528" s="86"/>
      <c r="L528" s="86"/>
      <c r="M528" s="86"/>
      <c r="N528" s="90"/>
      <c r="O528" s="90"/>
      <c r="P528" s="90"/>
      <c r="Q528" s="106"/>
      <c r="R528" s="95"/>
      <c r="S528" s="96"/>
      <c r="T528" s="85"/>
      <c r="U528" s="97"/>
      <c r="V528" s="85" t="str">
        <f t="array" ref="V528">IFERROR(index('3. Công thức lab theo từng mã h'!J:J,MATCH(C528,'3. Công thức lab theo từng mã h'!L:L,0)),"")</f>
        <v/>
      </c>
      <c r="W528" s="85"/>
      <c r="X528" s="75"/>
    </row>
    <row r="529">
      <c r="A529" s="64">
        <f t="shared" si="2"/>
        <v>0</v>
      </c>
      <c r="B529" s="98"/>
      <c r="C529" s="64"/>
      <c r="D529" s="16"/>
      <c r="E529" s="16"/>
      <c r="F529" s="100"/>
      <c r="G529" s="101"/>
      <c r="H529" s="16"/>
      <c r="I529" s="16"/>
      <c r="J529" s="16"/>
      <c r="K529" s="16"/>
      <c r="L529" s="16"/>
      <c r="M529" s="16"/>
      <c r="N529" s="100"/>
      <c r="O529" s="100"/>
      <c r="P529" s="100"/>
      <c r="Q529" s="106"/>
      <c r="R529" s="107"/>
      <c r="S529" s="104"/>
      <c r="T529" s="74"/>
      <c r="U529" s="108"/>
      <c r="V529" s="74" t="str">
        <f t="array" ref="V529">IFERROR(index('3. Công thức lab theo từng mã h'!J:J,MATCH(C529,'3. Công thức lab theo từng mã h'!L:L,0)),"")</f>
        <v/>
      </c>
      <c r="W529" s="74"/>
      <c r="X529" s="75"/>
    </row>
    <row r="530">
      <c r="A530" s="76">
        <f t="shared" si="2"/>
        <v>0</v>
      </c>
      <c r="B530" s="88"/>
      <c r="C530" s="76"/>
      <c r="D530" s="86"/>
      <c r="E530" s="86"/>
      <c r="F530" s="90"/>
      <c r="G530" s="91"/>
      <c r="H530" s="86"/>
      <c r="I530" s="86"/>
      <c r="J530" s="86"/>
      <c r="K530" s="86"/>
      <c r="L530" s="86"/>
      <c r="M530" s="86"/>
      <c r="N530" s="90"/>
      <c r="O530" s="90"/>
      <c r="P530" s="90"/>
      <c r="Q530" s="106"/>
      <c r="R530" s="95"/>
      <c r="S530" s="96"/>
      <c r="T530" s="85"/>
      <c r="U530" s="97"/>
      <c r="V530" s="85" t="str">
        <f t="array" ref="V530">IFERROR(index('3. Công thức lab theo từng mã h'!J:J,MATCH(C530,'3. Công thức lab theo từng mã h'!L:L,0)),"")</f>
        <v/>
      </c>
      <c r="W530" s="85"/>
      <c r="X530" s="75"/>
    </row>
    <row r="531">
      <c r="A531" s="64">
        <f t="shared" si="2"/>
        <v>0</v>
      </c>
      <c r="B531" s="98"/>
      <c r="C531" s="64"/>
      <c r="D531" s="16"/>
      <c r="E531" s="16"/>
      <c r="F531" s="100"/>
      <c r="G531" s="101"/>
      <c r="H531" s="16"/>
      <c r="I531" s="16"/>
      <c r="J531" s="16"/>
      <c r="K531" s="16"/>
      <c r="L531" s="16"/>
      <c r="M531" s="16"/>
      <c r="N531" s="100"/>
      <c r="O531" s="100"/>
      <c r="P531" s="100"/>
      <c r="Q531" s="106"/>
      <c r="R531" s="107"/>
      <c r="S531" s="104"/>
      <c r="T531" s="74"/>
      <c r="U531" s="108"/>
      <c r="V531" s="74" t="str">
        <f t="array" ref="V531">IFERROR(index('3. Công thức lab theo từng mã h'!J:J,MATCH(C531,'3. Công thức lab theo từng mã h'!L:L,0)),"")</f>
        <v/>
      </c>
      <c r="W531" s="74"/>
      <c r="X531" s="75"/>
    </row>
    <row r="532">
      <c r="A532" s="76">
        <f t="shared" si="2"/>
        <v>0</v>
      </c>
      <c r="B532" s="88"/>
      <c r="C532" s="76"/>
      <c r="D532" s="86"/>
      <c r="E532" s="86"/>
      <c r="F532" s="90"/>
      <c r="G532" s="91"/>
      <c r="H532" s="86"/>
      <c r="I532" s="86"/>
      <c r="J532" s="86"/>
      <c r="K532" s="86"/>
      <c r="L532" s="86"/>
      <c r="M532" s="86"/>
      <c r="N532" s="90"/>
      <c r="O532" s="90"/>
      <c r="P532" s="90"/>
      <c r="Q532" s="106"/>
      <c r="R532" s="95"/>
      <c r="S532" s="96"/>
      <c r="T532" s="85"/>
      <c r="U532" s="97"/>
      <c r="V532" s="85" t="str">
        <f t="array" ref="V532">IFERROR(index('3. Công thức lab theo từng mã h'!J:J,MATCH(C532,'3. Công thức lab theo từng mã h'!L:L,0)),"")</f>
        <v/>
      </c>
      <c r="W532" s="85"/>
      <c r="X532" s="75"/>
    </row>
    <row r="533">
      <c r="A533" s="64">
        <f t="shared" si="2"/>
        <v>0</v>
      </c>
      <c r="B533" s="98"/>
      <c r="C533" s="64"/>
      <c r="D533" s="16"/>
      <c r="E533" s="16"/>
      <c r="F533" s="100"/>
      <c r="G533" s="101"/>
      <c r="H533" s="16"/>
      <c r="I533" s="16"/>
      <c r="J533" s="16"/>
      <c r="K533" s="16"/>
      <c r="L533" s="16"/>
      <c r="M533" s="16"/>
      <c r="N533" s="100"/>
      <c r="O533" s="100"/>
      <c r="P533" s="100"/>
      <c r="Q533" s="106"/>
      <c r="R533" s="107"/>
      <c r="S533" s="104"/>
      <c r="T533" s="74"/>
      <c r="U533" s="108"/>
      <c r="V533" s="74" t="str">
        <f t="array" ref="V533">IFERROR(index('3. Công thức lab theo từng mã h'!J:J,MATCH(C533,'3. Công thức lab theo từng mã h'!L:L,0)),"")</f>
        <v/>
      </c>
      <c r="W533" s="74"/>
      <c r="X533" s="75"/>
    </row>
    <row r="534">
      <c r="A534" s="76">
        <f t="shared" si="2"/>
        <v>0</v>
      </c>
      <c r="B534" s="88"/>
      <c r="C534" s="76"/>
      <c r="D534" s="86"/>
      <c r="E534" s="86"/>
      <c r="F534" s="90"/>
      <c r="G534" s="91"/>
      <c r="H534" s="86"/>
      <c r="I534" s="86"/>
      <c r="J534" s="86"/>
      <c r="K534" s="86"/>
      <c r="L534" s="86"/>
      <c r="M534" s="86"/>
      <c r="N534" s="90"/>
      <c r="O534" s="90"/>
      <c r="P534" s="90"/>
      <c r="Q534" s="106"/>
      <c r="R534" s="95"/>
      <c r="S534" s="96"/>
      <c r="T534" s="85"/>
      <c r="U534" s="97"/>
      <c r="V534" s="85" t="str">
        <f t="array" ref="V534">IFERROR(index('3. Công thức lab theo từng mã h'!J:J,MATCH(C534,'3. Công thức lab theo từng mã h'!L:L,0)),"")</f>
        <v/>
      </c>
      <c r="W534" s="85"/>
      <c r="X534" s="75"/>
    </row>
    <row r="535">
      <c r="A535" s="64">
        <f t="shared" si="2"/>
        <v>0</v>
      </c>
      <c r="B535" s="98"/>
      <c r="C535" s="64"/>
      <c r="D535" s="16"/>
      <c r="E535" s="16"/>
      <c r="F535" s="100"/>
      <c r="G535" s="101"/>
      <c r="H535" s="16"/>
      <c r="I535" s="16"/>
      <c r="J535" s="16"/>
      <c r="K535" s="16"/>
      <c r="L535" s="16"/>
      <c r="M535" s="16"/>
      <c r="N535" s="100"/>
      <c r="O535" s="100"/>
      <c r="P535" s="100"/>
      <c r="Q535" s="106"/>
      <c r="R535" s="107"/>
      <c r="S535" s="104"/>
      <c r="T535" s="74"/>
      <c r="U535" s="108"/>
      <c r="V535" s="74" t="str">
        <f t="array" ref="V535">IFERROR(index('3. Công thức lab theo từng mã h'!J:J,MATCH(C535,'3. Công thức lab theo từng mã h'!L:L,0)),"")</f>
        <v/>
      </c>
      <c r="W535" s="74"/>
      <c r="X535" s="75"/>
    </row>
    <row r="536">
      <c r="A536" s="76">
        <f t="shared" si="2"/>
        <v>0</v>
      </c>
      <c r="B536" s="88"/>
      <c r="C536" s="76"/>
      <c r="D536" s="86"/>
      <c r="E536" s="86"/>
      <c r="F536" s="90"/>
      <c r="G536" s="91"/>
      <c r="H536" s="86"/>
      <c r="I536" s="86"/>
      <c r="J536" s="86"/>
      <c r="K536" s="86"/>
      <c r="L536" s="86"/>
      <c r="M536" s="86"/>
      <c r="N536" s="90"/>
      <c r="O536" s="90"/>
      <c r="P536" s="90"/>
      <c r="Q536" s="106"/>
      <c r="R536" s="95"/>
      <c r="S536" s="96"/>
      <c r="T536" s="85"/>
      <c r="U536" s="97"/>
      <c r="V536" s="85" t="str">
        <f t="array" ref="V536">IFERROR(index('3. Công thức lab theo từng mã h'!J:J,MATCH(C536,'3. Công thức lab theo từng mã h'!L:L,0)),"")</f>
        <v/>
      </c>
      <c r="W536" s="85"/>
      <c r="X536" s="75"/>
    </row>
    <row r="537">
      <c r="A537" s="64">
        <f t="shared" si="2"/>
        <v>0</v>
      </c>
      <c r="B537" s="98"/>
      <c r="C537" s="64"/>
      <c r="D537" s="16"/>
      <c r="E537" s="16"/>
      <c r="F537" s="100"/>
      <c r="G537" s="101"/>
      <c r="H537" s="16"/>
      <c r="I537" s="16"/>
      <c r="J537" s="16"/>
      <c r="K537" s="16"/>
      <c r="L537" s="16"/>
      <c r="M537" s="16"/>
      <c r="N537" s="100"/>
      <c r="O537" s="100"/>
      <c r="P537" s="100"/>
      <c r="Q537" s="106"/>
      <c r="R537" s="107"/>
      <c r="S537" s="104"/>
      <c r="T537" s="74"/>
      <c r="U537" s="108"/>
      <c r="V537" s="74" t="str">
        <f t="array" ref="V537">IFERROR(index('3. Công thức lab theo từng mã h'!J:J,MATCH(C537,'3. Công thức lab theo từng mã h'!L:L,0)),"")</f>
        <v/>
      </c>
      <c r="W537" s="74"/>
      <c r="X537" s="75"/>
    </row>
    <row r="538">
      <c r="A538" s="76">
        <f t="shared" si="2"/>
        <v>0</v>
      </c>
      <c r="B538" s="88"/>
      <c r="C538" s="76"/>
      <c r="D538" s="86"/>
      <c r="E538" s="86"/>
      <c r="F538" s="90"/>
      <c r="G538" s="91"/>
      <c r="H538" s="86"/>
      <c r="I538" s="86"/>
      <c r="J538" s="86"/>
      <c r="K538" s="86"/>
      <c r="L538" s="86"/>
      <c r="M538" s="86"/>
      <c r="N538" s="90"/>
      <c r="O538" s="90"/>
      <c r="P538" s="90"/>
      <c r="Q538" s="106"/>
      <c r="R538" s="95"/>
      <c r="S538" s="96"/>
      <c r="T538" s="85"/>
      <c r="U538" s="97"/>
      <c r="V538" s="85" t="str">
        <f t="array" ref="V538">IFERROR(index('3. Công thức lab theo từng mã h'!J:J,MATCH(C538,'3. Công thức lab theo từng mã h'!L:L,0)),"")</f>
        <v/>
      </c>
      <c r="W538" s="85"/>
      <c r="X538" s="75"/>
    </row>
    <row r="539">
      <c r="A539" s="64">
        <f t="shared" si="2"/>
        <v>0</v>
      </c>
      <c r="B539" s="98"/>
      <c r="C539" s="64"/>
      <c r="D539" s="16"/>
      <c r="E539" s="16"/>
      <c r="F539" s="100"/>
      <c r="G539" s="101"/>
      <c r="H539" s="16"/>
      <c r="I539" s="16"/>
      <c r="J539" s="16"/>
      <c r="K539" s="16"/>
      <c r="L539" s="16"/>
      <c r="M539" s="16"/>
      <c r="N539" s="100"/>
      <c r="O539" s="100"/>
      <c r="P539" s="100"/>
      <c r="Q539" s="106"/>
      <c r="R539" s="107"/>
      <c r="S539" s="104"/>
      <c r="T539" s="74"/>
      <c r="U539" s="108"/>
      <c r="V539" s="74" t="str">
        <f t="array" ref="V539">IFERROR(index('3. Công thức lab theo từng mã h'!J:J,MATCH(C539,'3. Công thức lab theo từng mã h'!L:L,0)),"")</f>
        <v/>
      </c>
      <c r="W539" s="74"/>
      <c r="X539" s="75"/>
    </row>
    <row r="540">
      <c r="A540" s="76">
        <f t="shared" si="2"/>
        <v>0</v>
      </c>
      <c r="B540" s="88"/>
      <c r="C540" s="76"/>
      <c r="D540" s="86"/>
      <c r="E540" s="86"/>
      <c r="F540" s="90"/>
      <c r="G540" s="91"/>
      <c r="H540" s="86"/>
      <c r="I540" s="86"/>
      <c r="J540" s="86"/>
      <c r="K540" s="86"/>
      <c r="L540" s="86"/>
      <c r="M540" s="86"/>
      <c r="N540" s="90"/>
      <c r="O540" s="90"/>
      <c r="P540" s="90"/>
      <c r="Q540" s="106"/>
      <c r="R540" s="95"/>
      <c r="S540" s="96"/>
      <c r="T540" s="85"/>
      <c r="U540" s="97"/>
      <c r="V540" s="85" t="str">
        <f t="array" ref="V540">IFERROR(index('3. Công thức lab theo từng mã h'!J:J,MATCH(C540,'3. Công thức lab theo từng mã h'!L:L,0)),"")</f>
        <v/>
      </c>
      <c r="W540" s="85"/>
      <c r="X540" s="75"/>
    </row>
    <row r="541">
      <c r="A541" s="64">
        <f t="shared" si="2"/>
        <v>0</v>
      </c>
      <c r="B541" s="98"/>
      <c r="C541" s="64"/>
      <c r="D541" s="16"/>
      <c r="E541" s="16"/>
      <c r="F541" s="100"/>
      <c r="G541" s="101"/>
      <c r="H541" s="16"/>
      <c r="I541" s="16"/>
      <c r="J541" s="16"/>
      <c r="K541" s="16"/>
      <c r="L541" s="16"/>
      <c r="M541" s="16"/>
      <c r="N541" s="100"/>
      <c r="O541" s="100"/>
      <c r="P541" s="100"/>
      <c r="Q541" s="106"/>
      <c r="R541" s="107"/>
      <c r="S541" s="104"/>
      <c r="T541" s="74"/>
      <c r="U541" s="108"/>
      <c r="V541" s="74" t="str">
        <f t="array" ref="V541">IFERROR(index('3. Công thức lab theo từng mã h'!J:J,MATCH(C541,'3. Công thức lab theo từng mã h'!L:L,0)),"")</f>
        <v/>
      </c>
      <c r="W541" s="74"/>
      <c r="X541" s="75"/>
    </row>
    <row r="542">
      <c r="A542" s="76">
        <f t="shared" si="2"/>
        <v>0</v>
      </c>
      <c r="B542" s="88"/>
      <c r="C542" s="76"/>
      <c r="D542" s="86"/>
      <c r="E542" s="86"/>
      <c r="F542" s="90"/>
      <c r="G542" s="91"/>
      <c r="H542" s="86"/>
      <c r="I542" s="86"/>
      <c r="J542" s="86"/>
      <c r="K542" s="86"/>
      <c r="L542" s="86"/>
      <c r="M542" s="86"/>
      <c r="N542" s="90"/>
      <c r="O542" s="90"/>
      <c r="P542" s="90"/>
      <c r="Q542" s="106"/>
      <c r="R542" s="95"/>
      <c r="S542" s="96"/>
      <c r="T542" s="85"/>
      <c r="U542" s="97"/>
      <c r="V542" s="85" t="str">
        <f t="array" ref="V542">IFERROR(index('3. Công thức lab theo từng mã h'!J:J,MATCH(C542,'3. Công thức lab theo từng mã h'!L:L,0)),"")</f>
        <v/>
      </c>
      <c r="W542" s="85"/>
      <c r="X542" s="75"/>
    </row>
    <row r="543">
      <c r="A543" s="64">
        <f t="shared" si="2"/>
        <v>0</v>
      </c>
      <c r="B543" s="98"/>
      <c r="C543" s="64"/>
      <c r="D543" s="16"/>
      <c r="E543" s="16"/>
      <c r="F543" s="100"/>
      <c r="G543" s="101"/>
      <c r="H543" s="16"/>
      <c r="I543" s="16"/>
      <c r="J543" s="16"/>
      <c r="K543" s="16"/>
      <c r="L543" s="16"/>
      <c r="M543" s="16"/>
      <c r="N543" s="100"/>
      <c r="O543" s="100"/>
      <c r="P543" s="100"/>
      <c r="Q543" s="106"/>
      <c r="R543" s="107"/>
      <c r="S543" s="104"/>
      <c r="T543" s="74"/>
      <c r="U543" s="108"/>
      <c r="V543" s="74" t="str">
        <f t="array" ref="V543">IFERROR(index('3. Công thức lab theo từng mã h'!J:J,MATCH(C543,'3. Công thức lab theo từng mã h'!L:L,0)),"")</f>
        <v/>
      </c>
      <c r="W543" s="74"/>
      <c r="X543" s="75"/>
    </row>
    <row r="544">
      <c r="A544" s="76">
        <f t="shared" si="2"/>
        <v>0</v>
      </c>
      <c r="B544" s="88"/>
      <c r="C544" s="76"/>
      <c r="D544" s="86"/>
      <c r="E544" s="86"/>
      <c r="F544" s="90"/>
      <c r="G544" s="91"/>
      <c r="H544" s="86"/>
      <c r="I544" s="86"/>
      <c r="J544" s="86"/>
      <c r="K544" s="86"/>
      <c r="L544" s="86"/>
      <c r="M544" s="86"/>
      <c r="N544" s="90"/>
      <c r="O544" s="90"/>
      <c r="P544" s="90"/>
      <c r="Q544" s="106"/>
      <c r="R544" s="95"/>
      <c r="S544" s="96"/>
      <c r="T544" s="85"/>
      <c r="U544" s="97"/>
      <c r="V544" s="85" t="str">
        <f t="array" ref="V544">IFERROR(index('3. Công thức lab theo từng mã h'!J:J,MATCH(C544,'3. Công thức lab theo từng mã h'!L:L,0)),"")</f>
        <v/>
      </c>
      <c r="W544" s="85"/>
      <c r="X544" s="75"/>
    </row>
    <row r="545">
      <c r="A545" s="64">
        <f t="shared" si="2"/>
        <v>0</v>
      </c>
      <c r="B545" s="98"/>
      <c r="C545" s="64"/>
      <c r="D545" s="16"/>
      <c r="E545" s="16"/>
      <c r="F545" s="100"/>
      <c r="G545" s="101"/>
      <c r="H545" s="16"/>
      <c r="I545" s="16"/>
      <c r="J545" s="16"/>
      <c r="K545" s="16"/>
      <c r="L545" s="16"/>
      <c r="M545" s="16"/>
      <c r="N545" s="100"/>
      <c r="O545" s="100"/>
      <c r="P545" s="100"/>
      <c r="Q545" s="106"/>
      <c r="R545" s="107"/>
      <c r="S545" s="104"/>
      <c r="T545" s="74"/>
      <c r="U545" s="108"/>
      <c r="V545" s="74" t="str">
        <f t="array" ref="V545">IFERROR(index('3. Công thức lab theo từng mã h'!J:J,MATCH(C545,'3. Công thức lab theo từng mã h'!L:L,0)),"")</f>
        <v/>
      </c>
      <c r="W545" s="74"/>
      <c r="X545" s="75"/>
    </row>
    <row r="546">
      <c r="A546" s="76">
        <f t="shared" si="2"/>
        <v>0</v>
      </c>
      <c r="B546" s="88"/>
      <c r="C546" s="76"/>
      <c r="D546" s="86"/>
      <c r="E546" s="86"/>
      <c r="F546" s="90"/>
      <c r="G546" s="91"/>
      <c r="H546" s="86"/>
      <c r="I546" s="86"/>
      <c r="J546" s="86"/>
      <c r="K546" s="86"/>
      <c r="L546" s="86"/>
      <c r="M546" s="86"/>
      <c r="N546" s="90"/>
      <c r="O546" s="90"/>
      <c r="P546" s="90"/>
      <c r="Q546" s="106"/>
      <c r="R546" s="95"/>
      <c r="S546" s="96"/>
      <c r="T546" s="85"/>
      <c r="U546" s="97"/>
      <c r="V546" s="85" t="str">
        <f t="array" ref="V546">IFERROR(index('3. Công thức lab theo từng mã h'!J:J,MATCH(C546,'3. Công thức lab theo từng mã h'!L:L,0)),"")</f>
        <v/>
      </c>
      <c r="W546" s="85"/>
      <c r="X546" s="75"/>
    </row>
    <row r="547">
      <c r="A547" s="64">
        <f t="shared" si="2"/>
        <v>0</v>
      </c>
      <c r="B547" s="98"/>
      <c r="C547" s="64"/>
      <c r="D547" s="16"/>
      <c r="E547" s="16"/>
      <c r="F547" s="100"/>
      <c r="G547" s="101"/>
      <c r="H547" s="16"/>
      <c r="I547" s="16"/>
      <c r="J547" s="16"/>
      <c r="K547" s="16"/>
      <c r="L547" s="16"/>
      <c r="M547" s="16"/>
      <c r="N547" s="100"/>
      <c r="O547" s="100"/>
      <c r="P547" s="100"/>
      <c r="Q547" s="106"/>
      <c r="R547" s="107"/>
      <c r="S547" s="104"/>
      <c r="T547" s="74"/>
      <c r="U547" s="108"/>
      <c r="V547" s="74" t="str">
        <f t="array" ref="V547">IFERROR(index('3. Công thức lab theo từng mã h'!J:J,MATCH(C547,'3. Công thức lab theo từng mã h'!L:L,0)),"")</f>
        <v/>
      </c>
      <c r="W547" s="74"/>
      <c r="X547" s="75"/>
    </row>
    <row r="548">
      <c r="A548" s="76">
        <f t="shared" si="2"/>
        <v>0</v>
      </c>
      <c r="B548" s="88"/>
      <c r="C548" s="76"/>
      <c r="D548" s="86"/>
      <c r="E548" s="86"/>
      <c r="F548" s="90"/>
      <c r="G548" s="91"/>
      <c r="H548" s="86"/>
      <c r="I548" s="86"/>
      <c r="J548" s="86"/>
      <c r="K548" s="86"/>
      <c r="L548" s="86"/>
      <c r="M548" s="86"/>
      <c r="N548" s="90"/>
      <c r="O548" s="90"/>
      <c r="P548" s="90"/>
      <c r="Q548" s="106"/>
      <c r="R548" s="95"/>
      <c r="S548" s="96"/>
      <c r="T548" s="85"/>
      <c r="U548" s="97"/>
      <c r="V548" s="85" t="str">
        <f t="array" ref="V548">IFERROR(index('3. Công thức lab theo từng mã h'!J:J,MATCH(C548,'3. Công thức lab theo từng mã h'!L:L,0)),"")</f>
        <v/>
      </c>
      <c r="W548" s="85"/>
      <c r="X548" s="75"/>
    </row>
    <row r="549">
      <c r="A549" s="64">
        <f t="shared" si="2"/>
        <v>0</v>
      </c>
      <c r="B549" s="98"/>
      <c r="C549" s="64"/>
      <c r="D549" s="16"/>
      <c r="E549" s="16"/>
      <c r="F549" s="100"/>
      <c r="G549" s="101"/>
      <c r="H549" s="16"/>
      <c r="I549" s="16"/>
      <c r="J549" s="16"/>
      <c r="K549" s="16"/>
      <c r="L549" s="16"/>
      <c r="M549" s="16"/>
      <c r="N549" s="100"/>
      <c r="O549" s="100"/>
      <c r="P549" s="100"/>
      <c r="Q549" s="106"/>
      <c r="R549" s="107"/>
      <c r="S549" s="104"/>
      <c r="T549" s="74"/>
      <c r="U549" s="108"/>
      <c r="V549" s="74" t="str">
        <f t="array" ref="V549">IFERROR(index('3. Công thức lab theo từng mã h'!J:J,MATCH(C549,'3. Công thức lab theo từng mã h'!L:L,0)),"")</f>
        <v/>
      </c>
      <c r="W549" s="74"/>
      <c r="X549" s="75"/>
    </row>
    <row r="550">
      <c r="A550" s="76">
        <f t="shared" si="2"/>
        <v>0</v>
      </c>
      <c r="B550" s="88"/>
      <c r="C550" s="76"/>
      <c r="D550" s="86"/>
      <c r="E550" s="86"/>
      <c r="F550" s="90"/>
      <c r="G550" s="91"/>
      <c r="H550" s="86"/>
      <c r="I550" s="86"/>
      <c r="J550" s="86"/>
      <c r="K550" s="86"/>
      <c r="L550" s="86"/>
      <c r="M550" s="86"/>
      <c r="N550" s="90"/>
      <c r="O550" s="90"/>
      <c r="P550" s="90"/>
      <c r="Q550" s="106"/>
      <c r="R550" s="95"/>
      <c r="S550" s="96"/>
      <c r="T550" s="85"/>
      <c r="U550" s="97"/>
      <c r="V550" s="85" t="str">
        <f t="array" ref="V550">IFERROR(index('3. Công thức lab theo từng mã h'!J:J,MATCH(C550,'3. Công thức lab theo từng mã h'!L:L,0)),"")</f>
        <v/>
      </c>
      <c r="W550" s="85"/>
      <c r="X550" s="75"/>
    </row>
    <row r="551">
      <c r="A551" s="64">
        <f t="shared" si="2"/>
        <v>0</v>
      </c>
      <c r="B551" s="98"/>
      <c r="C551" s="64"/>
      <c r="D551" s="16"/>
      <c r="E551" s="16"/>
      <c r="F551" s="100"/>
      <c r="G551" s="101"/>
      <c r="H551" s="16"/>
      <c r="I551" s="16"/>
      <c r="J551" s="16"/>
      <c r="K551" s="16"/>
      <c r="L551" s="16"/>
      <c r="M551" s="16"/>
      <c r="N551" s="100"/>
      <c r="O551" s="100"/>
      <c r="P551" s="100"/>
      <c r="Q551" s="106"/>
      <c r="R551" s="107"/>
      <c r="S551" s="104"/>
      <c r="T551" s="74"/>
      <c r="U551" s="108"/>
      <c r="V551" s="74" t="str">
        <f t="array" ref="V551">IFERROR(index('3. Công thức lab theo từng mã h'!J:J,MATCH(C551,'3. Công thức lab theo từng mã h'!L:L,0)),"")</f>
        <v/>
      </c>
      <c r="W551" s="74"/>
      <c r="X551" s="75"/>
    </row>
    <row r="552">
      <c r="A552" s="76">
        <f t="shared" si="2"/>
        <v>0</v>
      </c>
      <c r="B552" s="88"/>
      <c r="C552" s="76"/>
      <c r="D552" s="86"/>
      <c r="E552" s="86"/>
      <c r="F552" s="90"/>
      <c r="G552" s="91"/>
      <c r="H552" s="86"/>
      <c r="I552" s="86"/>
      <c r="J552" s="86"/>
      <c r="K552" s="86"/>
      <c r="L552" s="86"/>
      <c r="M552" s="86"/>
      <c r="N552" s="90"/>
      <c r="O552" s="90"/>
      <c r="P552" s="90"/>
      <c r="Q552" s="106"/>
      <c r="R552" s="95"/>
      <c r="S552" s="96"/>
      <c r="T552" s="85"/>
      <c r="U552" s="97"/>
      <c r="V552" s="85" t="str">
        <f t="array" ref="V552">IFERROR(index('3. Công thức lab theo từng mã h'!J:J,MATCH(C552,'3. Công thức lab theo từng mã h'!L:L,0)),"")</f>
        <v/>
      </c>
      <c r="W552" s="85"/>
      <c r="X552" s="75"/>
    </row>
    <row r="553">
      <c r="A553" s="64">
        <f t="shared" si="2"/>
        <v>0</v>
      </c>
      <c r="B553" s="98"/>
      <c r="C553" s="64"/>
      <c r="D553" s="16"/>
      <c r="E553" s="16"/>
      <c r="F553" s="100"/>
      <c r="G553" s="101"/>
      <c r="H553" s="16"/>
      <c r="I553" s="16"/>
      <c r="J553" s="16"/>
      <c r="K553" s="16"/>
      <c r="L553" s="16"/>
      <c r="M553" s="16"/>
      <c r="N553" s="100"/>
      <c r="O553" s="100"/>
      <c r="P553" s="100"/>
      <c r="Q553" s="106"/>
      <c r="R553" s="107"/>
      <c r="S553" s="104"/>
      <c r="T553" s="74"/>
      <c r="U553" s="108"/>
      <c r="V553" s="74" t="str">
        <f t="array" ref="V553">IFERROR(index('3. Công thức lab theo từng mã h'!J:J,MATCH(C553,'3. Công thức lab theo từng mã h'!L:L,0)),"")</f>
        <v/>
      </c>
      <c r="W553" s="74"/>
      <c r="X553" s="75"/>
    </row>
    <row r="554">
      <c r="A554" s="76">
        <f t="shared" si="2"/>
        <v>0</v>
      </c>
      <c r="B554" s="88"/>
      <c r="C554" s="76"/>
      <c r="D554" s="86"/>
      <c r="E554" s="86"/>
      <c r="F554" s="90"/>
      <c r="G554" s="91"/>
      <c r="H554" s="86"/>
      <c r="I554" s="86"/>
      <c r="J554" s="86"/>
      <c r="K554" s="86"/>
      <c r="L554" s="86"/>
      <c r="M554" s="86"/>
      <c r="N554" s="90"/>
      <c r="O554" s="90"/>
      <c r="P554" s="90"/>
      <c r="Q554" s="106"/>
      <c r="R554" s="95"/>
      <c r="S554" s="96"/>
      <c r="T554" s="85"/>
      <c r="U554" s="97"/>
      <c r="V554" s="85" t="str">
        <f t="array" ref="V554">IFERROR(index('3. Công thức lab theo từng mã h'!J:J,MATCH(C554,'3. Công thức lab theo từng mã h'!L:L,0)),"")</f>
        <v/>
      </c>
      <c r="W554" s="85"/>
      <c r="X554" s="75"/>
    </row>
    <row r="555">
      <c r="A555" s="64">
        <f t="shared" si="2"/>
        <v>0</v>
      </c>
      <c r="B555" s="98"/>
      <c r="C555" s="64"/>
      <c r="D555" s="16"/>
      <c r="E555" s="16"/>
      <c r="F555" s="100"/>
      <c r="G555" s="101"/>
      <c r="H555" s="16"/>
      <c r="I555" s="16"/>
      <c r="J555" s="16"/>
      <c r="K555" s="16"/>
      <c r="L555" s="16"/>
      <c r="M555" s="16"/>
      <c r="N555" s="100"/>
      <c r="O555" s="100"/>
      <c r="P555" s="100"/>
      <c r="Q555" s="106"/>
      <c r="R555" s="107"/>
      <c r="S555" s="104"/>
      <c r="T555" s="74"/>
      <c r="U555" s="108"/>
      <c r="V555" s="74" t="str">
        <f t="array" ref="V555">IFERROR(index('3. Công thức lab theo từng mã h'!J:J,MATCH(C555,'3. Công thức lab theo từng mã h'!L:L,0)),"")</f>
        <v/>
      </c>
      <c r="W555" s="74"/>
      <c r="X555" s="75"/>
    </row>
    <row r="556">
      <c r="A556" s="76">
        <f t="shared" si="2"/>
        <v>0</v>
      </c>
      <c r="B556" s="88"/>
      <c r="C556" s="76"/>
      <c r="D556" s="86"/>
      <c r="E556" s="86"/>
      <c r="F556" s="90"/>
      <c r="G556" s="91"/>
      <c r="H556" s="86"/>
      <c r="I556" s="86"/>
      <c r="J556" s="86"/>
      <c r="K556" s="86"/>
      <c r="L556" s="86"/>
      <c r="M556" s="86"/>
      <c r="N556" s="90"/>
      <c r="O556" s="90"/>
      <c r="P556" s="90"/>
      <c r="Q556" s="106"/>
      <c r="R556" s="95"/>
      <c r="S556" s="96"/>
      <c r="T556" s="85"/>
      <c r="U556" s="97"/>
      <c r="V556" s="85" t="str">
        <f t="array" ref="V556">IFERROR(index('3. Công thức lab theo từng mã h'!J:J,MATCH(C556,'3. Công thức lab theo từng mã h'!L:L,0)),"")</f>
        <v/>
      </c>
      <c r="W556" s="85"/>
      <c r="X556" s="75"/>
    </row>
    <row r="557">
      <c r="A557" s="64">
        <f t="shared" si="2"/>
        <v>0</v>
      </c>
      <c r="B557" s="98"/>
      <c r="C557" s="64"/>
      <c r="D557" s="16"/>
      <c r="E557" s="16"/>
      <c r="F557" s="100"/>
      <c r="G557" s="101"/>
      <c r="H557" s="16"/>
      <c r="I557" s="16"/>
      <c r="J557" s="16"/>
      <c r="K557" s="16"/>
      <c r="L557" s="16"/>
      <c r="M557" s="16"/>
      <c r="N557" s="100"/>
      <c r="O557" s="100"/>
      <c r="P557" s="100"/>
      <c r="Q557" s="106"/>
      <c r="R557" s="107"/>
      <c r="S557" s="104"/>
      <c r="T557" s="74"/>
      <c r="U557" s="108"/>
      <c r="V557" s="74" t="str">
        <f t="array" ref="V557">IFERROR(index('3. Công thức lab theo từng mã h'!J:J,MATCH(C557,'3. Công thức lab theo từng mã h'!L:L,0)),"")</f>
        <v/>
      </c>
      <c r="W557" s="74"/>
      <c r="X557" s="75"/>
    </row>
    <row r="558">
      <c r="A558" s="76">
        <f t="shared" si="2"/>
        <v>0</v>
      </c>
      <c r="B558" s="88"/>
      <c r="C558" s="76"/>
      <c r="D558" s="86"/>
      <c r="E558" s="86"/>
      <c r="F558" s="90"/>
      <c r="G558" s="91"/>
      <c r="H558" s="86"/>
      <c r="I558" s="86"/>
      <c r="J558" s="86"/>
      <c r="K558" s="86"/>
      <c r="L558" s="86"/>
      <c r="M558" s="86"/>
      <c r="N558" s="90"/>
      <c r="O558" s="90"/>
      <c r="P558" s="90"/>
      <c r="Q558" s="106"/>
      <c r="R558" s="95"/>
      <c r="S558" s="96"/>
      <c r="T558" s="85"/>
      <c r="U558" s="97"/>
      <c r="V558" s="85" t="str">
        <f t="array" ref="V558">IFERROR(index('3. Công thức lab theo từng mã h'!J:J,MATCH(C558,'3. Công thức lab theo từng mã h'!L:L,0)),"")</f>
        <v/>
      </c>
      <c r="W558" s="85"/>
      <c r="X558" s="75"/>
    </row>
    <row r="559">
      <c r="A559" s="64">
        <f t="shared" si="2"/>
        <v>0</v>
      </c>
      <c r="B559" s="98"/>
      <c r="C559" s="64"/>
      <c r="D559" s="16"/>
      <c r="E559" s="16"/>
      <c r="F559" s="100"/>
      <c r="G559" s="101"/>
      <c r="H559" s="16"/>
      <c r="I559" s="16"/>
      <c r="J559" s="16"/>
      <c r="K559" s="16"/>
      <c r="L559" s="16"/>
      <c r="M559" s="16"/>
      <c r="N559" s="100"/>
      <c r="O559" s="100"/>
      <c r="P559" s="100"/>
      <c r="Q559" s="106"/>
      <c r="R559" s="107"/>
      <c r="S559" s="104"/>
      <c r="T559" s="74"/>
      <c r="U559" s="108"/>
      <c r="V559" s="74" t="str">
        <f t="array" ref="V559">IFERROR(index('3. Công thức lab theo từng mã h'!J:J,MATCH(C559,'3. Công thức lab theo từng mã h'!L:L,0)),"")</f>
        <v/>
      </c>
      <c r="W559" s="74"/>
      <c r="X559" s="75"/>
    </row>
    <row r="560">
      <c r="A560" s="76">
        <f t="shared" si="2"/>
        <v>0</v>
      </c>
      <c r="B560" s="88"/>
      <c r="C560" s="76"/>
      <c r="D560" s="86"/>
      <c r="E560" s="86"/>
      <c r="F560" s="90"/>
      <c r="G560" s="91"/>
      <c r="H560" s="86"/>
      <c r="I560" s="86"/>
      <c r="J560" s="86"/>
      <c r="K560" s="86"/>
      <c r="L560" s="86"/>
      <c r="M560" s="86"/>
      <c r="N560" s="90"/>
      <c r="O560" s="90"/>
      <c r="P560" s="90"/>
      <c r="Q560" s="106"/>
      <c r="R560" s="95"/>
      <c r="S560" s="96"/>
      <c r="T560" s="85"/>
      <c r="U560" s="97"/>
      <c r="V560" s="85" t="str">
        <f t="array" ref="V560">IFERROR(index('3. Công thức lab theo từng mã h'!J:J,MATCH(C560,'3. Công thức lab theo từng mã h'!L:L,0)),"")</f>
        <v/>
      </c>
      <c r="W560" s="85"/>
      <c r="X560" s="75"/>
    </row>
    <row r="561">
      <c r="A561" s="64">
        <f t="shared" si="2"/>
        <v>0</v>
      </c>
      <c r="B561" s="98"/>
      <c r="C561" s="64"/>
      <c r="D561" s="16"/>
      <c r="E561" s="16"/>
      <c r="F561" s="100"/>
      <c r="G561" s="101"/>
      <c r="H561" s="16"/>
      <c r="I561" s="16"/>
      <c r="J561" s="16"/>
      <c r="K561" s="16"/>
      <c r="L561" s="16"/>
      <c r="M561" s="16"/>
      <c r="N561" s="100"/>
      <c r="O561" s="100"/>
      <c r="P561" s="100"/>
      <c r="Q561" s="106"/>
      <c r="R561" s="107"/>
      <c r="S561" s="104"/>
      <c r="T561" s="74"/>
      <c r="U561" s="108"/>
      <c r="V561" s="74" t="str">
        <f t="array" ref="V561">IFERROR(index('3. Công thức lab theo từng mã h'!J:J,MATCH(C561,'3. Công thức lab theo từng mã h'!L:L,0)),"")</f>
        <v/>
      </c>
      <c r="W561" s="74"/>
      <c r="X561" s="75"/>
    </row>
    <row r="562">
      <c r="A562" s="76">
        <f t="shared" si="2"/>
        <v>0</v>
      </c>
      <c r="B562" s="88"/>
      <c r="C562" s="76"/>
      <c r="D562" s="86"/>
      <c r="E562" s="86"/>
      <c r="F562" s="90"/>
      <c r="G562" s="91"/>
      <c r="H562" s="86"/>
      <c r="I562" s="86"/>
      <c r="J562" s="86"/>
      <c r="K562" s="86"/>
      <c r="L562" s="86"/>
      <c r="M562" s="86"/>
      <c r="N562" s="90"/>
      <c r="O562" s="90"/>
      <c r="P562" s="90"/>
      <c r="Q562" s="106"/>
      <c r="R562" s="95"/>
      <c r="S562" s="96"/>
      <c r="T562" s="85"/>
      <c r="U562" s="97"/>
      <c r="V562" s="85" t="str">
        <f t="array" ref="V562">IFERROR(index('3. Công thức lab theo từng mã h'!J:J,MATCH(C562,'3. Công thức lab theo từng mã h'!L:L,0)),"")</f>
        <v/>
      </c>
      <c r="W562" s="85"/>
      <c r="X562" s="75"/>
    </row>
    <row r="563">
      <c r="A563" s="64">
        <f t="shared" si="2"/>
        <v>0</v>
      </c>
      <c r="B563" s="98"/>
      <c r="C563" s="64"/>
      <c r="D563" s="16"/>
      <c r="E563" s="16"/>
      <c r="F563" s="100"/>
      <c r="G563" s="101"/>
      <c r="H563" s="16"/>
      <c r="I563" s="16"/>
      <c r="J563" s="16"/>
      <c r="K563" s="16"/>
      <c r="L563" s="16"/>
      <c r="M563" s="16"/>
      <c r="N563" s="100"/>
      <c r="O563" s="100"/>
      <c r="P563" s="100"/>
      <c r="Q563" s="106"/>
      <c r="R563" s="107"/>
      <c r="S563" s="104"/>
      <c r="T563" s="74"/>
      <c r="U563" s="108"/>
      <c r="V563" s="74" t="str">
        <f t="array" ref="V563">IFERROR(index('3. Công thức lab theo từng mã h'!J:J,MATCH(C563,'3. Công thức lab theo từng mã h'!L:L,0)),"")</f>
        <v/>
      </c>
      <c r="W563" s="74"/>
      <c r="X563" s="75"/>
    </row>
    <row r="564">
      <c r="A564" s="76">
        <f t="shared" si="2"/>
        <v>0</v>
      </c>
      <c r="B564" s="88"/>
      <c r="C564" s="76"/>
      <c r="D564" s="86"/>
      <c r="E564" s="86"/>
      <c r="F564" s="90"/>
      <c r="G564" s="91"/>
      <c r="H564" s="86"/>
      <c r="I564" s="86"/>
      <c r="J564" s="86"/>
      <c r="K564" s="86"/>
      <c r="L564" s="86"/>
      <c r="M564" s="86"/>
      <c r="N564" s="90"/>
      <c r="O564" s="90"/>
      <c r="P564" s="90"/>
      <c r="Q564" s="106"/>
      <c r="R564" s="95"/>
      <c r="S564" s="96"/>
      <c r="T564" s="85"/>
      <c r="U564" s="97"/>
      <c r="V564" s="85" t="str">
        <f t="array" ref="V564">IFERROR(index('3. Công thức lab theo từng mã h'!J:J,MATCH(C564,'3. Công thức lab theo từng mã h'!L:L,0)),"")</f>
        <v/>
      </c>
      <c r="W564" s="85"/>
      <c r="X564" s="75"/>
    </row>
    <row r="565">
      <c r="A565" s="64">
        <f t="shared" si="2"/>
        <v>0</v>
      </c>
      <c r="B565" s="98"/>
      <c r="C565" s="64"/>
      <c r="D565" s="16"/>
      <c r="E565" s="16"/>
      <c r="F565" s="100"/>
      <c r="G565" s="101"/>
      <c r="H565" s="16"/>
      <c r="I565" s="16"/>
      <c r="J565" s="16"/>
      <c r="K565" s="16"/>
      <c r="L565" s="16"/>
      <c r="M565" s="16"/>
      <c r="N565" s="100"/>
      <c r="O565" s="100"/>
      <c r="P565" s="100"/>
      <c r="Q565" s="106"/>
      <c r="R565" s="107"/>
      <c r="S565" s="104"/>
      <c r="T565" s="74"/>
      <c r="U565" s="108"/>
      <c r="V565" s="74" t="str">
        <f t="array" ref="V565">IFERROR(index('3. Công thức lab theo từng mã h'!J:J,MATCH(C565,'3. Công thức lab theo từng mã h'!L:L,0)),"")</f>
        <v/>
      </c>
      <c r="W565" s="74"/>
      <c r="X565" s="75"/>
    </row>
    <row r="566">
      <c r="A566" s="76">
        <f t="shared" si="2"/>
        <v>0</v>
      </c>
      <c r="B566" s="88"/>
      <c r="C566" s="76"/>
      <c r="D566" s="86"/>
      <c r="E566" s="86"/>
      <c r="F566" s="90"/>
      <c r="G566" s="91"/>
      <c r="H566" s="86"/>
      <c r="I566" s="86"/>
      <c r="J566" s="86"/>
      <c r="K566" s="86"/>
      <c r="L566" s="86"/>
      <c r="M566" s="86"/>
      <c r="N566" s="90"/>
      <c r="O566" s="90"/>
      <c r="P566" s="90"/>
      <c r="Q566" s="106"/>
      <c r="R566" s="95"/>
      <c r="S566" s="96"/>
      <c r="T566" s="85"/>
      <c r="U566" s="97"/>
      <c r="V566" s="85" t="str">
        <f t="array" ref="V566">IFERROR(index('3. Công thức lab theo từng mã h'!J:J,MATCH(C566,'3. Công thức lab theo từng mã h'!L:L,0)),"")</f>
        <v/>
      </c>
      <c r="W566" s="85"/>
      <c r="X566" s="75"/>
    </row>
    <row r="567">
      <c r="A567" s="64">
        <f t="shared" si="2"/>
        <v>0</v>
      </c>
      <c r="B567" s="98"/>
      <c r="C567" s="64"/>
      <c r="D567" s="16"/>
      <c r="E567" s="16"/>
      <c r="F567" s="100"/>
      <c r="G567" s="101"/>
      <c r="H567" s="16"/>
      <c r="I567" s="16"/>
      <c r="J567" s="16"/>
      <c r="K567" s="16"/>
      <c r="L567" s="16"/>
      <c r="M567" s="16"/>
      <c r="N567" s="100"/>
      <c r="O567" s="100"/>
      <c r="P567" s="100"/>
      <c r="Q567" s="106"/>
      <c r="R567" s="107"/>
      <c r="S567" s="104"/>
      <c r="T567" s="74"/>
      <c r="U567" s="108"/>
      <c r="V567" s="74" t="str">
        <f t="array" ref="V567">IFERROR(index('3. Công thức lab theo từng mã h'!J:J,MATCH(C567,'3. Công thức lab theo từng mã h'!L:L,0)),"")</f>
        <v/>
      </c>
      <c r="W567" s="74"/>
      <c r="X567" s="75"/>
    </row>
    <row r="568">
      <c r="A568" s="76">
        <f t="shared" si="2"/>
        <v>0</v>
      </c>
      <c r="B568" s="88"/>
      <c r="C568" s="76"/>
      <c r="D568" s="86"/>
      <c r="E568" s="86"/>
      <c r="F568" s="90"/>
      <c r="G568" s="91"/>
      <c r="H568" s="86"/>
      <c r="I568" s="86"/>
      <c r="J568" s="86"/>
      <c r="K568" s="86"/>
      <c r="L568" s="86"/>
      <c r="M568" s="86"/>
      <c r="N568" s="90"/>
      <c r="O568" s="90"/>
      <c r="P568" s="90"/>
      <c r="Q568" s="106"/>
      <c r="R568" s="95"/>
      <c r="S568" s="96"/>
      <c r="T568" s="85"/>
      <c r="U568" s="97"/>
      <c r="V568" s="85" t="str">
        <f t="array" ref="V568">IFERROR(index('3. Công thức lab theo từng mã h'!J:J,MATCH(C568,'3. Công thức lab theo từng mã h'!L:L,0)),"")</f>
        <v/>
      </c>
      <c r="W568" s="85"/>
      <c r="X568" s="75"/>
    </row>
    <row r="569">
      <c r="A569" s="64">
        <f t="shared" si="2"/>
        <v>0</v>
      </c>
      <c r="B569" s="98"/>
      <c r="C569" s="64"/>
      <c r="D569" s="16"/>
      <c r="E569" s="16"/>
      <c r="F569" s="100"/>
      <c r="G569" s="101"/>
      <c r="H569" s="16"/>
      <c r="I569" s="16"/>
      <c r="J569" s="16"/>
      <c r="K569" s="16"/>
      <c r="L569" s="16"/>
      <c r="M569" s="16"/>
      <c r="N569" s="100"/>
      <c r="O569" s="100"/>
      <c r="P569" s="100"/>
      <c r="Q569" s="106"/>
      <c r="R569" s="107"/>
      <c r="S569" s="104"/>
      <c r="T569" s="74"/>
      <c r="U569" s="108"/>
      <c r="V569" s="74" t="str">
        <f t="array" ref="V569">IFERROR(index('3. Công thức lab theo từng mã h'!J:J,MATCH(C569,'3. Công thức lab theo từng mã h'!L:L,0)),"")</f>
        <v/>
      </c>
      <c r="W569" s="74"/>
      <c r="X569" s="75"/>
    </row>
    <row r="570">
      <c r="A570" s="76">
        <f t="shared" si="2"/>
        <v>0</v>
      </c>
      <c r="B570" s="88"/>
      <c r="C570" s="76"/>
      <c r="D570" s="86"/>
      <c r="E570" s="86"/>
      <c r="F570" s="90"/>
      <c r="G570" s="91"/>
      <c r="H570" s="86"/>
      <c r="I570" s="86"/>
      <c r="J570" s="86"/>
      <c r="K570" s="86"/>
      <c r="L570" s="86"/>
      <c r="M570" s="86"/>
      <c r="N570" s="90"/>
      <c r="O570" s="90"/>
      <c r="P570" s="90"/>
      <c r="Q570" s="106"/>
      <c r="R570" s="95"/>
      <c r="S570" s="96"/>
      <c r="T570" s="85"/>
      <c r="U570" s="97"/>
      <c r="V570" s="85" t="str">
        <f t="array" ref="V570">IFERROR(index('3. Công thức lab theo từng mã h'!J:J,MATCH(C570,'3. Công thức lab theo từng mã h'!L:L,0)),"")</f>
        <v/>
      </c>
      <c r="W570" s="85"/>
      <c r="X570" s="75"/>
    </row>
    <row r="571">
      <c r="A571" s="64">
        <f t="shared" si="2"/>
        <v>0</v>
      </c>
      <c r="B571" s="98"/>
      <c r="C571" s="64"/>
      <c r="D571" s="16"/>
      <c r="E571" s="16"/>
      <c r="F571" s="100"/>
      <c r="G571" s="101"/>
      <c r="H571" s="16"/>
      <c r="I571" s="16"/>
      <c r="J571" s="16"/>
      <c r="K571" s="16"/>
      <c r="L571" s="16"/>
      <c r="M571" s="16"/>
      <c r="N571" s="100"/>
      <c r="O571" s="100"/>
      <c r="P571" s="100"/>
      <c r="Q571" s="106"/>
      <c r="R571" s="107"/>
      <c r="S571" s="104"/>
      <c r="T571" s="74"/>
      <c r="U571" s="108"/>
      <c r="V571" s="74" t="str">
        <f t="array" ref="V571">IFERROR(index('3. Công thức lab theo từng mã h'!J:J,MATCH(C571,'3. Công thức lab theo từng mã h'!L:L,0)),"")</f>
        <v/>
      </c>
      <c r="W571" s="74"/>
      <c r="X571" s="75"/>
    </row>
    <row r="572">
      <c r="A572" s="76">
        <f t="shared" si="2"/>
        <v>0</v>
      </c>
      <c r="B572" s="88"/>
      <c r="C572" s="76"/>
      <c r="D572" s="86"/>
      <c r="E572" s="86"/>
      <c r="F572" s="90"/>
      <c r="G572" s="91"/>
      <c r="H572" s="86"/>
      <c r="I572" s="86"/>
      <c r="J572" s="86"/>
      <c r="K572" s="86"/>
      <c r="L572" s="86"/>
      <c r="M572" s="86"/>
      <c r="N572" s="90"/>
      <c r="O572" s="90"/>
      <c r="P572" s="90"/>
      <c r="Q572" s="106"/>
      <c r="R572" s="95"/>
      <c r="S572" s="96"/>
      <c r="T572" s="85"/>
      <c r="U572" s="97"/>
      <c r="V572" s="85" t="str">
        <f t="array" ref="V572">IFERROR(index('3. Công thức lab theo từng mã h'!J:J,MATCH(C572,'3. Công thức lab theo từng mã h'!L:L,0)),"")</f>
        <v/>
      </c>
      <c r="W572" s="85"/>
      <c r="X572" s="75"/>
    </row>
    <row r="573">
      <c r="A573" s="64">
        <f t="shared" si="2"/>
        <v>0</v>
      </c>
      <c r="B573" s="98"/>
      <c r="C573" s="64"/>
      <c r="D573" s="16"/>
      <c r="E573" s="16"/>
      <c r="F573" s="100"/>
      <c r="G573" s="101"/>
      <c r="H573" s="16"/>
      <c r="I573" s="16"/>
      <c r="J573" s="16"/>
      <c r="K573" s="16"/>
      <c r="L573" s="16"/>
      <c r="M573" s="16"/>
      <c r="N573" s="100"/>
      <c r="O573" s="100"/>
      <c r="P573" s="100"/>
      <c r="Q573" s="106"/>
      <c r="R573" s="107"/>
      <c r="S573" s="104"/>
      <c r="T573" s="74"/>
      <c r="U573" s="108"/>
      <c r="V573" s="74" t="str">
        <f t="array" ref="V573">IFERROR(index('3. Công thức lab theo từng mã h'!J:J,MATCH(C573,'3. Công thức lab theo từng mã h'!L:L,0)),"")</f>
        <v/>
      </c>
      <c r="W573" s="74"/>
      <c r="X573" s="75"/>
    </row>
    <row r="574">
      <c r="A574" s="76">
        <f t="shared" si="2"/>
        <v>0</v>
      </c>
      <c r="B574" s="88"/>
      <c r="C574" s="76"/>
      <c r="D574" s="86"/>
      <c r="E574" s="86"/>
      <c r="F574" s="90"/>
      <c r="G574" s="91"/>
      <c r="H574" s="86"/>
      <c r="I574" s="86"/>
      <c r="J574" s="86"/>
      <c r="K574" s="86"/>
      <c r="L574" s="86"/>
      <c r="M574" s="86"/>
      <c r="N574" s="90"/>
      <c r="O574" s="90"/>
      <c r="P574" s="90"/>
      <c r="Q574" s="106"/>
      <c r="R574" s="95"/>
      <c r="S574" s="96"/>
      <c r="T574" s="85"/>
      <c r="U574" s="97"/>
      <c r="V574" s="85" t="str">
        <f t="array" ref="V574">IFERROR(index('3. Công thức lab theo từng mã h'!J:J,MATCH(C574,'3. Công thức lab theo từng mã h'!L:L,0)),"")</f>
        <v/>
      </c>
      <c r="W574" s="85"/>
      <c r="X574" s="75"/>
    </row>
    <row r="575">
      <c r="A575" s="64">
        <f t="shared" si="2"/>
        <v>0</v>
      </c>
      <c r="B575" s="98"/>
      <c r="C575" s="64"/>
      <c r="D575" s="16"/>
      <c r="E575" s="16"/>
      <c r="F575" s="100"/>
      <c r="G575" s="101"/>
      <c r="H575" s="16"/>
      <c r="I575" s="16"/>
      <c r="J575" s="16"/>
      <c r="K575" s="16"/>
      <c r="L575" s="16"/>
      <c r="M575" s="16"/>
      <c r="N575" s="100"/>
      <c r="O575" s="100"/>
      <c r="P575" s="100"/>
      <c r="Q575" s="106"/>
      <c r="R575" s="107"/>
      <c r="S575" s="104"/>
      <c r="T575" s="74"/>
      <c r="U575" s="108"/>
      <c r="V575" s="74" t="str">
        <f t="array" ref="V575">IFERROR(index('3. Công thức lab theo từng mã h'!J:J,MATCH(C575,'3. Công thức lab theo từng mã h'!L:L,0)),"")</f>
        <v/>
      </c>
      <c r="W575" s="74"/>
      <c r="X575" s="75"/>
    </row>
    <row r="576">
      <c r="A576" s="76">
        <f t="shared" si="2"/>
        <v>0</v>
      </c>
      <c r="B576" s="88"/>
      <c r="C576" s="76"/>
      <c r="D576" s="86"/>
      <c r="E576" s="86"/>
      <c r="F576" s="90"/>
      <c r="G576" s="91"/>
      <c r="H576" s="86"/>
      <c r="I576" s="86"/>
      <c r="J576" s="86"/>
      <c r="K576" s="86"/>
      <c r="L576" s="86"/>
      <c r="M576" s="86"/>
      <c r="N576" s="90"/>
      <c r="O576" s="90"/>
      <c r="P576" s="90"/>
      <c r="Q576" s="106"/>
      <c r="R576" s="95"/>
      <c r="S576" s="96"/>
      <c r="T576" s="85"/>
      <c r="U576" s="97"/>
      <c r="V576" s="85" t="str">
        <f t="array" ref="V576">IFERROR(index('3. Công thức lab theo từng mã h'!J:J,MATCH(C576,'3. Công thức lab theo từng mã h'!L:L,0)),"")</f>
        <v/>
      </c>
      <c r="W576" s="85"/>
      <c r="X576" s="75"/>
    </row>
    <row r="577">
      <c r="A577" s="64">
        <f t="shared" si="2"/>
        <v>0</v>
      </c>
      <c r="B577" s="98"/>
      <c r="C577" s="64"/>
      <c r="D577" s="16"/>
      <c r="E577" s="16"/>
      <c r="F577" s="100"/>
      <c r="G577" s="101"/>
      <c r="H577" s="16"/>
      <c r="I577" s="16"/>
      <c r="J577" s="16"/>
      <c r="K577" s="16"/>
      <c r="L577" s="16"/>
      <c r="M577" s="16"/>
      <c r="N577" s="100"/>
      <c r="O577" s="100"/>
      <c r="P577" s="100"/>
      <c r="Q577" s="106"/>
      <c r="R577" s="107"/>
      <c r="S577" s="104"/>
      <c r="T577" s="74"/>
      <c r="U577" s="108"/>
      <c r="V577" s="74" t="str">
        <f t="array" ref="V577">IFERROR(index('3. Công thức lab theo từng mã h'!J:J,MATCH(C577,'3. Công thức lab theo từng mã h'!L:L,0)),"")</f>
        <v/>
      </c>
      <c r="W577" s="74"/>
      <c r="X577" s="75"/>
    </row>
    <row r="578">
      <c r="A578" s="76">
        <f t="shared" si="2"/>
        <v>0</v>
      </c>
      <c r="B578" s="88"/>
      <c r="C578" s="76"/>
      <c r="D578" s="86"/>
      <c r="E578" s="86"/>
      <c r="F578" s="90"/>
      <c r="G578" s="91"/>
      <c r="H578" s="86"/>
      <c r="I578" s="86"/>
      <c r="J578" s="86"/>
      <c r="K578" s="86"/>
      <c r="L578" s="86"/>
      <c r="M578" s="86"/>
      <c r="N578" s="90"/>
      <c r="O578" s="90"/>
      <c r="P578" s="90"/>
      <c r="Q578" s="106"/>
      <c r="R578" s="95"/>
      <c r="S578" s="96"/>
      <c r="T578" s="85"/>
      <c r="U578" s="97"/>
      <c r="V578" s="85" t="str">
        <f t="array" ref="V578">IFERROR(index('3. Công thức lab theo từng mã h'!J:J,MATCH(C578,'3. Công thức lab theo từng mã h'!L:L,0)),"")</f>
        <v/>
      </c>
      <c r="W578" s="85"/>
      <c r="X578" s="75"/>
    </row>
    <row r="579">
      <c r="A579" s="64">
        <f t="shared" si="2"/>
        <v>0</v>
      </c>
      <c r="B579" s="98"/>
      <c r="C579" s="64"/>
      <c r="D579" s="16"/>
      <c r="E579" s="16"/>
      <c r="F579" s="100"/>
      <c r="G579" s="101"/>
      <c r="H579" s="16"/>
      <c r="I579" s="16"/>
      <c r="J579" s="16"/>
      <c r="K579" s="16"/>
      <c r="L579" s="16"/>
      <c r="M579" s="16"/>
      <c r="N579" s="100"/>
      <c r="O579" s="100"/>
      <c r="P579" s="100"/>
      <c r="Q579" s="106"/>
      <c r="R579" s="107"/>
      <c r="S579" s="104"/>
      <c r="T579" s="74"/>
      <c r="U579" s="108"/>
      <c r="V579" s="74" t="str">
        <f t="array" ref="V579">IFERROR(index('3. Công thức lab theo từng mã h'!J:J,MATCH(C579,'3. Công thức lab theo từng mã h'!L:L,0)),"")</f>
        <v/>
      </c>
      <c r="W579" s="74"/>
      <c r="X579" s="75"/>
    </row>
    <row r="580">
      <c r="A580" s="76">
        <f t="shared" si="2"/>
        <v>0</v>
      </c>
      <c r="B580" s="88"/>
      <c r="C580" s="76"/>
      <c r="D580" s="86"/>
      <c r="E580" s="86"/>
      <c r="F580" s="90"/>
      <c r="G580" s="91"/>
      <c r="H580" s="86"/>
      <c r="I580" s="86"/>
      <c r="J580" s="86"/>
      <c r="K580" s="86"/>
      <c r="L580" s="86"/>
      <c r="M580" s="86"/>
      <c r="N580" s="90"/>
      <c r="O580" s="90"/>
      <c r="P580" s="90"/>
      <c r="Q580" s="106"/>
      <c r="R580" s="95"/>
      <c r="S580" s="96"/>
      <c r="T580" s="85"/>
      <c r="U580" s="97"/>
      <c r="V580" s="85" t="str">
        <f t="array" ref="V580">IFERROR(index('3. Công thức lab theo từng mã h'!J:J,MATCH(C580,'3. Công thức lab theo từng mã h'!L:L,0)),"")</f>
        <v/>
      </c>
      <c r="W580" s="85"/>
      <c r="X580" s="75"/>
    </row>
    <row r="581">
      <c r="A581" s="64">
        <f t="shared" si="2"/>
        <v>0</v>
      </c>
      <c r="B581" s="98"/>
      <c r="C581" s="64"/>
      <c r="D581" s="16"/>
      <c r="E581" s="16"/>
      <c r="F581" s="100"/>
      <c r="G581" s="101"/>
      <c r="H581" s="16"/>
      <c r="I581" s="16"/>
      <c r="J581" s="16"/>
      <c r="K581" s="16"/>
      <c r="L581" s="16"/>
      <c r="M581" s="16"/>
      <c r="N581" s="100"/>
      <c r="O581" s="100"/>
      <c r="P581" s="100"/>
      <c r="Q581" s="106"/>
      <c r="R581" s="107"/>
      <c r="S581" s="104"/>
      <c r="T581" s="74"/>
      <c r="U581" s="108"/>
      <c r="V581" s="74" t="str">
        <f t="array" ref="V581">IFERROR(index('3. Công thức lab theo từng mã h'!J:J,MATCH(C581,'3. Công thức lab theo từng mã h'!L:L,0)),"")</f>
        <v/>
      </c>
      <c r="W581" s="74"/>
      <c r="X581" s="75"/>
    </row>
    <row r="582">
      <c r="A582" s="76">
        <f t="shared" si="2"/>
        <v>0</v>
      </c>
      <c r="B582" s="88"/>
      <c r="C582" s="76"/>
      <c r="D582" s="86"/>
      <c r="E582" s="86"/>
      <c r="F582" s="90"/>
      <c r="G582" s="91"/>
      <c r="H582" s="86"/>
      <c r="I582" s="86"/>
      <c r="J582" s="86"/>
      <c r="K582" s="86"/>
      <c r="L582" s="86"/>
      <c r="M582" s="86"/>
      <c r="N582" s="90"/>
      <c r="O582" s="90"/>
      <c r="P582" s="90"/>
      <c r="Q582" s="106"/>
      <c r="R582" s="95"/>
      <c r="S582" s="96"/>
      <c r="T582" s="85"/>
      <c r="U582" s="97"/>
      <c r="V582" s="85" t="str">
        <f t="array" ref="V582">IFERROR(index('3. Công thức lab theo từng mã h'!J:J,MATCH(C582,'3. Công thức lab theo từng mã h'!L:L,0)),"")</f>
        <v/>
      </c>
      <c r="W582" s="85"/>
      <c r="X582" s="75"/>
    </row>
    <row r="583">
      <c r="A583" s="64">
        <f t="shared" si="2"/>
        <v>0</v>
      </c>
      <c r="B583" s="98"/>
      <c r="C583" s="64"/>
      <c r="D583" s="16"/>
      <c r="E583" s="16"/>
      <c r="F583" s="100"/>
      <c r="G583" s="101"/>
      <c r="H583" s="16"/>
      <c r="I583" s="16"/>
      <c r="J583" s="16"/>
      <c r="K583" s="16"/>
      <c r="L583" s="16"/>
      <c r="M583" s="16"/>
      <c r="N583" s="100"/>
      <c r="O583" s="100"/>
      <c r="P583" s="100"/>
      <c r="Q583" s="106"/>
      <c r="R583" s="107"/>
      <c r="S583" s="104"/>
      <c r="T583" s="74"/>
      <c r="U583" s="108"/>
      <c r="V583" s="74" t="str">
        <f t="array" ref="V583">IFERROR(index('3. Công thức lab theo từng mã h'!J:J,MATCH(C583,'3. Công thức lab theo từng mã h'!L:L,0)),"")</f>
        <v/>
      </c>
      <c r="W583" s="74"/>
      <c r="X583" s="75"/>
    </row>
    <row r="584">
      <c r="A584" s="76">
        <f t="shared" si="2"/>
        <v>0</v>
      </c>
      <c r="B584" s="88"/>
      <c r="C584" s="76"/>
      <c r="D584" s="86"/>
      <c r="E584" s="86"/>
      <c r="F584" s="90"/>
      <c r="G584" s="91"/>
      <c r="H584" s="86"/>
      <c r="I584" s="86"/>
      <c r="J584" s="86"/>
      <c r="K584" s="86"/>
      <c r="L584" s="86"/>
      <c r="M584" s="86"/>
      <c r="N584" s="90"/>
      <c r="O584" s="90"/>
      <c r="P584" s="90"/>
      <c r="Q584" s="106"/>
      <c r="R584" s="95"/>
      <c r="S584" s="96"/>
      <c r="T584" s="85"/>
      <c r="U584" s="97"/>
      <c r="V584" s="85" t="str">
        <f t="array" ref="V584">IFERROR(index('3. Công thức lab theo từng mã h'!J:J,MATCH(C584,'3. Công thức lab theo từng mã h'!L:L,0)),"")</f>
        <v/>
      </c>
      <c r="W584" s="85"/>
      <c r="X584" s="75"/>
    </row>
    <row r="585">
      <c r="A585" s="64">
        <f t="shared" si="2"/>
        <v>0</v>
      </c>
      <c r="B585" s="98"/>
      <c r="C585" s="64"/>
      <c r="D585" s="16"/>
      <c r="E585" s="16"/>
      <c r="F585" s="100"/>
      <c r="G585" s="101"/>
      <c r="H585" s="16"/>
      <c r="I585" s="16"/>
      <c r="J585" s="16"/>
      <c r="K585" s="16"/>
      <c r="L585" s="16"/>
      <c r="M585" s="16"/>
      <c r="N585" s="100"/>
      <c r="O585" s="100"/>
      <c r="P585" s="100"/>
      <c r="Q585" s="106"/>
      <c r="R585" s="107"/>
      <c r="S585" s="104"/>
      <c r="T585" s="74"/>
      <c r="U585" s="108"/>
      <c r="V585" s="74" t="str">
        <f t="array" ref="V585">IFERROR(index('3. Công thức lab theo từng mã h'!J:J,MATCH(C585,'3. Công thức lab theo từng mã h'!L:L,0)),"")</f>
        <v/>
      </c>
      <c r="W585" s="74"/>
      <c r="X585" s="75"/>
    </row>
    <row r="586">
      <c r="A586" s="76">
        <f t="shared" si="2"/>
        <v>0</v>
      </c>
      <c r="B586" s="88"/>
      <c r="C586" s="76"/>
      <c r="D586" s="86"/>
      <c r="E586" s="86"/>
      <c r="F586" s="90"/>
      <c r="G586" s="91"/>
      <c r="H586" s="86"/>
      <c r="I586" s="86"/>
      <c r="J586" s="86"/>
      <c r="K586" s="86"/>
      <c r="L586" s="86"/>
      <c r="M586" s="86"/>
      <c r="N586" s="90"/>
      <c r="O586" s="90"/>
      <c r="P586" s="90"/>
      <c r="Q586" s="106"/>
      <c r="R586" s="95"/>
      <c r="S586" s="96"/>
      <c r="T586" s="85"/>
      <c r="U586" s="97"/>
      <c r="V586" s="85" t="str">
        <f t="array" ref="V586">IFERROR(index('3. Công thức lab theo từng mã h'!J:J,MATCH(C586,'3. Công thức lab theo từng mã h'!L:L,0)),"")</f>
        <v/>
      </c>
      <c r="W586" s="85"/>
      <c r="X586" s="75"/>
    </row>
    <row r="587">
      <c r="A587" s="64">
        <f t="shared" si="2"/>
        <v>0</v>
      </c>
      <c r="B587" s="98"/>
      <c r="C587" s="64"/>
      <c r="D587" s="16"/>
      <c r="E587" s="16"/>
      <c r="F587" s="100"/>
      <c r="G587" s="101"/>
      <c r="H587" s="16"/>
      <c r="I587" s="16"/>
      <c r="J587" s="16"/>
      <c r="K587" s="16"/>
      <c r="L587" s="16"/>
      <c r="M587" s="16"/>
      <c r="N587" s="100"/>
      <c r="O587" s="100"/>
      <c r="P587" s="100"/>
      <c r="Q587" s="106"/>
      <c r="R587" s="107"/>
      <c r="S587" s="104"/>
      <c r="T587" s="74"/>
      <c r="U587" s="108"/>
      <c r="V587" s="74" t="str">
        <f t="array" ref="V587">IFERROR(index('3. Công thức lab theo từng mã h'!J:J,MATCH(C587,'3. Công thức lab theo từng mã h'!L:L,0)),"")</f>
        <v/>
      </c>
      <c r="W587" s="74"/>
      <c r="X587" s="75"/>
    </row>
    <row r="588">
      <c r="A588" s="76">
        <f t="shared" si="2"/>
        <v>0</v>
      </c>
      <c r="B588" s="88"/>
      <c r="C588" s="76"/>
      <c r="D588" s="86"/>
      <c r="E588" s="86"/>
      <c r="F588" s="90"/>
      <c r="G588" s="91"/>
      <c r="H588" s="86"/>
      <c r="I588" s="86"/>
      <c r="J588" s="86"/>
      <c r="K588" s="86"/>
      <c r="L588" s="86"/>
      <c r="M588" s="86"/>
      <c r="N588" s="90"/>
      <c r="O588" s="90"/>
      <c r="P588" s="90"/>
      <c r="Q588" s="106"/>
      <c r="R588" s="95"/>
      <c r="S588" s="96"/>
      <c r="T588" s="85"/>
      <c r="U588" s="97"/>
      <c r="V588" s="85" t="str">
        <f t="array" ref="V588">IFERROR(index('3. Công thức lab theo từng mã h'!J:J,MATCH(C588,'3. Công thức lab theo từng mã h'!L:L,0)),"")</f>
        <v/>
      </c>
      <c r="W588" s="85"/>
      <c r="X588" s="75"/>
    </row>
    <row r="589">
      <c r="A589" s="64">
        <f t="shared" si="2"/>
        <v>0</v>
      </c>
      <c r="B589" s="98"/>
      <c r="C589" s="64"/>
      <c r="D589" s="16"/>
      <c r="E589" s="16"/>
      <c r="F589" s="100"/>
      <c r="G589" s="101"/>
      <c r="H589" s="16"/>
      <c r="I589" s="16"/>
      <c r="J589" s="16"/>
      <c r="K589" s="16"/>
      <c r="L589" s="16"/>
      <c r="M589" s="16"/>
      <c r="N589" s="100"/>
      <c r="O589" s="100"/>
      <c r="P589" s="100"/>
      <c r="Q589" s="106"/>
      <c r="R589" s="107"/>
      <c r="S589" s="104"/>
      <c r="T589" s="74"/>
      <c r="U589" s="108"/>
      <c r="V589" s="74" t="str">
        <f t="array" ref="V589">IFERROR(index('3. Công thức lab theo từng mã h'!J:J,MATCH(C589,'3. Công thức lab theo từng mã h'!L:L,0)),"")</f>
        <v/>
      </c>
      <c r="W589" s="74"/>
      <c r="X589" s="75"/>
    </row>
    <row r="590">
      <c r="A590" s="76">
        <f t="shared" si="2"/>
        <v>0</v>
      </c>
      <c r="B590" s="88"/>
      <c r="C590" s="76"/>
      <c r="D590" s="86"/>
      <c r="E590" s="86"/>
      <c r="F590" s="90"/>
      <c r="G590" s="91"/>
      <c r="H590" s="86"/>
      <c r="I590" s="86"/>
      <c r="J590" s="86"/>
      <c r="K590" s="86"/>
      <c r="L590" s="86"/>
      <c r="M590" s="86"/>
      <c r="N590" s="90"/>
      <c r="O590" s="90"/>
      <c r="P590" s="90"/>
      <c r="Q590" s="106"/>
      <c r="R590" s="95"/>
      <c r="S590" s="96"/>
      <c r="T590" s="85"/>
      <c r="U590" s="97"/>
      <c r="V590" s="85" t="str">
        <f t="array" ref="V590">IFERROR(index('3. Công thức lab theo từng mã h'!J:J,MATCH(C590,'3. Công thức lab theo từng mã h'!L:L,0)),"")</f>
        <v/>
      </c>
      <c r="W590" s="85"/>
      <c r="X590" s="75"/>
    </row>
    <row r="591">
      <c r="A591" s="64">
        <f t="shared" si="2"/>
        <v>0</v>
      </c>
      <c r="B591" s="98"/>
      <c r="C591" s="64"/>
      <c r="D591" s="16"/>
      <c r="E591" s="16"/>
      <c r="F591" s="100"/>
      <c r="G591" s="101"/>
      <c r="H591" s="16"/>
      <c r="I591" s="16"/>
      <c r="J591" s="16"/>
      <c r="K591" s="16"/>
      <c r="L591" s="16"/>
      <c r="M591" s="16"/>
      <c r="N591" s="100"/>
      <c r="O591" s="100"/>
      <c r="P591" s="100"/>
      <c r="Q591" s="106"/>
      <c r="R591" s="107"/>
      <c r="S591" s="104"/>
      <c r="T591" s="74"/>
      <c r="U591" s="108"/>
      <c r="V591" s="74" t="str">
        <f t="array" ref="V591">IFERROR(index('3. Công thức lab theo từng mã h'!J:J,MATCH(C591,'3. Công thức lab theo từng mã h'!L:L,0)),"")</f>
        <v/>
      </c>
      <c r="W591" s="74"/>
      <c r="X591" s="75"/>
    </row>
    <row r="592">
      <c r="A592" s="76">
        <f t="shared" si="2"/>
        <v>0</v>
      </c>
      <c r="B592" s="88"/>
      <c r="C592" s="76"/>
      <c r="D592" s="86"/>
      <c r="E592" s="86"/>
      <c r="F592" s="90"/>
      <c r="G592" s="91"/>
      <c r="H592" s="86"/>
      <c r="I592" s="86"/>
      <c r="J592" s="86"/>
      <c r="K592" s="86"/>
      <c r="L592" s="86"/>
      <c r="M592" s="86"/>
      <c r="N592" s="90"/>
      <c r="O592" s="90"/>
      <c r="P592" s="90"/>
      <c r="Q592" s="106"/>
      <c r="R592" s="95"/>
      <c r="S592" s="96"/>
      <c r="T592" s="85"/>
      <c r="U592" s="97"/>
      <c r="V592" s="85" t="str">
        <f t="array" ref="V592">IFERROR(index('3. Công thức lab theo từng mã h'!J:J,MATCH(C592,'3. Công thức lab theo từng mã h'!L:L,0)),"")</f>
        <v/>
      </c>
      <c r="W592" s="85"/>
      <c r="X592" s="75"/>
    </row>
    <row r="593">
      <c r="A593" s="64">
        <f t="shared" si="2"/>
        <v>0</v>
      </c>
      <c r="B593" s="98"/>
      <c r="C593" s="64"/>
      <c r="D593" s="16"/>
      <c r="E593" s="16"/>
      <c r="F593" s="100"/>
      <c r="G593" s="101"/>
      <c r="H593" s="16"/>
      <c r="I593" s="16"/>
      <c r="J593" s="16"/>
      <c r="K593" s="16"/>
      <c r="L593" s="16"/>
      <c r="M593" s="16"/>
      <c r="N593" s="100"/>
      <c r="O593" s="100"/>
      <c r="P593" s="100"/>
      <c r="Q593" s="106"/>
      <c r="R593" s="107"/>
      <c r="S593" s="104"/>
      <c r="T593" s="74"/>
      <c r="U593" s="108"/>
      <c r="V593" s="74" t="str">
        <f t="array" ref="V593">IFERROR(index('3. Công thức lab theo từng mã h'!J:J,MATCH(C593,'3. Công thức lab theo từng mã h'!L:L,0)),"")</f>
        <v/>
      </c>
      <c r="W593" s="74"/>
      <c r="X593" s="75"/>
    </row>
    <row r="594">
      <c r="A594" s="76">
        <f t="shared" si="2"/>
        <v>0</v>
      </c>
      <c r="B594" s="88"/>
      <c r="C594" s="76"/>
      <c r="D594" s="86"/>
      <c r="E594" s="86"/>
      <c r="F594" s="90"/>
      <c r="G594" s="91"/>
      <c r="H594" s="86"/>
      <c r="I594" s="86"/>
      <c r="J594" s="86"/>
      <c r="K594" s="86"/>
      <c r="L594" s="86"/>
      <c r="M594" s="86"/>
      <c r="N594" s="90"/>
      <c r="O594" s="90"/>
      <c r="P594" s="90"/>
      <c r="Q594" s="106"/>
      <c r="R594" s="95"/>
      <c r="S594" s="96"/>
      <c r="T594" s="85"/>
      <c r="U594" s="97"/>
      <c r="V594" s="85" t="str">
        <f t="array" ref="V594">IFERROR(index('3. Công thức lab theo từng mã h'!J:J,MATCH(C594,'3. Công thức lab theo từng mã h'!L:L,0)),"")</f>
        <v/>
      </c>
      <c r="W594" s="85"/>
      <c r="X594" s="75"/>
    </row>
    <row r="595">
      <c r="A595" s="64">
        <f t="shared" si="2"/>
        <v>0</v>
      </c>
      <c r="B595" s="98"/>
      <c r="C595" s="64"/>
      <c r="D595" s="16"/>
      <c r="E595" s="16"/>
      <c r="F595" s="100"/>
      <c r="G595" s="101"/>
      <c r="H595" s="16"/>
      <c r="I595" s="16"/>
      <c r="J595" s="16"/>
      <c r="K595" s="16"/>
      <c r="L595" s="16"/>
      <c r="M595" s="16"/>
      <c r="N595" s="100"/>
      <c r="O595" s="100"/>
      <c r="P595" s="100"/>
      <c r="Q595" s="106"/>
      <c r="R595" s="107"/>
      <c r="S595" s="104"/>
      <c r="T595" s="74"/>
      <c r="U595" s="108"/>
      <c r="V595" s="74" t="str">
        <f t="array" ref="V595">IFERROR(index('3. Công thức lab theo từng mã h'!J:J,MATCH(C595,'3. Công thức lab theo từng mã h'!L:L,0)),"")</f>
        <v/>
      </c>
      <c r="W595" s="74"/>
      <c r="X595" s="75"/>
    </row>
    <row r="596">
      <c r="A596" s="76">
        <f t="shared" si="2"/>
        <v>0</v>
      </c>
      <c r="B596" s="88"/>
      <c r="C596" s="76"/>
      <c r="D596" s="86"/>
      <c r="E596" s="86"/>
      <c r="F596" s="90"/>
      <c r="G596" s="91"/>
      <c r="H596" s="86"/>
      <c r="I596" s="86"/>
      <c r="J596" s="86"/>
      <c r="K596" s="86"/>
      <c r="L596" s="86"/>
      <c r="M596" s="86"/>
      <c r="N596" s="90"/>
      <c r="O596" s="90"/>
      <c r="P596" s="90"/>
      <c r="Q596" s="106"/>
      <c r="R596" s="95"/>
      <c r="S596" s="96"/>
      <c r="T596" s="85"/>
      <c r="U596" s="97"/>
      <c r="V596" s="85" t="str">
        <f t="array" ref="V596">IFERROR(index('3. Công thức lab theo từng mã h'!J:J,MATCH(C596,'3. Công thức lab theo từng mã h'!L:L,0)),"")</f>
        <v/>
      </c>
      <c r="W596" s="85"/>
      <c r="X596" s="75"/>
    </row>
    <row r="597">
      <c r="A597" s="64">
        <f t="shared" si="2"/>
        <v>0</v>
      </c>
      <c r="B597" s="98"/>
      <c r="C597" s="64"/>
      <c r="D597" s="16"/>
      <c r="E597" s="16"/>
      <c r="F597" s="100"/>
      <c r="G597" s="101"/>
      <c r="H597" s="16"/>
      <c r="I597" s="16"/>
      <c r="J597" s="16"/>
      <c r="K597" s="16"/>
      <c r="L597" s="16"/>
      <c r="M597" s="16"/>
      <c r="N597" s="100"/>
      <c r="O597" s="100"/>
      <c r="P597" s="100"/>
      <c r="Q597" s="106"/>
      <c r="R597" s="107"/>
      <c r="S597" s="104"/>
      <c r="T597" s="74"/>
      <c r="U597" s="108"/>
      <c r="V597" s="74" t="str">
        <f t="array" ref="V597">IFERROR(index('3. Công thức lab theo từng mã h'!J:J,MATCH(C597,'3. Công thức lab theo từng mã h'!L:L,0)),"")</f>
        <v/>
      </c>
      <c r="W597" s="74"/>
      <c r="X597" s="75"/>
    </row>
    <row r="598">
      <c r="A598" s="76">
        <f t="shared" si="2"/>
        <v>0</v>
      </c>
      <c r="B598" s="88"/>
      <c r="C598" s="76"/>
      <c r="D598" s="86"/>
      <c r="E598" s="86"/>
      <c r="F598" s="90"/>
      <c r="G598" s="91"/>
      <c r="H598" s="86"/>
      <c r="I598" s="86"/>
      <c r="J598" s="86"/>
      <c r="K598" s="86"/>
      <c r="L598" s="86"/>
      <c r="M598" s="86"/>
      <c r="N598" s="90"/>
      <c r="O598" s="90"/>
      <c r="P598" s="90"/>
      <c r="Q598" s="106"/>
      <c r="R598" s="95"/>
      <c r="S598" s="96"/>
      <c r="T598" s="85"/>
      <c r="U598" s="97"/>
      <c r="V598" s="85" t="str">
        <f t="array" ref="V598">IFERROR(index('3. Công thức lab theo từng mã h'!J:J,MATCH(C598,'3. Công thức lab theo từng mã h'!L:L,0)),"")</f>
        <v/>
      </c>
      <c r="W598" s="85"/>
      <c r="X598" s="75"/>
    </row>
    <row r="599">
      <c r="A599" s="64">
        <f t="shared" si="2"/>
        <v>0</v>
      </c>
      <c r="B599" s="98"/>
      <c r="C599" s="64"/>
      <c r="D599" s="16"/>
      <c r="E599" s="16"/>
      <c r="F599" s="100"/>
      <c r="G599" s="101"/>
      <c r="H599" s="16"/>
      <c r="I599" s="16"/>
      <c r="J599" s="16"/>
      <c r="K599" s="16"/>
      <c r="L599" s="16"/>
      <c r="M599" s="16"/>
      <c r="N599" s="100"/>
      <c r="O599" s="100"/>
      <c r="P599" s="100"/>
      <c r="Q599" s="106"/>
      <c r="R599" s="107"/>
      <c r="S599" s="104"/>
      <c r="T599" s="74"/>
      <c r="U599" s="108"/>
      <c r="V599" s="74" t="str">
        <f t="array" ref="V599">IFERROR(index('3. Công thức lab theo từng mã h'!J:J,MATCH(C599,'3. Công thức lab theo từng mã h'!L:L,0)),"")</f>
        <v/>
      </c>
      <c r="W599" s="74"/>
      <c r="X599" s="75"/>
    </row>
    <row r="600">
      <c r="A600" s="76">
        <f t="shared" si="2"/>
        <v>0</v>
      </c>
      <c r="B600" s="88"/>
      <c r="C600" s="76"/>
      <c r="D600" s="86"/>
      <c r="E600" s="86"/>
      <c r="F600" s="90"/>
      <c r="G600" s="91"/>
      <c r="H600" s="86"/>
      <c r="I600" s="86"/>
      <c r="J600" s="86"/>
      <c r="K600" s="86"/>
      <c r="L600" s="86"/>
      <c r="M600" s="86"/>
      <c r="N600" s="90"/>
      <c r="O600" s="90"/>
      <c r="P600" s="90"/>
      <c r="Q600" s="106"/>
      <c r="R600" s="95"/>
      <c r="S600" s="96"/>
      <c r="T600" s="85"/>
      <c r="U600" s="97"/>
      <c r="V600" s="85" t="str">
        <f t="array" ref="V600">IFERROR(index('3. Công thức lab theo từng mã h'!J:J,MATCH(C600,'3. Công thức lab theo từng mã h'!L:L,0)),"")</f>
        <v/>
      </c>
      <c r="W600" s="85"/>
      <c r="X600" s="75"/>
    </row>
    <row r="601">
      <c r="A601" s="64">
        <f t="shared" si="2"/>
        <v>0</v>
      </c>
      <c r="B601" s="98"/>
      <c r="C601" s="64"/>
      <c r="D601" s="16"/>
      <c r="E601" s="16"/>
      <c r="F601" s="100"/>
      <c r="G601" s="101"/>
      <c r="H601" s="16"/>
      <c r="I601" s="16"/>
      <c r="J601" s="16"/>
      <c r="K601" s="16"/>
      <c r="L601" s="16"/>
      <c r="M601" s="16"/>
      <c r="N601" s="100"/>
      <c r="O601" s="100"/>
      <c r="P601" s="100"/>
      <c r="Q601" s="106"/>
      <c r="R601" s="107"/>
      <c r="S601" s="104"/>
      <c r="T601" s="74"/>
      <c r="U601" s="108"/>
      <c r="V601" s="74" t="str">
        <f t="array" ref="V601">IFERROR(index('3. Công thức lab theo từng mã h'!J:J,MATCH(C601,'3. Công thức lab theo từng mã h'!L:L,0)),"")</f>
        <v/>
      </c>
      <c r="W601" s="74"/>
      <c r="X601" s="75"/>
    </row>
    <row r="602">
      <c r="A602" s="76">
        <f t="shared" si="2"/>
        <v>0</v>
      </c>
      <c r="B602" s="88"/>
      <c r="C602" s="76"/>
      <c r="D602" s="86"/>
      <c r="E602" s="86"/>
      <c r="F602" s="90"/>
      <c r="G602" s="91"/>
      <c r="H602" s="86"/>
      <c r="I602" s="86"/>
      <c r="J602" s="86"/>
      <c r="K602" s="86"/>
      <c r="L602" s="86"/>
      <c r="M602" s="86"/>
      <c r="N602" s="90"/>
      <c r="O602" s="90"/>
      <c r="P602" s="90"/>
      <c r="Q602" s="106"/>
      <c r="R602" s="95"/>
      <c r="S602" s="96"/>
      <c r="T602" s="85"/>
      <c r="U602" s="97"/>
      <c r="V602" s="85" t="str">
        <f t="array" ref="V602">IFERROR(index('3. Công thức lab theo từng mã h'!J:J,MATCH(C602,'3. Công thức lab theo từng mã h'!L:L,0)),"")</f>
        <v/>
      </c>
      <c r="W602" s="85"/>
      <c r="X602" s="75"/>
    </row>
    <row r="603">
      <c r="A603" s="64">
        <f t="shared" si="2"/>
        <v>0</v>
      </c>
      <c r="B603" s="98"/>
      <c r="C603" s="64"/>
      <c r="D603" s="16"/>
      <c r="E603" s="16"/>
      <c r="F603" s="100"/>
      <c r="G603" s="101"/>
      <c r="H603" s="16"/>
      <c r="I603" s="16"/>
      <c r="J603" s="16"/>
      <c r="K603" s="16"/>
      <c r="L603" s="16"/>
      <c r="M603" s="16"/>
      <c r="N603" s="100"/>
      <c r="O603" s="100"/>
      <c r="P603" s="100"/>
      <c r="Q603" s="106"/>
      <c r="R603" s="107"/>
      <c r="S603" s="104"/>
      <c r="T603" s="74"/>
      <c r="U603" s="108"/>
      <c r="V603" s="74" t="str">
        <f t="array" ref="V603">IFERROR(index('3. Công thức lab theo từng mã h'!J:J,MATCH(C603,'3. Công thức lab theo từng mã h'!L:L,0)),"")</f>
        <v/>
      </c>
      <c r="W603" s="74"/>
      <c r="X603" s="75"/>
    </row>
    <row r="604">
      <c r="A604" s="76">
        <f t="shared" si="2"/>
        <v>0</v>
      </c>
      <c r="B604" s="88"/>
      <c r="C604" s="76"/>
      <c r="D604" s="86"/>
      <c r="E604" s="86"/>
      <c r="F604" s="90"/>
      <c r="G604" s="91"/>
      <c r="H604" s="86"/>
      <c r="I604" s="86"/>
      <c r="J604" s="86"/>
      <c r="K604" s="86"/>
      <c r="L604" s="86"/>
      <c r="M604" s="86"/>
      <c r="N604" s="90"/>
      <c r="O604" s="90"/>
      <c r="P604" s="90"/>
      <c r="Q604" s="106"/>
      <c r="R604" s="95"/>
      <c r="S604" s="96"/>
      <c r="T604" s="85"/>
      <c r="U604" s="97"/>
      <c r="V604" s="85" t="str">
        <f t="array" ref="V604">IFERROR(index('3. Công thức lab theo từng mã h'!J:J,MATCH(C604,'3. Công thức lab theo từng mã h'!L:L,0)),"")</f>
        <v/>
      </c>
      <c r="W604" s="85"/>
      <c r="X604" s="75"/>
    </row>
    <row r="605">
      <c r="A605" s="64">
        <f t="shared" si="2"/>
        <v>0</v>
      </c>
      <c r="B605" s="98"/>
      <c r="C605" s="64"/>
      <c r="D605" s="16"/>
      <c r="E605" s="16"/>
      <c r="F605" s="100"/>
      <c r="G605" s="101"/>
      <c r="H605" s="16"/>
      <c r="I605" s="16"/>
      <c r="J605" s="16"/>
      <c r="K605" s="16"/>
      <c r="L605" s="16"/>
      <c r="M605" s="16"/>
      <c r="N605" s="100"/>
      <c r="O605" s="100"/>
      <c r="P605" s="100"/>
      <c r="Q605" s="106"/>
      <c r="R605" s="107"/>
      <c r="S605" s="104"/>
      <c r="T605" s="74"/>
      <c r="U605" s="108"/>
      <c r="V605" s="74" t="str">
        <f t="array" ref="V605">IFERROR(index('3. Công thức lab theo từng mã h'!J:J,MATCH(C605,'3. Công thức lab theo từng mã h'!L:L,0)),"")</f>
        <v/>
      </c>
      <c r="W605" s="74"/>
      <c r="X605" s="75"/>
    </row>
    <row r="606">
      <c r="A606" s="76">
        <f t="shared" si="2"/>
        <v>0</v>
      </c>
      <c r="B606" s="88"/>
      <c r="C606" s="76"/>
      <c r="D606" s="86"/>
      <c r="E606" s="86"/>
      <c r="F606" s="90"/>
      <c r="G606" s="91"/>
      <c r="H606" s="86"/>
      <c r="I606" s="86"/>
      <c r="J606" s="86"/>
      <c r="K606" s="86"/>
      <c r="L606" s="86"/>
      <c r="M606" s="86"/>
      <c r="N606" s="90"/>
      <c r="O606" s="90"/>
      <c r="P606" s="90"/>
      <c r="Q606" s="106"/>
      <c r="R606" s="95"/>
      <c r="S606" s="96"/>
      <c r="T606" s="85"/>
      <c r="U606" s="97"/>
      <c r="V606" s="85" t="str">
        <f t="array" ref="V606">IFERROR(index('3. Công thức lab theo từng mã h'!J:J,MATCH(C606,'3. Công thức lab theo từng mã h'!L:L,0)),"")</f>
        <v/>
      </c>
      <c r="W606" s="85"/>
      <c r="X606" s="75"/>
    </row>
    <row r="607">
      <c r="A607" s="64">
        <f t="shared" si="2"/>
        <v>0</v>
      </c>
      <c r="B607" s="98"/>
      <c r="C607" s="64"/>
      <c r="D607" s="16"/>
      <c r="E607" s="16"/>
      <c r="F607" s="100"/>
      <c r="G607" s="101"/>
      <c r="H607" s="16"/>
      <c r="I607" s="16"/>
      <c r="J607" s="16"/>
      <c r="K607" s="16"/>
      <c r="L607" s="16"/>
      <c r="M607" s="16"/>
      <c r="N607" s="100"/>
      <c r="O607" s="100"/>
      <c r="P607" s="100"/>
      <c r="Q607" s="106"/>
      <c r="R607" s="107"/>
      <c r="S607" s="104"/>
      <c r="T607" s="74"/>
      <c r="U607" s="108"/>
      <c r="V607" s="74" t="str">
        <f t="array" ref="V607">IFERROR(index('3. Công thức lab theo từng mã h'!J:J,MATCH(C607,'3. Công thức lab theo từng mã h'!L:L,0)),"")</f>
        <v/>
      </c>
      <c r="W607" s="74"/>
      <c r="X607" s="75"/>
    </row>
    <row r="608">
      <c r="A608" s="76">
        <f t="shared" si="2"/>
        <v>0</v>
      </c>
      <c r="B608" s="88"/>
      <c r="C608" s="76"/>
      <c r="D608" s="86"/>
      <c r="E608" s="86"/>
      <c r="F608" s="90"/>
      <c r="G608" s="91"/>
      <c r="H608" s="86"/>
      <c r="I608" s="86"/>
      <c r="J608" s="86"/>
      <c r="K608" s="86"/>
      <c r="L608" s="86"/>
      <c r="M608" s="86"/>
      <c r="N608" s="90"/>
      <c r="O608" s="90"/>
      <c r="P608" s="90"/>
      <c r="Q608" s="106"/>
      <c r="R608" s="95"/>
      <c r="S608" s="96"/>
      <c r="T608" s="85"/>
      <c r="U608" s="97"/>
      <c r="V608" s="85" t="str">
        <f t="array" ref="V608">IFERROR(index('3. Công thức lab theo từng mã h'!J:J,MATCH(C608,'3. Công thức lab theo từng mã h'!L:L,0)),"")</f>
        <v/>
      </c>
      <c r="W608" s="85"/>
      <c r="X608" s="75"/>
    </row>
    <row r="609">
      <c r="A609" s="64">
        <f t="shared" si="2"/>
        <v>0</v>
      </c>
      <c r="B609" s="98"/>
      <c r="C609" s="64"/>
      <c r="D609" s="16"/>
      <c r="E609" s="16"/>
      <c r="F609" s="100"/>
      <c r="G609" s="101"/>
      <c r="H609" s="16"/>
      <c r="I609" s="16"/>
      <c r="J609" s="16"/>
      <c r="K609" s="16"/>
      <c r="L609" s="16"/>
      <c r="M609" s="16"/>
      <c r="N609" s="100"/>
      <c r="O609" s="100"/>
      <c r="P609" s="100"/>
      <c r="Q609" s="106"/>
      <c r="R609" s="107"/>
      <c r="S609" s="104"/>
      <c r="T609" s="74"/>
      <c r="U609" s="108"/>
      <c r="V609" s="74" t="str">
        <f t="array" ref="V609">IFERROR(index('3. Công thức lab theo từng mã h'!J:J,MATCH(C609,'3. Công thức lab theo từng mã h'!L:L,0)),"")</f>
        <v/>
      </c>
      <c r="W609" s="74"/>
      <c r="X609" s="75"/>
    </row>
    <row r="610">
      <c r="A610" s="76">
        <f t="shared" si="2"/>
        <v>0</v>
      </c>
      <c r="B610" s="88"/>
      <c r="C610" s="76"/>
      <c r="D610" s="86"/>
      <c r="E610" s="86"/>
      <c r="F610" s="90"/>
      <c r="G610" s="91"/>
      <c r="H610" s="86"/>
      <c r="I610" s="86"/>
      <c r="J610" s="86"/>
      <c r="K610" s="86"/>
      <c r="L610" s="86"/>
      <c r="M610" s="86"/>
      <c r="N610" s="90"/>
      <c r="O610" s="90"/>
      <c r="P610" s="90"/>
      <c r="Q610" s="106"/>
      <c r="R610" s="95"/>
      <c r="S610" s="96"/>
      <c r="T610" s="85"/>
      <c r="U610" s="97"/>
      <c r="V610" s="85" t="str">
        <f t="array" ref="V610">IFERROR(index('3. Công thức lab theo từng mã h'!J:J,MATCH(C610,'3. Công thức lab theo từng mã h'!L:L,0)),"")</f>
        <v/>
      </c>
      <c r="W610" s="85"/>
      <c r="X610" s="75"/>
    </row>
    <row r="611">
      <c r="A611" s="64">
        <f t="shared" si="2"/>
        <v>0</v>
      </c>
      <c r="B611" s="98"/>
      <c r="C611" s="64"/>
      <c r="D611" s="16"/>
      <c r="E611" s="16"/>
      <c r="F611" s="100"/>
      <c r="G611" s="101"/>
      <c r="H611" s="16"/>
      <c r="I611" s="16"/>
      <c r="J611" s="16"/>
      <c r="K611" s="16"/>
      <c r="L611" s="16"/>
      <c r="M611" s="16"/>
      <c r="N611" s="100"/>
      <c r="O611" s="100"/>
      <c r="P611" s="100"/>
      <c r="Q611" s="106"/>
      <c r="R611" s="107"/>
      <c r="S611" s="104"/>
      <c r="T611" s="74"/>
      <c r="U611" s="108"/>
      <c r="V611" s="74" t="str">
        <f t="array" ref="V611">IFERROR(index('3. Công thức lab theo từng mã h'!J:J,MATCH(C611,'3. Công thức lab theo từng mã h'!L:L,0)),"")</f>
        <v/>
      </c>
      <c r="W611" s="74"/>
      <c r="X611" s="75"/>
    </row>
    <row r="612">
      <c r="A612" s="76">
        <f t="shared" si="2"/>
        <v>0</v>
      </c>
      <c r="B612" s="88"/>
      <c r="C612" s="76"/>
      <c r="D612" s="86"/>
      <c r="E612" s="86"/>
      <c r="F612" s="90"/>
      <c r="G612" s="91"/>
      <c r="H612" s="86"/>
      <c r="I612" s="86"/>
      <c r="J612" s="86"/>
      <c r="K612" s="86"/>
      <c r="L612" s="86"/>
      <c r="M612" s="86"/>
      <c r="N612" s="90"/>
      <c r="O612" s="90"/>
      <c r="P612" s="90"/>
      <c r="Q612" s="106"/>
      <c r="R612" s="95"/>
      <c r="S612" s="96"/>
      <c r="T612" s="85"/>
      <c r="U612" s="97"/>
      <c r="V612" s="85" t="str">
        <f t="array" ref="V612">IFERROR(index('3. Công thức lab theo từng mã h'!J:J,MATCH(C612,'3. Công thức lab theo từng mã h'!L:L,0)),"")</f>
        <v/>
      </c>
      <c r="W612" s="85"/>
      <c r="X612" s="75"/>
    </row>
    <row r="613">
      <c r="A613" s="64">
        <f t="shared" si="2"/>
        <v>0</v>
      </c>
      <c r="B613" s="98"/>
      <c r="C613" s="64"/>
      <c r="D613" s="16"/>
      <c r="E613" s="16"/>
      <c r="F613" s="100"/>
      <c r="G613" s="101"/>
      <c r="H613" s="16"/>
      <c r="I613" s="16"/>
      <c r="J613" s="16"/>
      <c r="K613" s="16"/>
      <c r="L613" s="16"/>
      <c r="M613" s="16"/>
      <c r="N613" s="100"/>
      <c r="O613" s="100"/>
      <c r="P613" s="100"/>
      <c r="Q613" s="106"/>
      <c r="R613" s="107"/>
      <c r="S613" s="104"/>
      <c r="T613" s="74"/>
      <c r="U613" s="108"/>
      <c r="V613" s="74" t="str">
        <f t="array" ref="V613">IFERROR(index('3. Công thức lab theo từng mã h'!J:J,MATCH(C613,'3. Công thức lab theo từng mã h'!L:L,0)),"")</f>
        <v/>
      </c>
      <c r="W613" s="74"/>
      <c r="X613" s="75"/>
    </row>
    <row r="614">
      <c r="A614" s="76">
        <f t="shared" si="2"/>
        <v>0</v>
      </c>
      <c r="B614" s="88"/>
      <c r="C614" s="76"/>
      <c r="D614" s="86"/>
      <c r="E614" s="86"/>
      <c r="F614" s="90"/>
      <c r="G614" s="91"/>
      <c r="H614" s="86"/>
      <c r="I614" s="86"/>
      <c r="J614" s="86"/>
      <c r="K614" s="86"/>
      <c r="L614" s="86"/>
      <c r="M614" s="86"/>
      <c r="N614" s="90"/>
      <c r="O614" s="90"/>
      <c r="P614" s="90"/>
      <c r="Q614" s="106"/>
      <c r="R614" s="95"/>
      <c r="S614" s="96"/>
      <c r="T614" s="85"/>
      <c r="U614" s="97"/>
      <c r="V614" s="85" t="str">
        <f t="array" ref="V614">IFERROR(index('3. Công thức lab theo từng mã h'!J:J,MATCH(C614,'3. Công thức lab theo từng mã h'!L:L,0)),"")</f>
        <v/>
      </c>
      <c r="W614" s="85"/>
      <c r="X614" s="75"/>
    </row>
    <row r="615">
      <c r="A615" s="64">
        <f t="shared" si="2"/>
        <v>0</v>
      </c>
      <c r="B615" s="98"/>
      <c r="C615" s="64"/>
      <c r="D615" s="16"/>
      <c r="E615" s="16"/>
      <c r="F615" s="100"/>
      <c r="G615" s="101"/>
      <c r="H615" s="16"/>
      <c r="I615" s="16"/>
      <c r="J615" s="16"/>
      <c r="K615" s="16"/>
      <c r="L615" s="16"/>
      <c r="M615" s="16"/>
      <c r="N615" s="100"/>
      <c r="O615" s="100"/>
      <c r="P615" s="100"/>
      <c r="Q615" s="106"/>
      <c r="R615" s="107"/>
      <c r="S615" s="104"/>
      <c r="T615" s="74"/>
      <c r="U615" s="108"/>
      <c r="V615" s="74" t="str">
        <f t="array" ref="V615">IFERROR(index('3. Công thức lab theo từng mã h'!J:J,MATCH(C615,'3. Công thức lab theo từng mã h'!L:L,0)),"")</f>
        <v/>
      </c>
      <c r="W615" s="74"/>
      <c r="X615" s="75"/>
    </row>
    <row r="616">
      <c r="A616" s="76">
        <f t="shared" si="2"/>
        <v>0</v>
      </c>
      <c r="B616" s="88"/>
      <c r="C616" s="76"/>
      <c r="D616" s="86"/>
      <c r="E616" s="86"/>
      <c r="F616" s="90"/>
      <c r="G616" s="91"/>
      <c r="H616" s="86"/>
      <c r="I616" s="86"/>
      <c r="J616" s="86"/>
      <c r="K616" s="86"/>
      <c r="L616" s="86"/>
      <c r="M616" s="86"/>
      <c r="N616" s="90"/>
      <c r="O616" s="90"/>
      <c r="P616" s="90"/>
      <c r="Q616" s="106"/>
      <c r="R616" s="95"/>
      <c r="S616" s="96"/>
      <c r="T616" s="85"/>
      <c r="U616" s="97"/>
      <c r="V616" s="85" t="str">
        <f t="array" ref="V616">IFERROR(index('3. Công thức lab theo từng mã h'!J:J,MATCH(C616,'3. Công thức lab theo từng mã h'!L:L,0)),"")</f>
        <v/>
      </c>
      <c r="W616" s="85"/>
      <c r="X616" s="75"/>
    </row>
    <row r="617">
      <c r="A617" s="64">
        <f t="shared" si="2"/>
        <v>0</v>
      </c>
      <c r="B617" s="98"/>
      <c r="C617" s="64"/>
      <c r="D617" s="16"/>
      <c r="E617" s="16"/>
      <c r="F617" s="100"/>
      <c r="G617" s="101"/>
      <c r="H617" s="16"/>
      <c r="I617" s="16"/>
      <c r="J617" s="16"/>
      <c r="K617" s="16"/>
      <c r="L617" s="16"/>
      <c r="M617" s="16"/>
      <c r="N617" s="100"/>
      <c r="O617" s="100"/>
      <c r="P617" s="100"/>
      <c r="Q617" s="106"/>
      <c r="R617" s="107"/>
      <c r="S617" s="104"/>
      <c r="T617" s="74"/>
      <c r="U617" s="108"/>
      <c r="V617" s="74" t="str">
        <f t="array" ref="V617">IFERROR(index('3. Công thức lab theo từng mã h'!J:J,MATCH(C617,'3. Công thức lab theo từng mã h'!L:L,0)),"")</f>
        <v/>
      </c>
      <c r="W617" s="74"/>
      <c r="X617" s="75"/>
    </row>
    <row r="618">
      <c r="A618" s="76">
        <f t="shared" si="2"/>
        <v>0</v>
      </c>
      <c r="B618" s="88"/>
      <c r="C618" s="76"/>
      <c r="D618" s="86"/>
      <c r="E618" s="86"/>
      <c r="F618" s="90"/>
      <c r="G618" s="91"/>
      <c r="H618" s="86"/>
      <c r="I618" s="86"/>
      <c r="J618" s="86"/>
      <c r="K618" s="86"/>
      <c r="L618" s="86"/>
      <c r="M618" s="86"/>
      <c r="N618" s="90"/>
      <c r="O618" s="90"/>
      <c r="P618" s="90"/>
      <c r="Q618" s="106"/>
      <c r="R618" s="95"/>
      <c r="S618" s="96"/>
      <c r="T618" s="85"/>
      <c r="U618" s="97"/>
      <c r="V618" s="85" t="str">
        <f t="array" ref="V618">IFERROR(index('3. Công thức lab theo từng mã h'!J:J,MATCH(C618,'3. Công thức lab theo từng mã h'!L:L,0)),"")</f>
        <v/>
      </c>
      <c r="W618" s="85"/>
      <c r="X618" s="75"/>
    </row>
    <row r="619">
      <c r="A619" s="64">
        <f t="shared" si="2"/>
        <v>0</v>
      </c>
      <c r="B619" s="98"/>
      <c r="C619" s="64"/>
      <c r="D619" s="16"/>
      <c r="E619" s="16"/>
      <c r="F619" s="100"/>
      <c r="G619" s="101"/>
      <c r="H619" s="16"/>
      <c r="I619" s="16"/>
      <c r="J619" s="16"/>
      <c r="K619" s="16"/>
      <c r="L619" s="16"/>
      <c r="M619" s="16"/>
      <c r="N619" s="100"/>
      <c r="O619" s="100"/>
      <c r="P619" s="100"/>
      <c r="Q619" s="106"/>
      <c r="R619" s="107"/>
      <c r="S619" s="104"/>
      <c r="T619" s="74"/>
      <c r="U619" s="108"/>
      <c r="V619" s="74" t="str">
        <f t="array" ref="V619">IFERROR(index('3. Công thức lab theo từng mã h'!J:J,MATCH(C619,'3. Công thức lab theo từng mã h'!L:L,0)),"")</f>
        <v/>
      </c>
      <c r="W619" s="74"/>
      <c r="X619" s="75"/>
    </row>
    <row r="620">
      <c r="A620" s="76">
        <f t="shared" si="2"/>
        <v>0</v>
      </c>
      <c r="B620" s="88"/>
      <c r="C620" s="76"/>
      <c r="D620" s="86"/>
      <c r="E620" s="86"/>
      <c r="F620" s="90"/>
      <c r="G620" s="91"/>
      <c r="H620" s="86"/>
      <c r="I620" s="86"/>
      <c r="J620" s="86"/>
      <c r="K620" s="86"/>
      <c r="L620" s="86"/>
      <c r="M620" s="86"/>
      <c r="N620" s="90"/>
      <c r="O620" s="90"/>
      <c r="P620" s="90"/>
      <c r="Q620" s="106"/>
      <c r="R620" s="95"/>
      <c r="S620" s="96"/>
      <c r="T620" s="85"/>
      <c r="U620" s="97"/>
      <c r="V620" s="85" t="str">
        <f t="array" ref="V620">IFERROR(index('3. Công thức lab theo từng mã h'!J:J,MATCH(C620,'3. Công thức lab theo từng mã h'!L:L,0)),"")</f>
        <v/>
      </c>
      <c r="W620" s="85"/>
      <c r="X620" s="75"/>
    </row>
    <row r="621">
      <c r="A621" s="64">
        <f t="shared" si="2"/>
        <v>0</v>
      </c>
      <c r="B621" s="98"/>
      <c r="C621" s="64"/>
      <c r="D621" s="16"/>
      <c r="E621" s="16"/>
      <c r="F621" s="100"/>
      <c r="G621" s="101"/>
      <c r="H621" s="16"/>
      <c r="I621" s="16"/>
      <c r="J621" s="16"/>
      <c r="K621" s="16"/>
      <c r="L621" s="16"/>
      <c r="M621" s="16"/>
      <c r="N621" s="100"/>
      <c r="O621" s="100"/>
      <c r="P621" s="100"/>
      <c r="Q621" s="106"/>
      <c r="R621" s="107"/>
      <c r="S621" s="104"/>
      <c r="T621" s="74"/>
      <c r="U621" s="108"/>
      <c r="V621" s="74" t="str">
        <f t="array" ref="V621">IFERROR(index('3. Công thức lab theo từng mã h'!J:J,MATCH(C621,'3. Công thức lab theo từng mã h'!L:L,0)),"")</f>
        <v/>
      </c>
      <c r="W621" s="74"/>
      <c r="X621" s="75"/>
    </row>
    <row r="622">
      <c r="A622" s="76">
        <f t="shared" si="2"/>
        <v>0</v>
      </c>
      <c r="B622" s="88"/>
      <c r="C622" s="76"/>
      <c r="D622" s="86"/>
      <c r="E622" s="86"/>
      <c r="F622" s="90"/>
      <c r="G622" s="91"/>
      <c r="H622" s="86"/>
      <c r="I622" s="86"/>
      <c r="J622" s="86"/>
      <c r="K622" s="86"/>
      <c r="L622" s="86"/>
      <c r="M622" s="86"/>
      <c r="N622" s="90"/>
      <c r="O622" s="90"/>
      <c r="P622" s="90"/>
      <c r="Q622" s="106"/>
      <c r="R622" s="95"/>
      <c r="S622" s="96"/>
      <c r="T622" s="85"/>
      <c r="U622" s="97"/>
      <c r="V622" s="85" t="str">
        <f t="array" ref="V622">IFERROR(index('3. Công thức lab theo từng mã h'!J:J,MATCH(C622,'3. Công thức lab theo từng mã h'!L:L,0)),"")</f>
        <v/>
      </c>
      <c r="W622" s="85"/>
      <c r="X622" s="75"/>
    </row>
    <row r="623">
      <c r="A623" s="64">
        <f t="shared" si="2"/>
        <v>0</v>
      </c>
      <c r="B623" s="98"/>
      <c r="C623" s="64"/>
      <c r="D623" s="16"/>
      <c r="E623" s="16"/>
      <c r="F623" s="100"/>
      <c r="G623" s="101"/>
      <c r="H623" s="16"/>
      <c r="I623" s="16"/>
      <c r="J623" s="16"/>
      <c r="K623" s="16"/>
      <c r="L623" s="16"/>
      <c r="M623" s="16"/>
      <c r="N623" s="100"/>
      <c r="O623" s="100"/>
      <c r="P623" s="100"/>
      <c r="Q623" s="106"/>
      <c r="R623" s="107"/>
      <c r="S623" s="104"/>
      <c r="T623" s="74"/>
      <c r="U623" s="108"/>
      <c r="V623" s="74" t="str">
        <f t="array" ref="V623">IFERROR(index('3. Công thức lab theo từng mã h'!J:J,MATCH(C623,'3. Công thức lab theo từng mã h'!L:L,0)),"")</f>
        <v/>
      </c>
      <c r="W623" s="74"/>
      <c r="X623" s="75"/>
    </row>
    <row r="624">
      <c r="A624" s="76">
        <f t="shared" si="2"/>
        <v>0</v>
      </c>
      <c r="B624" s="88"/>
      <c r="C624" s="76"/>
      <c r="D624" s="86"/>
      <c r="E624" s="86"/>
      <c r="F624" s="90"/>
      <c r="G624" s="91"/>
      <c r="H624" s="86"/>
      <c r="I624" s="86"/>
      <c r="J624" s="86"/>
      <c r="K624" s="86"/>
      <c r="L624" s="86"/>
      <c r="M624" s="86"/>
      <c r="N624" s="90"/>
      <c r="O624" s="90"/>
      <c r="P624" s="90"/>
      <c r="Q624" s="106"/>
      <c r="R624" s="95"/>
      <c r="S624" s="96"/>
      <c r="T624" s="85"/>
      <c r="U624" s="97"/>
      <c r="V624" s="85" t="str">
        <f t="array" ref="V624">IFERROR(index('3. Công thức lab theo từng mã h'!J:J,MATCH(C624,'3. Công thức lab theo từng mã h'!L:L,0)),"")</f>
        <v/>
      </c>
      <c r="W624" s="85"/>
      <c r="X624" s="75"/>
    </row>
    <row r="625">
      <c r="A625" s="64">
        <f t="shared" si="2"/>
        <v>0</v>
      </c>
      <c r="B625" s="98"/>
      <c r="C625" s="64"/>
      <c r="D625" s="16"/>
      <c r="E625" s="16"/>
      <c r="F625" s="100"/>
      <c r="G625" s="101"/>
      <c r="H625" s="16"/>
      <c r="I625" s="16"/>
      <c r="J625" s="16"/>
      <c r="K625" s="16"/>
      <c r="L625" s="16"/>
      <c r="M625" s="16"/>
      <c r="N625" s="100"/>
      <c r="O625" s="100"/>
      <c r="P625" s="100"/>
      <c r="Q625" s="106"/>
      <c r="R625" s="107"/>
      <c r="S625" s="104"/>
      <c r="T625" s="74"/>
      <c r="U625" s="108"/>
      <c r="V625" s="74" t="str">
        <f t="array" ref="V625">IFERROR(index('3. Công thức lab theo từng mã h'!J:J,MATCH(C625,'3. Công thức lab theo từng mã h'!L:L,0)),"")</f>
        <v/>
      </c>
      <c r="W625" s="74"/>
      <c r="X625" s="75"/>
    </row>
    <row r="626">
      <c r="A626" s="76">
        <f t="shared" si="2"/>
        <v>0</v>
      </c>
      <c r="B626" s="88"/>
      <c r="C626" s="76"/>
      <c r="D626" s="86"/>
      <c r="E626" s="86"/>
      <c r="F626" s="90"/>
      <c r="G626" s="91"/>
      <c r="H626" s="86"/>
      <c r="I626" s="86"/>
      <c r="J626" s="86"/>
      <c r="K626" s="86"/>
      <c r="L626" s="86"/>
      <c r="M626" s="86"/>
      <c r="N626" s="90"/>
      <c r="O626" s="90"/>
      <c r="P626" s="90"/>
      <c r="Q626" s="106"/>
      <c r="R626" s="95"/>
      <c r="S626" s="96"/>
      <c r="T626" s="85"/>
      <c r="U626" s="97"/>
      <c r="V626" s="85" t="str">
        <f t="array" ref="V626">IFERROR(index('3. Công thức lab theo từng mã h'!J:J,MATCH(C626,'3. Công thức lab theo từng mã h'!L:L,0)),"")</f>
        <v/>
      </c>
      <c r="W626" s="85"/>
      <c r="X626" s="75"/>
    </row>
    <row r="627">
      <c r="A627" s="64">
        <f t="shared" si="2"/>
        <v>0</v>
      </c>
      <c r="B627" s="98"/>
      <c r="C627" s="64"/>
      <c r="D627" s="16"/>
      <c r="E627" s="16"/>
      <c r="F627" s="100"/>
      <c r="G627" s="101"/>
      <c r="H627" s="16"/>
      <c r="I627" s="16"/>
      <c r="J627" s="16"/>
      <c r="K627" s="16"/>
      <c r="L627" s="16"/>
      <c r="M627" s="16"/>
      <c r="N627" s="100"/>
      <c r="O627" s="100"/>
      <c r="P627" s="100"/>
      <c r="Q627" s="106"/>
      <c r="R627" s="107"/>
      <c r="S627" s="104"/>
      <c r="T627" s="74"/>
      <c r="U627" s="108"/>
      <c r="V627" s="74" t="str">
        <f t="array" ref="V627">IFERROR(index('3. Công thức lab theo từng mã h'!J:J,MATCH(C627,'3. Công thức lab theo từng mã h'!L:L,0)),"")</f>
        <v/>
      </c>
      <c r="W627" s="74"/>
      <c r="X627" s="75"/>
    </row>
    <row r="628">
      <c r="A628" s="76">
        <f t="shared" si="2"/>
        <v>0</v>
      </c>
      <c r="B628" s="88"/>
      <c r="C628" s="76"/>
      <c r="D628" s="86"/>
      <c r="E628" s="86"/>
      <c r="F628" s="90"/>
      <c r="G628" s="91"/>
      <c r="H628" s="86"/>
      <c r="I628" s="86"/>
      <c r="J628" s="86"/>
      <c r="K628" s="86"/>
      <c r="L628" s="86"/>
      <c r="M628" s="86"/>
      <c r="N628" s="90"/>
      <c r="O628" s="90"/>
      <c r="P628" s="90"/>
      <c r="Q628" s="106"/>
      <c r="R628" s="95"/>
      <c r="S628" s="96"/>
      <c r="T628" s="85"/>
      <c r="U628" s="97"/>
      <c r="V628" s="85" t="str">
        <f t="array" ref="V628">IFERROR(index('3. Công thức lab theo từng mã h'!J:J,MATCH(C628,'3. Công thức lab theo từng mã h'!L:L,0)),"")</f>
        <v/>
      </c>
      <c r="W628" s="85"/>
      <c r="X628" s="75"/>
    </row>
    <row r="629">
      <c r="A629" s="64">
        <f t="shared" si="2"/>
        <v>0</v>
      </c>
      <c r="B629" s="98"/>
      <c r="C629" s="64"/>
      <c r="D629" s="16"/>
      <c r="E629" s="16"/>
      <c r="F629" s="100"/>
      <c r="G629" s="101"/>
      <c r="H629" s="16"/>
      <c r="I629" s="16"/>
      <c r="J629" s="16"/>
      <c r="K629" s="16"/>
      <c r="L629" s="16"/>
      <c r="M629" s="16"/>
      <c r="N629" s="100"/>
      <c r="O629" s="100"/>
      <c r="P629" s="100"/>
      <c r="Q629" s="106"/>
      <c r="R629" s="107"/>
      <c r="S629" s="104"/>
      <c r="T629" s="74"/>
      <c r="U629" s="108"/>
      <c r="V629" s="74" t="str">
        <f t="array" ref="V629">IFERROR(index('3. Công thức lab theo từng mã h'!J:J,MATCH(C629,'3. Công thức lab theo từng mã h'!L:L,0)),"")</f>
        <v/>
      </c>
      <c r="W629" s="74"/>
      <c r="X629" s="75"/>
    </row>
    <row r="630">
      <c r="A630" s="76">
        <f t="shared" si="2"/>
        <v>0</v>
      </c>
      <c r="B630" s="88"/>
      <c r="C630" s="76"/>
      <c r="D630" s="86"/>
      <c r="E630" s="86"/>
      <c r="F630" s="90"/>
      <c r="G630" s="91"/>
      <c r="H630" s="86"/>
      <c r="I630" s="86"/>
      <c r="J630" s="86"/>
      <c r="K630" s="86"/>
      <c r="L630" s="86"/>
      <c r="M630" s="86"/>
      <c r="N630" s="90"/>
      <c r="O630" s="90"/>
      <c r="P630" s="90"/>
      <c r="Q630" s="106"/>
      <c r="R630" s="95"/>
      <c r="S630" s="96"/>
      <c r="T630" s="85"/>
      <c r="U630" s="97"/>
      <c r="V630" s="85" t="str">
        <f t="array" ref="V630">IFERROR(index('3. Công thức lab theo từng mã h'!J:J,MATCH(C630,'3. Công thức lab theo từng mã h'!L:L,0)),"")</f>
        <v/>
      </c>
      <c r="W630" s="85"/>
      <c r="X630" s="75"/>
    </row>
    <row r="631">
      <c r="A631" s="64">
        <f t="shared" si="2"/>
        <v>0</v>
      </c>
      <c r="B631" s="98"/>
      <c r="C631" s="64"/>
      <c r="D631" s="16"/>
      <c r="E631" s="16"/>
      <c r="F631" s="100"/>
      <c r="G631" s="101"/>
      <c r="H631" s="16"/>
      <c r="I631" s="16"/>
      <c r="J631" s="16"/>
      <c r="K631" s="16"/>
      <c r="L631" s="16"/>
      <c r="M631" s="16"/>
      <c r="N631" s="100"/>
      <c r="O631" s="100"/>
      <c r="P631" s="100"/>
      <c r="Q631" s="106"/>
      <c r="R631" s="107"/>
      <c r="S631" s="104"/>
      <c r="T631" s="74"/>
      <c r="U631" s="108"/>
      <c r="V631" s="74" t="str">
        <f t="array" ref="V631">IFERROR(index('3. Công thức lab theo từng mã h'!J:J,MATCH(C631,'3. Công thức lab theo từng mã h'!L:L,0)),"")</f>
        <v/>
      </c>
      <c r="W631" s="74"/>
      <c r="X631" s="75"/>
    </row>
    <row r="632">
      <c r="A632" s="76">
        <f t="shared" si="2"/>
        <v>0</v>
      </c>
      <c r="B632" s="88"/>
      <c r="C632" s="76"/>
      <c r="D632" s="86"/>
      <c r="E632" s="86"/>
      <c r="F632" s="90"/>
      <c r="G632" s="91"/>
      <c r="H632" s="86"/>
      <c r="I632" s="86"/>
      <c r="J632" s="86"/>
      <c r="K632" s="86"/>
      <c r="L632" s="86"/>
      <c r="M632" s="86"/>
      <c r="N632" s="90"/>
      <c r="O632" s="90"/>
      <c r="P632" s="90"/>
      <c r="Q632" s="106"/>
      <c r="R632" s="95"/>
      <c r="S632" s="96"/>
      <c r="T632" s="85"/>
      <c r="U632" s="97"/>
      <c r="V632" s="85" t="str">
        <f t="array" ref="V632">IFERROR(index('3. Công thức lab theo từng mã h'!J:J,MATCH(C632,'3. Công thức lab theo từng mã h'!L:L,0)),"")</f>
        <v/>
      </c>
      <c r="W632" s="85"/>
      <c r="X632" s="75"/>
    </row>
    <row r="633">
      <c r="A633" s="64">
        <f t="shared" si="2"/>
        <v>0</v>
      </c>
      <c r="B633" s="98"/>
      <c r="C633" s="64"/>
      <c r="D633" s="16"/>
      <c r="E633" s="16"/>
      <c r="F633" s="100"/>
      <c r="G633" s="101"/>
      <c r="H633" s="16"/>
      <c r="I633" s="16"/>
      <c r="J633" s="16"/>
      <c r="K633" s="16"/>
      <c r="L633" s="16"/>
      <c r="M633" s="16"/>
      <c r="N633" s="100"/>
      <c r="O633" s="100"/>
      <c r="P633" s="100"/>
      <c r="Q633" s="106"/>
      <c r="R633" s="107"/>
      <c r="S633" s="104"/>
      <c r="T633" s="74"/>
      <c r="U633" s="108"/>
      <c r="V633" s="74" t="str">
        <f t="array" ref="V633">IFERROR(index('3. Công thức lab theo từng mã h'!J:J,MATCH(C633,'3. Công thức lab theo từng mã h'!L:L,0)),"")</f>
        <v/>
      </c>
      <c r="W633" s="74"/>
      <c r="X633" s="75"/>
    </row>
    <row r="634">
      <c r="A634" s="76">
        <f t="shared" si="2"/>
        <v>0</v>
      </c>
      <c r="B634" s="88"/>
      <c r="C634" s="76"/>
      <c r="D634" s="86"/>
      <c r="E634" s="86"/>
      <c r="F634" s="90"/>
      <c r="G634" s="91"/>
      <c r="H634" s="86"/>
      <c r="I634" s="86"/>
      <c r="J634" s="86"/>
      <c r="K634" s="86"/>
      <c r="L634" s="86"/>
      <c r="M634" s="86"/>
      <c r="N634" s="90"/>
      <c r="O634" s="90"/>
      <c r="P634" s="90"/>
      <c r="Q634" s="106"/>
      <c r="R634" s="95"/>
      <c r="S634" s="96"/>
      <c r="T634" s="85"/>
      <c r="U634" s="97"/>
      <c r="V634" s="85" t="str">
        <f t="array" ref="V634">IFERROR(index('3. Công thức lab theo từng mã h'!J:J,MATCH(C634,'3. Công thức lab theo từng mã h'!L:L,0)),"")</f>
        <v/>
      </c>
      <c r="W634" s="85"/>
      <c r="X634" s="75"/>
    </row>
    <row r="635">
      <c r="A635" s="64">
        <f t="shared" si="2"/>
        <v>0</v>
      </c>
      <c r="B635" s="98"/>
      <c r="C635" s="64"/>
      <c r="D635" s="16"/>
      <c r="E635" s="16"/>
      <c r="F635" s="100"/>
      <c r="G635" s="101"/>
      <c r="H635" s="16"/>
      <c r="I635" s="16"/>
      <c r="J635" s="16"/>
      <c r="K635" s="16"/>
      <c r="L635" s="16"/>
      <c r="M635" s="16"/>
      <c r="N635" s="100"/>
      <c r="O635" s="100"/>
      <c r="P635" s="100"/>
      <c r="Q635" s="106"/>
      <c r="R635" s="107"/>
      <c r="S635" s="104"/>
      <c r="T635" s="74"/>
      <c r="U635" s="108"/>
      <c r="V635" s="74" t="str">
        <f t="array" ref="V635">IFERROR(index('3. Công thức lab theo từng mã h'!J:J,MATCH(C635,'3. Công thức lab theo từng mã h'!L:L,0)),"")</f>
        <v/>
      </c>
      <c r="W635" s="74"/>
      <c r="X635" s="75"/>
    </row>
    <row r="636">
      <c r="A636" s="76">
        <f t="shared" si="2"/>
        <v>0</v>
      </c>
      <c r="B636" s="88"/>
      <c r="C636" s="76"/>
      <c r="D636" s="86"/>
      <c r="E636" s="86"/>
      <c r="F636" s="90"/>
      <c r="G636" s="91"/>
      <c r="H636" s="86"/>
      <c r="I636" s="86"/>
      <c r="J636" s="86"/>
      <c r="K636" s="86"/>
      <c r="L636" s="86"/>
      <c r="M636" s="86"/>
      <c r="N636" s="90"/>
      <c r="O636" s="90"/>
      <c r="P636" s="90"/>
      <c r="Q636" s="106"/>
      <c r="R636" s="95"/>
      <c r="S636" s="96"/>
      <c r="T636" s="85"/>
      <c r="U636" s="97"/>
      <c r="V636" s="85" t="str">
        <f t="array" ref="V636">IFERROR(index('3. Công thức lab theo từng mã h'!J:J,MATCH(C636,'3. Công thức lab theo từng mã h'!L:L,0)),"")</f>
        <v/>
      </c>
      <c r="W636" s="85"/>
      <c r="X636" s="75"/>
    </row>
    <row r="637">
      <c r="A637" s="64">
        <f t="shared" si="2"/>
        <v>0</v>
      </c>
      <c r="B637" s="98"/>
      <c r="C637" s="64"/>
      <c r="D637" s="16"/>
      <c r="E637" s="16"/>
      <c r="F637" s="100"/>
      <c r="G637" s="101"/>
      <c r="H637" s="16"/>
      <c r="I637" s="16"/>
      <c r="J637" s="16"/>
      <c r="K637" s="16"/>
      <c r="L637" s="16"/>
      <c r="M637" s="16"/>
      <c r="N637" s="100"/>
      <c r="O637" s="100"/>
      <c r="P637" s="100"/>
      <c r="Q637" s="106"/>
      <c r="R637" s="107"/>
      <c r="S637" s="104"/>
      <c r="T637" s="74"/>
      <c r="U637" s="108"/>
      <c r="V637" s="74" t="str">
        <f t="array" ref="V637">IFERROR(index('3. Công thức lab theo từng mã h'!J:J,MATCH(C637,'3. Công thức lab theo từng mã h'!L:L,0)),"")</f>
        <v/>
      </c>
      <c r="W637" s="74"/>
      <c r="X637" s="75"/>
    </row>
    <row r="638">
      <c r="A638" s="76">
        <f t="shared" si="2"/>
        <v>0</v>
      </c>
      <c r="B638" s="88"/>
      <c r="C638" s="76"/>
      <c r="D638" s="86"/>
      <c r="E638" s="86"/>
      <c r="F638" s="90"/>
      <c r="G638" s="91"/>
      <c r="H638" s="86"/>
      <c r="I638" s="86"/>
      <c r="J638" s="86"/>
      <c r="K638" s="86"/>
      <c r="L638" s="86"/>
      <c r="M638" s="86"/>
      <c r="N638" s="90"/>
      <c r="O638" s="90"/>
      <c r="P638" s="90"/>
      <c r="Q638" s="106"/>
      <c r="R638" s="95"/>
      <c r="S638" s="96"/>
      <c r="T638" s="85"/>
      <c r="U638" s="97"/>
      <c r="V638" s="85" t="str">
        <f t="array" ref="V638">IFERROR(index('3. Công thức lab theo từng mã h'!J:J,MATCH(C638,'3. Công thức lab theo từng mã h'!L:L,0)),"")</f>
        <v/>
      </c>
      <c r="W638" s="85"/>
      <c r="X638" s="75"/>
    </row>
    <row r="639">
      <c r="A639" s="64">
        <f t="shared" si="2"/>
        <v>0</v>
      </c>
      <c r="B639" s="98"/>
      <c r="C639" s="64"/>
      <c r="D639" s="16"/>
      <c r="E639" s="16"/>
      <c r="F639" s="100"/>
      <c r="G639" s="101"/>
      <c r="H639" s="16"/>
      <c r="I639" s="16"/>
      <c r="J639" s="16"/>
      <c r="K639" s="16"/>
      <c r="L639" s="16"/>
      <c r="M639" s="16"/>
      <c r="N639" s="100"/>
      <c r="O639" s="100"/>
      <c r="P639" s="100"/>
      <c r="Q639" s="106"/>
      <c r="R639" s="107"/>
      <c r="S639" s="104"/>
      <c r="T639" s="74"/>
      <c r="U639" s="108"/>
      <c r="V639" s="74" t="str">
        <f t="array" ref="V639">IFERROR(index('3. Công thức lab theo từng mã h'!J:J,MATCH(C639,'3. Công thức lab theo từng mã h'!L:L,0)),"")</f>
        <v/>
      </c>
      <c r="W639" s="74"/>
      <c r="X639" s="75"/>
    </row>
    <row r="640">
      <c r="A640" s="76">
        <f t="shared" si="2"/>
        <v>0</v>
      </c>
      <c r="B640" s="88"/>
      <c r="C640" s="76"/>
      <c r="D640" s="86"/>
      <c r="E640" s="86"/>
      <c r="F640" s="90"/>
      <c r="G640" s="91"/>
      <c r="H640" s="86"/>
      <c r="I640" s="86"/>
      <c r="J640" s="86"/>
      <c r="K640" s="86"/>
      <c r="L640" s="86"/>
      <c r="M640" s="86"/>
      <c r="N640" s="90"/>
      <c r="O640" s="90"/>
      <c r="P640" s="90"/>
      <c r="Q640" s="106"/>
      <c r="R640" s="95"/>
      <c r="S640" s="96"/>
      <c r="T640" s="85"/>
      <c r="U640" s="97"/>
      <c r="V640" s="85" t="str">
        <f t="array" ref="V640">IFERROR(index('3. Công thức lab theo từng mã h'!J:J,MATCH(C640,'3. Công thức lab theo từng mã h'!L:L,0)),"")</f>
        <v/>
      </c>
      <c r="W640" s="85"/>
      <c r="X640" s="75"/>
    </row>
    <row r="641">
      <c r="A641" s="64">
        <f t="shared" si="2"/>
        <v>0</v>
      </c>
      <c r="B641" s="98"/>
      <c r="C641" s="64"/>
      <c r="D641" s="16"/>
      <c r="E641" s="16"/>
      <c r="F641" s="100"/>
      <c r="G641" s="101"/>
      <c r="H641" s="16"/>
      <c r="I641" s="16"/>
      <c r="J641" s="16"/>
      <c r="K641" s="16"/>
      <c r="L641" s="16"/>
      <c r="M641" s="16"/>
      <c r="N641" s="100"/>
      <c r="O641" s="100"/>
      <c r="P641" s="100"/>
      <c r="Q641" s="106"/>
      <c r="R641" s="107"/>
      <c r="S641" s="104"/>
      <c r="T641" s="74"/>
      <c r="U641" s="108"/>
      <c r="V641" s="74" t="str">
        <f t="array" ref="V641">IFERROR(index('3. Công thức lab theo từng mã h'!J:J,MATCH(C641,'3. Công thức lab theo từng mã h'!L:L,0)),"")</f>
        <v/>
      </c>
      <c r="W641" s="74"/>
      <c r="X641" s="75"/>
    </row>
    <row r="642">
      <c r="A642" s="76">
        <f t="shared" si="2"/>
        <v>0</v>
      </c>
      <c r="B642" s="88"/>
      <c r="C642" s="76"/>
      <c r="D642" s="86"/>
      <c r="E642" s="86"/>
      <c r="F642" s="90"/>
      <c r="G642" s="91"/>
      <c r="H642" s="86"/>
      <c r="I642" s="86"/>
      <c r="J642" s="86"/>
      <c r="K642" s="86"/>
      <c r="L642" s="86"/>
      <c r="M642" s="86"/>
      <c r="N642" s="90"/>
      <c r="O642" s="90"/>
      <c r="P642" s="90"/>
      <c r="Q642" s="106"/>
      <c r="R642" s="95"/>
      <c r="S642" s="96"/>
      <c r="T642" s="85"/>
      <c r="U642" s="97"/>
      <c r="V642" s="85" t="str">
        <f t="array" ref="V642">IFERROR(index('3. Công thức lab theo từng mã h'!J:J,MATCH(C642,'3. Công thức lab theo từng mã h'!L:L,0)),"")</f>
        <v/>
      </c>
      <c r="W642" s="85"/>
      <c r="X642" s="75"/>
    </row>
    <row r="643">
      <c r="A643" s="64">
        <f t="shared" si="2"/>
        <v>0</v>
      </c>
      <c r="B643" s="98"/>
      <c r="C643" s="64"/>
      <c r="D643" s="16"/>
      <c r="E643" s="16"/>
      <c r="F643" s="100"/>
      <c r="G643" s="101"/>
      <c r="H643" s="16"/>
      <c r="I643" s="16"/>
      <c r="J643" s="16"/>
      <c r="K643" s="16"/>
      <c r="L643" s="16"/>
      <c r="M643" s="16"/>
      <c r="N643" s="100"/>
      <c r="O643" s="100"/>
      <c r="P643" s="100"/>
      <c r="Q643" s="106"/>
      <c r="R643" s="107"/>
      <c r="S643" s="104"/>
      <c r="T643" s="74"/>
      <c r="U643" s="108"/>
      <c r="V643" s="74" t="str">
        <f t="array" ref="V643">IFERROR(index('3. Công thức lab theo từng mã h'!J:J,MATCH(C643,'3. Công thức lab theo từng mã h'!L:L,0)),"")</f>
        <v/>
      </c>
      <c r="W643" s="74"/>
      <c r="X643" s="75"/>
    </row>
    <row r="644">
      <c r="A644" s="76">
        <f t="shared" si="2"/>
        <v>0</v>
      </c>
      <c r="B644" s="88"/>
      <c r="C644" s="76"/>
      <c r="D644" s="86"/>
      <c r="E644" s="86"/>
      <c r="F644" s="90"/>
      <c r="G644" s="91"/>
      <c r="H644" s="86"/>
      <c r="I644" s="86"/>
      <c r="J644" s="86"/>
      <c r="K644" s="86"/>
      <c r="L644" s="86"/>
      <c r="M644" s="86"/>
      <c r="N644" s="90"/>
      <c r="O644" s="90"/>
      <c r="P644" s="90"/>
      <c r="Q644" s="106"/>
      <c r="R644" s="95"/>
      <c r="S644" s="96"/>
      <c r="T644" s="85"/>
      <c r="U644" s="97"/>
      <c r="V644" s="85" t="str">
        <f t="array" ref="V644">IFERROR(index('3. Công thức lab theo từng mã h'!J:J,MATCH(C644,'3. Công thức lab theo từng mã h'!L:L,0)),"")</f>
        <v/>
      </c>
      <c r="W644" s="85"/>
      <c r="X644" s="75"/>
    </row>
    <row r="645">
      <c r="A645" s="64">
        <f t="shared" si="2"/>
        <v>0</v>
      </c>
      <c r="B645" s="98"/>
      <c r="C645" s="64"/>
      <c r="D645" s="16"/>
      <c r="E645" s="16"/>
      <c r="F645" s="100"/>
      <c r="G645" s="101"/>
      <c r="H645" s="16"/>
      <c r="I645" s="16"/>
      <c r="J645" s="16"/>
      <c r="K645" s="16"/>
      <c r="L645" s="16"/>
      <c r="M645" s="16"/>
      <c r="N645" s="100"/>
      <c r="O645" s="100"/>
      <c r="P645" s="100"/>
      <c r="Q645" s="106"/>
      <c r="R645" s="107"/>
      <c r="S645" s="104"/>
      <c r="T645" s="74"/>
      <c r="U645" s="108"/>
      <c r="V645" s="74" t="str">
        <f t="array" ref="V645">IFERROR(index('3. Công thức lab theo từng mã h'!J:J,MATCH(C645,'3. Công thức lab theo từng mã h'!L:L,0)),"")</f>
        <v/>
      </c>
      <c r="W645" s="74"/>
      <c r="X645" s="75"/>
    </row>
    <row r="646">
      <c r="A646" s="76">
        <f t="shared" si="2"/>
        <v>0</v>
      </c>
      <c r="B646" s="88"/>
      <c r="C646" s="76"/>
      <c r="D646" s="86"/>
      <c r="E646" s="86"/>
      <c r="F646" s="90"/>
      <c r="G646" s="91"/>
      <c r="H646" s="86"/>
      <c r="I646" s="86"/>
      <c r="J646" s="86"/>
      <c r="K646" s="86"/>
      <c r="L646" s="86"/>
      <c r="M646" s="86"/>
      <c r="N646" s="90"/>
      <c r="O646" s="90"/>
      <c r="P646" s="90"/>
      <c r="Q646" s="106"/>
      <c r="R646" s="95"/>
      <c r="S646" s="96"/>
      <c r="T646" s="85"/>
      <c r="U646" s="97"/>
      <c r="V646" s="85" t="str">
        <f t="array" ref="V646">IFERROR(index('3. Công thức lab theo từng mã h'!J:J,MATCH(C646,'3. Công thức lab theo từng mã h'!L:L,0)),"")</f>
        <v/>
      </c>
      <c r="W646" s="85"/>
      <c r="X646" s="75"/>
    </row>
    <row r="647">
      <c r="A647" s="64">
        <f t="shared" si="2"/>
        <v>0</v>
      </c>
      <c r="B647" s="98"/>
      <c r="C647" s="64"/>
      <c r="D647" s="16"/>
      <c r="E647" s="16"/>
      <c r="F647" s="100"/>
      <c r="G647" s="101"/>
      <c r="H647" s="16"/>
      <c r="I647" s="16"/>
      <c r="J647" s="16"/>
      <c r="K647" s="16"/>
      <c r="L647" s="16"/>
      <c r="M647" s="16"/>
      <c r="N647" s="100"/>
      <c r="O647" s="100"/>
      <c r="P647" s="100"/>
      <c r="Q647" s="106"/>
      <c r="R647" s="107"/>
      <c r="S647" s="104"/>
      <c r="T647" s="74"/>
      <c r="U647" s="108"/>
      <c r="V647" s="74" t="str">
        <f t="array" ref="V647">IFERROR(index('3. Công thức lab theo từng mã h'!J:J,MATCH(C647,'3. Công thức lab theo từng mã h'!L:L,0)),"")</f>
        <v/>
      </c>
      <c r="W647" s="74"/>
      <c r="X647" s="75"/>
    </row>
    <row r="648">
      <c r="A648" s="76">
        <f t="shared" si="2"/>
        <v>0</v>
      </c>
      <c r="B648" s="88"/>
      <c r="C648" s="76"/>
      <c r="D648" s="86"/>
      <c r="E648" s="86"/>
      <c r="F648" s="90"/>
      <c r="G648" s="91"/>
      <c r="H648" s="86"/>
      <c r="I648" s="86"/>
      <c r="J648" s="86"/>
      <c r="K648" s="86"/>
      <c r="L648" s="86"/>
      <c r="M648" s="86"/>
      <c r="N648" s="90"/>
      <c r="O648" s="90"/>
      <c r="P648" s="90"/>
      <c r="Q648" s="106"/>
      <c r="R648" s="95"/>
      <c r="S648" s="96"/>
      <c r="T648" s="85"/>
      <c r="U648" s="97"/>
      <c r="V648" s="85" t="str">
        <f t="array" ref="V648">IFERROR(index('3. Công thức lab theo từng mã h'!J:J,MATCH(C648,'3. Công thức lab theo từng mã h'!L:L,0)),"")</f>
        <v/>
      </c>
      <c r="W648" s="85"/>
      <c r="X648" s="75"/>
    </row>
    <row r="649">
      <c r="A649" s="64">
        <f t="shared" si="2"/>
        <v>0</v>
      </c>
      <c r="B649" s="98"/>
      <c r="C649" s="64"/>
      <c r="D649" s="16"/>
      <c r="E649" s="16"/>
      <c r="F649" s="100"/>
      <c r="G649" s="101"/>
      <c r="H649" s="16"/>
      <c r="I649" s="16"/>
      <c r="J649" s="16"/>
      <c r="K649" s="16"/>
      <c r="L649" s="16"/>
      <c r="M649" s="16"/>
      <c r="N649" s="100"/>
      <c r="O649" s="100"/>
      <c r="P649" s="100"/>
      <c r="Q649" s="106"/>
      <c r="R649" s="107"/>
      <c r="S649" s="104"/>
      <c r="T649" s="74"/>
      <c r="U649" s="108"/>
      <c r="V649" s="74" t="str">
        <f t="array" ref="V649">IFERROR(index('3. Công thức lab theo từng mã h'!J:J,MATCH(C649,'3. Công thức lab theo từng mã h'!L:L,0)),"")</f>
        <v/>
      </c>
      <c r="W649" s="74"/>
      <c r="X649" s="75"/>
    </row>
    <row r="650">
      <c r="A650" s="76">
        <f t="shared" si="2"/>
        <v>0</v>
      </c>
      <c r="B650" s="88"/>
      <c r="C650" s="76"/>
      <c r="D650" s="86"/>
      <c r="E650" s="86"/>
      <c r="F650" s="90"/>
      <c r="G650" s="91"/>
      <c r="H650" s="86"/>
      <c r="I650" s="86"/>
      <c r="J650" s="86"/>
      <c r="K650" s="86"/>
      <c r="L650" s="86"/>
      <c r="M650" s="86"/>
      <c r="N650" s="90"/>
      <c r="O650" s="90"/>
      <c r="P650" s="90"/>
      <c r="Q650" s="106"/>
      <c r="R650" s="95"/>
      <c r="S650" s="96"/>
      <c r="T650" s="85"/>
      <c r="U650" s="97"/>
      <c r="V650" s="85" t="str">
        <f t="array" ref="V650">IFERROR(index('3. Công thức lab theo từng mã h'!J:J,MATCH(C650,'3. Công thức lab theo từng mã h'!L:L,0)),"")</f>
        <v/>
      </c>
      <c r="W650" s="85"/>
      <c r="X650" s="75"/>
    </row>
    <row r="651">
      <c r="A651" s="64">
        <f t="shared" si="2"/>
        <v>0</v>
      </c>
      <c r="B651" s="98"/>
      <c r="C651" s="64"/>
      <c r="D651" s="16"/>
      <c r="E651" s="16"/>
      <c r="F651" s="100"/>
      <c r="G651" s="101"/>
      <c r="H651" s="16"/>
      <c r="I651" s="16"/>
      <c r="J651" s="16"/>
      <c r="K651" s="16"/>
      <c r="L651" s="16"/>
      <c r="M651" s="16"/>
      <c r="N651" s="100"/>
      <c r="O651" s="100"/>
      <c r="P651" s="100"/>
      <c r="Q651" s="106"/>
      <c r="R651" s="107"/>
      <c r="S651" s="104"/>
      <c r="T651" s="74"/>
      <c r="U651" s="108"/>
      <c r="V651" s="74" t="str">
        <f t="array" ref="V651">IFERROR(index('3. Công thức lab theo từng mã h'!J:J,MATCH(C651,'3. Công thức lab theo từng mã h'!L:L,0)),"")</f>
        <v/>
      </c>
      <c r="W651" s="74"/>
      <c r="X651" s="75"/>
    </row>
    <row r="652">
      <c r="A652" s="76">
        <f t="shared" si="2"/>
        <v>0</v>
      </c>
      <c r="B652" s="88"/>
      <c r="C652" s="76"/>
      <c r="D652" s="86"/>
      <c r="E652" s="86"/>
      <c r="F652" s="90"/>
      <c r="G652" s="91"/>
      <c r="H652" s="86"/>
      <c r="I652" s="86"/>
      <c r="J652" s="86"/>
      <c r="K652" s="86"/>
      <c r="L652" s="86"/>
      <c r="M652" s="86"/>
      <c r="N652" s="90"/>
      <c r="O652" s="90"/>
      <c r="P652" s="90"/>
      <c r="Q652" s="106"/>
      <c r="R652" s="95"/>
      <c r="S652" s="96"/>
      <c r="T652" s="85"/>
      <c r="U652" s="97"/>
      <c r="V652" s="85" t="str">
        <f t="array" ref="V652">IFERROR(index('3. Công thức lab theo từng mã h'!J:J,MATCH(C652,'3. Công thức lab theo từng mã h'!L:L,0)),"")</f>
        <v/>
      </c>
      <c r="W652" s="85"/>
      <c r="X652" s="75"/>
    </row>
    <row r="653">
      <c r="A653" s="64">
        <f t="shared" si="2"/>
        <v>0</v>
      </c>
      <c r="B653" s="98"/>
      <c r="C653" s="64"/>
      <c r="D653" s="16"/>
      <c r="E653" s="16"/>
      <c r="F653" s="100"/>
      <c r="G653" s="101"/>
      <c r="H653" s="16"/>
      <c r="I653" s="16"/>
      <c r="J653" s="16"/>
      <c r="K653" s="16"/>
      <c r="L653" s="16"/>
      <c r="M653" s="16"/>
      <c r="N653" s="100"/>
      <c r="O653" s="100"/>
      <c r="P653" s="100"/>
      <c r="Q653" s="106"/>
      <c r="R653" s="107"/>
      <c r="S653" s="104"/>
      <c r="T653" s="74"/>
      <c r="U653" s="108"/>
      <c r="V653" s="74" t="str">
        <f t="array" ref="V653">IFERROR(index('3. Công thức lab theo từng mã h'!J:J,MATCH(C653,'3. Công thức lab theo từng mã h'!L:L,0)),"")</f>
        <v/>
      </c>
      <c r="W653" s="74"/>
      <c r="X653" s="75"/>
    </row>
    <row r="654">
      <c r="A654" s="76">
        <f t="shared" si="2"/>
        <v>0</v>
      </c>
      <c r="B654" s="88"/>
      <c r="C654" s="76"/>
      <c r="D654" s="86"/>
      <c r="E654" s="86"/>
      <c r="F654" s="90"/>
      <c r="G654" s="91"/>
      <c r="H654" s="86"/>
      <c r="I654" s="86"/>
      <c r="J654" s="86"/>
      <c r="K654" s="86"/>
      <c r="L654" s="86"/>
      <c r="M654" s="86"/>
      <c r="N654" s="90"/>
      <c r="O654" s="90"/>
      <c r="P654" s="90"/>
      <c r="Q654" s="106"/>
      <c r="R654" s="95"/>
      <c r="S654" s="96"/>
      <c r="T654" s="85"/>
      <c r="U654" s="97"/>
      <c r="V654" s="85" t="str">
        <f t="array" ref="V654">IFERROR(index('3. Công thức lab theo từng mã h'!J:J,MATCH(C654,'3. Công thức lab theo từng mã h'!L:L,0)),"")</f>
        <v/>
      </c>
      <c r="W654" s="85"/>
      <c r="X654" s="75"/>
    </row>
    <row r="655">
      <c r="A655" s="64">
        <f t="shared" si="2"/>
        <v>0</v>
      </c>
      <c r="B655" s="98"/>
      <c r="C655" s="64"/>
      <c r="D655" s="16"/>
      <c r="E655" s="16"/>
      <c r="F655" s="100"/>
      <c r="G655" s="101"/>
      <c r="H655" s="16"/>
      <c r="I655" s="16"/>
      <c r="J655" s="16"/>
      <c r="K655" s="16"/>
      <c r="L655" s="16"/>
      <c r="M655" s="16"/>
      <c r="N655" s="100"/>
      <c r="O655" s="100"/>
      <c r="P655" s="100"/>
      <c r="Q655" s="106"/>
      <c r="R655" s="107"/>
      <c r="S655" s="104"/>
      <c r="T655" s="74"/>
      <c r="U655" s="108"/>
      <c r="V655" s="74" t="str">
        <f t="array" ref="V655">IFERROR(index('3. Công thức lab theo từng mã h'!J:J,MATCH(C655,'3. Công thức lab theo từng mã h'!L:L,0)),"")</f>
        <v/>
      </c>
      <c r="W655" s="74"/>
      <c r="X655" s="75"/>
    </row>
    <row r="656">
      <c r="A656" s="76">
        <f t="shared" si="2"/>
        <v>0</v>
      </c>
      <c r="B656" s="88"/>
      <c r="C656" s="76"/>
      <c r="D656" s="86"/>
      <c r="E656" s="86"/>
      <c r="F656" s="90"/>
      <c r="G656" s="91"/>
      <c r="H656" s="86"/>
      <c r="I656" s="86"/>
      <c r="J656" s="86"/>
      <c r="K656" s="86"/>
      <c r="L656" s="86"/>
      <c r="M656" s="86"/>
      <c r="N656" s="90"/>
      <c r="O656" s="90"/>
      <c r="P656" s="90"/>
      <c r="Q656" s="106"/>
      <c r="R656" s="95"/>
      <c r="S656" s="96"/>
      <c r="T656" s="85"/>
      <c r="U656" s="97"/>
      <c r="V656" s="85" t="str">
        <f t="array" ref="V656">IFERROR(index('3. Công thức lab theo từng mã h'!J:J,MATCH(C656,'3. Công thức lab theo từng mã h'!L:L,0)),"")</f>
        <v/>
      </c>
      <c r="W656" s="85"/>
      <c r="X656" s="75"/>
    </row>
    <row r="657">
      <c r="A657" s="64">
        <f t="shared" si="2"/>
        <v>0</v>
      </c>
      <c r="B657" s="98"/>
      <c r="C657" s="64"/>
      <c r="D657" s="16"/>
      <c r="E657" s="16"/>
      <c r="F657" s="100"/>
      <c r="G657" s="101"/>
      <c r="H657" s="16"/>
      <c r="I657" s="16"/>
      <c r="J657" s="16"/>
      <c r="K657" s="16"/>
      <c r="L657" s="16"/>
      <c r="M657" s="16"/>
      <c r="N657" s="100"/>
      <c r="O657" s="100"/>
      <c r="P657" s="100"/>
      <c r="Q657" s="106"/>
      <c r="R657" s="107"/>
      <c r="S657" s="104"/>
      <c r="T657" s="74"/>
      <c r="U657" s="108"/>
      <c r="V657" s="74" t="str">
        <f t="array" ref="V657">IFERROR(index('3. Công thức lab theo từng mã h'!J:J,MATCH(C657,'3. Công thức lab theo từng mã h'!L:L,0)),"")</f>
        <v/>
      </c>
      <c r="W657" s="74"/>
      <c r="X657" s="75"/>
    </row>
    <row r="658">
      <c r="A658" s="76">
        <f t="shared" si="2"/>
        <v>0</v>
      </c>
      <c r="B658" s="88"/>
      <c r="C658" s="76"/>
      <c r="D658" s="86"/>
      <c r="E658" s="86"/>
      <c r="F658" s="90"/>
      <c r="G658" s="91"/>
      <c r="H658" s="86"/>
      <c r="I658" s="86"/>
      <c r="J658" s="86"/>
      <c r="K658" s="86"/>
      <c r="L658" s="86"/>
      <c r="M658" s="86"/>
      <c r="N658" s="90"/>
      <c r="O658" s="90"/>
      <c r="P658" s="90"/>
      <c r="Q658" s="106"/>
      <c r="R658" s="95"/>
      <c r="S658" s="96"/>
      <c r="T658" s="85"/>
      <c r="U658" s="97"/>
      <c r="V658" s="85" t="str">
        <f t="array" ref="V658">IFERROR(index('3. Công thức lab theo từng mã h'!J:J,MATCH(C658,'3. Công thức lab theo từng mã h'!L:L,0)),"")</f>
        <v/>
      </c>
      <c r="W658" s="85"/>
      <c r="X658" s="75"/>
    </row>
    <row r="659">
      <c r="A659" s="64">
        <f t="shared" si="2"/>
        <v>0</v>
      </c>
      <c r="B659" s="98"/>
      <c r="C659" s="64"/>
      <c r="D659" s="16"/>
      <c r="E659" s="16"/>
      <c r="F659" s="100"/>
      <c r="G659" s="101"/>
      <c r="H659" s="16"/>
      <c r="I659" s="16"/>
      <c r="J659" s="16"/>
      <c r="K659" s="16"/>
      <c r="L659" s="16"/>
      <c r="M659" s="16"/>
      <c r="N659" s="100"/>
      <c r="O659" s="100"/>
      <c r="P659" s="100"/>
      <c r="Q659" s="106"/>
      <c r="R659" s="107"/>
      <c r="S659" s="104"/>
      <c r="T659" s="74"/>
      <c r="U659" s="108"/>
      <c r="V659" s="74" t="str">
        <f t="array" ref="V659">IFERROR(index('3. Công thức lab theo từng mã h'!J:J,MATCH(C659,'3. Công thức lab theo từng mã h'!L:L,0)),"")</f>
        <v/>
      </c>
      <c r="W659" s="74"/>
      <c r="X659" s="75"/>
    </row>
    <row r="660">
      <c r="A660" s="76">
        <f t="shared" si="2"/>
        <v>0</v>
      </c>
      <c r="B660" s="88"/>
      <c r="C660" s="76"/>
      <c r="D660" s="86"/>
      <c r="E660" s="86"/>
      <c r="F660" s="90"/>
      <c r="G660" s="91"/>
      <c r="H660" s="86"/>
      <c r="I660" s="86"/>
      <c r="J660" s="86"/>
      <c r="K660" s="86"/>
      <c r="L660" s="86"/>
      <c r="M660" s="86"/>
      <c r="N660" s="90"/>
      <c r="O660" s="90"/>
      <c r="P660" s="90"/>
      <c r="Q660" s="106"/>
      <c r="R660" s="95"/>
      <c r="S660" s="96"/>
      <c r="T660" s="85"/>
      <c r="U660" s="97"/>
      <c r="V660" s="85" t="str">
        <f t="array" ref="V660">IFERROR(index('3. Công thức lab theo từng mã h'!J:J,MATCH(C660,'3. Công thức lab theo từng mã h'!L:L,0)),"")</f>
        <v/>
      </c>
      <c r="W660" s="85"/>
      <c r="X660" s="75"/>
    </row>
    <row r="661">
      <c r="A661" s="64">
        <f t="shared" si="2"/>
        <v>0</v>
      </c>
      <c r="B661" s="98"/>
      <c r="C661" s="64"/>
      <c r="D661" s="16"/>
      <c r="E661" s="16"/>
      <c r="F661" s="100"/>
      <c r="G661" s="101"/>
      <c r="H661" s="16"/>
      <c r="I661" s="16"/>
      <c r="J661" s="16"/>
      <c r="K661" s="16"/>
      <c r="L661" s="16"/>
      <c r="M661" s="16"/>
      <c r="N661" s="100"/>
      <c r="O661" s="100"/>
      <c r="P661" s="100"/>
      <c r="Q661" s="106"/>
      <c r="R661" s="107"/>
      <c r="S661" s="104"/>
      <c r="T661" s="74"/>
      <c r="U661" s="108"/>
      <c r="V661" s="74" t="str">
        <f t="array" ref="V661">IFERROR(index('3. Công thức lab theo từng mã h'!J:J,MATCH(C661,'3. Công thức lab theo từng mã h'!L:L,0)),"")</f>
        <v/>
      </c>
      <c r="W661" s="74"/>
      <c r="X661" s="75"/>
    </row>
    <row r="662">
      <c r="A662" s="76">
        <f t="shared" si="2"/>
        <v>0</v>
      </c>
      <c r="B662" s="88"/>
      <c r="C662" s="76"/>
      <c r="D662" s="86"/>
      <c r="E662" s="86"/>
      <c r="F662" s="90"/>
      <c r="G662" s="91"/>
      <c r="H662" s="86"/>
      <c r="I662" s="86"/>
      <c r="J662" s="86"/>
      <c r="K662" s="86"/>
      <c r="L662" s="86"/>
      <c r="M662" s="86"/>
      <c r="N662" s="90"/>
      <c r="O662" s="90"/>
      <c r="P662" s="90"/>
      <c r="Q662" s="106"/>
      <c r="R662" s="95"/>
      <c r="S662" s="96"/>
      <c r="T662" s="85"/>
      <c r="U662" s="97"/>
      <c r="V662" s="85" t="str">
        <f t="array" ref="V662">IFERROR(index('3. Công thức lab theo từng mã h'!J:J,MATCH(C662,'3. Công thức lab theo từng mã h'!L:L,0)),"")</f>
        <v/>
      </c>
      <c r="W662" s="85"/>
      <c r="X662" s="75"/>
    </row>
    <row r="663">
      <c r="A663" s="64">
        <f t="shared" si="2"/>
        <v>0</v>
      </c>
      <c r="B663" s="98"/>
      <c r="C663" s="64"/>
      <c r="D663" s="16"/>
      <c r="E663" s="16"/>
      <c r="F663" s="100"/>
      <c r="G663" s="101"/>
      <c r="H663" s="16"/>
      <c r="I663" s="16"/>
      <c r="J663" s="16"/>
      <c r="K663" s="16"/>
      <c r="L663" s="16"/>
      <c r="M663" s="16"/>
      <c r="N663" s="100"/>
      <c r="O663" s="100"/>
      <c r="P663" s="100"/>
      <c r="Q663" s="106"/>
      <c r="R663" s="107"/>
      <c r="S663" s="104"/>
      <c r="T663" s="74"/>
      <c r="U663" s="108"/>
      <c r="V663" s="74" t="str">
        <f t="array" ref="V663">IFERROR(index('3. Công thức lab theo từng mã h'!J:J,MATCH(C663,'3. Công thức lab theo từng mã h'!L:L,0)),"")</f>
        <v/>
      </c>
      <c r="W663" s="74"/>
      <c r="X663" s="75"/>
    </row>
    <row r="664">
      <c r="A664" s="76">
        <f t="shared" si="2"/>
        <v>0</v>
      </c>
      <c r="B664" s="88"/>
      <c r="C664" s="76"/>
      <c r="D664" s="86"/>
      <c r="E664" s="86"/>
      <c r="F664" s="90"/>
      <c r="G664" s="91"/>
      <c r="H664" s="86"/>
      <c r="I664" s="86"/>
      <c r="J664" s="86"/>
      <c r="K664" s="86"/>
      <c r="L664" s="86"/>
      <c r="M664" s="86"/>
      <c r="N664" s="90"/>
      <c r="O664" s="90"/>
      <c r="P664" s="90"/>
      <c r="Q664" s="106"/>
      <c r="R664" s="95"/>
      <c r="S664" s="96"/>
      <c r="T664" s="85"/>
      <c r="U664" s="97"/>
      <c r="V664" s="85" t="str">
        <f t="array" ref="V664">IFERROR(index('3. Công thức lab theo từng mã h'!J:J,MATCH(C664,'3. Công thức lab theo từng mã h'!L:L,0)),"")</f>
        <v/>
      </c>
      <c r="W664" s="85"/>
      <c r="X664" s="75"/>
    </row>
    <row r="665">
      <c r="A665" s="64">
        <f t="shared" si="2"/>
        <v>0</v>
      </c>
      <c r="B665" s="98"/>
      <c r="C665" s="64"/>
      <c r="D665" s="16"/>
      <c r="E665" s="16"/>
      <c r="F665" s="100"/>
      <c r="G665" s="101"/>
      <c r="H665" s="16"/>
      <c r="I665" s="16"/>
      <c r="J665" s="16"/>
      <c r="K665" s="16"/>
      <c r="L665" s="16"/>
      <c r="M665" s="16"/>
      <c r="N665" s="100"/>
      <c r="O665" s="100"/>
      <c r="P665" s="100"/>
      <c r="Q665" s="106"/>
      <c r="R665" s="107"/>
      <c r="S665" s="104"/>
      <c r="T665" s="74"/>
      <c r="U665" s="108"/>
      <c r="V665" s="74" t="str">
        <f t="array" ref="V665">IFERROR(index('3. Công thức lab theo từng mã h'!J:J,MATCH(C665,'3. Công thức lab theo từng mã h'!L:L,0)),"")</f>
        <v/>
      </c>
      <c r="W665" s="74"/>
      <c r="X665" s="75"/>
    </row>
    <row r="666">
      <c r="A666" s="76">
        <f t="shared" si="2"/>
        <v>0</v>
      </c>
      <c r="B666" s="88"/>
      <c r="C666" s="76"/>
      <c r="D666" s="86"/>
      <c r="E666" s="86"/>
      <c r="F666" s="90"/>
      <c r="G666" s="91"/>
      <c r="H666" s="86"/>
      <c r="I666" s="86"/>
      <c r="J666" s="86"/>
      <c r="K666" s="86"/>
      <c r="L666" s="86"/>
      <c r="M666" s="86"/>
      <c r="N666" s="90"/>
      <c r="O666" s="90"/>
      <c r="P666" s="90"/>
      <c r="Q666" s="106"/>
      <c r="R666" s="95"/>
      <c r="S666" s="96"/>
      <c r="T666" s="85"/>
      <c r="U666" s="97"/>
      <c r="V666" s="85" t="str">
        <f t="array" ref="V666">IFERROR(index('3. Công thức lab theo từng mã h'!J:J,MATCH(C666,'3. Công thức lab theo từng mã h'!L:L,0)),"")</f>
        <v/>
      </c>
      <c r="W666" s="85"/>
      <c r="X666" s="75"/>
    </row>
    <row r="667">
      <c r="A667" s="64">
        <f t="shared" si="2"/>
        <v>0</v>
      </c>
      <c r="B667" s="98"/>
      <c r="C667" s="64"/>
      <c r="D667" s="16"/>
      <c r="E667" s="16"/>
      <c r="F667" s="100"/>
      <c r="G667" s="101"/>
      <c r="H667" s="16"/>
      <c r="I667" s="16"/>
      <c r="J667" s="16"/>
      <c r="K667" s="16"/>
      <c r="L667" s="16"/>
      <c r="M667" s="16"/>
      <c r="N667" s="100"/>
      <c r="O667" s="100"/>
      <c r="P667" s="100"/>
      <c r="Q667" s="106"/>
      <c r="R667" s="107"/>
      <c r="S667" s="104"/>
      <c r="T667" s="74"/>
      <c r="U667" s="108"/>
      <c r="V667" s="74" t="str">
        <f t="array" ref="V667">IFERROR(index('3. Công thức lab theo từng mã h'!J:J,MATCH(C667,'3. Công thức lab theo từng mã h'!L:L,0)),"")</f>
        <v/>
      </c>
      <c r="W667" s="74"/>
      <c r="X667" s="75"/>
    </row>
    <row r="668">
      <c r="A668" s="76">
        <f t="shared" si="2"/>
        <v>0</v>
      </c>
      <c r="B668" s="88"/>
      <c r="C668" s="76"/>
      <c r="D668" s="86"/>
      <c r="E668" s="86"/>
      <c r="F668" s="90"/>
      <c r="G668" s="91"/>
      <c r="H668" s="86"/>
      <c r="I668" s="86"/>
      <c r="J668" s="86"/>
      <c r="K668" s="86"/>
      <c r="L668" s="86"/>
      <c r="M668" s="86"/>
      <c r="N668" s="90"/>
      <c r="O668" s="90"/>
      <c r="P668" s="90"/>
      <c r="Q668" s="106"/>
      <c r="R668" s="95"/>
      <c r="S668" s="96"/>
      <c r="T668" s="85"/>
      <c r="U668" s="97"/>
      <c r="V668" s="85" t="str">
        <f t="array" ref="V668">IFERROR(index('3. Công thức lab theo từng mã h'!J:J,MATCH(C668,'3. Công thức lab theo từng mã h'!L:L,0)),"")</f>
        <v/>
      </c>
      <c r="W668" s="85"/>
      <c r="X668" s="75"/>
    </row>
    <row r="669">
      <c r="A669" s="64">
        <f t="shared" si="2"/>
        <v>0</v>
      </c>
      <c r="B669" s="98"/>
      <c r="C669" s="64"/>
      <c r="D669" s="16"/>
      <c r="E669" s="16"/>
      <c r="F669" s="100"/>
      <c r="G669" s="101"/>
      <c r="H669" s="16"/>
      <c r="I669" s="16"/>
      <c r="J669" s="16"/>
      <c r="K669" s="16"/>
      <c r="L669" s="16"/>
      <c r="M669" s="16"/>
      <c r="N669" s="100"/>
      <c r="O669" s="100"/>
      <c r="P669" s="100"/>
      <c r="Q669" s="106"/>
      <c r="R669" s="107"/>
      <c r="S669" s="104"/>
      <c r="T669" s="74"/>
      <c r="U669" s="108"/>
      <c r="V669" s="74" t="str">
        <f t="array" ref="V669">IFERROR(index('3. Công thức lab theo từng mã h'!J:J,MATCH(C669,'3. Công thức lab theo từng mã h'!L:L,0)),"")</f>
        <v/>
      </c>
      <c r="W669" s="74"/>
      <c r="X669" s="75"/>
    </row>
    <row r="670">
      <c r="A670" s="76">
        <f t="shared" si="2"/>
        <v>0</v>
      </c>
      <c r="B670" s="88"/>
      <c r="C670" s="76"/>
      <c r="D670" s="86"/>
      <c r="E670" s="86"/>
      <c r="F670" s="90"/>
      <c r="G670" s="91"/>
      <c r="H670" s="86"/>
      <c r="I670" s="86"/>
      <c r="J670" s="86"/>
      <c r="K670" s="86"/>
      <c r="L670" s="86"/>
      <c r="M670" s="86"/>
      <c r="N670" s="90"/>
      <c r="O670" s="90"/>
      <c r="P670" s="90"/>
      <c r="Q670" s="106"/>
      <c r="R670" s="95"/>
      <c r="S670" s="96"/>
      <c r="T670" s="85"/>
      <c r="U670" s="97"/>
      <c r="V670" s="85" t="str">
        <f t="array" ref="V670">IFERROR(index('3. Công thức lab theo từng mã h'!J:J,MATCH(C670,'3. Công thức lab theo từng mã h'!L:L,0)),"")</f>
        <v/>
      </c>
      <c r="W670" s="85"/>
      <c r="X670" s="75"/>
    </row>
    <row r="671">
      <c r="A671" s="64">
        <f t="shared" si="2"/>
        <v>0</v>
      </c>
      <c r="B671" s="98"/>
      <c r="C671" s="64"/>
      <c r="D671" s="16"/>
      <c r="E671" s="16"/>
      <c r="F671" s="100"/>
      <c r="G671" s="101"/>
      <c r="H671" s="16"/>
      <c r="I671" s="16"/>
      <c r="J671" s="16"/>
      <c r="K671" s="16"/>
      <c r="L671" s="16"/>
      <c r="M671" s="16"/>
      <c r="N671" s="100"/>
      <c r="O671" s="100"/>
      <c r="P671" s="100"/>
      <c r="Q671" s="106"/>
      <c r="R671" s="107"/>
      <c r="S671" s="104"/>
      <c r="T671" s="74"/>
      <c r="U671" s="108"/>
      <c r="V671" s="74" t="str">
        <f t="array" ref="V671">IFERROR(index('3. Công thức lab theo từng mã h'!J:J,MATCH(C671,'3. Công thức lab theo từng mã h'!L:L,0)),"")</f>
        <v/>
      </c>
      <c r="W671" s="74"/>
      <c r="X671" s="75"/>
    </row>
    <row r="672">
      <c r="A672" s="76">
        <f t="shared" si="2"/>
        <v>0</v>
      </c>
      <c r="B672" s="88"/>
      <c r="C672" s="76"/>
      <c r="D672" s="86"/>
      <c r="E672" s="86"/>
      <c r="F672" s="90"/>
      <c r="G672" s="91"/>
      <c r="H672" s="86"/>
      <c r="I672" s="86"/>
      <c r="J672" s="86"/>
      <c r="K672" s="86"/>
      <c r="L672" s="86"/>
      <c r="M672" s="86"/>
      <c r="N672" s="90"/>
      <c r="O672" s="90"/>
      <c r="P672" s="90"/>
      <c r="Q672" s="106"/>
      <c r="R672" s="95"/>
      <c r="S672" s="96"/>
      <c r="T672" s="85"/>
      <c r="U672" s="97"/>
      <c r="V672" s="85" t="str">
        <f t="array" ref="V672">IFERROR(index('3. Công thức lab theo từng mã h'!J:J,MATCH(C672,'3. Công thức lab theo từng mã h'!L:L,0)),"")</f>
        <v/>
      </c>
      <c r="W672" s="85"/>
      <c r="X672" s="75"/>
    </row>
    <row r="673">
      <c r="A673" s="64">
        <f t="shared" si="2"/>
        <v>0</v>
      </c>
      <c r="B673" s="98"/>
      <c r="C673" s="64"/>
      <c r="D673" s="16"/>
      <c r="E673" s="16"/>
      <c r="F673" s="100"/>
      <c r="G673" s="101"/>
      <c r="H673" s="16"/>
      <c r="I673" s="16"/>
      <c r="J673" s="16"/>
      <c r="K673" s="16"/>
      <c r="L673" s="16"/>
      <c r="M673" s="16"/>
      <c r="N673" s="100"/>
      <c r="O673" s="100"/>
      <c r="P673" s="100"/>
      <c r="Q673" s="106"/>
      <c r="R673" s="107"/>
      <c r="S673" s="104"/>
      <c r="T673" s="74"/>
      <c r="U673" s="108"/>
      <c r="V673" s="74" t="str">
        <f t="array" ref="V673">IFERROR(index('3. Công thức lab theo từng mã h'!J:J,MATCH(C673,'3. Công thức lab theo từng mã h'!L:L,0)),"")</f>
        <v/>
      </c>
      <c r="W673" s="74"/>
      <c r="X673" s="75"/>
    </row>
    <row r="674">
      <c r="A674" s="76">
        <f t="shared" si="2"/>
        <v>0</v>
      </c>
      <c r="B674" s="88"/>
      <c r="C674" s="76"/>
      <c r="D674" s="86"/>
      <c r="E674" s="86"/>
      <c r="F674" s="90"/>
      <c r="G674" s="91"/>
      <c r="H674" s="86"/>
      <c r="I674" s="86"/>
      <c r="J674" s="86"/>
      <c r="K674" s="86"/>
      <c r="L674" s="86"/>
      <c r="M674" s="86"/>
      <c r="N674" s="90"/>
      <c r="O674" s="90"/>
      <c r="P674" s="90"/>
      <c r="Q674" s="106"/>
      <c r="R674" s="95"/>
      <c r="S674" s="96"/>
      <c r="T674" s="85"/>
      <c r="U674" s="97"/>
      <c r="V674" s="85" t="str">
        <f t="array" ref="V674">IFERROR(index('3. Công thức lab theo từng mã h'!J:J,MATCH(C674,'3. Công thức lab theo từng mã h'!L:L,0)),"")</f>
        <v/>
      </c>
      <c r="W674" s="85"/>
      <c r="X674" s="75"/>
    </row>
    <row r="675">
      <c r="A675" s="64">
        <f t="shared" si="2"/>
        <v>0</v>
      </c>
      <c r="B675" s="98"/>
      <c r="C675" s="64"/>
      <c r="D675" s="16"/>
      <c r="E675" s="16"/>
      <c r="F675" s="100"/>
      <c r="G675" s="101"/>
      <c r="H675" s="16"/>
      <c r="I675" s="16"/>
      <c r="J675" s="16"/>
      <c r="K675" s="16"/>
      <c r="L675" s="16"/>
      <c r="M675" s="16"/>
      <c r="N675" s="100"/>
      <c r="O675" s="100"/>
      <c r="P675" s="100"/>
      <c r="Q675" s="106"/>
      <c r="R675" s="107"/>
      <c r="S675" s="104"/>
      <c r="T675" s="74"/>
      <c r="U675" s="108"/>
      <c r="V675" s="74" t="str">
        <f t="array" ref="V675">IFERROR(index('3. Công thức lab theo từng mã h'!J:J,MATCH(C675,'3. Công thức lab theo từng mã h'!L:L,0)),"")</f>
        <v/>
      </c>
      <c r="W675" s="74"/>
      <c r="X675" s="75"/>
    </row>
    <row r="676">
      <c r="A676" s="76">
        <f t="shared" si="2"/>
        <v>0</v>
      </c>
      <c r="B676" s="88"/>
      <c r="C676" s="76"/>
      <c r="D676" s="86"/>
      <c r="E676" s="86"/>
      <c r="F676" s="90"/>
      <c r="G676" s="91"/>
      <c r="H676" s="86"/>
      <c r="I676" s="86"/>
      <c r="J676" s="86"/>
      <c r="K676" s="86"/>
      <c r="L676" s="86"/>
      <c r="M676" s="86"/>
      <c r="N676" s="90"/>
      <c r="O676" s="90"/>
      <c r="P676" s="90"/>
      <c r="Q676" s="106"/>
      <c r="R676" s="95"/>
      <c r="S676" s="96"/>
      <c r="T676" s="85"/>
      <c r="U676" s="97"/>
      <c r="V676" s="85" t="str">
        <f t="array" ref="V676">IFERROR(index('3. Công thức lab theo từng mã h'!J:J,MATCH(C676,'3. Công thức lab theo từng mã h'!L:L,0)),"")</f>
        <v/>
      </c>
      <c r="W676" s="85"/>
      <c r="X676" s="75"/>
    </row>
    <row r="677">
      <c r="A677" s="64">
        <f t="shared" si="2"/>
        <v>0</v>
      </c>
      <c r="B677" s="98"/>
      <c r="C677" s="64"/>
      <c r="D677" s="16"/>
      <c r="E677" s="16"/>
      <c r="F677" s="100"/>
      <c r="G677" s="101"/>
      <c r="H677" s="16"/>
      <c r="I677" s="16"/>
      <c r="J677" s="16"/>
      <c r="K677" s="16"/>
      <c r="L677" s="16"/>
      <c r="M677" s="16"/>
      <c r="N677" s="100"/>
      <c r="O677" s="100"/>
      <c r="P677" s="100"/>
      <c r="Q677" s="106"/>
      <c r="R677" s="107"/>
      <c r="S677" s="104"/>
      <c r="T677" s="74"/>
      <c r="U677" s="108"/>
      <c r="V677" s="74" t="str">
        <f t="array" ref="V677">IFERROR(index('3. Công thức lab theo từng mã h'!J:J,MATCH(C677,'3. Công thức lab theo từng mã h'!L:L,0)),"")</f>
        <v/>
      </c>
      <c r="W677" s="74"/>
      <c r="X677" s="75"/>
    </row>
    <row r="678">
      <c r="A678" s="76">
        <f t="shared" si="2"/>
        <v>0</v>
      </c>
      <c r="B678" s="88"/>
      <c r="C678" s="76"/>
      <c r="D678" s="86"/>
      <c r="E678" s="86"/>
      <c r="F678" s="90"/>
      <c r="G678" s="91"/>
      <c r="H678" s="86"/>
      <c r="I678" s="86"/>
      <c r="J678" s="86"/>
      <c r="K678" s="86"/>
      <c r="L678" s="86"/>
      <c r="M678" s="86"/>
      <c r="N678" s="90"/>
      <c r="O678" s="90"/>
      <c r="P678" s="90"/>
      <c r="Q678" s="106"/>
      <c r="R678" s="95"/>
      <c r="S678" s="96"/>
      <c r="T678" s="85"/>
      <c r="U678" s="97"/>
      <c r="V678" s="85" t="str">
        <f t="array" ref="V678">IFERROR(index('3. Công thức lab theo từng mã h'!J:J,MATCH(C678,'3. Công thức lab theo từng mã h'!L:L,0)),"")</f>
        <v/>
      </c>
      <c r="W678" s="85"/>
      <c r="X678" s="75"/>
    </row>
    <row r="679">
      <c r="A679" s="64">
        <f t="shared" si="2"/>
        <v>0</v>
      </c>
      <c r="B679" s="98"/>
      <c r="C679" s="64"/>
      <c r="D679" s="16"/>
      <c r="E679" s="16"/>
      <c r="F679" s="100"/>
      <c r="G679" s="101"/>
      <c r="H679" s="16"/>
      <c r="I679" s="16"/>
      <c r="J679" s="16"/>
      <c r="K679" s="16"/>
      <c r="L679" s="16"/>
      <c r="M679" s="16"/>
      <c r="N679" s="100"/>
      <c r="O679" s="100"/>
      <c r="P679" s="100"/>
      <c r="Q679" s="106"/>
      <c r="R679" s="107"/>
      <c r="S679" s="104"/>
      <c r="T679" s="74"/>
      <c r="U679" s="108"/>
      <c r="V679" s="74" t="str">
        <f t="array" ref="V679">IFERROR(index('3. Công thức lab theo từng mã h'!J:J,MATCH(C679,'3. Công thức lab theo từng mã h'!L:L,0)),"")</f>
        <v/>
      </c>
      <c r="W679" s="74"/>
      <c r="X679" s="75"/>
    </row>
    <row r="680">
      <c r="A680" s="76">
        <f t="shared" si="2"/>
        <v>0</v>
      </c>
      <c r="B680" s="88"/>
      <c r="C680" s="76"/>
      <c r="D680" s="86"/>
      <c r="E680" s="86"/>
      <c r="F680" s="90"/>
      <c r="G680" s="91"/>
      <c r="H680" s="86"/>
      <c r="I680" s="86"/>
      <c r="J680" s="86"/>
      <c r="K680" s="86"/>
      <c r="L680" s="86"/>
      <c r="M680" s="86"/>
      <c r="N680" s="90"/>
      <c r="O680" s="90"/>
      <c r="P680" s="90"/>
      <c r="Q680" s="106"/>
      <c r="R680" s="95"/>
      <c r="S680" s="96"/>
      <c r="T680" s="85"/>
      <c r="U680" s="97"/>
      <c r="V680" s="85" t="str">
        <f t="array" ref="V680">IFERROR(index('3. Công thức lab theo từng mã h'!J:J,MATCH(C680,'3. Công thức lab theo từng mã h'!L:L,0)),"")</f>
        <v/>
      </c>
      <c r="W680" s="85"/>
      <c r="X680" s="75"/>
    </row>
    <row r="681">
      <c r="A681" s="64">
        <f t="shared" si="2"/>
        <v>0</v>
      </c>
      <c r="B681" s="98"/>
      <c r="C681" s="64"/>
      <c r="D681" s="16"/>
      <c r="E681" s="16"/>
      <c r="F681" s="100"/>
      <c r="G681" s="101"/>
      <c r="H681" s="16"/>
      <c r="I681" s="16"/>
      <c r="J681" s="16"/>
      <c r="K681" s="16"/>
      <c r="L681" s="16"/>
      <c r="M681" s="16"/>
      <c r="N681" s="100"/>
      <c r="O681" s="100"/>
      <c r="P681" s="100"/>
      <c r="Q681" s="106"/>
      <c r="R681" s="107"/>
      <c r="S681" s="104"/>
      <c r="T681" s="74"/>
      <c r="U681" s="108"/>
      <c r="V681" s="74" t="str">
        <f t="array" ref="V681">IFERROR(index('3. Công thức lab theo từng mã h'!J:J,MATCH(C681,'3. Công thức lab theo từng mã h'!L:L,0)),"")</f>
        <v/>
      </c>
      <c r="W681" s="74"/>
      <c r="X681" s="75"/>
    </row>
    <row r="682">
      <c r="A682" s="76">
        <f t="shared" si="2"/>
        <v>0</v>
      </c>
      <c r="B682" s="88"/>
      <c r="C682" s="76"/>
      <c r="D682" s="86"/>
      <c r="E682" s="86"/>
      <c r="F682" s="90"/>
      <c r="G682" s="91"/>
      <c r="H682" s="86"/>
      <c r="I682" s="86"/>
      <c r="J682" s="86"/>
      <c r="K682" s="86"/>
      <c r="L682" s="86"/>
      <c r="M682" s="86"/>
      <c r="N682" s="90"/>
      <c r="O682" s="90"/>
      <c r="P682" s="90"/>
      <c r="Q682" s="106"/>
      <c r="R682" s="95"/>
      <c r="S682" s="96"/>
      <c r="T682" s="85"/>
      <c r="U682" s="97"/>
      <c r="V682" s="85" t="str">
        <f t="array" ref="V682">IFERROR(index('3. Công thức lab theo từng mã h'!J:J,MATCH(C682,'3. Công thức lab theo từng mã h'!L:L,0)),"")</f>
        <v/>
      </c>
      <c r="W682" s="85"/>
      <c r="X682" s="75"/>
    </row>
    <row r="683">
      <c r="A683" s="64">
        <f t="shared" si="2"/>
        <v>0</v>
      </c>
      <c r="B683" s="98"/>
      <c r="C683" s="64"/>
      <c r="D683" s="16"/>
      <c r="E683" s="16"/>
      <c r="F683" s="100"/>
      <c r="G683" s="101"/>
      <c r="H683" s="16"/>
      <c r="I683" s="16"/>
      <c r="J683" s="16"/>
      <c r="K683" s="16"/>
      <c r="L683" s="16"/>
      <c r="M683" s="16"/>
      <c r="N683" s="100"/>
      <c r="O683" s="100"/>
      <c r="P683" s="100"/>
      <c r="Q683" s="106"/>
      <c r="R683" s="107"/>
      <c r="S683" s="104"/>
      <c r="T683" s="74"/>
      <c r="U683" s="108"/>
      <c r="V683" s="74" t="str">
        <f t="array" ref="V683">IFERROR(index('3. Công thức lab theo từng mã h'!J:J,MATCH(C683,'3. Công thức lab theo từng mã h'!L:L,0)),"")</f>
        <v/>
      </c>
      <c r="W683" s="74"/>
      <c r="X683" s="75"/>
    </row>
    <row r="684">
      <c r="A684" s="76">
        <f t="shared" si="2"/>
        <v>0</v>
      </c>
      <c r="B684" s="88"/>
      <c r="C684" s="76"/>
      <c r="D684" s="86"/>
      <c r="E684" s="86"/>
      <c r="F684" s="90"/>
      <c r="G684" s="91"/>
      <c r="H684" s="86"/>
      <c r="I684" s="86"/>
      <c r="J684" s="86"/>
      <c r="K684" s="86"/>
      <c r="L684" s="86"/>
      <c r="M684" s="86"/>
      <c r="N684" s="90"/>
      <c r="O684" s="90"/>
      <c r="P684" s="90"/>
      <c r="Q684" s="106"/>
      <c r="R684" s="95"/>
      <c r="S684" s="96"/>
      <c r="T684" s="85"/>
      <c r="U684" s="97"/>
      <c r="V684" s="85" t="str">
        <f t="array" ref="V684">IFERROR(index('3. Công thức lab theo từng mã h'!J:J,MATCH(C684,'3. Công thức lab theo từng mã h'!L:L,0)),"")</f>
        <v/>
      </c>
      <c r="W684" s="85"/>
      <c r="X684" s="75"/>
    </row>
    <row r="685">
      <c r="A685" s="64">
        <f t="shared" si="2"/>
        <v>0</v>
      </c>
      <c r="B685" s="98"/>
      <c r="C685" s="64"/>
      <c r="D685" s="16"/>
      <c r="E685" s="16"/>
      <c r="F685" s="100"/>
      <c r="G685" s="101"/>
      <c r="H685" s="16"/>
      <c r="I685" s="16"/>
      <c r="J685" s="16"/>
      <c r="K685" s="16"/>
      <c r="L685" s="16"/>
      <c r="M685" s="16"/>
      <c r="N685" s="100"/>
      <c r="O685" s="100"/>
      <c r="P685" s="100"/>
      <c r="Q685" s="106"/>
      <c r="R685" s="107"/>
      <c r="S685" s="104"/>
      <c r="T685" s="74"/>
      <c r="U685" s="108"/>
      <c r="V685" s="74" t="str">
        <f t="array" ref="V685">IFERROR(index('3. Công thức lab theo từng mã h'!J:J,MATCH(C685,'3. Công thức lab theo từng mã h'!L:L,0)),"")</f>
        <v/>
      </c>
      <c r="W685" s="74"/>
      <c r="X685" s="75"/>
    </row>
    <row r="686">
      <c r="A686" s="76">
        <f t="shared" si="2"/>
        <v>0</v>
      </c>
      <c r="B686" s="88"/>
      <c r="C686" s="76"/>
      <c r="D686" s="86"/>
      <c r="E686" s="86"/>
      <c r="F686" s="90"/>
      <c r="G686" s="91"/>
      <c r="H686" s="86"/>
      <c r="I686" s="86"/>
      <c r="J686" s="86"/>
      <c r="K686" s="86"/>
      <c r="L686" s="86"/>
      <c r="M686" s="86"/>
      <c r="N686" s="90"/>
      <c r="O686" s="90"/>
      <c r="P686" s="90"/>
      <c r="Q686" s="106"/>
      <c r="R686" s="95"/>
      <c r="S686" s="96"/>
      <c r="T686" s="85"/>
      <c r="U686" s="97"/>
      <c r="V686" s="85" t="str">
        <f t="array" ref="V686">IFERROR(index('3. Công thức lab theo từng mã h'!J:J,MATCH(C686,'3. Công thức lab theo từng mã h'!L:L,0)),"")</f>
        <v/>
      </c>
      <c r="W686" s="85"/>
      <c r="X686" s="75"/>
    </row>
    <row r="687">
      <c r="A687" s="64">
        <f t="shared" si="2"/>
        <v>0</v>
      </c>
      <c r="B687" s="98"/>
      <c r="C687" s="64"/>
      <c r="D687" s="16"/>
      <c r="E687" s="16"/>
      <c r="F687" s="100"/>
      <c r="G687" s="101"/>
      <c r="H687" s="16"/>
      <c r="I687" s="16"/>
      <c r="J687" s="16"/>
      <c r="K687" s="16"/>
      <c r="L687" s="16"/>
      <c r="M687" s="16"/>
      <c r="N687" s="100"/>
      <c r="O687" s="100"/>
      <c r="P687" s="100"/>
      <c r="Q687" s="106"/>
      <c r="R687" s="107"/>
      <c r="S687" s="104"/>
      <c r="T687" s="74"/>
      <c r="U687" s="108"/>
      <c r="V687" s="74" t="str">
        <f t="array" ref="V687">IFERROR(index('3. Công thức lab theo từng mã h'!J:J,MATCH(C687,'3. Công thức lab theo từng mã h'!L:L,0)),"")</f>
        <v/>
      </c>
      <c r="W687" s="74"/>
      <c r="X687" s="75"/>
    </row>
    <row r="688">
      <c r="A688" s="76">
        <f t="shared" si="2"/>
        <v>0</v>
      </c>
      <c r="B688" s="88"/>
      <c r="C688" s="76"/>
      <c r="D688" s="86"/>
      <c r="E688" s="86"/>
      <c r="F688" s="90"/>
      <c r="G688" s="91"/>
      <c r="H688" s="86"/>
      <c r="I688" s="86"/>
      <c r="J688" s="86"/>
      <c r="K688" s="86"/>
      <c r="L688" s="86"/>
      <c r="M688" s="86"/>
      <c r="N688" s="90"/>
      <c r="O688" s="90"/>
      <c r="P688" s="90"/>
      <c r="Q688" s="106"/>
      <c r="R688" s="95"/>
      <c r="S688" s="96"/>
      <c r="T688" s="85"/>
      <c r="U688" s="97"/>
      <c r="V688" s="85" t="str">
        <f t="array" ref="V688">IFERROR(index('3. Công thức lab theo từng mã h'!J:J,MATCH(C688,'3. Công thức lab theo từng mã h'!L:L,0)),"")</f>
        <v/>
      </c>
      <c r="W688" s="85"/>
      <c r="X688" s="75"/>
    </row>
    <row r="689">
      <c r="A689" s="64">
        <f t="shared" si="2"/>
        <v>0</v>
      </c>
      <c r="B689" s="98"/>
      <c r="C689" s="64"/>
      <c r="D689" s="16"/>
      <c r="E689" s="16"/>
      <c r="F689" s="100"/>
      <c r="G689" s="101"/>
      <c r="H689" s="16"/>
      <c r="I689" s="16"/>
      <c r="J689" s="16"/>
      <c r="K689" s="16"/>
      <c r="L689" s="16"/>
      <c r="M689" s="16"/>
      <c r="N689" s="100"/>
      <c r="O689" s="100"/>
      <c r="P689" s="100"/>
      <c r="Q689" s="106"/>
      <c r="R689" s="107"/>
      <c r="S689" s="104"/>
      <c r="T689" s="74"/>
      <c r="U689" s="108"/>
      <c r="V689" s="74" t="str">
        <f t="array" ref="V689">IFERROR(index('3. Công thức lab theo từng mã h'!J:J,MATCH(C689,'3. Công thức lab theo từng mã h'!L:L,0)),"")</f>
        <v/>
      </c>
      <c r="W689" s="74"/>
      <c r="X689" s="75"/>
    </row>
    <row r="690">
      <c r="A690" s="76">
        <f t="shared" si="2"/>
        <v>0</v>
      </c>
      <c r="B690" s="88"/>
      <c r="C690" s="76"/>
      <c r="D690" s="86"/>
      <c r="E690" s="86"/>
      <c r="F690" s="90"/>
      <c r="G690" s="91"/>
      <c r="H690" s="86"/>
      <c r="I690" s="86"/>
      <c r="J690" s="86"/>
      <c r="K690" s="86"/>
      <c r="L690" s="86"/>
      <c r="M690" s="86"/>
      <c r="N690" s="90"/>
      <c r="O690" s="90"/>
      <c r="P690" s="90"/>
      <c r="Q690" s="106"/>
      <c r="R690" s="95"/>
      <c r="S690" s="96"/>
      <c r="T690" s="85"/>
      <c r="U690" s="97"/>
      <c r="V690" s="85" t="str">
        <f t="array" ref="V690">IFERROR(index('3. Công thức lab theo từng mã h'!J:J,MATCH(C690,'3. Công thức lab theo từng mã h'!L:L,0)),"")</f>
        <v/>
      </c>
      <c r="W690" s="85"/>
      <c r="X690" s="75"/>
    </row>
    <row r="691">
      <c r="A691" s="64">
        <f t="shared" si="2"/>
        <v>0</v>
      </c>
      <c r="B691" s="98"/>
      <c r="C691" s="64"/>
      <c r="D691" s="16"/>
      <c r="E691" s="16"/>
      <c r="F691" s="100"/>
      <c r="G691" s="101"/>
      <c r="H691" s="16"/>
      <c r="I691" s="16"/>
      <c r="J691" s="16"/>
      <c r="K691" s="16"/>
      <c r="L691" s="16"/>
      <c r="M691" s="16"/>
      <c r="N691" s="100"/>
      <c r="O691" s="100"/>
      <c r="P691" s="100"/>
      <c r="Q691" s="106"/>
      <c r="R691" s="107"/>
      <c r="S691" s="104"/>
      <c r="T691" s="74"/>
      <c r="U691" s="108"/>
      <c r="V691" s="74" t="str">
        <f t="array" ref="V691">IFERROR(index('3. Công thức lab theo từng mã h'!J:J,MATCH(C691,'3. Công thức lab theo từng mã h'!L:L,0)),"")</f>
        <v/>
      </c>
      <c r="W691" s="74"/>
      <c r="X691" s="75"/>
    </row>
    <row r="692">
      <c r="A692" s="76">
        <f t="shared" si="2"/>
        <v>0</v>
      </c>
      <c r="B692" s="88"/>
      <c r="C692" s="76"/>
      <c r="D692" s="86"/>
      <c r="E692" s="86"/>
      <c r="F692" s="90"/>
      <c r="G692" s="91"/>
      <c r="H692" s="86"/>
      <c r="I692" s="86"/>
      <c r="J692" s="86"/>
      <c r="K692" s="86"/>
      <c r="L692" s="86"/>
      <c r="M692" s="86"/>
      <c r="N692" s="90"/>
      <c r="O692" s="90"/>
      <c r="P692" s="90"/>
      <c r="Q692" s="106"/>
      <c r="R692" s="95"/>
      <c r="S692" s="96"/>
      <c r="T692" s="85"/>
      <c r="U692" s="97"/>
      <c r="V692" s="85" t="str">
        <f t="array" ref="V692">IFERROR(index('3. Công thức lab theo từng mã h'!J:J,MATCH(C692,'3. Công thức lab theo từng mã h'!L:L,0)),"")</f>
        <v/>
      </c>
      <c r="W692" s="85"/>
      <c r="X692" s="75"/>
    </row>
    <row r="693">
      <c r="A693" s="64">
        <f t="shared" si="2"/>
        <v>0</v>
      </c>
      <c r="B693" s="98"/>
      <c r="C693" s="64"/>
      <c r="D693" s="16"/>
      <c r="E693" s="16"/>
      <c r="F693" s="100"/>
      <c r="G693" s="101"/>
      <c r="H693" s="16"/>
      <c r="I693" s="16"/>
      <c r="J693" s="16"/>
      <c r="K693" s="16"/>
      <c r="L693" s="16"/>
      <c r="M693" s="16"/>
      <c r="N693" s="100"/>
      <c r="O693" s="100"/>
      <c r="P693" s="100"/>
      <c r="Q693" s="106"/>
      <c r="R693" s="107"/>
      <c r="S693" s="104"/>
      <c r="T693" s="74"/>
      <c r="U693" s="108"/>
      <c r="V693" s="74" t="str">
        <f t="array" ref="V693">IFERROR(index('3. Công thức lab theo từng mã h'!J:J,MATCH(C693,'3. Công thức lab theo từng mã h'!L:L,0)),"")</f>
        <v/>
      </c>
      <c r="W693" s="74"/>
      <c r="X693" s="75"/>
    </row>
    <row r="694">
      <c r="A694" s="76">
        <f t="shared" si="2"/>
        <v>0</v>
      </c>
      <c r="B694" s="88"/>
      <c r="C694" s="76"/>
      <c r="D694" s="86"/>
      <c r="E694" s="86"/>
      <c r="F694" s="90"/>
      <c r="G694" s="91"/>
      <c r="H694" s="86"/>
      <c r="I694" s="86"/>
      <c r="J694" s="86"/>
      <c r="K694" s="86"/>
      <c r="L694" s="86"/>
      <c r="M694" s="86"/>
      <c r="N694" s="90"/>
      <c r="O694" s="90"/>
      <c r="P694" s="90"/>
      <c r="Q694" s="106"/>
      <c r="R694" s="95"/>
      <c r="S694" s="96"/>
      <c r="T694" s="85"/>
      <c r="U694" s="97"/>
      <c r="V694" s="85" t="str">
        <f t="array" ref="V694">IFERROR(index('3. Công thức lab theo từng mã h'!J:J,MATCH(C694,'3. Công thức lab theo từng mã h'!L:L,0)),"")</f>
        <v/>
      </c>
      <c r="W694" s="85"/>
      <c r="X694" s="75"/>
    </row>
    <row r="695">
      <c r="A695" s="64">
        <f t="shared" si="2"/>
        <v>0</v>
      </c>
      <c r="B695" s="98"/>
      <c r="C695" s="64"/>
      <c r="D695" s="16"/>
      <c r="E695" s="16"/>
      <c r="F695" s="100"/>
      <c r="G695" s="101"/>
      <c r="H695" s="16"/>
      <c r="I695" s="16"/>
      <c r="J695" s="16"/>
      <c r="K695" s="16"/>
      <c r="L695" s="16"/>
      <c r="M695" s="16"/>
      <c r="N695" s="100"/>
      <c r="O695" s="100"/>
      <c r="P695" s="100"/>
      <c r="Q695" s="106"/>
      <c r="R695" s="107"/>
      <c r="S695" s="104"/>
      <c r="T695" s="74"/>
      <c r="U695" s="108"/>
      <c r="V695" s="74" t="str">
        <f t="array" ref="V695">IFERROR(index('3. Công thức lab theo từng mã h'!J:J,MATCH(C695,'3. Công thức lab theo từng mã h'!L:L,0)),"")</f>
        <v/>
      </c>
      <c r="W695" s="74"/>
      <c r="X695" s="75"/>
    </row>
    <row r="696">
      <c r="A696" s="76">
        <f t="shared" si="2"/>
        <v>0</v>
      </c>
      <c r="B696" s="88"/>
      <c r="C696" s="76"/>
      <c r="D696" s="86"/>
      <c r="E696" s="86"/>
      <c r="F696" s="90"/>
      <c r="G696" s="91"/>
      <c r="H696" s="86"/>
      <c r="I696" s="86"/>
      <c r="J696" s="86"/>
      <c r="K696" s="86"/>
      <c r="L696" s="86"/>
      <c r="M696" s="86"/>
      <c r="N696" s="90"/>
      <c r="O696" s="90"/>
      <c r="P696" s="90"/>
      <c r="Q696" s="106"/>
      <c r="R696" s="95"/>
      <c r="S696" s="96"/>
      <c r="T696" s="85"/>
      <c r="U696" s="97"/>
      <c r="V696" s="85" t="str">
        <f t="array" ref="V696">IFERROR(index('3. Công thức lab theo từng mã h'!J:J,MATCH(C696,'3. Công thức lab theo từng mã h'!L:L,0)),"")</f>
        <v/>
      </c>
      <c r="W696" s="85"/>
      <c r="X696" s="75"/>
    </row>
    <row r="697">
      <c r="A697" s="64">
        <f t="shared" si="2"/>
        <v>0</v>
      </c>
      <c r="B697" s="98"/>
      <c r="C697" s="64"/>
      <c r="D697" s="16"/>
      <c r="E697" s="16"/>
      <c r="F697" s="100"/>
      <c r="G697" s="101"/>
      <c r="H697" s="16"/>
      <c r="I697" s="16"/>
      <c r="J697" s="16"/>
      <c r="K697" s="16"/>
      <c r="L697" s="16"/>
      <c r="M697" s="16"/>
      <c r="N697" s="100"/>
      <c r="O697" s="100"/>
      <c r="P697" s="100"/>
      <c r="Q697" s="106"/>
      <c r="R697" s="107"/>
      <c r="S697" s="104"/>
      <c r="T697" s="74"/>
      <c r="U697" s="108"/>
      <c r="V697" s="74" t="str">
        <f t="array" ref="V697">IFERROR(index('3. Công thức lab theo từng mã h'!J:J,MATCH(C697,'3. Công thức lab theo từng mã h'!L:L,0)),"")</f>
        <v/>
      </c>
      <c r="W697" s="74"/>
      <c r="X697" s="75"/>
    </row>
    <row r="698">
      <c r="A698" s="76">
        <f t="shared" si="2"/>
        <v>0</v>
      </c>
      <c r="B698" s="88"/>
      <c r="C698" s="76"/>
      <c r="D698" s="86"/>
      <c r="E698" s="86"/>
      <c r="F698" s="90"/>
      <c r="G698" s="91"/>
      <c r="H698" s="86"/>
      <c r="I698" s="86"/>
      <c r="J698" s="86"/>
      <c r="K698" s="86"/>
      <c r="L698" s="86"/>
      <c r="M698" s="86"/>
      <c r="N698" s="90"/>
      <c r="O698" s="90"/>
      <c r="P698" s="90"/>
      <c r="Q698" s="106"/>
      <c r="R698" s="95"/>
      <c r="S698" s="96"/>
      <c r="T698" s="85"/>
      <c r="U698" s="97"/>
      <c r="V698" s="85" t="str">
        <f t="array" ref="V698">IFERROR(index('3. Công thức lab theo từng mã h'!J:J,MATCH(C698,'3. Công thức lab theo từng mã h'!L:L,0)),"")</f>
        <v/>
      </c>
      <c r="W698" s="85"/>
      <c r="X698" s="75"/>
    </row>
    <row r="699">
      <c r="A699" s="64">
        <f t="shared" si="2"/>
        <v>0</v>
      </c>
      <c r="B699" s="98"/>
      <c r="C699" s="64"/>
      <c r="D699" s="16"/>
      <c r="E699" s="16"/>
      <c r="F699" s="100"/>
      <c r="G699" s="101"/>
      <c r="H699" s="16"/>
      <c r="I699" s="16"/>
      <c r="J699" s="16"/>
      <c r="K699" s="16"/>
      <c r="L699" s="16"/>
      <c r="M699" s="16"/>
      <c r="N699" s="100"/>
      <c r="O699" s="100"/>
      <c r="P699" s="100"/>
      <c r="Q699" s="106"/>
      <c r="R699" s="107"/>
      <c r="S699" s="104"/>
      <c r="T699" s="74"/>
      <c r="U699" s="108"/>
      <c r="V699" s="74" t="str">
        <f t="array" ref="V699">IFERROR(index('3. Công thức lab theo từng mã h'!J:J,MATCH(C699,'3. Công thức lab theo từng mã h'!L:L,0)),"")</f>
        <v/>
      </c>
      <c r="W699" s="74"/>
      <c r="X699" s="75"/>
    </row>
    <row r="700">
      <c r="A700" s="76">
        <f t="shared" si="2"/>
        <v>0</v>
      </c>
      <c r="B700" s="88"/>
      <c r="C700" s="76"/>
      <c r="D700" s="86"/>
      <c r="E700" s="86"/>
      <c r="F700" s="90"/>
      <c r="G700" s="91"/>
      <c r="H700" s="86"/>
      <c r="I700" s="86"/>
      <c r="J700" s="86"/>
      <c r="K700" s="86"/>
      <c r="L700" s="86"/>
      <c r="M700" s="86"/>
      <c r="N700" s="90"/>
      <c r="O700" s="90"/>
      <c r="P700" s="90"/>
      <c r="Q700" s="106"/>
      <c r="R700" s="95"/>
      <c r="S700" s="96"/>
      <c r="T700" s="85"/>
      <c r="U700" s="97"/>
      <c r="V700" s="85" t="str">
        <f t="array" ref="V700">IFERROR(index('3. Công thức lab theo từng mã h'!J:J,MATCH(C700,'3. Công thức lab theo từng mã h'!L:L,0)),"")</f>
        <v/>
      </c>
      <c r="W700" s="85"/>
      <c r="X700" s="75"/>
    </row>
    <row r="701">
      <c r="A701" s="64">
        <f t="shared" si="2"/>
        <v>0</v>
      </c>
      <c r="B701" s="98"/>
      <c r="C701" s="64"/>
      <c r="D701" s="16"/>
      <c r="E701" s="16"/>
      <c r="F701" s="100"/>
      <c r="G701" s="101"/>
      <c r="H701" s="16"/>
      <c r="I701" s="16"/>
      <c r="J701" s="16"/>
      <c r="K701" s="16"/>
      <c r="L701" s="16"/>
      <c r="M701" s="16"/>
      <c r="N701" s="100"/>
      <c r="O701" s="100"/>
      <c r="P701" s="100"/>
      <c r="Q701" s="106"/>
      <c r="R701" s="107"/>
      <c r="S701" s="104"/>
      <c r="T701" s="74"/>
      <c r="U701" s="108"/>
      <c r="V701" s="74" t="str">
        <f t="array" ref="V701">IFERROR(index('3. Công thức lab theo từng mã h'!J:J,MATCH(C701,'3. Công thức lab theo từng mã h'!L:L,0)),"")</f>
        <v/>
      </c>
      <c r="W701" s="74"/>
      <c r="X701" s="75"/>
    </row>
    <row r="702">
      <c r="A702" s="76">
        <f t="shared" si="2"/>
        <v>0</v>
      </c>
      <c r="B702" s="88"/>
      <c r="C702" s="76"/>
      <c r="D702" s="86"/>
      <c r="E702" s="86"/>
      <c r="F702" s="90"/>
      <c r="G702" s="91"/>
      <c r="H702" s="86"/>
      <c r="I702" s="86"/>
      <c r="J702" s="86"/>
      <c r="K702" s="86"/>
      <c r="L702" s="86"/>
      <c r="M702" s="86"/>
      <c r="N702" s="90"/>
      <c r="O702" s="90"/>
      <c r="P702" s="90"/>
      <c r="Q702" s="106"/>
      <c r="R702" s="95"/>
      <c r="S702" s="96"/>
      <c r="T702" s="85"/>
      <c r="U702" s="97"/>
      <c r="V702" s="85" t="str">
        <f t="array" ref="V702">IFERROR(index('3. Công thức lab theo từng mã h'!J:J,MATCH(C702,'3. Công thức lab theo từng mã h'!L:L,0)),"")</f>
        <v/>
      </c>
      <c r="W702" s="85"/>
      <c r="X702" s="75"/>
    </row>
    <row r="703">
      <c r="A703" s="64">
        <f t="shared" si="2"/>
        <v>0</v>
      </c>
      <c r="B703" s="98"/>
      <c r="C703" s="64"/>
      <c r="D703" s="16"/>
      <c r="E703" s="16"/>
      <c r="F703" s="100"/>
      <c r="G703" s="101"/>
      <c r="H703" s="16"/>
      <c r="I703" s="16"/>
      <c r="J703" s="16"/>
      <c r="K703" s="16"/>
      <c r="L703" s="16"/>
      <c r="M703" s="16"/>
      <c r="N703" s="100"/>
      <c r="O703" s="100"/>
      <c r="P703" s="100"/>
      <c r="Q703" s="106"/>
      <c r="R703" s="107"/>
      <c r="S703" s="104"/>
      <c r="T703" s="74"/>
      <c r="U703" s="108"/>
      <c r="V703" s="74" t="str">
        <f t="array" ref="V703">IFERROR(index('3. Công thức lab theo từng mã h'!J:J,MATCH(C703,'3. Công thức lab theo từng mã h'!L:L,0)),"")</f>
        <v/>
      </c>
      <c r="W703" s="74"/>
      <c r="X703" s="75"/>
    </row>
    <row r="704">
      <c r="A704" s="76">
        <f t="shared" si="2"/>
        <v>0</v>
      </c>
      <c r="B704" s="88"/>
      <c r="C704" s="76"/>
      <c r="D704" s="86"/>
      <c r="E704" s="86"/>
      <c r="F704" s="90"/>
      <c r="G704" s="91"/>
      <c r="H704" s="86"/>
      <c r="I704" s="86"/>
      <c r="J704" s="86"/>
      <c r="K704" s="86"/>
      <c r="L704" s="86"/>
      <c r="M704" s="86"/>
      <c r="N704" s="90"/>
      <c r="O704" s="90"/>
      <c r="P704" s="90"/>
      <c r="Q704" s="106"/>
      <c r="R704" s="95"/>
      <c r="S704" s="96"/>
      <c r="T704" s="85"/>
      <c r="U704" s="97"/>
      <c r="V704" s="85" t="str">
        <f t="array" ref="V704">IFERROR(index('3. Công thức lab theo từng mã h'!J:J,MATCH(C704,'3. Công thức lab theo từng mã h'!L:L,0)),"")</f>
        <v/>
      </c>
      <c r="W704" s="85"/>
      <c r="X704" s="75"/>
    </row>
    <row r="705">
      <c r="A705" s="64">
        <f t="shared" si="2"/>
        <v>0</v>
      </c>
      <c r="B705" s="98"/>
      <c r="C705" s="64"/>
      <c r="D705" s="16"/>
      <c r="E705" s="16"/>
      <c r="F705" s="100"/>
      <c r="G705" s="101"/>
      <c r="H705" s="16"/>
      <c r="I705" s="16"/>
      <c r="J705" s="16"/>
      <c r="K705" s="16"/>
      <c r="L705" s="16"/>
      <c r="M705" s="16"/>
      <c r="N705" s="100"/>
      <c r="O705" s="100"/>
      <c r="P705" s="100"/>
      <c r="Q705" s="106"/>
      <c r="R705" s="107"/>
      <c r="S705" s="104"/>
      <c r="T705" s="74"/>
      <c r="U705" s="108"/>
      <c r="V705" s="74" t="str">
        <f t="array" ref="V705">IFERROR(index('3. Công thức lab theo từng mã h'!J:J,MATCH(C705,'3. Công thức lab theo từng mã h'!L:L,0)),"")</f>
        <v/>
      </c>
      <c r="W705" s="74"/>
      <c r="X705" s="75"/>
    </row>
    <row r="706">
      <c r="A706" s="76">
        <f t="shared" si="2"/>
        <v>0</v>
      </c>
      <c r="B706" s="88"/>
      <c r="C706" s="76"/>
      <c r="D706" s="86"/>
      <c r="E706" s="86"/>
      <c r="F706" s="90"/>
      <c r="G706" s="91"/>
      <c r="H706" s="86"/>
      <c r="I706" s="86"/>
      <c r="J706" s="86"/>
      <c r="K706" s="86"/>
      <c r="L706" s="86"/>
      <c r="M706" s="86"/>
      <c r="N706" s="90"/>
      <c r="O706" s="90"/>
      <c r="P706" s="90"/>
      <c r="Q706" s="106"/>
      <c r="R706" s="95"/>
      <c r="S706" s="96"/>
      <c r="T706" s="85"/>
      <c r="U706" s="97"/>
      <c r="V706" s="85" t="str">
        <f t="array" ref="V706">IFERROR(index('3. Công thức lab theo từng mã h'!J:J,MATCH(C706,'3. Công thức lab theo từng mã h'!L:L,0)),"")</f>
        <v/>
      </c>
      <c r="W706" s="85"/>
      <c r="X706" s="75"/>
    </row>
    <row r="707">
      <c r="A707" s="64">
        <f t="shared" si="2"/>
        <v>0</v>
      </c>
      <c r="B707" s="98"/>
      <c r="C707" s="64"/>
      <c r="D707" s="16"/>
      <c r="E707" s="16"/>
      <c r="F707" s="100"/>
      <c r="G707" s="101"/>
      <c r="H707" s="16"/>
      <c r="I707" s="16"/>
      <c r="J707" s="16"/>
      <c r="K707" s="16"/>
      <c r="L707" s="16"/>
      <c r="M707" s="16"/>
      <c r="N707" s="100"/>
      <c r="O707" s="100"/>
      <c r="P707" s="100"/>
      <c r="Q707" s="106"/>
      <c r="R707" s="107"/>
      <c r="S707" s="104"/>
      <c r="T707" s="74"/>
      <c r="U707" s="108"/>
      <c r="V707" s="74" t="str">
        <f t="array" ref="V707">IFERROR(index('3. Công thức lab theo từng mã h'!J:J,MATCH(C707,'3. Công thức lab theo từng mã h'!L:L,0)),"")</f>
        <v/>
      </c>
      <c r="W707" s="74"/>
      <c r="X707" s="75"/>
    </row>
    <row r="708">
      <c r="A708" s="76">
        <f t="shared" si="2"/>
        <v>0</v>
      </c>
      <c r="B708" s="88"/>
      <c r="C708" s="76"/>
      <c r="D708" s="86"/>
      <c r="E708" s="86"/>
      <c r="F708" s="90"/>
      <c r="G708" s="91"/>
      <c r="H708" s="86"/>
      <c r="I708" s="86"/>
      <c r="J708" s="86"/>
      <c r="K708" s="86"/>
      <c r="L708" s="86"/>
      <c r="M708" s="86"/>
      <c r="N708" s="90"/>
      <c r="O708" s="90"/>
      <c r="P708" s="90"/>
      <c r="Q708" s="106"/>
      <c r="R708" s="95"/>
      <c r="S708" s="96"/>
      <c r="T708" s="85"/>
      <c r="U708" s="97"/>
      <c r="V708" s="85" t="str">
        <f t="array" ref="V708">IFERROR(index('3. Công thức lab theo từng mã h'!J:J,MATCH(C708,'3. Công thức lab theo từng mã h'!L:L,0)),"")</f>
        <v/>
      </c>
      <c r="W708" s="85"/>
      <c r="X708" s="75"/>
    </row>
    <row r="709">
      <c r="A709" s="64">
        <f t="shared" si="2"/>
        <v>0</v>
      </c>
      <c r="B709" s="98"/>
      <c r="C709" s="64"/>
      <c r="D709" s="16"/>
      <c r="E709" s="16"/>
      <c r="F709" s="100"/>
      <c r="G709" s="101"/>
      <c r="H709" s="16"/>
      <c r="I709" s="16"/>
      <c r="J709" s="16"/>
      <c r="K709" s="16"/>
      <c r="L709" s="16"/>
      <c r="M709" s="16"/>
      <c r="N709" s="100"/>
      <c r="O709" s="100"/>
      <c r="P709" s="100"/>
      <c r="Q709" s="106"/>
      <c r="R709" s="107"/>
      <c r="S709" s="104"/>
      <c r="T709" s="74"/>
      <c r="U709" s="108"/>
      <c r="V709" s="74" t="str">
        <f t="array" ref="V709">IFERROR(index('3. Công thức lab theo từng mã h'!J:J,MATCH(C709,'3. Công thức lab theo từng mã h'!L:L,0)),"")</f>
        <v/>
      </c>
      <c r="W709" s="74"/>
      <c r="X709" s="75"/>
    </row>
    <row r="710">
      <c r="A710" s="76">
        <f t="shared" si="2"/>
        <v>0</v>
      </c>
      <c r="B710" s="88"/>
      <c r="C710" s="76"/>
      <c r="D710" s="86"/>
      <c r="E710" s="86"/>
      <c r="F710" s="90"/>
      <c r="G710" s="91"/>
      <c r="H710" s="86"/>
      <c r="I710" s="86"/>
      <c r="J710" s="86"/>
      <c r="K710" s="86"/>
      <c r="L710" s="86"/>
      <c r="M710" s="86"/>
      <c r="N710" s="90"/>
      <c r="O710" s="90"/>
      <c r="P710" s="90"/>
      <c r="Q710" s="106"/>
      <c r="R710" s="95"/>
      <c r="S710" s="96"/>
      <c r="T710" s="85"/>
      <c r="U710" s="97"/>
      <c r="V710" s="85" t="str">
        <f t="array" ref="V710">IFERROR(index('3. Công thức lab theo từng mã h'!J:J,MATCH(C710,'3. Công thức lab theo từng mã h'!L:L,0)),"")</f>
        <v/>
      </c>
      <c r="W710" s="85"/>
      <c r="X710" s="75"/>
    </row>
    <row r="711">
      <c r="A711" s="64">
        <f t="shared" si="2"/>
        <v>0</v>
      </c>
      <c r="B711" s="98"/>
      <c r="C711" s="64"/>
      <c r="D711" s="16"/>
      <c r="E711" s="16"/>
      <c r="F711" s="100"/>
      <c r="G711" s="101"/>
      <c r="H711" s="16"/>
      <c r="I711" s="16"/>
      <c r="J711" s="16"/>
      <c r="K711" s="16"/>
      <c r="L711" s="16"/>
      <c r="M711" s="16"/>
      <c r="N711" s="100"/>
      <c r="O711" s="100"/>
      <c r="P711" s="100"/>
      <c r="Q711" s="106"/>
      <c r="R711" s="107"/>
      <c r="S711" s="104"/>
      <c r="T711" s="74"/>
      <c r="U711" s="108"/>
      <c r="V711" s="74" t="str">
        <f t="array" ref="V711">IFERROR(index('3. Công thức lab theo từng mã h'!J:J,MATCH(C711,'3. Công thức lab theo từng mã h'!L:L,0)),"")</f>
        <v/>
      </c>
      <c r="W711" s="74"/>
      <c r="X711" s="75"/>
    </row>
    <row r="712">
      <c r="A712" s="76">
        <f t="shared" si="2"/>
        <v>0</v>
      </c>
      <c r="B712" s="88"/>
      <c r="C712" s="76"/>
      <c r="D712" s="86"/>
      <c r="E712" s="86"/>
      <c r="F712" s="90"/>
      <c r="G712" s="91"/>
      <c r="H712" s="86"/>
      <c r="I712" s="86"/>
      <c r="J712" s="86"/>
      <c r="K712" s="86"/>
      <c r="L712" s="86"/>
      <c r="M712" s="86"/>
      <c r="N712" s="90"/>
      <c r="O712" s="90"/>
      <c r="P712" s="90"/>
      <c r="Q712" s="106"/>
      <c r="R712" s="95"/>
      <c r="S712" s="96"/>
      <c r="T712" s="85"/>
      <c r="U712" s="97"/>
      <c r="V712" s="85" t="str">
        <f t="array" ref="V712">IFERROR(index('3. Công thức lab theo từng mã h'!J:J,MATCH(C712,'3. Công thức lab theo từng mã h'!L:L,0)),"")</f>
        <v/>
      </c>
      <c r="W712" s="85"/>
      <c r="X712" s="75"/>
    </row>
    <row r="713">
      <c r="A713" s="64">
        <f t="shared" si="2"/>
        <v>0</v>
      </c>
      <c r="B713" s="98"/>
      <c r="C713" s="64"/>
      <c r="D713" s="16"/>
      <c r="E713" s="16"/>
      <c r="F713" s="100"/>
      <c r="G713" s="101"/>
      <c r="H713" s="16"/>
      <c r="I713" s="16"/>
      <c r="J713" s="16"/>
      <c r="K713" s="16"/>
      <c r="L713" s="16"/>
      <c r="M713" s="16"/>
      <c r="N713" s="100"/>
      <c r="O713" s="100"/>
      <c r="P713" s="100"/>
      <c r="Q713" s="106"/>
      <c r="R713" s="107"/>
      <c r="S713" s="104"/>
      <c r="T713" s="74"/>
      <c r="U713" s="108"/>
      <c r="V713" s="74" t="str">
        <f t="array" ref="V713">IFERROR(index('3. Công thức lab theo từng mã h'!J:J,MATCH(C713,'3. Công thức lab theo từng mã h'!L:L,0)),"")</f>
        <v/>
      </c>
      <c r="W713" s="74"/>
      <c r="X713" s="75"/>
    </row>
    <row r="714">
      <c r="A714" s="76">
        <f t="shared" si="2"/>
        <v>0</v>
      </c>
      <c r="B714" s="88"/>
      <c r="C714" s="76"/>
      <c r="D714" s="86"/>
      <c r="E714" s="86"/>
      <c r="F714" s="90"/>
      <c r="G714" s="91"/>
      <c r="H714" s="86"/>
      <c r="I714" s="86"/>
      <c r="J714" s="86"/>
      <c r="K714" s="86"/>
      <c r="L714" s="86"/>
      <c r="M714" s="86"/>
      <c r="N714" s="90"/>
      <c r="O714" s="90"/>
      <c r="P714" s="90"/>
      <c r="Q714" s="106"/>
      <c r="R714" s="95"/>
      <c r="S714" s="96"/>
      <c r="T714" s="85"/>
      <c r="U714" s="97"/>
      <c r="V714" s="85" t="str">
        <f t="array" ref="V714">IFERROR(index('3. Công thức lab theo từng mã h'!J:J,MATCH(C714,'3. Công thức lab theo từng mã h'!L:L,0)),"")</f>
        <v/>
      </c>
      <c r="W714" s="85"/>
      <c r="X714" s="75"/>
    </row>
    <row r="715">
      <c r="A715" s="64">
        <f t="shared" si="2"/>
        <v>0</v>
      </c>
      <c r="B715" s="98"/>
      <c r="C715" s="64"/>
      <c r="D715" s="16"/>
      <c r="E715" s="16"/>
      <c r="F715" s="100"/>
      <c r="G715" s="101"/>
      <c r="H715" s="16"/>
      <c r="I715" s="16"/>
      <c r="J715" s="16"/>
      <c r="K715" s="16"/>
      <c r="L715" s="16"/>
      <c r="M715" s="16"/>
      <c r="N715" s="100"/>
      <c r="O715" s="100"/>
      <c r="P715" s="100"/>
      <c r="Q715" s="106"/>
      <c r="R715" s="107"/>
      <c r="S715" s="104"/>
      <c r="T715" s="74"/>
      <c r="U715" s="108"/>
      <c r="V715" s="74" t="str">
        <f t="array" ref="V715">IFERROR(index('3. Công thức lab theo từng mã h'!J:J,MATCH(C715,'3. Công thức lab theo từng mã h'!L:L,0)),"")</f>
        <v/>
      </c>
      <c r="W715" s="74"/>
      <c r="X715" s="75"/>
    </row>
    <row r="716">
      <c r="A716" s="76">
        <f t="shared" si="2"/>
        <v>0</v>
      </c>
      <c r="B716" s="88"/>
      <c r="C716" s="76"/>
      <c r="D716" s="86"/>
      <c r="E716" s="86"/>
      <c r="F716" s="90"/>
      <c r="G716" s="91"/>
      <c r="H716" s="86"/>
      <c r="I716" s="86"/>
      <c r="J716" s="86"/>
      <c r="K716" s="86"/>
      <c r="L716" s="86"/>
      <c r="M716" s="86"/>
      <c r="N716" s="90"/>
      <c r="O716" s="90"/>
      <c r="P716" s="90"/>
      <c r="Q716" s="106"/>
      <c r="R716" s="95"/>
      <c r="S716" s="96"/>
      <c r="T716" s="85"/>
      <c r="U716" s="97"/>
      <c r="V716" s="85" t="str">
        <f t="array" ref="V716">IFERROR(index('3. Công thức lab theo từng mã h'!J:J,MATCH(C716,'3. Công thức lab theo từng mã h'!L:L,0)),"")</f>
        <v/>
      </c>
      <c r="W716" s="85"/>
      <c r="X716" s="75"/>
    </row>
    <row r="717">
      <c r="A717" s="64">
        <f t="shared" si="2"/>
        <v>0</v>
      </c>
      <c r="B717" s="98"/>
      <c r="C717" s="64"/>
      <c r="D717" s="16"/>
      <c r="E717" s="16"/>
      <c r="F717" s="100"/>
      <c r="G717" s="101"/>
      <c r="H717" s="16"/>
      <c r="I717" s="16"/>
      <c r="J717" s="16"/>
      <c r="K717" s="16"/>
      <c r="L717" s="16"/>
      <c r="M717" s="16"/>
      <c r="N717" s="100"/>
      <c r="O717" s="100"/>
      <c r="P717" s="100"/>
      <c r="Q717" s="106"/>
      <c r="R717" s="107"/>
      <c r="S717" s="104"/>
      <c r="T717" s="74"/>
      <c r="U717" s="108"/>
      <c r="V717" s="74" t="str">
        <f t="array" ref="V717">IFERROR(index('3. Công thức lab theo từng mã h'!J:J,MATCH(C717,'3. Công thức lab theo từng mã h'!L:L,0)),"")</f>
        <v/>
      </c>
      <c r="W717" s="74"/>
      <c r="X717" s="75"/>
    </row>
    <row r="718">
      <c r="A718" s="76">
        <f t="shared" si="2"/>
        <v>0</v>
      </c>
      <c r="B718" s="88"/>
      <c r="C718" s="76"/>
      <c r="D718" s="86"/>
      <c r="E718" s="86"/>
      <c r="F718" s="90"/>
      <c r="G718" s="91"/>
      <c r="H718" s="86"/>
      <c r="I718" s="86"/>
      <c r="J718" s="86"/>
      <c r="K718" s="86"/>
      <c r="L718" s="86"/>
      <c r="M718" s="86"/>
      <c r="N718" s="90"/>
      <c r="O718" s="90"/>
      <c r="P718" s="90"/>
      <c r="Q718" s="106"/>
      <c r="R718" s="95"/>
      <c r="S718" s="96"/>
      <c r="T718" s="85"/>
      <c r="U718" s="97"/>
      <c r="V718" s="85" t="str">
        <f t="array" ref="V718">IFERROR(index('3. Công thức lab theo từng mã h'!J:J,MATCH(C718,'3. Công thức lab theo từng mã h'!L:L,0)),"")</f>
        <v/>
      </c>
      <c r="W718" s="85"/>
      <c r="X718" s="75"/>
    </row>
    <row r="719">
      <c r="A719" s="64">
        <f t="shared" si="2"/>
        <v>0</v>
      </c>
      <c r="B719" s="98"/>
      <c r="C719" s="64"/>
      <c r="D719" s="16"/>
      <c r="E719" s="16"/>
      <c r="F719" s="100"/>
      <c r="G719" s="101"/>
      <c r="H719" s="16"/>
      <c r="I719" s="16"/>
      <c r="J719" s="16"/>
      <c r="K719" s="16"/>
      <c r="L719" s="16"/>
      <c r="M719" s="16"/>
      <c r="N719" s="100"/>
      <c r="O719" s="100"/>
      <c r="P719" s="100"/>
      <c r="Q719" s="106"/>
      <c r="R719" s="107"/>
      <c r="S719" s="104"/>
      <c r="T719" s="74"/>
      <c r="U719" s="108"/>
      <c r="V719" s="74" t="str">
        <f t="array" ref="V719">IFERROR(index('3. Công thức lab theo từng mã h'!J:J,MATCH(C719,'3. Công thức lab theo từng mã h'!L:L,0)),"")</f>
        <v/>
      </c>
      <c r="W719" s="74"/>
      <c r="X719" s="75"/>
    </row>
    <row r="720">
      <c r="A720" s="76">
        <f t="shared" si="2"/>
        <v>0</v>
      </c>
      <c r="B720" s="88"/>
      <c r="C720" s="76"/>
      <c r="D720" s="86"/>
      <c r="E720" s="86"/>
      <c r="F720" s="90"/>
      <c r="G720" s="91"/>
      <c r="H720" s="86"/>
      <c r="I720" s="86"/>
      <c r="J720" s="86"/>
      <c r="K720" s="86"/>
      <c r="L720" s="86"/>
      <c r="M720" s="86"/>
      <c r="N720" s="90"/>
      <c r="O720" s="90"/>
      <c r="P720" s="90"/>
      <c r="Q720" s="106"/>
      <c r="R720" s="95"/>
      <c r="S720" s="96"/>
      <c r="T720" s="85"/>
      <c r="U720" s="97"/>
      <c r="V720" s="85" t="str">
        <f t="array" ref="V720">IFERROR(index('3. Công thức lab theo từng mã h'!J:J,MATCH(C720,'3. Công thức lab theo từng mã h'!L:L,0)),"")</f>
        <v/>
      </c>
      <c r="W720" s="85"/>
      <c r="X720" s="75"/>
    </row>
    <row r="721">
      <c r="A721" s="64">
        <f t="shared" si="2"/>
        <v>0</v>
      </c>
      <c r="B721" s="98"/>
      <c r="C721" s="64"/>
      <c r="D721" s="16"/>
      <c r="E721" s="16"/>
      <c r="F721" s="100"/>
      <c r="G721" s="101"/>
      <c r="H721" s="16"/>
      <c r="I721" s="16"/>
      <c r="J721" s="16"/>
      <c r="K721" s="16"/>
      <c r="L721" s="16"/>
      <c r="M721" s="16"/>
      <c r="N721" s="100"/>
      <c r="O721" s="100"/>
      <c r="P721" s="100"/>
      <c r="Q721" s="106"/>
      <c r="R721" s="107"/>
      <c r="S721" s="104"/>
      <c r="T721" s="74"/>
      <c r="U721" s="108"/>
      <c r="V721" s="74" t="str">
        <f t="array" ref="V721">IFERROR(index('3. Công thức lab theo từng mã h'!J:J,MATCH(C721,'3. Công thức lab theo từng mã h'!L:L,0)),"")</f>
        <v/>
      </c>
      <c r="W721" s="74"/>
      <c r="X721" s="75"/>
    </row>
    <row r="722">
      <c r="A722" s="76">
        <f t="shared" si="2"/>
        <v>0</v>
      </c>
      <c r="B722" s="88"/>
      <c r="C722" s="76"/>
      <c r="D722" s="86"/>
      <c r="E722" s="86"/>
      <c r="F722" s="90"/>
      <c r="G722" s="91"/>
      <c r="H722" s="86"/>
      <c r="I722" s="86"/>
      <c r="J722" s="86"/>
      <c r="K722" s="86"/>
      <c r="L722" s="86"/>
      <c r="M722" s="86"/>
      <c r="N722" s="90"/>
      <c r="O722" s="90"/>
      <c r="P722" s="90"/>
      <c r="Q722" s="106"/>
      <c r="R722" s="95"/>
      <c r="S722" s="96"/>
      <c r="T722" s="85"/>
      <c r="U722" s="97"/>
      <c r="V722" s="85" t="str">
        <f t="array" ref="V722">IFERROR(index('3. Công thức lab theo từng mã h'!J:J,MATCH(C722,'3. Công thức lab theo từng mã h'!L:L,0)),"")</f>
        <v/>
      </c>
      <c r="W722" s="85"/>
      <c r="X722" s="75"/>
    </row>
    <row r="723">
      <c r="A723" s="64">
        <f t="shared" si="2"/>
        <v>0</v>
      </c>
      <c r="B723" s="98"/>
      <c r="C723" s="64"/>
      <c r="D723" s="16"/>
      <c r="E723" s="16"/>
      <c r="F723" s="100"/>
      <c r="G723" s="101"/>
      <c r="H723" s="16"/>
      <c r="I723" s="16"/>
      <c r="J723" s="16"/>
      <c r="K723" s="16"/>
      <c r="L723" s="16"/>
      <c r="M723" s="16"/>
      <c r="N723" s="100"/>
      <c r="O723" s="100"/>
      <c r="P723" s="100"/>
      <c r="Q723" s="106"/>
      <c r="R723" s="107"/>
      <c r="S723" s="104"/>
      <c r="T723" s="74"/>
      <c r="U723" s="108"/>
      <c r="V723" s="74" t="str">
        <f t="array" ref="V723">IFERROR(index('3. Công thức lab theo từng mã h'!J:J,MATCH(C723,'3. Công thức lab theo từng mã h'!L:L,0)),"")</f>
        <v/>
      </c>
      <c r="W723" s="74"/>
      <c r="X723" s="75"/>
    </row>
    <row r="724">
      <c r="A724" s="76">
        <f t="shared" si="2"/>
        <v>0</v>
      </c>
      <c r="B724" s="88"/>
      <c r="C724" s="76"/>
      <c r="D724" s="86"/>
      <c r="E724" s="86"/>
      <c r="F724" s="90"/>
      <c r="G724" s="91"/>
      <c r="H724" s="86"/>
      <c r="I724" s="86"/>
      <c r="J724" s="86"/>
      <c r="K724" s="86"/>
      <c r="L724" s="86"/>
      <c r="M724" s="86"/>
      <c r="N724" s="90"/>
      <c r="O724" s="90"/>
      <c r="P724" s="90"/>
      <c r="Q724" s="106"/>
      <c r="R724" s="95"/>
      <c r="S724" s="96"/>
      <c r="T724" s="85"/>
      <c r="U724" s="97"/>
      <c r="V724" s="85" t="str">
        <f t="array" ref="V724">IFERROR(index('3. Công thức lab theo từng mã h'!J:J,MATCH(C724,'3. Công thức lab theo từng mã h'!L:L,0)),"")</f>
        <v/>
      </c>
      <c r="W724" s="85"/>
      <c r="X724" s="75"/>
    </row>
    <row r="725">
      <c r="A725" s="64">
        <f t="shared" si="2"/>
        <v>0</v>
      </c>
      <c r="B725" s="98"/>
      <c r="C725" s="64"/>
      <c r="D725" s="16"/>
      <c r="E725" s="16"/>
      <c r="F725" s="100"/>
      <c r="G725" s="101"/>
      <c r="H725" s="16"/>
      <c r="I725" s="16"/>
      <c r="J725" s="16"/>
      <c r="K725" s="16"/>
      <c r="L725" s="16"/>
      <c r="M725" s="16"/>
      <c r="N725" s="100"/>
      <c r="O725" s="100"/>
      <c r="P725" s="100"/>
      <c r="Q725" s="106"/>
      <c r="R725" s="107"/>
      <c r="S725" s="104"/>
      <c r="T725" s="74"/>
      <c r="U725" s="108"/>
      <c r="V725" s="74" t="str">
        <f t="array" ref="V725">IFERROR(index('3. Công thức lab theo từng mã h'!J:J,MATCH(C725,'3. Công thức lab theo từng mã h'!L:L,0)),"")</f>
        <v/>
      </c>
      <c r="W725" s="74"/>
      <c r="X725" s="75"/>
    </row>
    <row r="726">
      <c r="A726" s="76">
        <f t="shared" si="2"/>
        <v>0</v>
      </c>
      <c r="B726" s="88"/>
      <c r="C726" s="76"/>
      <c r="D726" s="86"/>
      <c r="E726" s="86"/>
      <c r="F726" s="90"/>
      <c r="G726" s="91"/>
      <c r="H726" s="86"/>
      <c r="I726" s="86"/>
      <c r="J726" s="86"/>
      <c r="K726" s="86"/>
      <c r="L726" s="86"/>
      <c r="M726" s="86"/>
      <c r="N726" s="90"/>
      <c r="O726" s="90"/>
      <c r="P726" s="90"/>
      <c r="Q726" s="106"/>
      <c r="R726" s="95"/>
      <c r="S726" s="96"/>
      <c r="T726" s="85"/>
      <c r="U726" s="97"/>
      <c r="V726" s="85" t="str">
        <f t="array" ref="V726">IFERROR(index('3. Công thức lab theo từng mã h'!J:J,MATCH(C726,'3. Công thức lab theo từng mã h'!L:L,0)),"")</f>
        <v/>
      </c>
      <c r="W726" s="85"/>
      <c r="X726" s="75"/>
    </row>
    <row r="727">
      <c r="A727" s="64">
        <f t="shared" si="2"/>
        <v>0</v>
      </c>
      <c r="B727" s="98"/>
      <c r="C727" s="64"/>
      <c r="D727" s="16"/>
      <c r="E727" s="16"/>
      <c r="F727" s="100"/>
      <c r="G727" s="101"/>
      <c r="H727" s="16"/>
      <c r="I727" s="16"/>
      <c r="J727" s="16"/>
      <c r="K727" s="16"/>
      <c r="L727" s="16"/>
      <c r="M727" s="16"/>
      <c r="N727" s="100"/>
      <c r="O727" s="100"/>
      <c r="P727" s="100"/>
      <c r="Q727" s="106"/>
      <c r="R727" s="107"/>
      <c r="S727" s="104"/>
      <c r="T727" s="74"/>
      <c r="U727" s="108"/>
      <c r="V727" s="74" t="str">
        <f t="array" ref="V727">IFERROR(index('3. Công thức lab theo từng mã h'!J:J,MATCH(C727,'3. Công thức lab theo từng mã h'!L:L,0)),"")</f>
        <v/>
      </c>
      <c r="W727" s="74"/>
      <c r="X727" s="75"/>
    </row>
    <row r="728">
      <c r="A728" s="76">
        <f t="shared" si="2"/>
        <v>0</v>
      </c>
      <c r="B728" s="88"/>
      <c r="C728" s="76"/>
      <c r="D728" s="86"/>
      <c r="E728" s="86"/>
      <c r="F728" s="90"/>
      <c r="G728" s="91"/>
      <c r="H728" s="86"/>
      <c r="I728" s="86"/>
      <c r="J728" s="86"/>
      <c r="K728" s="86"/>
      <c r="L728" s="86"/>
      <c r="M728" s="86"/>
      <c r="N728" s="90"/>
      <c r="O728" s="90"/>
      <c r="P728" s="90"/>
      <c r="Q728" s="106"/>
      <c r="R728" s="95"/>
      <c r="S728" s="96"/>
      <c r="T728" s="85"/>
      <c r="U728" s="97"/>
      <c r="V728" s="85" t="str">
        <f t="array" ref="V728">IFERROR(index('3. Công thức lab theo từng mã h'!J:J,MATCH(C728,'3. Công thức lab theo từng mã h'!L:L,0)),"")</f>
        <v/>
      </c>
      <c r="W728" s="85"/>
      <c r="X728" s="75"/>
    </row>
    <row r="729">
      <c r="A729" s="64">
        <f t="shared" si="2"/>
        <v>0</v>
      </c>
      <c r="B729" s="98"/>
      <c r="C729" s="64"/>
      <c r="D729" s="16"/>
      <c r="E729" s="16"/>
      <c r="F729" s="100"/>
      <c r="G729" s="101"/>
      <c r="H729" s="16"/>
      <c r="I729" s="16"/>
      <c r="J729" s="16"/>
      <c r="K729" s="16"/>
      <c r="L729" s="16"/>
      <c r="M729" s="16"/>
      <c r="N729" s="100"/>
      <c r="O729" s="100"/>
      <c r="P729" s="100"/>
      <c r="Q729" s="106"/>
      <c r="R729" s="107"/>
      <c r="S729" s="104"/>
      <c r="T729" s="74"/>
      <c r="U729" s="108"/>
      <c r="V729" s="74" t="str">
        <f t="array" ref="V729">IFERROR(index('3. Công thức lab theo từng mã h'!J:J,MATCH(C729,'3. Công thức lab theo từng mã h'!L:L,0)),"")</f>
        <v/>
      </c>
      <c r="W729" s="74"/>
      <c r="X729" s="75"/>
    </row>
    <row r="730">
      <c r="A730" s="76">
        <f t="shared" si="2"/>
        <v>0</v>
      </c>
      <c r="B730" s="88"/>
      <c r="C730" s="76"/>
      <c r="D730" s="86"/>
      <c r="E730" s="86"/>
      <c r="F730" s="90"/>
      <c r="G730" s="91"/>
      <c r="H730" s="86"/>
      <c r="I730" s="86"/>
      <c r="J730" s="86"/>
      <c r="K730" s="86"/>
      <c r="L730" s="86"/>
      <c r="M730" s="86"/>
      <c r="N730" s="90"/>
      <c r="O730" s="90"/>
      <c r="P730" s="90"/>
      <c r="Q730" s="106"/>
      <c r="R730" s="95"/>
      <c r="S730" s="96"/>
      <c r="T730" s="85"/>
      <c r="U730" s="97"/>
      <c r="V730" s="85" t="str">
        <f t="array" ref="V730">IFERROR(index('3. Công thức lab theo từng mã h'!J:J,MATCH(C730,'3. Công thức lab theo từng mã h'!L:L,0)),"")</f>
        <v/>
      </c>
      <c r="W730" s="85"/>
      <c r="X730" s="75"/>
    </row>
    <row r="731">
      <c r="A731" s="64">
        <f t="shared" si="2"/>
        <v>0</v>
      </c>
      <c r="B731" s="98"/>
      <c r="C731" s="64"/>
      <c r="D731" s="16"/>
      <c r="E731" s="16"/>
      <c r="F731" s="100"/>
      <c r="G731" s="101"/>
      <c r="H731" s="16"/>
      <c r="I731" s="16"/>
      <c r="J731" s="16"/>
      <c r="K731" s="16"/>
      <c r="L731" s="16"/>
      <c r="M731" s="16"/>
      <c r="N731" s="100"/>
      <c r="O731" s="100"/>
      <c r="P731" s="100"/>
      <c r="Q731" s="106"/>
      <c r="R731" s="107"/>
      <c r="S731" s="104"/>
      <c r="T731" s="74"/>
      <c r="U731" s="108"/>
      <c r="V731" s="74" t="str">
        <f t="array" ref="V731">IFERROR(index('3. Công thức lab theo từng mã h'!J:J,MATCH(C731,'3. Công thức lab theo từng mã h'!L:L,0)),"")</f>
        <v/>
      </c>
      <c r="W731" s="74"/>
      <c r="X731" s="75"/>
    </row>
    <row r="732">
      <c r="A732" s="76">
        <f t="shared" si="2"/>
        <v>0</v>
      </c>
      <c r="B732" s="88"/>
      <c r="C732" s="76"/>
      <c r="D732" s="86"/>
      <c r="E732" s="86"/>
      <c r="F732" s="90"/>
      <c r="G732" s="91"/>
      <c r="H732" s="86"/>
      <c r="I732" s="86"/>
      <c r="J732" s="86"/>
      <c r="K732" s="86"/>
      <c r="L732" s="86"/>
      <c r="M732" s="86"/>
      <c r="N732" s="90"/>
      <c r="O732" s="90"/>
      <c r="P732" s="90"/>
      <c r="Q732" s="106"/>
      <c r="R732" s="95"/>
      <c r="S732" s="96"/>
      <c r="T732" s="85"/>
      <c r="U732" s="97"/>
      <c r="V732" s="85" t="str">
        <f t="array" ref="V732">IFERROR(index('3. Công thức lab theo từng mã h'!J:J,MATCH(C732,'3. Công thức lab theo từng mã h'!L:L,0)),"")</f>
        <v/>
      </c>
      <c r="W732" s="85"/>
      <c r="X732" s="75"/>
    </row>
    <row r="733">
      <c r="A733" s="64">
        <f t="shared" si="2"/>
        <v>0</v>
      </c>
      <c r="B733" s="98"/>
      <c r="C733" s="64"/>
      <c r="D733" s="16"/>
      <c r="E733" s="16"/>
      <c r="F733" s="100"/>
      <c r="G733" s="101"/>
      <c r="H733" s="16"/>
      <c r="I733" s="16"/>
      <c r="J733" s="16"/>
      <c r="K733" s="16"/>
      <c r="L733" s="16"/>
      <c r="M733" s="16"/>
      <c r="N733" s="100"/>
      <c r="O733" s="100"/>
      <c r="P733" s="100"/>
      <c r="Q733" s="106"/>
      <c r="R733" s="107"/>
      <c r="S733" s="104"/>
      <c r="T733" s="74"/>
      <c r="U733" s="108"/>
      <c r="V733" s="74" t="str">
        <f t="array" ref="V733">IFERROR(index('3. Công thức lab theo từng mã h'!J:J,MATCH(C733,'3. Công thức lab theo từng mã h'!L:L,0)),"")</f>
        <v/>
      </c>
      <c r="W733" s="74"/>
      <c r="X733" s="75"/>
    </row>
    <row r="734">
      <c r="A734" s="76">
        <f t="shared" si="2"/>
        <v>0</v>
      </c>
      <c r="B734" s="88"/>
      <c r="C734" s="76"/>
      <c r="D734" s="86"/>
      <c r="E734" s="86"/>
      <c r="F734" s="90"/>
      <c r="G734" s="91"/>
      <c r="H734" s="86"/>
      <c r="I734" s="86"/>
      <c r="J734" s="86"/>
      <c r="K734" s="86"/>
      <c r="L734" s="86"/>
      <c r="M734" s="86"/>
      <c r="N734" s="90"/>
      <c r="O734" s="90"/>
      <c r="P734" s="90"/>
      <c r="Q734" s="106"/>
      <c r="R734" s="95"/>
      <c r="S734" s="96"/>
      <c r="T734" s="85"/>
      <c r="U734" s="97"/>
      <c r="V734" s="85" t="str">
        <f t="array" ref="V734">IFERROR(index('3. Công thức lab theo từng mã h'!J:J,MATCH(C734,'3. Công thức lab theo từng mã h'!L:L,0)),"")</f>
        <v/>
      </c>
      <c r="W734" s="85"/>
      <c r="X734" s="75"/>
    </row>
    <row r="735">
      <c r="A735" s="64">
        <f t="shared" si="2"/>
        <v>0</v>
      </c>
      <c r="B735" s="98"/>
      <c r="C735" s="64"/>
      <c r="D735" s="16"/>
      <c r="E735" s="16"/>
      <c r="F735" s="100"/>
      <c r="G735" s="101"/>
      <c r="H735" s="16"/>
      <c r="I735" s="16"/>
      <c r="J735" s="16"/>
      <c r="K735" s="16"/>
      <c r="L735" s="16"/>
      <c r="M735" s="16"/>
      <c r="N735" s="100"/>
      <c r="O735" s="100"/>
      <c r="P735" s="100"/>
      <c r="Q735" s="106"/>
      <c r="R735" s="107"/>
      <c r="S735" s="104"/>
      <c r="T735" s="74"/>
      <c r="U735" s="108"/>
      <c r="V735" s="74" t="str">
        <f t="array" ref="V735">IFERROR(index('3. Công thức lab theo từng mã h'!J:J,MATCH(C735,'3. Công thức lab theo từng mã h'!L:L,0)),"")</f>
        <v/>
      </c>
      <c r="W735" s="74"/>
      <c r="X735" s="75"/>
    </row>
    <row r="736">
      <c r="A736" s="76">
        <f t="shared" si="2"/>
        <v>0</v>
      </c>
      <c r="B736" s="88"/>
      <c r="C736" s="76"/>
      <c r="D736" s="86"/>
      <c r="E736" s="86"/>
      <c r="F736" s="90"/>
      <c r="G736" s="91"/>
      <c r="H736" s="86"/>
      <c r="I736" s="86"/>
      <c r="J736" s="86"/>
      <c r="K736" s="86"/>
      <c r="L736" s="86"/>
      <c r="M736" s="86"/>
      <c r="N736" s="90"/>
      <c r="O736" s="90"/>
      <c r="P736" s="90"/>
      <c r="Q736" s="106"/>
      <c r="R736" s="95"/>
      <c r="S736" s="96"/>
      <c r="T736" s="85"/>
      <c r="U736" s="97"/>
      <c r="V736" s="85" t="str">
        <f t="array" ref="V736">IFERROR(index('3. Công thức lab theo từng mã h'!J:J,MATCH(C736,'3. Công thức lab theo từng mã h'!L:L,0)),"")</f>
        <v/>
      </c>
      <c r="W736" s="85"/>
      <c r="X736" s="75"/>
    </row>
    <row r="737">
      <c r="A737" s="64">
        <f t="shared" si="2"/>
        <v>0</v>
      </c>
      <c r="B737" s="98"/>
      <c r="C737" s="64"/>
      <c r="D737" s="16"/>
      <c r="E737" s="16"/>
      <c r="F737" s="100"/>
      <c r="G737" s="101"/>
      <c r="H737" s="16"/>
      <c r="I737" s="16"/>
      <c r="J737" s="16"/>
      <c r="K737" s="16"/>
      <c r="L737" s="16"/>
      <c r="M737" s="16"/>
      <c r="N737" s="100"/>
      <c r="O737" s="100"/>
      <c r="P737" s="100"/>
      <c r="Q737" s="106"/>
      <c r="R737" s="107"/>
      <c r="S737" s="104"/>
      <c r="T737" s="74"/>
      <c r="U737" s="108"/>
      <c r="V737" s="74" t="str">
        <f t="array" ref="V737">IFERROR(index('3. Công thức lab theo từng mã h'!J:J,MATCH(C737,'3. Công thức lab theo từng mã h'!L:L,0)),"")</f>
        <v/>
      </c>
      <c r="W737" s="74"/>
      <c r="X737" s="75"/>
    </row>
    <row r="738">
      <c r="A738" s="76">
        <f t="shared" si="2"/>
        <v>0</v>
      </c>
      <c r="B738" s="88"/>
      <c r="C738" s="76"/>
      <c r="D738" s="86"/>
      <c r="E738" s="86"/>
      <c r="F738" s="90"/>
      <c r="G738" s="91"/>
      <c r="H738" s="86"/>
      <c r="I738" s="86"/>
      <c r="J738" s="86"/>
      <c r="K738" s="86"/>
      <c r="L738" s="86"/>
      <c r="M738" s="86"/>
      <c r="N738" s="90"/>
      <c r="O738" s="90"/>
      <c r="P738" s="90"/>
      <c r="Q738" s="106"/>
      <c r="R738" s="95"/>
      <c r="S738" s="96"/>
      <c r="T738" s="85"/>
      <c r="U738" s="97"/>
      <c r="V738" s="85" t="str">
        <f t="array" ref="V738">IFERROR(index('3. Công thức lab theo từng mã h'!J:J,MATCH(C738,'3. Công thức lab theo từng mã h'!L:L,0)),"")</f>
        <v/>
      </c>
      <c r="W738" s="85"/>
      <c r="X738" s="75"/>
    </row>
    <row r="739">
      <c r="A739" s="64">
        <f t="shared" si="2"/>
        <v>0</v>
      </c>
      <c r="B739" s="98"/>
      <c r="C739" s="64"/>
      <c r="D739" s="16"/>
      <c r="E739" s="16"/>
      <c r="F739" s="100"/>
      <c r="G739" s="101"/>
      <c r="H739" s="16"/>
      <c r="I739" s="16"/>
      <c r="J739" s="16"/>
      <c r="K739" s="16"/>
      <c r="L739" s="16"/>
      <c r="M739" s="16"/>
      <c r="N739" s="100"/>
      <c r="O739" s="100"/>
      <c r="P739" s="100"/>
      <c r="Q739" s="106"/>
      <c r="R739" s="107"/>
      <c r="S739" s="104"/>
      <c r="T739" s="74"/>
      <c r="U739" s="108"/>
      <c r="V739" s="74" t="str">
        <f t="array" ref="V739">IFERROR(index('3. Công thức lab theo từng mã h'!J:J,MATCH(C739,'3. Công thức lab theo từng mã h'!L:L,0)),"")</f>
        <v/>
      </c>
      <c r="W739" s="74"/>
      <c r="X739" s="75"/>
    </row>
    <row r="740">
      <c r="A740" s="76">
        <f t="shared" si="2"/>
        <v>0</v>
      </c>
      <c r="B740" s="88"/>
      <c r="C740" s="76"/>
      <c r="D740" s="86"/>
      <c r="E740" s="86"/>
      <c r="F740" s="90"/>
      <c r="G740" s="91"/>
      <c r="H740" s="86"/>
      <c r="I740" s="86"/>
      <c r="J740" s="86"/>
      <c r="K740" s="86"/>
      <c r="L740" s="86"/>
      <c r="M740" s="86"/>
      <c r="N740" s="90"/>
      <c r="O740" s="90"/>
      <c r="P740" s="90"/>
      <c r="Q740" s="106"/>
      <c r="R740" s="95"/>
      <c r="S740" s="96"/>
      <c r="T740" s="85"/>
      <c r="U740" s="97"/>
      <c r="V740" s="85" t="str">
        <f t="array" ref="V740">IFERROR(index('3. Công thức lab theo từng mã h'!J:J,MATCH(C740,'3. Công thức lab theo từng mã h'!L:L,0)),"")</f>
        <v/>
      </c>
      <c r="W740" s="85"/>
      <c r="X740" s="75"/>
    </row>
    <row r="741">
      <c r="A741" s="64">
        <f t="shared" si="2"/>
        <v>0</v>
      </c>
      <c r="B741" s="98"/>
      <c r="C741" s="64"/>
      <c r="D741" s="16"/>
      <c r="E741" s="16"/>
      <c r="F741" s="100"/>
      <c r="G741" s="101"/>
      <c r="H741" s="16"/>
      <c r="I741" s="16"/>
      <c r="J741" s="16"/>
      <c r="K741" s="16"/>
      <c r="L741" s="16"/>
      <c r="M741" s="16"/>
      <c r="N741" s="100"/>
      <c r="O741" s="100"/>
      <c r="P741" s="100"/>
      <c r="Q741" s="106"/>
      <c r="R741" s="107"/>
      <c r="S741" s="104"/>
      <c r="T741" s="74"/>
      <c r="U741" s="108"/>
      <c r="V741" s="74" t="str">
        <f t="array" ref="V741">IFERROR(index('3. Công thức lab theo từng mã h'!J:J,MATCH(C741,'3. Công thức lab theo từng mã h'!L:L,0)),"")</f>
        <v/>
      </c>
      <c r="W741" s="74"/>
      <c r="X741" s="75"/>
    </row>
    <row r="742">
      <c r="A742" s="76">
        <f t="shared" si="2"/>
        <v>0</v>
      </c>
      <c r="B742" s="88"/>
      <c r="C742" s="76"/>
      <c r="D742" s="86"/>
      <c r="E742" s="86"/>
      <c r="F742" s="90"/>
      <c r="G742" s="91"/>
      <c r="H742" s="86"/>
      <c r="I742" s="86"/>
      <c r="J742" s="86"/>
      <c r="K742" s="86"/>
      <c r="L742" s="86"/>
      <c r="M742" s="86"/>
      <c r="N742" s="90"/>
      <c r="O742" s="90"/>
      <c r="P742" s="90"/>
      <c r="Q742" s="106"/>
      <c r="R742" s="95"/>
      <c r="S742" s="96"/>
      <c r="T742" s="85"/>
      <c r="U742" s="97"/>
      <c r="V742" s="85" t="str">
        <f t="array" ref="V742">IFERROR(index('3. Công thức lab theo từng mã h'!J:J,MATCH(C742,'3. Công thức lab theo từng mã h'!L:L,0)),"")</f>
        <v/>
      </c>
      <c r="W742" s="85"/>
      <c r="X742" s="75"/>
    </row>
    <row r="743">
      <c r="A743" s="64">
        <f t="shared" si="2"/>
        <v>0</v>
      </c>
      <c r="B743" s="98"/>
      <c r="C743" s="64"/>
      <c r="D743" s="16"/>
      <c r="E743" s="16"/>
      <c r="F743" s="100"/>
      <c r="G743" s="101"/>
      <c r="H743" s="16"/>
      <c r="I743" s="16"/>
      <c r="J743" s="16"/>
      <c r="K743" s="16"/>
      <c r="L743" s="16"/>
      <c r="M743" s="16"/>
      <c r="N743" s="100"/>
      <c r="O743" s="100"/>
      <c r="P743" s="100"/>
      <c r="Q743" s="106"/>
      <c r="R743" s="107"/>
      <c r="S743" s="104"/>
      <c r="T743" s="74"/>
      <c r="U743" s="108"/>
      <c r="V743" s="74" t="str">
        <f t="array" ref="V743">IFERROR(index('3. Công thức lab theo từng mã h'!J:J,MATCH(C743,'3. Công thức lab theo từng mã h'!L:L,0)),"")</f>
        <v/>
      </c>
      <c r="W743" s="74"/>
      <c r="X743" s="75"/>
    </row>
    <row r="744">
      <c r="A744" s="76">
        <f t="shared" si="2"/>
        <v>0</v>
      </c>
      <c r="B744" s="88"/>
      <c r="C744" s="76"/>
      <c r="D744" s="86"/>
      <c r="E744" s="86"/>
      <c r="F744" s="90"/>
      <c r="G744" s="91"/>
      <c r="H744" s="86"/>
      <c r="I744" s="86"/>
      <c r="J744" s="86"/>
      <c r="K744" s="86"/>
      <c r="L744" s="86"/>
      <c r="M744" s="86"/>
      <c r="N744" s="90"/>
      <c r="O744" s="90"/>
      <c r="P744" s="90"/>
      <c r="Q744" s="106"/>
      <c r="R744" s="95"/>
      <c r="S744" s="96"/>
      <c r="T744" s="85"/>
      <c r="U744" s="97"/>
      <c r="V744" s="85" t="str">
        <f t="array" ref="V744">IFERROR(index('3. Công thức lab theo từng mã h'!J:J,MATCH(C744,'3. Công thức lab theo từng mã h'!L:L,0)),"")</f>
        <v/>
      </c>
      <c r="W744" s="85"/>
      <c r="X744" s="75"/>
    </row>
    <row r="745">
      <c r="A745" s="64">
        <f t="shared" si="2"/>
        <v>0</v>
      </c>
      <c r="B745" s="98"/>
      <c r="C745" s="64"/>
      <c r="D745" s="16"/>
      <c r="E745" s="16"/>
      <c r="F745" s="100"/>
      <c r="G745" s="101"/>
      <c r="H745" s="16"/>
      <c r="I745" s="16"/>
      <c r="J745" s="16"/>
      <c r="K745" s="16"/>
      <c r="L745" s="16"/>
      <c r="M745" s="16"/>
      <c r="N745" s="100"/>
      <c r="O745" s="100"/>
      <c r="P745" s="100"/>
      <c r="Q745" s="106"/>
      <c r="R745" s="107"/>
      <c r="S745" s="104"/>
      <c r="T745" s="74"/>
      <c r="U745" s="108"/>
      <c r="V745" s="74" t="str">
        <f t="array" ref="V745">IFERROR(index('3. Công thức lab theo từng mã h'!J:J,MATCH(C745,'3. Công thức lab theo từng mã h'!L:L,0)),"")</f>
        <v/>
      </c>
      <c r="W745" s="74"/>
      <c r="X745" s="75"/>
    </row>
    <row r="746">
      <c r="A746" s="76">
        <f t="shared" si="2"/>
        <v>0</v>
      </c>
      <c r="B746" s="88"/>
      <c r="C746" s="76"/>
      <c r="D746" s="86"/>
      <c r="E746" s="86"/>
      <c r="F746" s="90"/>
      <c r="G746" s="91"/>
      <c r="H746" s="86"/>
      <c r="I746" s="86"/>
      <c r="J746" s="86"/>
      <c r="K746" s="86"/>
      <c r="L746" s="86"/>
      <c r="M746" s="86"/>
      <c r="N746" s="90"/>
      <c r="O746" s="90"/>
      <c r="P746" s="90"/>
      <c r="Q746" s="106"/>
      <c r="R746" s="95"/>
      <c r="S746" s="96"/>
      <c r="T746" s="85"/>
      <c r="U746" s="97"/>
      <c r="V746" s="85" t="str">
        <f t="array" ref="V746">IFERROR(index('3. Công thức lab theo từng mã h'!J:J,MATCH(C746,'3. Công thức lab theo từng mã h'!L:L,0)),"")</f>
        <v/>
      </c>
      <c r="W746" s="85"/>
      <c r="X746" s="75"/>
    </row>
    <row r="747">
      <c r="A747" s="64">
        <f t="shared" si="2"/>
        <v>0</v>
      </c>
      <c r="B747" s="98"/>
      <c r="C747" s="64"/>
      <c r="D747" s="16"/>
      <c r="E747" s="16"/>
      <c r="F747" s="100"/>
      <c r="G747" s="101"/>
      <c r="H747" s="16"/>
      <c r="I747" s="16"/>
      <c r="J747" s="16"/>
      <c r="K747" s="16"/>
      <c r="L747" s="16"/>
      <c r="M747" s="16"/>
      <c r="N747" s="100"/>
      <c r="O747" s="100"/>
      <c r="P747" s="100"/>
      <c r="Q747" s="106"/>
      <c r="R747" s="107"/>
      <c r="S747" s="104"/>
      <c r="T747" s="74"/>
      <c r="U747" s="108"/>
      <c r="V747" s="74" t="str">
        <f t="array" ref="V747">IFERROR(index('3. Công thức lab theo từng mã h'!J:J,MATCH(C747,'3. Công thức lab theo từng mã h'!L:L,0)),"")</f>
        <v/>
      </c>
      <c r="W747" s="74"/>
      <c r="X747" s="75"/>
    </row>
    <row r="748">
      <c r="A748" s="76">
        <f t="shared" si="2"/>
        <v>0</v>
      </c>
      <c r="B748" s="88"/>
      <c r="C748" s="76"/>
      <c r="D748" s="86"/>
      <c r="E748" s="86"/>
      <c r="F748" s="90"/>
      <c r="G748" s="91"/>
      <c r="H748" s="86"/>
      <c r="I748" s="86"/>
      <c r="J748" s="86"/>
      <c r="K748" s="86"/>
      <c r="L748" s="86"/>
      <c r="M748" s="86"/>
      <c r="N748" s="90"/>
      <c r="O748" s="90"/>
      <c r="P748" s="90"/>
      <c r="Q748" s="106"/>
      <c r="R748" s="95"/>
      <c r="S748" s="96"/>
      <c r="T748" s="85"/>
      <c r="U748" s="97"/>
      <c r="V748" s="85" t="str">
        <f t="array" ref="V748">IFERROR(index('3. Công thức lab theo từng mã h'!J:J,MATCH(C748,'3. Công thức lab theo từng mã h'!L:L,0)),"")</f>
        <v/>
      </c>
      <c r="W748" s="85"/>
      <c r="X748" s="75"/>
    </row>
    <row r="749">
      <c r="A749" s="64">
        <f t="shared" si="2"/>
        <v>0</v>
      </c>
      <c r="B749" s="98"/>
      <c r="C749" s="64"/>
      <c r="D749" s="16"/>
      <c r="E749" s="16"/>
      <c r="F749" s="100"/>
      <c r="G749" s="101"/>
      <c r="H749" s="16"/>
      <c r="I749" s="16"/>
      <c r="J749" s="16"/>
      <c r="K749" s="16"/>
      <c r="L749" s="16"/>
      <c r="M749" s="16"/>
      <c r="N749" s="100"/>
      <c r="O749" s="100"/>
      <c r="P749" s="100"/>
      <c r="Q749" s="106"/>
      <c r="R749" s="107"/>
      <c r="S749" s="104"/>
      <c r="T749" s="74"/>
      <c r="U749" s="108"/>
      <c r="V749" s="74" t="str">
        <f t="array" ref="V749">IFERROR(index('3. Công thức lab theo từng mã h'!J:J,MATCH(C749,'3. Công thức lab theo từng mã h'!L:L,0)),"")</f>
        <v/>
      </c>
      <c r="W749" s="74"/>
      <c r="X749" s="75"/>
    </row>
    <row r="750">
      <c r="A750" s="76">
        <f t="shared" si="2"/>
        <v>0</v>
      </c>
      <c r="B750" s="88"/>
      <c r="C750" s="76"/>
      <c r="D750" s="86"/>
      <c r="E750" s="86"/>
      <c r="F750" s="90"/>
      <c r="G750" s="91"/>
      <c r="H750" s="86"/>
      <c r="I750" s="86"/>
      <c r="J750" s="86"/>
      <c r="K750" s="86"/>
      <c r="L750" s="86"/>
      <c r="M750" s="86"/>
      <c r="N750" s="90"/>
      <c r="O750" s="90"/>
      <c r="P750" s="90"/>
      <c r="Q750" s="106"/>
      <c r="R750" s="95"/>
      <c r="S750" s="96"/>
      <c r="T750" s="85"/>
      <c r="U750" s="97"/>
      <c r="V750" s="85" t="str">
        <f t="array" ref="V750">IFERROR(index('3. Công thức lab theo từng mã h'!J:J,MATCH(C750,'3. Công thức lab theo từng mã h'!L:L,0)),"")</f>
        <v/>
      </c>
      <c r="W750" s="85"/>
      <c r="X750" s="75"/>
    </row>
    <row r="751">
      <c r="A751" s="64">
        <f t="shared" si="2"/>
        <v>0</v>
      </c>
      <c r="B751" s="98"/>
      <c r="C751" s="64"/>
      <c r="D751" s="16"/>
      <c r="E751" s="16"/>
      <c r="F751" s="100"/>
      <c r="G751" s="101"/>
      <c r="H751" s="16"/>
      <c r="I751" s="16"/>
      <c r="J751" s="16"/>
      <c r="K751" s="16"/>
      <c r="L751" s="16"/>
      <c r="M751" s="16"/>
      <c r="N751" s="100"/>
      <c r="O751" s="100"/>
      <c r="P751" s="100"/>
      <c r="Q751" s="106"/>
      <c r="R751" s="107"/>
      <c r="S751" s="104"/>
      <c r="T751" s="74"/>
      <c r="U751" s="108"/>
      <c r="V751" s="74" t="str">
        <f t="array" ref="V751">IFERROR(index('3. Công thức lab theo từng mã h'!J:J,MATCH(C751,'3. Công thức lab theo từng mã h'!L:L,0)),"")</f>
        <v/>
      </c>
      <c r="W751" s="74"/>
      <c r="X751" s="75"/>
    </row>
    <row r="752">
      <c r="A752" s="76">
        <f t="shared" si="2"/>
        <v>0</v>
      </c>
      <c r="B752" s="88"/>
      <c r="C752" s="76"/>
      <c r="D752" s="86"/>
      <c r="E752" s="86"/>
      <c r="F752" s="90"/>
      <c r="G752" s="91"/>
      <c r="H752" s="86"/>
      <c r="I752" s="86"/>
      <c r="J752" s="86"/>
      <c r="K752" s="86"/>
      <c r="L752" s="86"/>
      <c r="M752" s="86"/>
      <c r="N752" s="90"/>
      <c r="O752" s="90"/>
      <c r="P752" s="90"/>
      <c r="Q752" s="106"/>
      <c r="R752" s="95"/>
      <c r="S752" s="96"/>
      <c r="T752" s="85"/>
      <c r="U752" s="97"/>
      <c r="V752" s="85" t="str">
        <f t="array" ref="V752">IFERROR(index('3. Công thức lab theo từng mã h'!J:J,MATCH(C752,'3. Công thức lab theo từng mã h'!L:L,0)),"")</f>
        <v/>
      </c>
      <c r="W752" s="85"/>
      <c r="X752" s="75"/>
    </row>
    <row r="753">
      <c r="A753" s="64">
        <f t="shared" si="2"/>
        <v>0</v>
      </c>
      <c r="B753" s="98"/>
      <c r="C753" s="64"/>
      <c r="D753" s="16"/>
      <c r="E753" s="16"/>
      <c r="F753" s="100"/>
      <c r="G753" s="101"/>
      <c r="H753" s="16"/>
      <c r="I753" s="16"/>
      <c r="J753" s="16"/>
      <c r="K753" s="16"/>
      <c r="L753" s="16"/>
      <c r="M753" s="16"/>
      <c r="N753" s="100"/>
      <c r="O753" s="100"/>
      <c r="P753" s="100"/>
      <c r="Q753" s="106"/>
      <c r="R753" s="107"/>
      <c r="S753" s="104"/>
      <c r="T753" s="74"/>
      <c r="U753" s="108"/>
      <c r="V753" s="74" t="str">
        <f t="array" ref="V753">IFERROR(index('3. Công thức lab theo từng mã h'!J:J,MATCH(C753,'3. Công thức lab theo từng mã h'!L:L,0)),"")</f>
        <v/>
      </c>
      <c r="W753" s="74"/>
      <c r="X753" s="75"/>
    </row>
    <row r="754">
      <c r="A754" s="76">
        <f t="shared" si="2"/>
        <v>0</v>
      </c>
      <c r="B754" s="88"/>
      <c r="C754" s="76"/>
      <c r="D754" s="86"/>
      <c r="E754" s="86"/>
      <c r="F754" s="90"/>
      <c r="G754" s="91"/>
      <c r="H754" s="86"/>
      <c r="I754" s="86"/>
      <c r="J754" s="86"/>
      <c r="K754" s="86"/>
      <c r="L754" s="86"/>
      <c r="M754" s="86"/>
      <c r="N754" s="90"/>
      <c r="O754" s="90"/>
      <c r="P754" s="90"/>
      <c r="Q754" s="106"/>
      <c r="R754" s="95"/>
      <c r="S754" s="96"/>
      <c r="T754" s="85"/>
      <c r="U754" s="97"/>
      <c r="V754" s="85" t="str">
        <f t="array" ref="V754">IFERROR(index('3. Công thức lab theo từng mã h'!J:J,MATCH(C754,'3. Công thức lab theo từng mã h'!L:L,0)),"")</f>
        <v/>
      </c>
      <c r="W754" s="85"/>
      <c r="X754" s="75"/>
    </row>
    <row r="755">
      <c r="A755" s="64">
        <f t="shared" si="2"/>
        <v>0</v>
      </c>
      <c r="B755" s="98"/>
      <c r="C755" s="64"/>
      <c r="D755" s="16"/>
      <c r="E755" s="16"/>
      <c r="F755" s="100"/>
      <c r="G755" s="101"/>
      <c r="H755" s="16"/>
      <c r="I755" s="16"/>
      <c r="J755" s="16"/>
      <c r="K755" s="16"/>
      <c r="L755" s="16"/>
      <c r="M755" s="16"/>
      <c r="N755" s="100"/>
      <c r="O755" s="100"/>
      <c r="P755" s="100"/>
      <c r="Q755" s="106"/>
      <c r="R755" s="107"/>
      <c r="S755" s="104"/>
      <c r="T755" s="74"/>
      <c r="U755" s="108"/>
      <c r="V755" s="74" t="str">
        <f t="array" ref="V755">IFERROR(index('3. Công thức lab theo từng mã h'!J:J,MATCH(C755,'3. Công thức lab theo từng mã h'!L:L,0)),"")</f>
        <v/>
      </c>
      <c r="W755" s="74"/>
      <c r="X755" s="75"/>
    </row>
    <row r="756">
      <c r="A756" s="76">
        <f t="shared" si="2"/>
        <v>0</v>
      </c>
      <c r="B756" s="88"/>
      <c r="C756" s="76"/>
      <c r="D756" s="86"/>
      <c r="E756" s="86"/>
      <c r="F756" s="90"/>
      <c r="G756" s="91"/>
      <c r="H756" s="86"/>
      <c r="I756" s="86"/>
      <c r="J756" s="86"/>
      <c r="K756" s="86"/>
      <c r="L756" s="86"/>
      <c r="M756" s="86"/>
      <c r="N756" s="90"/>
      <c r="O756" s="90"/>
      <c r="P756" s="90"/>
      <c r="Q756" s="106"/>
      <c r="R756" s="95"/>
      <c r="S756" s="96"/>
      <c r="T756" s="85"/>
      <c r="U756" s="97"/>
      <c r="V756" s="85" t="str">
        <f t="array" ref="V756">IFERROR(index('3. Công thức lab theo từng mã h'!J:J,MATCH(C756,'3. Công thức lab theo từng mã h'!L:L,0)),"")</f>
        <v/>
      </c>
      <c r="W756" s="85"/>
      <c r="X756" s="75"/>
    </row>
    <row r="757">
      <c r="A757" s="64">
        <f t="shared" si="2"/>
        <v>0</v>
      </c>
      <c r="B757" s="98"/>
      <c r="C757" s="64"/>
      <c r="D757" s="16"/>
      <c r="E757" s="16"/>
      <c r="F757" s="100"/>
      <c r="G757" s="101"/>
      <c r="H757" s="16"/>
      <c r="I757" s="16"/>
      <c r="J757" s="16"/>
      <c r="K757" s="16"/>
      <c r="L757" s="16"/>
      <c r="M757" s="16"/>
      <c r="N757" s="100"/>
      <c r="O757" s="100"/>
      <c r="P757" s="100"/>
      <c r="Q757" s="106"/>
      <c r="R757" s="107"/>
      <c r="S757" s="104"/>
      <c r="T757" s="74"/>
      <c r="U757" s="108"/>
      <c r="V757" s="74" t="str">
        <f t="array" ref="V757">IFERROR(index('3. Công thức lab theo từng mã h'!J:J,MATCH(C757,'3. Công thức lab theo từng mã h'!L:L,0)),"")</f>
        <v/>
      </c>
      <c r="W757" s="74"/>
      <c r="X757" s="75"/>
    </row>
    <row r="758">
      <c r="A758" s="76">
        <f t="shared" si="2"/>
        <v>0</v>
      </c>
      <c r="B758" s="88"/>
      <c r="C758" s="76"/>
      <c r="D758" s="86"/>
      <c r="E758" s="86"/>
      <c r="F758" s="90"/>
      <c r="G758" s="91"/>
      <c r="H758" s="86"/>
      <c r="I758" s="86"/>
      <c r="J758" s="86"/>
      <c r="K758" s="86"/>
      <c r="L758" s="86"/>
      <c r="M758" s="86"/>
      <c r="N758" s="90"/>
      <c r="O758" s="90"/>
      <c r="P758" s="90"/>
      <c r="Q758" s="106"/>
      <c r="R758" s="95"/>
      <c r="S758" s="96"/>
      <c r="T758" s="85"/>
      <c r="U758" s="97"/>
      <c r="V758" s="85" t="str">
        <f t="array" ref="V758">IFERROR(index('3. Công thức lab theo từng mã h'!J:J,MATCH(C758,'3. Công thức lab theo từng mã h'!L:L,0)),"")</f>
        <v/>
      </c>
      <c r="W758" s="85"/>
      <c r="X758" s="75"/>
    </row>
    <row r="759">
      <c r="A759" s="64">
        <f t="shared" si="2"/>
        <v>0</v>
      </c>
      <c r="B759" s="98"/>
      <c r="C759" s="64"/>
      <c r="D759" s="16"/>
      <c r="E759" s="16"/>
      <c r="F759" s="100"/>
      <c r="G759" s="101"/>
      <c r="H759" s="16"/>
      <c r="I759" s="16"/>
      <c r="J759" s="16"/>
      <c r="K759" s="16"/>
      <c r="L759" s="16"/>
      <c r="M759" s="16"/>
      <c r="N759" s="100"/>
      <c r="O759" s="100"/>
      <c r="P759" s="100"/>
      <c r="Q759" s="106"/>
      <c r="R759" s="107"/>
      <c r="S759" s="104"/>
      <c r="T759" s="74"/>
      <c r="U759" s="108"/>
      <c r="V759" s="74" t="str">
        <f t="array" ref="V759">IFERROR(index('3. Công thức lab theo từng mã h'!J:J,MATCH(C759,'3. Công thức lab theo từng mã h'!L:L,0)),"")</f>
        <v/>
      </c>
      <c r="W759" s="74"/>
      <c r="X759" s="75"/>
    </row>
    <row r="760">
      <c r="A760" s="76">
        <f t="shared" si="2"/>
        <v>0</v>
      </c>
      <c r="B760" s="88"/>
      <c r="C760" s="76"/>
      <c r="D760" s="86"/>
      <c r="E760" s="86"/>
      <c r="F760" s="90"/>
      <c r="G760" s="91"/>
      <c r="H760" s="86"/>
      <c r="I760" s="86"/>
      <c r="J760" s="86"/>
      <c r="K760" s="86"/>
      <c r="L760" s="86"/>
      <c r="M760" s="86"/>
      <c r="N760" s="90"/>
      <c r="O760" s="90"/>
      <c r="P760" s="90"/>
      <c r="Q760" s="106"/>
      <c r="R760" s="95"/>
      <c r="S760" s="96"/>
      <c r="T760" s="85"/>
      <c r="U760" s="97"/>
      <c r="V760" s="85" t="str">
        <f t="array" ref="V760">IFERROR(index('3. Công thức lab theo từng mã h'!J:J,MATCH(C760,'3. Công thức lab theo từng mã h'!L:L,0)),"")</f>
        <v/>
      </c>
      <c r="W760" s="85"/>
      <c r="X760" s="75"/>
    </row>
    <row r="761">
      <c r="A761" s="64">
        <f t="shared" si="2"/>
        <v>0</v>
      </c>
      <c r="B761" s="98"/>
      <c r="C761" s="64"/>
      <c r="D761" s="16"/>
      <c r="E761" s="16"/>
      <c r="F761" s="100"/>
      <c r="G761" s="101"/>
      <c r="H761" s="16"/>
      <c r="I761" s="16"/>
      <c r="J761" s="16"/>
      <c r="K761" s="16"/>
      <c r="L761" s="16"/>
      <c r="M761" s="16"/>
      <c r="N761" s="100"/>
      <c r="O761" s="100"/>
      <c r="P761" s="100"/>
      <c r="Q761" s="106"/>
      <c r="R761" s="107"/>
      <c r="S761" s="104"/>
      <c r="T761" s="74"/>
      <c r="U761" s="108"/>
      <c r="V761" s="74" t="str">
        <f t="array" ref="V761">IFERROR(index('3. Công thức lab theo từng mã h'!J:J,MATCH(C761,'3. Công thức lab theo từng mã h'!L:L,0)),"")</f>
        <v/>
      </c>
      <c r="W761" s="74"/>
      <c r="X761" s="75"/>
    </row>
    <row r="762">
      <c r="A762" s="76">
        <f t="shared" si="2"/>
        <v>0</v>
      </c>
      <c r="B762" s="88"/>
      <c r="C762" s="76"/>
      <c r="D762" s="86"/>
      <c r="E762" s="86"/>
      <c r="F762" s="90"/>
      <c r="G762" s="91"/>
      <c r="H762" s="86"/>
      <c r="I762" s="86"/>
      <c r="J762" s="86"/>
      <c r="K762" s="86"/>
      <c r="L762" s="86"/>
      <c r="M762" s="86"/>
      <c r="N762" s="90"/>
      <c r="O762" s="90"/>
      <c r="P762" s="90"/>
      <c r="Q762" s="106"/>
      <c r="R762" s="95"/>
      <c r="S762" s="96"/>
      <c r="T762" s="85"/>
      <c r="U762" s="97"/>
      <c r="V762" s="85" t="str">
        <f t="array" ref="V762">IFERROR(index('3. Công thức lab theo từng mã h'!J:J,MATCH(C762,'3. Công thức lab theo từng mã h'!L:L,0)),"")</f>
        <v/>
      </c>
      <c r="W762" s="85"/>
      <c r="X762" s="75"/>
    </row>
    <row r="763">
      <c r="A763" s="64">
        <f t="shared" si="2"/>
        <v>0</v>
      </c>
      <c r="B763" s="98"/>
      <c r="C763" s="64"/>
      <c r="D763" s="16"/>
      <c r="E763" s="16"/>
      <c r="F763" s="100"/>
      <c r="G763" s="101"/>
      <c r="H763" s="16"/>
      <c r="I763" s="16"/>
      <c r="J763" s="16"/>
      <c r="K763" s="16"/>
      <c r="L763" s="16"/>
      <c r="M763" s="16"/>
      <c r="N763" s="100"/>
      <c r="O763" s="100"/>
      <c r="P763" s="100"/>
      <c r="Q763" s="106"/>
      <c r="R763" s="107"/>
      <c r="S763" s="104"/>
      <c r="T763" s="74"/>
      <c r="U763" s="108"/>
      <c r="V763" s="74" t="str">
        <f t="array" ref="V763">IFERROR(index('3. Công thức lab theo từng mã h'!J:J,MATCH(C763,'3. Công thức lab theo từng mã h'!L:L,0)),"")</f>
        <v/>
      </c>
      <c r="W763" s="74"/>
      <c r="X763" s="75"/>
    </row>
    <row r="764">
      <c r="A764" s="76">
        <f t="shared" si="2"/>
        <v>0</v>
      </c>
      <c r="B764" s="88"/>
      <c r="C764" s="76"/>
      <c r="D764" s="86"/>
      <c r="E764" s="86"/>
      <c r="F764" s="90"/>
      <c r="G764" s="91"/>
      <c r="H764" s="86"/>
      <c r="I764" s="86"/>
      <c r="J764" s="86"/>
      <c r="K764" s="86"/>
      <c r="L764" s="86"/>
      <c r="M764" s="86"/>
      <c r="N764" s="90"/>
      <c r="O764" s="90"/>
      <c r="P764" s="90"/>
      <c r="Q764" s="106"/>
      <c r="R764" s="95"/>
      <c r="S764" s="96"/>
      <c r="T764" s="85"/>
      <c r="U764" s="97"/>
      <c r="V764" s="85" t="str">
        <f t="array" ref="V764">IFERROR(index('3. Công thức lab theo từng mã h'!J:J,MATCH(C764,'3. Công thức lab theo từng mã h'!L:L,0)),"")</f>
        <v/>
      </c>
      <c r="W764" s="85"/>
      <c r="X764" s="75"/>
    </row>
    <row r="765">
      <c r="A765" s="64">
        <f t="shared" si="2"/>
        <v>0</v>
      </c>
      <c r="B765" s="98"/>
      <c r="C765" s="64"/>
      <c r="D765" s="16"/>
      <c r="E765" s="16"/>
      <c r="F765" s="100"/>
      <c r="G765" s="101"/>
      <c r="H765" s="16"/>
      <c r="I765" s="16"/>
      <c r="J765" s="16"/>
      <c r="K765" s="16"/>
      <c r="L765" s="16"/>
      <c r="M765" s="16"/>
      <c r="N765" s="100"/>
      <c r="O765" s="100"/>
      <c r="P765" s="100"/>
      <c r="Q765" s="106"/>
      <c r="R765" s="107"/>
      <c r="S765" s="104"/>
      <c r="T765" s="74"/>
      <c r="U765" s="108"/>
      <c r="V765" s="74" t="str">
        <f t="array" ref="V765">IFERROR(index('3. Công thức lab theo từng mã h'!J:J,MATCH(C765,'3. Công thức lab theo từng mã h'!L:L,0)),"")</f>
        <v/>
      </c>
      <c r="W765" s="74"/>
      <c r="X765" s="75"/>
    </row>
    <row r="766">
      <c r="A766" s="76">
        <f t="shared" si="2"/>
        <v>0</v>
      </c>
      <c r="B766" s="88"/>
      <c r="C766" s="76"/>
      <c r="D766" s="86"/>
      <c r="E766" s="86"/>
      <c r="F766" s="90"/>
      <c r="G766" s="91"/>
      <c r="H766" s="86"/>
      <c r="I766" s="86"/>
      <c r="J766" s="86"/>
      <c r="K766" s="86"/>
      <c r="L766" s="86"/>
      <c r="M766" s="86"/>
      <c r="N766" s="90"/>
      <c r="O766" s="90"/>
      <c r="P766" s="90"/>
      <c r="Q766" s="106"/>
      <c r="R766" s="95"/>
      <c r="S766" s="96"/>
      <c r="T766" s="85"/>
      <c r="U766" s="97"/>
      <c r="V766" s="85" t="str">
        <f t="array" ref="V766">IFERROR(index('3. Công thức lab theo từng mã h'!J:J,MATCH(C766,'3. Công thức lab theo từng mã h'!L:L,0)),"")</f>
        <v/>
      </c>
      <c r="W766" s="85"/>
      <c r="X766" s="75"/>
    </row>
    <row r="767">
      <c r="A767" s="64">
        <f t="shared" si="2"/>
        <v>0</v>
      </c>
      <c r="B767" s="98"/>
      <c r="C767" s="64"/>
      <c r="D767" s="16"/>
      <c r="E767" s="16"/>
      <c r="F767" s="100"/>
      <c r="G767" s="101"/>
      <c r="H767" s="16"/>
      <c r="I767" s="16"/>
      <c r="J767" s="16"/>
      <c r="K767" s="16"/>
      <c r="L767" s="16"/>
      <c r="M767" s="16"/>
      <c r="N767" s="100"/>
      <c r="O767" s="100"/>
      <c r="P767" s="100"/>
      <c r="Q767" s="106"/>
      <c r="R767" s="107"/>
      <c r="S767" s="104"/>
      <c r="T767" s="74"/>
      <c r="U767" s="108"/>
      <c r="V767" s="74" t="str">
        <f t="array" ref="V767">IFERROR(index('3. Công thức lab theo từng mã h'!J:J,MATCH(C767,'3. Công thức lab theo từng mã h'!L:L,0)),"")</f>
        <v/>
      </c>
      <c r="W767" s="74"/>
      <c r="X767" s="75"/>
    </row>
    <row r="768">
      <c r="A768" s="76">
        <f t="shared" si="2"/>
        <v>0</v>
      </c>
      <c r="B768" s="88"/>
      <c r="C768" s="76"/>
      <c r="D768" s="86"/>
      <c r="E768" s="86"/>
      <c r="F768" s="90"/>
      <c r="G768" s="91"/>
      <c r="H768" s="86"/>
      <c r="I768" s="86"/>
      <c r="J768" s="86"/>
      <c r="K768" s="86"/>
      <c r="L768" s="86"/>
      <c r="M768" s="86"/>
      <c r="N768" s="90"/>
      <c r="O768" s="90"/>
      <c r="P768" s="90"/>
      <c r="Q768" s="106"/>
      <c r="R768" s="95"/>
      <c r="S768" s="96"/>
      <c r="T768" s="85"/>
      <c r="U768" s="97"/>
      <c r="V768" s="85" t="str">
        <f t="array" ref="V768">IFERROR(index('3. Công thức lab theo từng mã h'!J:J,MATCH(C768,'3. Công thức lab theo từng mã h'!L:L,0)),"")</f>
        <v/>
      </c>
      <c r="W768" s="85"/>
      <c r="X768" s="75"/>
    </row>
    <row r="769">
      <c r="A769" s="64">
        <f t="shared" si="2"/>
        <v>0</v>
      </c>
      <c r="B769" s="98"/>
      <c r="C769" s="64"/>
      <c r="D769" s="16"/>
      <c r="E769" s="16"/>
      <c r="F769" s="100"/>
      <c r="G769" s="101"/>
      <c r="H769" s="16"/>
      <c r="I769" s="16"/>
      <c r="J769" s="16"/>
      <c r="K769" s="16"/>
      <c r="L769" s="16"/>
      <c r="M769" s="16"/>
      <c r="N769" s="100"/>
      <c r="O769" s="100"/>
      <c r="P769" s="100"/>
      <c r="Q769" s="106"/>
      <c r="R769" s="107"/>
      <c r="S769" s="104"/>
      <c r="T769" s="74"/>
      <c r="U769" s="108"/>
      <c r="V769" s="74" t="str">
        <f t="array" ref="V769">IFERROR(index('3. Công thức lab theo từng mã h'!J:J,MATCH(C769,'3. Công thức lab theo từng mã h'!L:L,0)),"")</f>
        <v/>
      </c>
      <c r="W769" s="74"/>
      <c r="X769" s="75"/>
    </row>
    <row r="770">
      <c r="A770" s="76">
        <f t="shared" si="2"/>
        <v>0</v>
      </c>
      <c r="B770" s="88"/>
      <c r="C770" s="76"/>
      <c r="D770" s="86"/>
      <c r="E770" s="86"/>
      <c r="F770" s="90"/>
      <c r="G770" s="91"/>
      <c r="H770" s="86"/>
      <c r="I770" s="86"/>
      <c r="J770" s="86"/>
      <c r="K770" s="86"/>
      <c r="L770" s="86"/>
      <c r="M770" s="86"/>
      <c r="N770" s="90"/>
      <c r="O770" s="90"/>
      <c r="P770" s="90"/>
      <c r="Q770" s="106"/>
      <c r="R770" s="95"/>
      <c r="S770" s="96"/>
      <c r="T770" s="85"/>
      <c r="U770" s="97"/>
      <c r="V770" s="85" t="str">
        <f t="array" ref="V770">IFERROR(index('3. Công thức lab theo từng mã h'!J:J,MATCH(C770,'3. Công thức lab theo từng mã h'!L:L,0)),"")</f>
        <v/>
      </c>
      <c r="W770" s="85"/>
      <c r="X770" s="75"/>
    </row>
    <row r="771">
      <c r="A771" s="64">
        <f t="shared" si="2"/>
        <v>0</v>
      </c>
      <c r="B771" s="98"/>
      <c r="C771" s="64"/>
      <c r="D771" s="16"/>
      <c r="E771" s="16"/>
      <c r="F771" s="100"/>
      <c r="G771" s="101"/>
      <c r="H771" s="16"/>
      <c r="I771" s="16"/>
      <c r="J771" s="16"/>
      <c r="K771" s="16"/>
      <c r="L771" s="16"/>
      <c r="M771" s="16"/>
      <c r="N771" s="100"/>
      <c r="O771" s="100"/>
      <c r="P771" s="100"/>
      <c r="Q771" s="106"/>
      <c r="R771" s="107"/>
      <c r="S771" s="104"/>
      <c r="T771" s="74"/>
      <c r="U771" s="108"/>
      <c r="V771" s="74" t="str">
        <f t="array" ref="V771">IFERROR(index('3. Công thức lab theo từng mã h'!J:J,MATCH(C771,'3. Công thức lab theo từng mã h'!L:L,0)),"")</f>
        <v/>
      </c>
      <c r="W771" s="74"/>
      <c r="X771" s="75"/>
    </row>
    <row r="772">
      <c r="A772" s="76">
        <f t="shared" si="2"/>
        <v>0</v>
      </c>
      <c r="B772" s="88"/>
      <c r="C772" s="76"/>
      <c r="D772" s="86"/>
      <c r="E772" s="86"/>
      <c r="F772" s="90"/>
      <c r="G772" s="91"/>
      <c r="H772" s="86"/>
      <c r="I772" s="86"/>
      <c r="J772" s="86"/>
      <c r="K772" s="86"/>
      <c r="L772" s="86"/>
      <c r="M772" s="86"/>
      <c r="N772" s="90"/>
      <c r="O772" s="90"/>
      <c r="P772" s="90"/>
      <c r="Q772" s="106"/>
      <c r="R772" s="95"/>
      <c r="S772" s="96"/>
      <c r="T772" s="85"/>
      <c r="U772" s="97"/>
      <c r="V772" s="85" t="str">
        <f t="array" ref="V772">IFERROR(index('3. Công thức lab theo từng mã h'!J:J,MATCH(C772,'3. Công thức lab theo từng mã h'!L:L,0)),"")</f>
        <v/>
      </c>
      <c r="W772" s="85"/>
      <c r="X772" s="75"/>
    </row>
    <row r="773">
      <c r="A773" s="64">
        <f t="shared" si="2"/>
        <v>0</v>
      </c>
      <c r="B773" s="98"/>
      <c r="C773" s="64"/>
      <c r="D773" s="16"/>
      <c r="E773" s="16"/>
      <c r="F773" s="100"/>
      <c r="G773" s="101"/>
      <c r="H773" s="16"/>
      <c r="I773" s="16"/>
      <c r="J773" s="16"/>
      <c r="K773" s="16"/>
      <c r="L773" s="16"/>
      <c r="M773" s="16"/>
      <c r="N773" s="100"/>
      <c r="O773" s="100"/>
      <c r="P773" s="100"/>
      <c r="Q773" s="106"/>
      <c r="R773" s="107"/>
      <c r="S773" s="104"/>
      <c r="T773" s="74"/>
      <c r="U773" s="108"/>
      <c r="V773" s="74" t="str">
        <f t="array" ref="V773">IFERROR(index('3. Công thức lab theo từng mã h'!J:J,MATCH(C773,'3. Công thức lab theo từng mã h'!L:L,0)),"")</f>
        <v/>
      </c>
      <c r="W773" s="74"/>
      <c r="X773" s="75"/>
    </row>
    <row r="774">
      <c r="A774" s="76">
        <f t="shared" si="2"/>
        <v>0</v>
      </c>
      <c r="B774" s="88"/>
      <c r="C774" s="76"/>
      <c r="D774" s="86"/>
      <c r="E774" s="86"/>
      <c r="F774" s="90"/>
      <c r="G774" s="91"/>
      <c r="H774" s="86"/>
      <c r="I774" s="86"/>
      <c r="J774" s="86"/>
      <c r="K774" s="86"/>
      <c r="L774" s="86"/>
      <c r="M774" s="86"/>
      <c r="N774" s="90"/>
      <c r="O774" s="90"/>
      <c r="P774" s="90"/>
      <c r="Q774" s="106"/>
      <c r="R774" s="95"/>
      <c r="S774" s="96"/>
      <c r="T774" s="85"/>
      <c r="U774" s="97"/>
      <c r="V774" s="85" t="str">
        <f t="array" ref="V774">IFERROR(index('3. Công thức lab theo từng mã h'!J:J,MATCH(C774,'3. Công thức lab theo từng mã h'!L:L,0)),"")</f>
        <v/>
      </c>
      <c r="W774" s="85"/>
      <c r="X774" s="75"/>
    </row>
    <row r="775">
      <c r="A775" s="64">
        <f t="shared" si="2"/>
        <v>0</v>
      </c>
      <c r="B775" s="98"/>
      <c r="C775" s="64"/>
      <c r="D775" s="16"/>
      <c r="E775" s="16"/>
      <c r="F775" s="100"/>
      <c r="G775" s="101"/>
      <c r="H775" s="16"/>
      <c r="I775" s="16"/>
      <c r="J775" s="16"/>
      <c r="K775" s="16"/>
      <c r="L775" s="16"/>
      <c r="M775" s="16"/>
      <c r="N775" s="100"/>
      <c r="O775" s="100"/>
      <c r="P775" s="100"/>
      <c r="Q775" s="106"/>
      <c r="R775" s="107"/>
      <c r="S775" s="104"/>
      <c r="T775" s="74"/>
      <c r="U775" s="108"/>
      <c r="V775" s="74" t="str">
        <f t="array" ref="V775">IFERROR(index('3. Công thức lab theo từng mã h'!J:J,MATCH(C775,'3. Công thức lab theo từng mã h'!L:L,0)),"")</f>
        <v/>
      </c>
      <c r="W775" s="74"/>
      <c r="X775" s="75"/>
    </row>
    <row r="776">
      <c r="A776" s="76">
        <f t="shared" si="2"/>
        <v>0</v>
      </c>
      <c r="B776" s="88"/>
      <c r="C776" s="76"/>
      <c r="D776" s="86"/>
      <c r="E776" s="86"/>
      <c r="F776" s="90"/>
      <c r="G776" s="91"/>
      <c r="H776" s="86"/>
      <c r="I776" s="86"/>
      <c r="J776" s="86"/>
      <c r="K776" s="86"/>
      <c r="L776" s="86"/>
      <c r="M776" s="86"/>
      <c r="N776" s="90"/>
      <c r="O776" s="90"/>
      <c r="P776" s="90"/>
      <c r="Q776" s="106"/>
      <c r="R776" s="95"/>
      <c r="S776" s="96"/>
      <c r="T776" s="85"/>
      <c r="U776" s="97"/>
      <c r="V776" s="85" t="str">
        <f t="array" ref="V776">IFERROR(index('3. Công thức lab theo từng mã h'!J:J,MATCH(C776,'3. Công thức lab theo từng mã h'!L:L,0)),"")</f>
        <v/>
      </c>
      <c r="W776" s="85"/>
      <c r="X776" s="75"/>
    </row>
    <row r="777">
      <c r="A777" s="64">
        <f t="shared" si="2"/>
        <v>0</v>
      </c>
      <c r="B777" s="98"/>
      <c r="C777" s="64"/>
      <c r="D777" s="16"/>
      <c r="E777" s="16"/>
      <c r="F777" s="100"/>
      <c r="G777" s="101"/>
      <c r="H777" s="16"/>
      <c r="I777" s="16"/>
      <c r="J777" s="16"/>
      <c r="K777" s="16"/>
      <c r="L777" s="16"/>
      <c r="M777" s="16"/>
      <c r="N777" s="100"/>
      <c r="O777" s="100"/>
      <c r="P777" s="100"/>
      <c r="Q777" s="106"/>
      <c r="R777" s="107"/>
      <c r="S777" s="104"/>
      <c r="T777" s="74"/>
      <c r="U777" s="108"/>
      <c r="V777" s="74" t="str">
        <f t="array" ref="V777">IFERROR(index('3. Công thức lab theo từng mã h'!J:J,MATCH(C777,'3. Công thức lab theo từng mã h'!L:L,0)),"")</f>
        <v/>
      </c>
      <c r="W777" s="74"/>
      <c r="X777" s="75"/>
    </row>
    <row r="778">
      <c r="A778" s="76">
        <f t="shared" si="2"/>
        <v>0</v>
      </c>
      <c r="B778" s="88"/>
      <c r="C778" s="76"/>
      <c r="D778" s="86"/>
      <c r="E778" s="86"/>
      <c r="F778" s="90"/>
      <c r="G778" s="91"/>
      <c r="H778" s="86"/>
      <c r="I778" s="86"/>
      <c r="J778" s="86"/>
      <c r="K778" s="86"/>
      <c r="L778" s="86"/>
      <c r="M778" s="86"/>
      <c r="N778" s="90"/>
      <c r="O778" s="90"/>
      <c r="P778" s="90"/>
      <c r="Q778" s="106"/>
      <c r="R778" s="95"/>
      <c r="S778" s="96"/>
      <c r="T778" s="85"/>
      <c r="U778" s="97"/>
      <c r="V778" s="85" t="str">
        <f t="array" ref="V778">IFERROR(index('3. Công thức lab theo từng mã h'!J:J,MATCH(C778,'3. Công thức lab theo từng mã h'!L:L,0)),"")</f>
        <v/>
      </c>
      <c r="W778" s="85"/>
      <c r="X778" s="75"/>
    </row>
    <row r="779">
      <c r="A779" s="64">
        <f t="shared" si="2"/>
        <v>0</v>
      </c>
      <c r="B779" s="98"/>
      <c r="C779" s="64"/>
      <c r="D779" s="16"/>
      <c r="E779" s="16"/>
      <c r="F779" s="100"/>
      <c r="G779" s="101"/>
      <c r="H779" s="16"/>
      <c r="I779" s="16"/>
      <c r="J779" s="16"/>
      <c r="K779" s="16"/>
      <c r="L779" s="16"/>
      <c r="M779" s="16"/>
      <c r="N779" s="100"/>
      <c r="O779" s="100"/>
      <c r="P779" s="100"/>
      <c r="Q779" s="106"/>
      <c r="R779" s="107"/>
      <c r="S779" s="104"/>
      <c r="T779" s="74"/>
      <c r="U779" s="108"/>
      <c r="V779" s="74" t="str">
        <f t="array" ref="V779">IFERROR(index('3. Công thức lab theo từng mã h'!J:J,MATCH(C779,'3. Công thức lab theo từng mã h'!L:L,0)),"")</f>
        <v/>
      </c>
      <c r="W779" s="74"/>
      <c r="X779" s="75"/>
    </row>
    <row r="780">
      <c r="A780" s="76">
        <f t="shared" si="2"/>
        <v>0</v>
      </c>
      <c r="B780" s="88"/>
      <c r="C780" s="76"/>
      <c r="D780" s="86"/>
      <c r="E780" s="86"/>
      <c r="F780" s="90"/>
      <c r="G780" s="91"/>
      <c r="H780" s="86"/>
      <c r="I780" s="86"/>
      <c r="J780" s="86"/>
      <c r="K780" s="86"/>
      <c r="L780" s="86"/>
      <c r="M780" s="86"/>
      <c r="N780" s="90"/>
      <c r="O780" s="90"/>
      <c r="P780" s="90"/>
      <c r="Q780" s="106"/>
      <c r="R780" s="95"/>
      <c r="S780" s="96"/>
      <c r="T780" s="85"/>
      <c r="U780" s="97"/>
      <c r="V780" s="85" t="str">
        <f t="array" ref="V780">IFERROR(index('3. Công thức lab theo từng mã h'!J:J,MATCH(C780,'3. Công thức lab theo từng mã h'!L:L,0)),"")</f>
        <v/>
      </c>
      <c r="W780" s="85"/>
      <c r="X780" s="75"/>
    </row>
    <row r="781">
      <c r="A781" s="64">
        <f t="shared" si="2"/>
        <v>0</v>
      </c>
      <c r="B781" s="98"/>
      <c r="C781" s="64"/>
      <c r="D781" s="16"/>
      <c r="E781" s="16"/>
      <c r="F781" s="100"/>
      <c r="G781" s="101"/>
      <c r="H781" s="16"/>
      <c r="I781" s="16"/>
      <c r="J781" s="16"/>
      <c r="K781" s="16"/>
      <c r="L781" s="16"/>
      <c r="M781" s="16"/>
      <c r="N781" s="100"/>
      <c r="O781" s="100"/>
      <c r="P781" s="100"/>
      <c r="Q781" s="106"/>
      <c r="R781" s="107"/>
      <c r="S781" s="104"/>
      <c r="T781" s="74"/>
      <c r="U781" s="108"/>
      <c r="V781" s="74" t="str">
        <f t="array" ref="V781">IFERROR(index('3. Công thức lab theo từng mã h'!J:J,MATCH(C781,'3. Công thức lab theo từng mã h'!L:L,0)),"")</f>
        <v/>
      </c>
      <c r="W781" s="74"/>
      <c r="X781" s="75"/>
    </row>
    <row r="782">
      <c r="A782" s="76">
        <f t="shared" si="2"/>
        <v>0</v>
      </c>
      <c r="B782" s="88"/>
      <c r="C782" s="76"/>
      <c r="D782" s="86"/>
      <c r="E782" s="86"/>
      <c r="F782" s="90"/>
      <c r="G782" s="91"/>
      <c r="H782" s="86"/>
      <c r="I782" s="86"/>
      <c r="J782" s="86"/>
      <c r="K782" s="86"/>
      <c r="L782" s="86"/>
      <c r="M782" s="86"/>
      <c r="N782" s="90"/>
      <c r="O782" s="90"/>
      <c r="P782" s="90"/>
      <c r="Q782" s="106"/>
      <c r="R782" s="95"/>
      <c r="S782" s="96"/>
      <c r="T782" s="85"/>
      <c r="U782" s="97"/>
      <c r="V782" s="85" t="str">
        <f t="array" ref="V782">IFERROR(index('3. Công thức lab theo từng mã h'!J:J,MATCH(C782,'3. Công thức lab theo từng mã h'!L:L,0)),"")</f>
        <v/>
      </c>
      <c r="W782" s="85"/>
      <c r="X782" s="75"/>
    </row>
    <row r="783">
      <c r="A783" s="64">
        <f t="shared" si="2"/>
        <v>0</v>
      </c>
      <c r="B783" s="98"/>
      <c r="C783" s="64"/>
      <c r="D783" s="16"/>
      <c r="E783" s="16"/>
      <c r="F783" s="100"/>
      <c r="G783" s="101"/>
      <c r="H783" s="16"/>
      <c r="I783" s="16"/>
      <c r="J783" s="16"/>
      <c r="K783" s="16"/>
      <c r="L783" s="16"/>
      <c r="M783" s="16"/>
      <c r="N783" s="100"/>
      <c r="O783" s="100"/>
      <c r="P783" s="100"/>
      <c r="Q783" s="106"/>
      <c r="R783" s="107"/>
      <c r="S783" s="104"/>
      <c r="T783" s="74"/>
      <c r="U783" s="108"/>
      <c r="V783" s="74" t="str">
        <f t="array" ref="V783">IFERROR(index('3. Công thức lab theo từng mã h'!J:J,MATCH(C783,'3. Công thức lab theo từng mã h'!L:L,0)),"")</f>
        <v/>
      </c>
      <c r="W783" s="74"/>
      <c r="X783" s="75"/>
    </row>
    <row r="784">
      <c r="A784" s="76">
        <f t="shared" si="2"/>
        <v>0</v>
      </c>
      <c r="B784" s="88"/>
      <c r="C784" s="76"/>
      <c r="D784" s="86"/>
      <c r="E784" s="86"/>
      <c r="F784" s="90"/>
      <c r="G784" s="91"/>
      <c r="H784" s="86"/>
      <c r="I784" s="86"/>
      <c r="J784" s="86"/>
      <c r="K784" s="86"/>
      <c r="L784" s="86"/>
      <c r="M784" s="86"/>
      <c r="N784" s="90"/>
      <c r="O784" s="90"/>
      <c r="P784" s="90"/>
      <c r="Q784" s="106"/>
      <c r="R784" s="95"/>
      <c r="S784" s="96"/>
      <c r="T784" s="85"/>
      <c r="U784" s="97"/>
      <c r="V784" s="85" t="str">
        <f t="array" ref="V784">IFERROR(index('3. Công thức lab theo từng mã h'!J:J,MATCH(C784,'3. Công thức lab theo từng mã h'!L:L,0)),"")</f>
        <v/>
      </c>
      <c r="W784" s="85"/>
      <c r="X784" s="75"/>
    </row>
    <row r="785">
      <c r="A785" s="64">
        <f t="shared" si="2"/>
        <v>0</v>
      </c>
      <c r="B785" s="98"/>
      <c r="C785" s="64"/>
      <c r="D785" s="16"/>
      <c r="E785" s="16"/>
      <c r="F785" s="100"/>
      <c r="G785" s="101"/>
      <c r="H785" s="16"/>
      <c r="I785" s="16"/>
      <c r="J785" s="16"/>
      <c r="K785" s="16"/>
      <c r="L785" s="16"/>
      <c r="M785" s="16"/>
      <c r="N785" s="100"/>
      <c r="O785" s="100"/>
      <c r="P785" s="100"/>
      <c r="Q785" s="106"/>
      <c r="R785" s="107"/>
      <c r="S785" s="104"/>
      <c r="T785" s="74"/>
      <c r="U785" s="108"/>
      <c r="V785" s="74" t="str">
        <f t="array" ref="V785">IFERROR(index('3. Công thức lab theo từng mã h'!J:J,MATCH(C785,'3. Công thức lab theo từng mã h'!L:L,0)),"")</f>
        <v/>
      </c>
      <c r="W785" s="74"/>
      <c r="X785" s="75"/>
    </row>
    <row r="786">
      <c r="A786" s="76">
        <f t="shared" si="2"/>
        <v>0</v>
      </c>
      <c r="B786" s="88"/>
      <c r="C786" s="76"/>
      <c r="D786" s="86"/>
      <c r="E786" s="86"/>
      <c r="F786" s="90"/>
      <c r="G786" s="91"/>
      <c r="H786" s="86"/>
      <c r="I786" s="86"/>
      <c r="J786" s="86"/>
      <c r="K786" s="86"/>
      <c r="L786" s="86"/>
      <c r="M786" s="86"/>
      <c r="N786" s="90"/>
      <c r="O786" s="90"/>
      <c r="P786" s="90"/>
      <c r="Q786" s="106"/>
      <c r="R786" s="95"/>
      <c r="S786" s="96"/>
      <c r="T786" s="85"/>
      <c r="U786" s="97"/>
      <c r="V786" s="85" t="str">
        <f t="array" ref="V786">IFERROR(index('3. Công thức lab theo từng mã h'!J:J,MATCH(C786,'3. Công thức lab theo từng mã h'!L:L,0)),"")</f>
        <v/>
      </c>
      <c r="W786" s="85"/>
      <c r="X786" s="75"/>
    </row>
    <row r="787">
      <c r="A787" s="64">
        <f t="shared" si="2"/>
        <v>0</v>
      </c>
      <c r="B787" s="98"/>
      <c r="C787" s="64"/>
      <c r="D787" s="16"/>
      <c r="E787" s="16"/>
      <c r="F787" s="100"/>
      <c r="G787" s="101"/>
      <c r="H787" s="16"/>
      <c r="I787" s="16"/>
      <c r="J787" s="16"/>
      <c r="K787" s="16"/>
      <c r="L787" s="16"/>
      <c r="M787" s="16"/>
      <c r="N787" s="100"/>
      <c r="O787" s="100"/>
      <c r="P787" s="100"/>
      <c r="Q787" s="106"/>
      <c r="R787" s="107"/>
      <c r="S787" s="104"/>
      <c r="T787" s="74"/>
      <c r="U787" s="108"/>
      <c r="V787" s="74" t="str">
        <f t="array" ref="V787">IFERROR(index('3. Công thức lab theo từng mã h'!J:J,MATCH(C787,'3. Công thức lab theo từng mã h'!L:L,0)),"")</f>
        <v/>
      </c>
      <c r="W787" s="74"/>
      <c r="X787" s="75"/>
    </row>
    <row r="788">
      <c r="A788" s="76">
        <f t="shared" si="2"/>
        <v>0</v>
      </c>
      <c r="B788" s="88"/>
      <c r="C788" s="76"/>
      <c r="D788" s="86"/>
      <c r="E788" s="86"/>
      <c r="F788" s="90"/>
      <c r="G788" s="91"/>
      <c r="H788" s="86"/>
      <c r="I788" s="86"/>
      <c r="J788" s="86"/>
      <c r="K788" s="86"/>
      <c r="L788" s="86"/>
      <c r="M788" s="86"/>
      <c r="N788" s="90"/>
      <c r="O788" s="90"/>
      <c r="P788" s="90"/>
      <c r="Q788" s="106"/>
      <c r="R788" s="95"/>
      <c r="S788" s="96"/>
      <c r="T788" s="85"/>
      <c r="U788" s="97"/>
      <c r="V788" s="85" t="str">
        <f t="array" ref="V788">IFERROR(index('3. Công thức lab theo từng mã h'!J:J,MATCH(C788,'3. Công thức lab theo từng mã h'!L:L,0)),"")</f>
        <v/>
      </c>
      <c r="W788" s="85"/>
      <c r="X788" s="75"/>
    </row>
    <row r="789">
      <c r="A789" s="64">
        <f t="shared" si="2"/>
        <v>0</v>
      </c>
      <c r="B789" s="98"/>
      <c r="C789" s="64"/>
      <c r="D789" s="16"/>
      <c r="E789" s="16"/>
      <c r="F789" s="100"/>
      <c r="G789" s="101"/>
      <c r="H789" s="16"/>
      <c r="I789" s="16"/>
      <c r="J789" s="16"/>
      <c r="K789" s="16"/>
      <c r="L789" s="16"/>
      <c r="M789" s="16"/>
      <c r="N789" s="100"/>
      <c r="O789" s="100"/>
      <c r="P789" s="100"/>
      <c r="Q789" s="106"/>
      <c r="R789" s="107"/>
      <c r="S789" s="104"/>
      <c r="T789" s="74"/>
      <c r="U789" s="108"/>
      <c r="V789" s="74" t="str">
        <f t="array" ref="V789">IFERROR(index('3. Công thức lab theo từng mã h'!J:J,MATCH(C789,'3. Công thức lab theo từng mã h'!L:L,0)),"")</f>
        <v/>
      </c>
      <c r="W789" s="74"/>
      <c r="X789" s="75"/>
    </row>
    <row r="790">
      <c r="A790" s="76">
        <f t="shared" si="2"/>
        <v>0</v>
      </c>
      <c r="B790" s="88"/>
      <c r="C790" s="76"/>
      <c r="D790" s="86"/>
      <c r="E790" s="86"/>
      <c r="F790" s="90"/>
      <c r="G790" s="91"/>
      <c r="H790" s="86"/>
      <c r="I790" s="86"/>
      <c r="J790" s="86"/>
      <c r="K790" s="86"/>
      <c r="L790" s="86"/>
      <c r="M790" s="86"/>
      <c r="N790" s="90"/>
      <c r="O790" s="90"/>
      <c r="P790" s="90"/>
      <c r="Q790" s="106"/>
      <c r="R790" s="95"/>
      <c r="S790" s="96"/>
      <c r="T790" s="85"/>
      <c r="U790" s="97"/>
      <c r="V790" s="85" t="str">
        <f t="array" ref="V790">IFERROR(index('3. Công thức lab theo từng mã h'!J:J,MATCH(C790,'3. Công thức lab theo từng mã h'!L:L,0)),"")</f>
        <v/>
      </c>
      <c r="W790" s="85"/>
      <c r="X790" s="75"/>
    </row>
    <row r="791">
      <c r="A791" s="64">
        <f t="shared" si="2"/>
        <v>0</v>
      </c>
      <c r="B791" s="98"/>
      <c r="C791" s="64"/>
      <c r="D791" s="16"/>
      <c r="E791" s="16"/>
      <c r="F791" s="100"/>
      <c r="G791" s="101"/>
      <c r="H791" s="16"/>
      <c r="I791" s="16"/>
      <c r="J791" s="16"/>
      <c r="K791" s="16"/>
      <c r="L791" s="16"/>
      <c r="M791" s="16"/>
      <c r="N791" s="100"/>
      <c r="O791" s="100"/>
      <c r="P791" s="100"/>
      <c r="Q791" s="106"/>
      <c r="R791" s="107"/>
      <c r="S791" s="104"/>
      <c r="T791" s="74"/>
      <c r="U791" s="108"/>
      <c r="V791" s="74" t="str">
        <f t="array" ref="V791">IFERROR(index('3. Công thức lab theo từng mã h'!J:J,MATCH(C791,'3. Công thức lab theo từng mã h'!L:L,0)),"")</f>
        <v/>
      </c>
      <c r="W791" s="74"/>
      <c r="X791" s="75"/>
    </row>
    <row r="792">
      <c r="A792" s="76">
        <f t="shared" si="2"/>
        <v>0</v>
      </c>
      <c r="B792" s="88"/>
      <c r="C792" s="76"/>
      <c r="D792" s="86"/>
      <c r="E792" s="86"/>
      <c r="F792" s="90"/>
      <c r="G792" s="91"/>
      <c r="H792" s="86"/>
      <c r="I792" s="86"/>
      <c r="J792" s="86"/>
      <c r="K792" s="86"/>
      <c r="L792" s="86"/>
      <c r="M792" s="86"/>
      <c r="N792" s="90"/>
      <c r="O792" s="90"/>
      <c r="P792" s="90"/>
      <c r="Q792" s="106"/>
      <c r="R792" s="95"/>
      <c r="S792" s="96"/>
      <c r="T792" s="85"/>
      <c r="U792" s="97"/>
      <c r="V792" s="85" t="str">
        <f t="array" ref="V792">IFERROR(index('3. Công thức lab theo từng mã h'!J:J,MATCH(C792,'3. Công thức lab theo từng mã h'!L:L,0)),"")</f>
        <v/>
      </c>
      <c r="W792" s="85"/>
      <c r="X792" s="75"/>
    </row>
    <row r="793">
      <c r="A793" s="64">
        <f t="shared" si="2"/>
        <v>0</v>
      </c>
      <c r="B793" s="98"/>
      <c r="C793" s="64"/>
      <c r="D793" s="16"/>
      <c r="E793" s="16"/>
      <c r="F793" s="100"/>
      <c r="G793" s="101"/>
      <c r="H793" s="16"/>
      <c r="I793" s="16"/>
      <c r="J793" s="16"/>
      <c r="K793" s="16"/>
      <c r="L793" s="16"/>
      <c r="M793" s="16"/>
      <c r="N793" s="100"/>
      <c r="O793" s="100"/>
      <c r="P793" s="100"/>
      <c r="Q793" s="106"/>
      <c r="R793" s="107"/>
      <c r="S793" s="104"/>
      <c r="T793" s="74"/>
      <c r="U793" s="108"/>
      <c r="V793" s="74" t="str">
        <f t="array" ref="V793">IFERROR(index('3. Công thức lab theo từng mã h'!J:J,MATCH(C793,'3. Công thức lab theo từng mã h'!L:L,0)),"")</f>
        <v/>
      </c>
      <c r="W793" s="74"/>
      <c r="X793" s="75"/>
    </row>
    <row r="794">
      <c r="A794" s="76">
        <f t="shared" si="2"/>
        <v>0</v>
      </c>
      <c r="B794" s="88"/>
      <c r="C794" s="76"/>
      <c r="D794" s="86"/>
      <c r="E794" s="86"/>
      <c r="F794" s="90"/>
      <c r="G794" s="91"/>
      <c r="H794" s="86"/>
      <c r="I794" s="86"/>
      <c r="J794" s="86"/>
      <c r="K794" s="86"/>
      <c r="L794" s="86"/>
      <c r="M794" s="86"/>
      <c r="N794" s="90"/>
      <c r="O794" s="90"/>
      <c r="P794" s="90"/>
      <c r="Q794" s="106"/>
      <c r="R794" s="95"/>
      <c r="S794" s="96"/>
      <c r="T794" s="85"/>
      <c r="U794" s="97"/>
      <c r="V794" s="85" t="str">
        <f t="array" ref="V794">IFERROR(index('3. Công thức lab theo từng mã h'!J:J,MATCH(C794,'3. Công thức lab theo từng mã h'!L:L,0)),"")</f>
        <v/>
      </c>
      <c r="W794" s="85"/>
      <c r="X794" s="75"/>
    </row>
    <row r="795">
      <c r="A795" s="64">
        <f t="shared" si="2"/>
        <v>0</v>
      </c>
      <c r="B795" s="98"/>
      <c r="C795" s="64"/>
      <c r="D795" s="16"/>
      <c r="E795" s="16"/>
      <c r="F795" s="100"/>
      <c r="G795" s="101"/>
      <c r="H795" s="16"/>
      <c r="I795" s="16"/>
      <c r="J795" s="16"/>
      <c r="K795" s="16"/>
      <c r="L795" s="16"/>
      <c r="M795" s="16"/>
      <c r="N795" s="100"/>
      <c r="O795" s="100"/>
      <c r="P795" s="100"/>
      <c r="Q795" s="106"/>
      <c r="R795" s="107"/>
      <c r="S795" s="104"/>
      <c r="T795" s="74"/>
      <c r="U795" s="108"/>
      <c r="V795" s="74" t="str">
        <f t="array" ref="V795">IFERROR(index('3. Công thức lab theo từng mã h'!J:J,MATCH(C795,'3. Công thức lab theo từng mã h'!L:L,0)),"")</f>
        <v/>
      </c>
      <c r="W795" s="74"/>
      <c r="X795" s="75"/>
    </row>
    <row r="796">
      <c r="A796" s="76">
        <f t="shared" si="2"/>
        <v>0</v>
      </c>
      <c r="B796" s="88"/>
      <c r="C796" s="76"/>
      <c r="D796" s="86"/>
      <c r="E796" s="86"/>
      <c r="F796" s="90"/>
      <c r="G796" s="91"/>
      <c r="H796" s="86"/>
      <c r="I796" s="86"/>
      <c r="J796" s="86"/>
      <c r="K796" s="86"/>
      <c r="L796" s="86"/>
      <c r="M796" s="86"/>
      <c r="N796" s="90"/>
      <c r="O796" s="90"/>
      <c r="P796" s="90"/>
      <c r="Q796" s="106"/>
      <c r="R796" s="95"/>
      <c r="S796" s="96"/>
      <c r="T796" s="85"/>
      <c r="U796" s="97"/>
      <c r="V796" s="85" t="str">
        <f t="array" ref="V796">IFERROR(index('3. Công thức lab theo từng mã h'!J:J,MATCH(C796,'3. Công thức lab theo từng mã h'!L:L,0)),"")</f>
        <v/>
      </c>
      <c r="W796" s="85"/>
      <c r="X796" s="75"/>
    </row>
    <row r="797">
      <c r="A797" s="64">
        <f t="shared" si="2"/>
        <v>0</v>
      </c>
      <c r="B797" s="98"/>
      <c r="C797" s="64"/>
      <c r="D797" s="16"/>
      <c r="E797" s="16"/>
      <c r="F797" s="100"/>
      <c r="G797" s="101"/>
      <c r="H797" s="16"/>
      <c r="I797" s="16"/>
      <c r="J797" s="16"/>
      <c r="K797" s="16"/>
      <c r="L797" s="16"/>
      <c r="M797" s="16"/>
      <c r="N797" s="100"/>
      <c r="O797" s="100"/>
      <c r="P797" s="100"/>
      <c r="Q797" s="106"/>
      <c r="R797" s="107"/>
      <c r="S797" s="104"/>
      <c r="T797" s="74"/>
      <c r="U797" s="108"/>
      <c r="V797" s="74" t="str">
        <f t="array" ref="V797">IFERROR(index('3. Công thức lab theo từng mã h'!J:J,MATCH(C797,'3. Công thức lab theo từng mã h'!L:L,0)),"")</f>
        <v/>
      </c>
      <c r="W797" s="74"/>
      <c r="X797" s="75"/>
    </row>
    <row r="798">
      <c r="A798" s="76">
        <f t="shared" si="2"/>
        <v>0</v>
      </c>
      <c r="B798" s="88"/>
      <c r="C798" s="76"/>
      <c r="D798" s="86"/>
      <c r="E798" s="86"/>
      <c r="F798" s="90"/>
      <c r="G798" s="91"/>
      <c r="H798" s="86"/>
      <c r="I798" s="86"/>
      <c r="J798" s="86"/>
      <c r="K798" s="86"/>
      <c r="L798" s="86"/>
      <c r="M798" s="86"/>
      <c r="N798" s="90"/>
      <c r="O798" s="90"/>
      <c r="P798" s="90"/>
      <c r="Q798" s="106"/>
      <c r="R798" s="95"/>
      <c r="S798" s="96"/>
      <c r="T798" s="85"/>
      <c r="U798" s="97"/>
      <c r="V798" s="85" t="str">
        <f t="array" ref="V798">IFERROR(index('3. Công thức lab theo từng mã h'!J:J,MATCH(C798,'3. Công thức lab theo từng mã h'!L:L,0)),"")</f>
        <v/>
      </c>
      <c r="W798" s="85"/>
      <c r="X798" s="75"/>
    </row>
    <row r="799">
      <c r="A799" s="64">
        <f t="shared" si="2"/>
        <v>0</v>
      </c>
      <c r="B799" s="98"/>
      <c r="C799" s="64"/>
      <c r="D799" s="16"/>
      <c r="E799" s="16"/>
      <c r="F799" s="100"/>
      <c r="G799" s="101"/>
      <c r="H799" s="16"/>
      <c r="I799" s="16"/>
      <c r="J799" s="16"/>
      <c r="K799" s="16"/>
      <c r="L799" s="16"/>
      <c r="M799" s="16"/>
      <c r="N799" s="100"/>
      <c r="O799" s="100"/>
      <c r="P799" s="100"/>
      <c r="Q799" s="106"/>
      <c r="R799" s="107"/>
      <c r="S799" s="104"/>
      <c r="T799" s="74"/>
      <c r="U799" s="108"/>
      <c r="V799" s="74" t="str">
        <f t="array" ref="V799">IFERROR(index('3. Công thức lab theo từng mã h'!J:J,MATCH(C799,'3. Công thức lab theo từng mã h'!L:L,0)),"")</f>
        <v/>
      </c>
      <c r="W799" s="74"/>
      <c r="X799" s="75"/>
    </row>
    <row r="800">
      <c r="A800" s="76">
        <f t="shared" si="2"/>
        <v>0</v>
      </c>
      <c r="B800" s="88"/>
      <c r="C800" s="76"/>
      <c r="D800" s="86"/>
      <c r="E800" s="86"/>
      <c r="F800" s="90"/>
      <c r="G800" s="91"/>
      <c r="H800" s="86"/>
      <c r="I800" s="86"/>
      <c r="J800" s="86"/>
      <c r="K800" s="86"/>
      <c r="L800" s="86"/>
      <c r="M800" s="86"/>
      <c r="N800" s="90"/>
      <c r="O800" s="90"/>
      <c r="P800" s="90"/>
      <c r="Q800" s="106"/>
      <c r="R800" s="95"/>
      <c r="S800" s="96"/>
      <c r="T800" s="85"/>
      <c r="U800" s="97"/>
      <c r="V800" s="85" t="str">
        <f t="array" ref="V800">IFERROR(index('3. Công thức lab theo từng mã h'!J:J,MATCH(C800,'3. Công thức lab theo từng mã h'!L:L,0)),"")</f>
        <v/>
      </c>
      <c r="W800" s="85"/>
      <c r="X800" s="75"/>
    </row>
    <row r="801">
      <c r="A801" s="64">
        <f t="shared" si="2"/>
        <v>0</v>
      </c>
      <c r="B801" s="98"/>
      <c r="C801" s="64"/>
      <c r="D801" s="16"/>
      <c r="E801" s="16"/>
      <c r="F801" s="100"/>
      <c r="G801" s="101"/>
      <c r="H801" s="16"/>
      <c r="I801" s="16"/>
      <c r="J801" s="16"/>
      <c r="K801" s="16"/>
      <c r="L801" s="16"/>
      <c r="M801" s="16"/>
      <c r="N801" s="100"/>
      <c r="O801" s="100"/>
      <c r="P801" s="100"/>
      <c r="Q801" s="106"/>
      <c r="R801" s="107"/>
      <c r="S801" s="104"/>
      <c r="T801" s="74"/>
      <c r="U801" s="108"/>
      <c r="V801" s="74" t="str">
        <f t="array" ref="V801">IFERROR(index('3. Công thức lab theo từng mã h'!J:J,MATCH(C801,'3. Công thức lab theo từng mã h'!L:L,0)),"")</f>
        <v/>
      </c>
      <c r="W801" s="74"/>
      <c r="X801" s="75"/>
    </row>
    <row r="802">
      <c r="A802" s="76">
        <f t="shared" si="2"/>
        <v>0</v>
      </c>
      <c r="B802" s="88"/>
      <c r="C802" s="76"/>
      <c r="D802" s="86"/>
      <c r="E802" s="86"/>
      <c r="F802" s="90"/>
      <c r="G802" s="91"/>
      <c r="H802" s="86"/>
      <c r="I802" s="86"/>
      <c r="J802" s="86"/>
      <c r="K802" s="86"/>
      <c r="L802" s="86"/>
      <c r="M802" s="86"/>
      <c r="N802" s="90"/>
      <c r="O802" s="90"/>
      <c r="P802" s="90"/>
      <c r="Q802" s="106"/>
      <c r="R802" s="95"/>
      <c r="S802" s="96"/>
      <c r="T802" s="85"/>
      <c r="U802" s="97"/>
      <c r="V802" s="85" t="str">
        <f t="array" ref="V802">IFERROR(index('3. Công thức lab theo từng mã h'!J:J,MATCH(C802,'3. Công thức lab theo từng mã h'!L:L,0)),"")</f>
        <v/>
      </c>
      <c r="W802" s="85"/>
      <c r="X802" s="75"/>
    </row>
    <row r="803">
      <c r="A803" s="64">
        <f t="shared" si="2"/>
        <v>0</v>
      </c>
      <c r="B803" s="98"/>
      <c r="C803" s="64"/>
      <c r="D803" s="16"/>
      <c r="E803" s="16"/>
      <c r="F803" s="100"/>
      <c r="G803" s="101"/>
      <c r="H803" s="16"/>
      <c r="I803" s="16"/>
      <c r="J803" s="16"/>
      <c r="K803" s="16"/>
      <c r="L803" s="16"/>
      <c r="M803" s="16"/>
      <c r="N803" s="100"/>
      <c r="O803" s="100"/>
      <c r="P803" s="100"/>
      <c r="Q803" s="106"/>
      <c r="R803" s="107"/>
      <c r="S803" s="104"/>
      <c r="T803" s="74"/>
      <c r="U803" s="108"/>
      <c r="V803" s="74" t="str">
        <f t="array" ref="V803">IFERROR(index('3. Công thức lab theo từng mã h'!J:J,MATCH(C803,'3. Công thức lab theo từng mã h'!L:L,0)),"")</f>
        <v/>
      </c>
      <c r="W803" s="74"/>
      <c r="X803" s="75"/>
    </row>
    <row r="804">
      <c r="A804" s="76">
        <f t="shared" si="2"/>
        <v>0</v>
      </c>
      <c r="B804" s="88"/>
      <c r="C804" s="76"/>
      <c r="D804" s="86"/>
      <c r="E804" s="86"/>
      <c r="F804" s="90"/>
      <c r="G804" s="91"/>
      <c r="H804" s="86"/>
      <c r="I804" s="86"/>
      <c r="J804" s="86"/>
      <c r="K804" s="86"/>
      <c r="L804" s="86"/>
      <c r="M804" s="86"/>
      <c r="N804" s="90"/>
      <c r="O804" s="90"/>
      <c r="P804" s="90"/>
      <c r="Q804" s="106"/>
      <c r="R804" s="95"/>
      <c r="S804" s="96"/>
      <c r="T804" s="85"/>
      <c r="U804" s="97"/>
      <c r="V804" s="85" t="str">
        <f t="array" ref="V804">IFERROR(index('3. Công thức lab theo từng mã h'!J:J,MATCH(C804,'3. Công thức lab theo từng mã h'!L:L,0)),"")</f>
        <v/>
      </c>
      <c r="W804" s="85"/>
      <c r="X804" s="75"/>
    </row>
    <row r="805">
      <c r="A805" s="64">
        <f t="shared" si="2"/>
        <v>0</v>
      </c>
      <c r="B805" s="98"/>
      <c r="C805" s="64"/>
      <c r="D805" s="16"/>
      <c r="E805" s="16"/>
      <c r="F805" s="100"/>
      <c r="G805" s="101"/>
      <c r="H805" s="16"/>
      <c r="I805" s="16"/>
      <c r="J805" s="16"/>
      <c r="K805" s="16"/>
      <c r="L805" s="16"/>
      <c r="M805" s="16"/>
      <c r="N805" s="100"/>
      <c r="O805" s="100"/>
      <c r="P805" s="100"/>
      <c r="Q805" s="106"/>
      <c r="R805" s="107"/>
      <c r="S805" s="104"/>
      <c r="T805" s="74"/>
      <c r="U805" s="108"/>
      <c r="V805" s="74" t="str">
        <f t="array" ref="V805">IFERROR(index('3. Công thức lab theo từng mã h'!J:J,MATCH(C805,'3. Công thức lab theo từng mã h'!L:L,0)),"")</f>
        <v/>
      </c>
      <c r="W805" s="74"/>
      <c r="X805" s="75"/>
    </row>
    <row r="806">
      <c r="A806" s="76">
        <f t="shared" si="2"/>
        <v>0</v>
      </c>
      <c r="B806" s="88"/>
      <c r="C806" s="76"/>
      <c r="D806" s="86"/>
      <c r="E806" s="86"/>
      <c r="F806" s="90"/>
      <c r="G806" s="91"/>
      <c r="H806" s="86"/>
      <c r="I806" s="86"/>
      <c r="J806" s="86"/>
      <c r="K806" s="86"/>
      <c r="L806" s="86"/>
      <c r="M806" s="86"/>
      <c r="N806" s="90"/>
      <c r="O806" s="90"/>
      <c r="P806" s="90"/>
      <c r="Q806" s="106"/>
      <c r="R806" s="95"/>
      <c r="S806" s="96"/>
      <c r="T806" s="85"/>
      <c r="U806" s="97"/>
      <c r="V806" s="85" t="str">
        <f t="array" ref="V806">IFERROR(index('3. Công thức lab theo từng mã h'!J:J,MATCH(C806,'3. Công thức lab theo từng mã h'!L:L,0)),"")</f>
        <v/>
      </c>
      <c r="W806" s="85"/>
      <c r="X806" s="75"/>
    </row>
    <row r="807">
      <c r="A807" s="64">
        <f t="shared" si="2"/>
        <v>0</v>
      </c>
      <c r="B807" s="98"/>
      <c r="C807" s="64"/>
      <c r="D807" s="16"/>
      <c r="E807" s="16"/>
      <c r="F807" s="100"/>
      <c r="G807" s="101"/>
      <c r="H807" s="16"/>
      <c r="I807" s="16"/>
      <c r="J807" s="16"/>
      <c r="K807" s="16"/>
      <c r="L807" s="16"/>
      <c r="M807" s="16"/>
      <c r="N807" s="100"/>
      <c r="O807" s="100"/>
      <c r="P807" s="100"/>
      <c r="Q807" s="106"/>
      <c r="R807" s="107"/>
      <c r="S807" s="104"/>
      <c r="T807" s="74"/>
      <c r="U807" s="108"/>
      <c r="V807" s="74" t="str">
        <f t="array" ref="V807">IFERROR(index('3. Công thức lab theo từng mã h'!J:J,MATCH(C807,'3. Công thức lab theo từng mã h'!L:L,0)),"")</f>
        <v/>
      </c>
      <c r="W807" s="74"/>
      <c r="X807" s="75"/>
    </row>
    <row r="808">
      <c r="A808" s="76">
        <f t="shared" si="2"/>
        <v>0</v>
      </c>
      <c r="B808" s="88"/>
      <c r="C808" s="76"/>
      <c r="D808" s="86"/>
      <c r="E808" s="86"/>
      <c r="F808" s="90"/>
      <c r="G808" s="91"/>
      <c r="H808" s="86"/>
      <c r="I808" s="86"/>
      <c r="J808" s="86"/>
      <c r="K808" s="86"/>
      <c r="L808" s="86"/>
      <c r="M808" s="86"/>
      <c r="N808" s="90"/>
      <c r="O808" s="90"/>
      <c r="P808" s="90"/>
      <c r="Q808" s="106"/>
      <c r="R808" s="95"/>
      <c r="S808" s="96"/>
      <c r="T808" s="85"/>
      <c r="U808" s="97"/>
      <c r="V808" s="85" t="str">
        <f t="array" ref="V808">IFERROR(index('3. Công thức lab theo từng mã h'!J:J,MATCH(C808,'3. Công thức lab theo từng mã h'!L:L,0)),"")</f>
        <v/>
      </c>
      <c r="W808" s="85"/>
      <c r="X808" s="75"/>
    </row>
    <row r="809">
      <c r="A809" s="64">
        <f t="shared" si="2"/>
        <v>0</v>
      </c>
      <c r="B809" s="98"/>
      <c r="C809" s="64"/>
      <c r="D809" s="16"/>
      <c r="E809" s="16"/>
      <c r="F809" s="100"/>
      <c r="G809" s="101"/>
      <c r="H809" s="16"/>
      <c r="I809" s="16"/>
      <c r="J809" s="16"/>
      <c r="K809" s="16"/>
      <c r="L809" s="16"/>
      <c r="M809" s="16"/>
      <c r="N809" s="100"/>
      <c r="O809" s="100"/>
      <c r="P809" s="100"/>
      <c r="Q809" s="106"/>
      <c r="R809" s="107"/>
      <c r="S809" s="104"/>
      <c r="T809" s="74"/>
      <c r="U809" s="108"/>
      <c r="V809" s="74" t="str">
        <f t="array" ref="V809">IFERROR(index('3. Công thức lab theo từng mã h'!J:J,MATCH(C809,'3. Công thức lab theo từng mã h'!L:L,0)),"")</f>
        <v/>
      </c>
      <c r="W809" s="74"/>
      <c r="X809" s="75"/>
    </row>
    <row r="810">
      <c r="A810" s="76">
        <f t="shared" si="2"/>
        <v>0</v>
      </c>
      <c r="B810" s="88"/>
      <c r="C810" s="76"/>
      <c r="D810" s="86"/>
      <c r="E810" s="86"/>
      <c r="F810" s="90"/>
      <c r="G810" s="91"/>
      <c r="H810" s="86"/>
      <c r="I810" s="86"/>
      <c r="J810" s="86"/>
      <c r="K810" s="86"/>
      <c r="L810" s="86"/>
      <c r="M810" s="86"/>
      <c r="N810" s="90"/>
      <c r="O810" s="90"/>
      <c r="P810" s="90"/>
      <c r="Q810" s="106"/>
      <c r="R810" s="95"/>
      <c r="S810" s="96"/>
      <c r="T810" s="85"/>
      <c r="U810" s="97"/>
      <c r="V810" s="85" t="str">
        <f t="array" ref="V810">IFERROR(index('3. Công thức lab theo từng mã h'!J:J,MATCH(C810,'3. Công thức lab theo từng mã h'!L:L,0)),"")</f>
        <v/>
      </c>
      <c r="W810" s="85"/>
      <c r="X810" s="75"/>
    </row>
    <row r="811">
      <c r="A811" s="64">
        <f t="shared" si="2"/>
        <v>0</v>
      </c>
      <c r="B811" s="98"/>
      <c r="C811" s="64"/>
      <c r="D811" s="16"/>
      <c r="E811" s="16"/>
      <c r="F811" s="100"/>
      <c r="G811" s="101"/>
      <c r="H811" s="16"/>
      <c r="I811" s="16"/>
      <c r="J811" s="16"/>
      <c r="K811" s="16"/>
      <c r="L811" s="16"/>
      <c r="M811" s="16"/>
      <c r="N811" s="100"/>
      <c r="O811" s="100"/>
      <c r="P811" s="100"/>
      <c r="Q811" s="106"/>
      <c r="R811" s="107"/>
      <c r="S811" s="104"/>
      <c r="T811" s="74"/>
      <c r="U811" s="108"/>
      <c r="V811" s="74" t="str">
        <f t="array" ref="V811">IFERROR(index('3. Công thức lab theo từng mã h'!J:J,MATCH(C811,'3. Công thức lab theo từng mã h'!L:L,0)),"")</f>
        <v/>
      </c>
      <c r="W811" s="74"/>
      <c r="X811" s="75"/>
    </row>
    <row r="812">
      <c r="A812" s="76">
        <f t="shared" si="2"/>
        <v>0</v>
      </c>
      <c r="B812" s="88"/>
      <c r="C812" s="76"/>
      <c r="D812" s="86"/>
      <c r="E812" s="86"/>
      <c r="F812" s="90"/>
      <c r="G812" s="91"/>
      <c r="H812" s="86"/>
      <c r="I812" s="86"/>
      <c r="J812" s="86"/>
      <c r="K812" s="86"/>
      <c r="L812" s="86"/>
      <c r="M812" s="86"/>
      <c r="N812" s="90"/>
      <c r="O812" s="90"/>
      <c r="P812" s="90"/>
      <c r="Q812" s="106"/>
      <c r="R812" s="95"/>
      <c r="S812" s="96"/>
      <c r="T812" s="85"/>
      <c r="U812" s="97"/>
      <c r="V812" s="85" t="str">
        <f t="array" ref="V812">IFERROR(index('3. Công thức lab theo từng mã h'!J:J,MATCH(C812,'3. Công thức lab theo từng mã h'!L:L,0)),"")</f>
        <v/>
      </c>
      <c r="W812" s="85"/>
      <c r="X812" s="75"/>
    </row>
    <row r="813">
      <c r="A813" s="64">
        <f t="shared" si="2"/>
        <v>0</v>
      </c>
      <c r="B813" s="98"/>
      <c r="C813" s="64"/>
      <c r="D813" s="16"/>
      <c r="E813" s="16"/>
      <c r="F813" s="100"/>
      <c r="G813" s="101"/>
      <c r="H813" s="16"/>
      <c r="I813" s="16"/>
      <c r="J813" s="16"/>
      <c r="K813" s="16"/>
      <c r="L813" s="16"/>
      <c r="M813" s="16"/>
      <c r="N813" s="100"/>
      <c r="O813" s="100"/>
      <c r="P813" s="100"/>
      <c r="Q813" s="106"/>
      <c r="R813" s="107"/>
      <c r="S813" s="104"/>
      <c r="T813" s="74"/>
      <c r="U813" s="108"/>
      <c r="V813" s="74" t="str">
        <f t="array" ref="V813">IFERROR(index('3. Công thức lab theo từng mã h'!J:J,MATCH(C813,'3. Công thức lab theo từng mã h'!L:L,0)),"")</f>
        <v/>
      </c>
      <c r="W813" s="74"/>
      <c r="X813" s="75"/>
    </row>
    <row r="814">
      <c r="A814" s="76">
        <f t="shared" si="2"/>
        <v>0</v>
      </c>
      <c r="B814" s="88"/>
      <c r="C814" s="76"/>
      <c r="D814" s="86"/>
      <c r="E814" s="86"/>
      <c r="F814" s="90"/>
      <c r="G814" s="91"/>
      <c r="H814" s="86"/>
      <c r="I814" s="86"/>
      <c r="J814" s="86"/>
      <c r="K814" s="86"/>
      <c r="L814" s="86"/>
      <c r="M814" s="86"/>
      <c r="N814" s="90"/>
      <c r="O814" s="90"/>
      <c r="P814" s="90"/>
      <c r="Q814" s="106"/>
      <c r="R814" s="95"/>
      <c r="S814" s="96"/>
      <c r="T814" s="85"/>
      <c r="U814" s="97"/>
      <c r="V814" s="85" t="str">
        <f t="array" ref="V814">IFERROR(index('3. Công thức lab theo từng mã h'!J:J,MATCH(C814,'3. Công thức lab theo từng mã h'!L:L,0)),"")</f>
        <v/>
      </c>
      <c r="W814" s="85"/>
      <c r="X814" s="75"/>
    </row>
    <row r="815">
      <c r="A815" s="64">
        <f t="shared" si="2"/>
        <v>0</v>
      </c>
      <c r="B815" s="98"/>
      <c r="C815" s="64"/>
      <c r="D815" s="16"/>
      <c r="E815" s="16"/>
      <c r="F815" s="100"/>
      <c r="G815" s="101"/>
      <c r="H815" s="16"/>
      <c r="I815" s="16"/>
      <c r="J815" s="16"/>
      <c r="K815" s="16"/>
      <c r="L815" s="16"/>
      <c r="M815" s="16"/>
      <c r="N815" s="100"/>
      <c r="O815" s="100"/>
      <c r="P815" s="100"/>
      <c r="Q815" s="106"/>
      <c r="R815" s="107"/>
      <c r="S815" s="104"/>
      <c r="T815" s="74"/>
      <c r="U815" s="108"/>
      <c r="V815" s="74" t="str">
        <f t="array" ref="V815">IFERROR(index('3. Công thức lab theo từng mã h'!J:J,MATCH(C815,'3. Công thức lab theo từng mã h'!L:L,0)),"")</f>
        <v/>
      </c>
      <c r="W815" s="74"/>
      <c r="X815" s="75"/>
    </row>
    <row r="816">
      <c r="A816" s="76">
        <f t="shared" si="2"/>
        <v>0</v>
      </c>
      <c r="B816" s="88"/>
      <c r="C816" s="76"/>
      <c r="D816" s="86"/>
      <c r="E816" s="86"/>
      <c r="F816" s="90"/>
      <c r="G816" s="91"/>
      <c r="H816" s="86"/>
      <c r="I816" s="86"/>
      <c r="J816" s="86"/>
      <c r="K816" s="86"/>
      <c r="L816" s="86"/>
      <c r="M816" s="86"/>
      <c r="N816" s="90"/>
      <c r="O816" s="90"/>
      <c r="P816" s="90"/>
      <c r="Q816" s="106"/>
      <c r="R816" s="95"/>
      <c r="S816" s="96"/>
      <c r="T816" s="85"/>
      <c r="U816" s="97"/>
      <c r="V816" s="85" t="str">
        <f t="array" ref="V816">IFERROR(index('3. Công thức lab theo từng mã h'!J:J,MATCH(C816,'3. Công thức lab theo từng mã h'!L:L,0)),"")</f>
        <v/>
      </c>
      <c r="W816" s="85"/>
      <c r="X816" s="75"/>
    </row>
    <row r="817">
      <c r="A817" s="64">
        <f t="shared" si="2"/>
        <v>0</v>
      </c>
      <c r="B817" s="98"/>
      <c r="C817" s="64"/>
      <c r="D817" s="16"/>
      <c r="E817" s="16"/>
      <c r="F817" s="100"/>
      <c r="G817" s="101"/>
      <c r="H817" s="16"/>
      <c r="I817" s="16"/>
      <c r="J817" s="16"/>
      <c r="K817" s="16"/>
      <c r="L817" s="16"/>
      <c r="M817" s="16"/>
      <c r="N817" s="100"/>
      <c r="O817" s="100"/>
      <c r="P817" s="100"/>
      <c r="Q817" s="106"/>
      <c r="R817" s="107"/>
      <c r="S817" s="104"/>
      <c r="T817" s="74"/>
      <c r="U817" s="108"/>
      <c r="V817" s="74" t="str">
        <f t="array" ref="V817">IFERROR(index('3. Công thức lab theo từng mã h'!J:J,MATCH(C817,'3. Công thức lab theo từng mã h'!L:L,0)),"")</f>
        <v/>
      </c>
      <c r="W817" s="74"/>
      <c r="X817" s="75"/>
    </row>
    <row r="818">
      <c r="A818" s="76">
        <f t="shared" si="2"/>
        <v>0</v>
      </c>
      <c r="B818" s="88"/>
      <c r="C818" s="76"/>
      <c r="D818" s="86"/>
      <c r="E818" s="86"/>
      <c r="F818" s="90"/>
      <c r="G818" s="91"/>
      <c r="H818" s="86"/>
      <c r="I818" s="86"/>
      <c r="J818" s="86"/>
      <c r="K818" s="86"/>
      <c r="L818" s="86"/>
      <c r="M818" s="86"/>
      <c r="N818" s="90"/>
      <c r="O818" s="90"/>
      <c r="P818" s="90"/>
      <c r="Q818" s="106"/>
      <c r="R818" s="95"/>
      <c r="S818" s="96"/>
      <c r="T818" s="85"/>
      <c r="U818" s="97"/>
      <c r="V818" s="85" t="str">
        <f t="array" ref="V818">IFERROR(index('3. Công thức lab theo từng mã h'!J:J,MATCH(C818,'3. Công thức lab theo từng mã h'!L:L,0)),"")</f>
        <v/>
      </c>
      <c r="W818" s="85"/>
      <c r="X818" s="75"/>
    </row>
    <row r="819">
      <c r="A819" s="64">
        <f t="shared" si="2"/>
        <v>0</v>
      </c>
      <c r="B819" s="98"/>
      <c r="C819" s="64"/>
      <c r="D819" s="16"/>
      <c r="E819" s="16"/>
      <c r="F819" s="100"/>
      <c r="G819" s="101"/>
      <c r="H819" s="16"/>
      <c r="I819" s="16"/>
      <c r="J819" s="16"/>
      <c r="K819" s="16"/>
      <c r="L819" s="16"/>
      <c r="M819" s="16"/>
      <c r="N819" s="100"/>
      <c r="O819" s="100"/>
      <c r="P819" s="100"/>
      <c r="Q819" s="106"/>
      <c r="R819" s="107"/>
      <c r="S819" s="104"/>
      <c r="T819" s="74"/>
      <c r="U819" s="108"/>
      <c r="V819" s="74" t="str">
        <f t="array" ref="V819">IFERROR(index('3. Công thức lab theo từng mã h'!J:J,MATCH(C819,'3. Công thức lab theo từng mã h'!L:L,0)),"")</f>
        <v/>
      </c>
      <c r="W819" s="74"/>
      <c r="X819" s="75"/>
    </row>
    <row r="820">
      <c r="A820" s="76">
        <f t="shared" si="2"/>
        <v>0</v>
      </c>
      <c r="B820" s="88"/>
      <c r="C820" s="76"/>
      <c r="D820" s="86"/>
      <c r="E820" s="86"/>
      <c r="F820" s="90"/>
      <c r="G820" s="91"/>
      <c r="H820" s="86"/>
      <c r="I820" s="86"/>
      <c r="J820" s="86"/>
      <c r="K820" s="86"/>
      <c r="L820" s="86"/>
      <c r="M820" s="86"/>
      <c r="N820" s="90"/>
      <c r="O820" s="90"/>
      <c r="P820" s="90"/>
      <c r="Q820" s="106"/>
      <c r="R820" s="95"/>
      <c r="S820" s="96"/>
      <c r="T820" s="85"/>
      <c r="U820" s="97"/>
      <c r="V820" s="85" t="str">
        <f t="array" ref="V820">IFERROR(index('3. Công thức lab theo từng mã h'!J:J,MATCH(C820,'3. Công thức lab theo từng mã h'!L:L,0)),"")</f>
        <v/>
      </c>
      <c r="W820" s="85"/>
      <c r="X820" s="75"/>
    </row>
    <row r="821">
      <c r="A821" s="64">
        <f t="shared" si="2"/>
        <v>0</v>
      </c>
      <c r="B821" s="98"/>
      <c r="C821" s="64"/>
      <c r="D821" s="16"/>
      <c r="E821" s="16"/>
      <c r="F821" s="100"/>
      <c r="G821" s="101"/>
      <c r="H821" s="16"/>
      <c r="I821" s="16"/>
      <c r="J821" s="16"/>
      <c r="K821" s="16"/>
      <c r="L821" s="16"/>
      <c r="M821" s="16"/>
      <c r="N821" s="100"/>
      <c r="O821" s="100"/>
      <c r="P821" s="100"/>
      <c r="Q821" s="106"/>
      <c r="R821" s="107"/>
      <c r="S821" s="104"/>
      <c r="T821" s="74"/>
      <c r="U821" s="108"/>
      <c r="V821" s="74" t="str">
        <f t="array" ref="V821">IFERROR(index('3. Công thức lab theo từng mã h'!J:J,MATCH(C821,'3. Công thức lab theo từng mã h'!L:L,0)),"")</f>
        <v/>
      </c>
      <c r="W821" s="74"/>
      <c r="X821" s="75"/>
    </row>
    <row r="822">
      <c r="A822" s="76">
        <f t="shared" si="2"/>
        <v>0</v>
      </c>
      <c r="B822" s="88"/>
      <c r="C822" s="76"/>
      <c r="D822" s="86"/>
      <c r="E822" s="86"/>
      <c r="F822" s="90"/>
      <c r="G822" s="91"/>
      <c r="H822" s="86"/>
      <c r="I822" s="86"/>
      <c r="J822" s="86"/>
      <c r="K822" s="86"/>
      <c r="L822" s="86"/>
      <c r="M822" s="86"/>
      <c r="N822" s="90"/>
      <c r="O822" s="90"/>
      <c r="P822" s="90"/>
      <c r="Q822" s="106"/>
      <c r="R822" s="95"/>
      <c r="S822" s="96"/>
      <c r="T822" s="85"/>
      <c r="U822" s="97"/>
      <c r="V822" s="85" t="str">
        <f t="array" ref="V822">IFERROR(index('3. Công thức lab theo từng mã h'!J:J,MATCH(C822,'3. Công thức lab theo từng mã h'!L:L,0)),"")</f>
        <v/>
      </c>
      <c r="W822" s="85"/>
      <c r="X822" s="75"/>
    </row>
    <row r="823">
      <c r="A823" s="64">
        <f t="shared" si="2"/>
        <v>0</v>
      </c>
      <c r="B823" s="98"/>
      <c r="C823" s="64"/>
      <c r="D823" s="16"/>
      <c r="E823" s="16"/>
      <c r="F823" s="100"/>
      <c r="G823" s="101"/>
      <c r="H823" s="16"/>
      <c r="I823" s="16"/>
      <c r="J823" s="16"/>
      <c r="K823" s="16"/>
      <c r="L823" s="16"/>
      <c r="M823" s="16"/>
      <c r="N823" s="100"/>
      <c r="O823" s="100"/>
      <c r="P823" s="100"/>
      <c r="Q823" s="106"/>
      <c r="R823" s="107"/>
      <c r="S823" s="104"/>
      <c r="T823" s="74"/>
      <c r="U823" s="108"/>
      <c r="V823" s="74" t="str">
        <f t="array" ref="V823">IFERROR(index('3. Công thức lab theo từng mã h'!J:J,MATCH(C823,'3. Công thức lab theo từng mã h'!L:L,0)),"")</f>
        <v/>
      </c>
      <c r="W823" s="74"/>
      <c r="X823" s="75"/>
    </row>
    <row r="824">
      <c r="A824" s="76">
        <f t="shared" si="2"/>
        <v>0</v>
      </c>
      <c r="B824" s="88"/>
      <c r="C824" s="76"/>
      <c r="D824" s="86"/>
      <c r="E824" s="86"/>
      <c r="F824" s="90"/>
      <c r="G824" s="91"/>
      <c r="H824" s="86"/>
      <c r="I824" s="86"/>
      <c r="J824" s="86"/>
      <c r="K824" s="86"/>
      <c r="L824" s="86"/>
      <c r="M824" s="86"/>
      <c r="N824" s="90"/>
      <c r="O824" s="90"/>
      <c r="P824" s="90"/>
      <c r="Q824" s="106"/>
      <c r="R824" s="95"/>
      <c r="S824" s="96"/>
      <c r="T824" s="85"/>
      <c r="U824" s="97"/>
      <c r="V824" s="85" t="str">
        <f t="array" ref="V824">IFERROR(index('3. Công thức lab theo từng mã h'!J:J,MATCH(C824,'3. Công thức lab theo từng mã h'!L:L,0)),"")</f>
        <v/>
      </c>
      <c r="W824" s="85"/>
      <c r="X824" s="75"/>
    </row>
    <row r="825">
      <c r="A825" s="64">
        <f t="shared" si="2"/>
        <v>0</v>
      </c>
      <c r="B825" s="98"/>
      <c r="C825" s="64"/>
      <c r="D825" s="16"/>
      <c r="E825" s="16"/>
      <c r="F825" s="100"/>
      <c r="G825" s="101"/>
      <c r="H825" s="16"/>
      <c r="I825" s="16"/>
      <c r="J825" s="16"/>
      <c r="K825" s="16"/>
      <c r="L825" s="16"/>
      <c r="M825" s="16"/>
      <c r="N825" s="100"/>
      <c r="O825" s="100"/>
      <c r="P825" s="100"/>
      <c r="Q825" s="106"/>
      <c r="R825" s="107"/>
      <c r="S825" s="104"/>
      <c r="T825" s="74"/>
      <c r="U825" s="108"/>
      <c r="V825" s="74" t="str">
        <f t="array" ref="V825">IFERROR(index('3. Công thức lab theo từng mã h'!J:J,MATCH(C825,'3. Công thức lab theo từng mã h'!L:L,0)),"")</f>
        <v/>
      </c>
      <c r="W825" s="74"/>
      <c r="X825" s="75"/>
    </row>
    <row r="826">
      <c r="A826" s="76">
        <f t="shared" si="2"/>
        <v>0</v>
      </c>
      <c r="B826" s="88"/>
      <c r="C826" s="76"/>
      <c r="D826" s="86"/>
      <c r="E826" s="86"/>
      <c r="F826" s="90"/>
      <c r="G826" s="91"/>
      <c r="H826" s="86"/>
      <c r="I826" s="86"/>
      <c r="J826" s="86"/>
      <c r="K826" s="86"/>
      <c r="L826" s="86"/>
      <c r="M826" s="86"/>
      <c r="N826" s="90"/>
      <c r="O826" s="90"/>
      <c r="P826" s="90"/>
      <c r="Q826" s="106"/>
      <c r="R826" s="95"/>
      <c r="S826" s="96"/>
      <c r="T826" s="85"/>
      <c r="U826" s="97"/>
      <c r="V826" s="85" t="str">
        <f t="array" ref="V826">IFERROR(index('3. Công thức lab theo từng mã h'!J:J,MATCH(C826,'3. Công thức lab theo từng mã h'!L:L,0)),"")</f>
        <v/>
      </c>
      <c r="W826" s="85"/>
      <c r="X826" s="75"/>
    </row>
    <row r="827">
      <c r="A827" s="64">
        <f t="shared" si="2"/>
        <v>0</v>
      </c>
      <c r="B827" s="98"/>
      <c r="C827" s="64"/>
      <c r="D827" s="16"/>
      <c r="E827" s="16"/>
      <c r="F827" s="100"/>
      <c r="G827" s="101"/>
      <c r="H827" s="16"/>
      <c r="I827" s="16"/>
      <c r="J827" s="16"/>
      <c r="K827" s="16"/>
      <c r="L827" s="16"/>
      <c r="M827" s="16"/>
      <c r="N827" s="100"/>
      <c r="O827" s="100"/>
      <c r="P827" s="100"/>
      <c r="Q827" s="106"/>
      <c r="R827" s="107"/>
      <c r="S827" s="104"/>
      <c r="T827" s="74"/>
      <c r="U827" s="108"/>
      <c r="V827" s="74" t="str">
        <f t="array" ref="V827">IFERROR(index('3. Công thức lab theo từng mã h'!J:J,MATCH(C827,'3. Công thức lab theo từng mã h'!L:L,0)),"")</f>
        <v/>
      </c>
      <c r="W827" s="74"/>
      <c r="X827" s="75"/>
    </row>
    <row r="828">
      <c r="A828" s="76">
        <f t="shared" si="2"/>
        <v>0</v>
      </c>
      <c r="B828" s="88"/>
      <c r="C828" s="76"/>
      <c r="D828" s="86"/>
      <c r="E828" s="86"/>
      <c r="F828" s="90"/>
      <c r="G828" s="91"/>
      <c r="H828" s="86"/>
      <c r="I828" s="86"/>
      <c r="J828" s="86"/>
      <c r="K828" s="86"/>
      <c r="L828" s="86"/>
      <c r="M828" s="86"/>
      <c r="N828" s="90"/>
      <c r="O828" s="90"/>
      <c r="P828" s="90"/>
      <c r="Q828" s="106"/>
      <c r="R828" s="95"/>
      <c r="S828" s="96"/>
      <c r="T828" s="85"/>
      <c r="U828" s="97"/>
      <c r="V828" s="85" t="str">
        <f t="array" ref="V828">IFERROR(index('3. Công thức lab theo từng mã h'!J:J,MATCH(C828,'3. Công thức lab theo từng mã h'!L:L,0)),"")</f>
        <v/>
      </c>
      <c r="W828" s="85"/>
      <c r="X828" s="75"/>
    </row>
    <row r="829">
      <c r="A829" s="64">
        <f t="shared" si="2"/>
        <v>0</v>
      </c>
      <c r="B829" s="98"/>
      <c r="C829" s="64"/>
      <c r="D829" s="16"/>
      <c r="E829" s="16"/>
      <c r="F829" s="100"/>
      <c r="G829" s="101"/>
      <c r="H829" s="16"/>
      <c r="I829" s="16"/>
      <c r="J829" s="16"/>
      <c r="K829" s="16"/>
      <c r="L829" s="16"/>
      <c r="M829" s="16"/>
      <c r="N829" s="100"/>
      <c r="O829" s="100"/>
      <c r="P829" s="100"/>
      <c r="Q829" s="106"/>
      <c r="R829" s="107"/>
      <c r="S829" s="104"/>
      <c r="T829" s="74"/>
      <c r="U829" s="108"/>
      <c r="V829" s="74" t="str">
        <f t="array" ref="V829">IFERROR(index('3. Công thức lab theo từng mã h'!J:J,MATCH(C829,'3. Công thức lab theo từng mã h'!L:L,0)),"")</f>
        <v/>
      </c>
      <c r="W829" s="74"/>
      <c r="X829" s="75"/>
    </row>
    <row r="830">
      <c r="A830" s="76">
        <f t="shared" si="2"/>
        <v>0</v>
      </c>
      <c r="B830" s="88"/>
      <c r="C830" s="76"/>
      <c r="D830" s="86"/>
      <c r="E830" s="86"/>
      <c r="F830" s="90"/>
      <c r="G830" s="91"/>
      <c r="H830" s="86"/>
      <c r="I830" s="86"/>
      <c r="J830" s="86"/>
      <c r="K830" s="86"/>
      <c r="L830" s="86"/>
      <c r="M830" s="86"/>
      <c r="N830" s="90"/>
      <c r="O830" s="90"/>
      <c r="P830" s="90"/>
      <c r="Q830" s="106"/>
      <c r="R830" s="95"/>
      <c r="S830" s="96"/>
      <c r="T830" s="85"/>
      <c r="U830" s="97"/>
      <c r="V830" s="85" t="str">
        <f t="array" ref="V830">IFERROR(index('3. Công thức lab theo từng mã h'!J:J,MATCH(C830,'3. Công thức lab theo từng mã h'!L:L,0)),"")</f>
        <v/>
      </c>
      <c r="W830" s="85"/>
      <c r="X830" s="75"/>
    </row>
    <row r="831">
      <c r="A831" s="64">
        <f t="shared" si="2"/>
        <v>0</v>
      </c>
      <c r="B831" s="98"/>
      <c r="C831" s="64"/>
      <c r="D831" s="16"/>
      <c r="E831" s="16"/>
      <c r="F831" s="100"/>
      <c r="G831" s="101"/>
      <c r="H831" s="16"/>
      <c r="I831" s="16"/>
      <c r="J831" s="16"/>
      <c r="K831" s="16"/>
      <c r="L831" s="16"/>
      <c r="M831" s="16"/>
      <c r="N831" s="100"/>
      <c r="O831" s="100"/>
      <c r="P831" s="100"/>
      <c r="Q831" s="106"/>
      <c r="R831" s="107"/>
      <c r="S831" s="104"/>
      <c r="T831" s="74"/>
      <c r="U831" s="108"/>
      <c r="V831" s="74" t="str">
        <f t="array" ref="V831">IFERROR(index('3. Công thức lab theo từng mã h'!J:J,MATCH(C831,'3. Công thức lab theo từng mã h'!L:L,0)),"")</f>
        <v/>
      </c>
      <c r="W831" s="74"/>
      <c r="X831" s="75"/>
    </row>
    <row r="832">
      <c r="A832" s="76">
        <f t="shared" si="2"/>
        <v>0</v>
      </c>
      <c r="B832" s="88"/>
      <c r="C832" s="76"/>
      <c r="D832" s="86"/>
      <c r="E832" s="86"/>
      <c r="F832" s="90"/>
      <c r="G832" s="91"/>
      <c r="H832" s="86"/>
      <c r="I832" s="86"/>
      <c r="J832" s="86"/>
      <c r="K832" s="86"/>
      <c r="L832" s="86"/>
      <c r="M832" s="86"/>
      <c r="N832" s="90"/>
      <c r="O832" s="90"/>
      <c r="P832" s="90"/>
      <c r="Q832" s="106"/>
      <c r="R832" s="95"/>
      <c r="S832" s="96"/>
      <c r="T832" s="85"/>
      <c r="U832" s="97"/>
      <c r="V832" s="85" t="str">
        <f t="array" ref="V832">IFERROR(index('3. Công thức lab theo từng mã h'!J:J,MATCH(C832,'3. Công thức lab theo từng mã h'!L:L,0)),"")</f>
        <v/>
      </c>
      <c r="W832" s="85"/>
      <c r="X832" s="75"/>
    </row>
    <row r="833">
      <c r="A833" s="64">
        <f t="shared" si="2"/>
        <v>0</v>
      </c>
      <c r="B833" s="98"/>
      <c r="C833" s="64"/>
      <c r="D833" s="16"/>
      <c r="E833" s="16"/>
      <c r="F833" s="100"/>
      <c r="G833" s="101"/>
      <c r="H833" s="16"/>
      <c r="I833" s="16"/>
      <c r="J833" s="16"/>
      <c r="K833" s="16"/>
      <c r="L833" s="16"/>
      <c r="M833" s="16"/>
      <c r="N833" s="100"/>
      <c r="O833" s="100"/>
      <c r="P833" s="100"/>
      <c r="Q833" s="106"/>
      <c r="R833" s="107"/>
      <c r="S833" s="104"/>
      <c r="T833" s="74"/>
      <c r="U833" s="108"/>
      <c r="V833" s="74" t="str">
        <f t="array" ref="V833">IFERROR(index('3. Công thức lab theo từng mã h'!J:J,MATCH(C833,'3. Công thức lab theo từng mã h'!L:L,0)),"")</f>
        <v/>
      </c>
      <c r="W833" s="74"/>
      <c r="X833" s="75"/>
    </row>
    <row r="834">
      <c r="A834" s="76">
        <f t="shared" si="2"/>
        <v>0</v>
      </c>
      <c r="B834" s="88"/>
      <c r="C834" s="76"/>
      <c r="D834" s="86"/>
      <c r="E834" s="86"/>
      <c r="F834" s="90"/>
      <c r="G834" s="91"/>
      <c r="H834" s="86"/>
      <c r="I834" s="86"/>
      <c r="J834" s="86"/>
      <c r="K834" s="86"/>
      <c r="L834" s="86"/>
      <c r="M834" s="86"/>
      <c r="N834" s="90"/>
      <c r="O834" s="90"/>
      <c r="P834" s="90"/>
      <c r="Q834" s="106"/>
      <c r="R834" s="95"/>
      <c r="S834" s="96"/>
      <c r="T834" s="85"/>
      <c r="U834" s="97"/>
      <c r="V834" s="85" t="str">
        <f t="array" ref="V834">IFERROR(index('3. Công thức lab theo từng mã h'!J:J,MATCH(C834,'3. Công thức lab theo từng mã h'!L:L,0)),"")</f>
        <v/>
      </c>
      <c r="W834" s="85"/>
      <c r="X834" s="75"/>
    </row>
    <row r="835">
      <c r="A835" s="64">
        <f t="shared" si="2"/>
        <v>0</v>
      </c>
      <c r="B835" s="98"/>
      <c r="C835" s="64"/>
      <c r="D835" s="16"/>
      <c r="E835" s="16"/>
      <c r="F835" s="100"/>
      <c r="G835" s="101"/>
      <c r="H835" s="16"/>
      <c r="I835" s="16"/>
      <c r="J835" s="16"/>
      <c r="K835" s="16"/>
      <c r="L835" s="16"/>
      <c r="M835" s="16"/>
      <c r="N835" s="100"/>
      <c r="O835" s="100"/>
      <c r="P835" s="100"/>
      <c r="Q835" s="106"/>
      <c r="R835" s="107"/>
      <c r="S835" s="104"/>
      <c r="T835" s="74"/>
      <c r="U835" s="108"/>
      <c r="V835" s="74" t="str">
        <f t="array" ref="V835">IFERROR(index('3. Công thức lab theo từng mã h'!J:J,MATCH(C835,'3. Công thức lab theo từng mã h'!L:L,0)),"")</f>
        <v/>
      </c>
      <c r="W835" s="74"/>
      <c r="X835" s="75"/>
    </row>
    <row r="836">
      <c r="A836" s="76">
        <f t="shared" si="2"/>
        <v>0</v>
      </c>
      <c r="B836" s="88"/>
      <c r="C836" s="76"/>
      <c r="D836" s="86"/>
      <c r="E836" s="86"/>
      <c r="F836" s="90"/>
      <c r="G836" s="91"/>
      <c r="H836" s="86"/>
      <c r="I836" s="86"/>
      <c r="J836" s="86"/>
      <c r="K836" s="86"/>
      <c r="L836" s="86"/>
      <c r="M836" s="86"/>
      <c r="N836" s="90"/>
      <c r="O836" s="90"/>
      <c r="P836" s="90"/>
      <c r="Q836" s="106"/>
      <c r="R836" s="95"/>
      <c r="S836" s="96"/>
      <c r="T836" s="85"/>
      <c r="U836" s="97"/>
      <c r="V836" s="85" t="str">
        <f t="array" ref="V836">IFERROR(index('3. Công thức lab theo từng mã h'!J:J,MATCH(C836,'3. Công thức lab theo từng mã h'!L:L,0)),"")</f>
        <v/>
      </c>
      <c r="W836" s="85"/>
      <c r="X836" s="75"/>
    </row>
    <row r="837">
      <c r="A837" s="64">
        <f t="shared" si="2"/>
        <v>0</v>
      </c>
      <c r="B837" s="98"/>
      <c r="C837" s="64"/>
      <c r="D837" s="16"/>
      <c r="E837" s="16"/>
      <c r="F837" s="100"/>
      <c r="G837" s="101"/>
      <c r="H837" s="16"/>
      <c r="I837" s="16"/>
      <c r="J837" s="16"/>
      <c r="K837" s="16"/>
      <c r="L837" s="16"/>
      <c r="M837" s="16"/>
      <c r="N837" s="100"/>
      <c r="O837" s="100"/>
      <c r="P837" s="100"/>
      <c r="Q837" s="106"/>
      <c r="R837" s="107"/>
      <c r="S837" s="104"/>
      <c r="T837" s="74"/>
      <c r="U837" s="108"/>
      <c r="V837" s="74" t="str">
        <f t="array" ref="V837">IFERROR(index('3. Công thức lab theo từng mã h'!J:J,MATCH(C837,'3. Công thức lab theo từng mã h'!L:L,0)),"")</f>
        <v/>
      </c>
      <c r="W837" s="74"/>
      <c r="X837" s="75"/>
    </row>
    <row r="838">
      <c r="A838" s="76">
        <f t="shared" si="2"/>
        <v>0</v>
      </c>
      <c r="B838" s="88"/>
      <c r="C838" s="76"/>
      <c r="D838" s="86"/>
      <c r="E838" s="86"/>
      <c r="F838" s="90"/>
      <c r="G838" s="91"/>
      <c r="H838" s="86"/>
      <c r="I838" s="86"/>
      <c r="J838" s="86"/>
      <c r="K838" s="86"/>
      <c r="L838" s="86"/>
      <c r="M838" s="86"/>
      <c r="N838" s="90"/>
      <c r="O838" s="90"/>
      <c r="P838" s="90"/>
      <c r="Q838" s="106"/>
      <c r="R838" s="95"/>
      <c r="S838" s="96"/>
      <c r="T838" s="85"/>
      <c r="U838" s="97"/>
      <c r="V838" s="85" t="str">
        <f t="array" ref="V838">IFERROR(index('3. Công thức lab theo từng mã h'!J:J,MATCH(C838,'3. Công thức lab theo từng mã h'!L:L,0)),"")</f>
        <v/>
      </c>
      <c r="W838" s="85"/>
      <c r="X838" s="75"/>
    </row>
    <row r="839">
      <c r="A839" s="64">
        <f t="shared" si="2"/>
        <v>0</v>
      </c>
      <c r="B839" s="98"/>
      <c r="C839" s="64"/>
      <c r="D839" s="16"/>
      <c r="E839" s="16"/>
      <c r="F839" s="100"/>
      <c r="G839" s="101"/>
      <c r="H839" s="16"/>
      <c r="I839" s="16"/>
      <c r="J839" s="16"/>
      <c r="K839" s="16"/>
      <c r="L839" s="16"/>
      <c r="M839" s="16"/>
      <c r="N839" s="100"/>
      <c r="O839" s="100"/>
      <c r="P839" s="100"/>
      <c r="Q839" s="106"/>
      <c r="R839" s="107"/>
      <c r="S839" s="104"/>
      <c r="T839" s="74"/>
      <c r="U839" s="108"/>
      <c r="V839" s="74" t="str">
        <f t="array" ref="V839">IFERROR(index('3. Công thức lab theo từng mã h'!J:J,MATCH(C839,'3. Công thức lab theo từng mã h'!L:L,0)),"")</f>
        <v/>
      </c>
      <c r="W839" s="74"/>
      <c r="X839" s="75"/>
    </row>
    <row r="840">
      <c r="A840" s="76">
        <f t="shared" si="2"/>
        <v>0</v>
      </c>
      <c r="B840" s="88"/>
      <c r="C840" s="76"/>
      <c r="D840" s="86"/>
      <c r="E840" s="86"/>
      <c r="F840" s="90"/>
      <c r="G840" s="91"/>
      <c r="H840" s="86"/>
      <c r="I840" s="86"/>
      <c r="J840" s="86"/>
      <c r="K840" s="86"/>
      <c r="L840" s="86"/>
      <c r="M840" s="86"/>
      <c r="N840" s="90"/>
      <c r="O840" s="90"/>
      <c r="P840" s="90"/>
      <c r="Q840" s="106"/>
      <c r="R840" s="95"/>
      <c r="S840" s="96"/>
      <c r="T840" s="85"/>
      <c r="U840" s="97"/>
      <c r="V840" s="85" t="str">
        <f t="array" ref="V840">IFERROR(index('3. Công thức lab theo từng mã h'!J:J,MATCH(C840,'3. Công thức lab theo từng mã h'!L:L,0)),"")</f>
        <v/>
      </c>
      <c r="W840" s="85"/>
      <c r="X840" s="75"/>
    </row>
    <row r="841">
      <c r="A841" s="64">
        <f t="shared" si="2"/>
        <v>0</v>
      </c>
      <c r="B841" s="98"/>
      <c r="C841" s="64"/>
      <c r="D841" s="16"/>
      <c r="E841" s="16"/>
      <c r="F841" s="100"/>
      <c r="G841" s="101"/>
      <c r="H841" s="16"/>
      <c r="I841" s="16"/>
      <c r="J841" s="16"/>
      <c r="K841" s="16"/>
      <c r="L841" s="16"/>
      <c r="M841" s="16"/>
      <c r="N841" s="100"/>
      <c r="O841" s="100"/>
      <c r="P841" s="100"/>
      <c r="Q841" s="106"/>
      <c r="R841" s="107"/>
      <c r="S841" s="104"/>
      <c r="T841" s="74"/>
      <c r="U841" s="108"/>
      <c r="V841" s="74" t="str">
        <f t="array" ref="V841">IFERROR(index('3. Công thức lab theo từng mã h'!J:J,MATCH(C841,'3. Công thức lab theo từng mã h'!L:L,0)),"")</f>
        <v/>
      </c>
      <c r="W841" s="74"/>
      <c r="X841" s="75"/>
    </row>
    <row r="842">
      <c r="A842" s="76">
        <f t="shared" si="2"/>
        <v>0</v>
      </c>
      <c r="B842" s="88"/>
      <c r="C842" s="76"/>
      <c r="D842" s="86"/>
      <c r="E842" s="86"/>
      <c r="F842" s="90"/>
      <c r="G842" s="91"/>
      <c r="H842" s="86"/>
      <c r="I842" s="86"/>
      <c r="J842" s="86"/>
      <c r="K842" s="86"/>
      <c r="L842" s="86"/>
      <c r="M842" s="86"/>
      <c r="N842" s="90"/>
      <c r="O842" s="90"/>
      <c r="P842" s="90"/>
      <c r="Q842" s="106"/>
      <c r="R842" s="95"/>
      <c r="S842" s="96"/>
      <c r="T842" s="85"/>
      <c r="U842" s="97"/>
      <c r="V842" s="85" t="str">
        <f t="array" ref="V842">IFERROR(index('3. Công thức lab theo từng mã h'!J:J,MATCH(C842,'3. Công thức lab theo từng mã h'!L:L,0)),"")</f>
        <v/>
      </c>
      <c r="W842" s="85"/>
      <c r="X842" s="75"/>
    </row>
    <row r="843">
      <c r="A843" s="64">
        <f t="shared" si="2"/>
        <v>0</v>
      </c>
      <c r="B843" s="98"/>
      <c r="C843" s="64"/>
      <c r="D843" s="16"/>
      <c r="E843" s="16"/>
      <c r="F843" s="100"/>
      <c r="G843" s="101"/>
      <c r="H843" s="16"/>
      <c r="I843" s="16"/>
      <c r="J843" s="16"/>
      <c r="K843" s="16"/>
      <c r="L843" s="16"/>
      <c r="M843" s="16"/>
      <c r="N843" s="100"/>
      <c r="O843" s="100"/>
      <c r="P843" s="100"/>
      <c r="Q843" s="106"/>
      <c r="R843" s="107"/>
      <c r="S843" s="104"/>
      <c r="T843" s="74"/>
      <c r="U843" s="108"/>
      <c r="V843" s="74" t="str">
        <f t="array" ref="V843">IFERROR(index('3. Công thức lab theo từng mã h'!J:J,MATCH(C843,'3. Công thức lab theo từng mã h'!L:L,0)),"")</f>
        <v/>
      </c>
      <c r="W843" s="74"/>
      <c r="X843" s="75"/>
    </row>
    <row r="844">
      <c r="A844" s="76">
        <f t="shared" si="2"/>
        <v>0</v>
      </c>
      <c r="B844" s="88"/>
      <c r="C844" s="76"/>
      <c r="D844" s="86"/>
      <c r="E844" s="86"/>
      <c r="F844" s="90"/>
      <c r="G844" s="91"/>
      <c r="H844" s="86"/>
      <c r="I844" s="86"/>
      <c r="J844" s="86"/>
      <c r="K844" s="86"/>
      <c r="L844" s="86"/>
      <c r="M844" s="86"/>
      <c r="N844" s="90"/>
      <c r="O844" s="90"/>
      <c r="P844" s="90"/>
      <c r="Q844" s="106"/>
      <c r="R844" s="95"/>
      <c r="S844" s="96"/>
      <c r="T844" s="85"/>
      <c r="U844" s="97"/>
      <c r="V844" s="85" t="str">
        <f t="array" ref="V844">IFERROR(index('3. Công thức lab theo từng mã h'!J:J,MATCH(C844,'3. Công thức lab theo từng mã h'!L:L,0)),"")</f>
        <v/>
      </c>
      <c r="W844" s="85"/>
      <c r="X844" s="75"/>
    </row>
    <row r="845">
      <c r="A845" s="64">
        <f t="shared" si="2"/>
        <v>0</v>
      </c>
      <c r="B845" s="98"/>
      <c r="C845" s="64"/>
      <c r="D845" s="16"/>
      <c r="E845" s="16"/>
      <c r="F845" s="100"/>
      <c r="G845" s="101"/>
      <c r="H845" s="16"/>
      <c r="I845" s="16"/>
      <c r="J845" s="16"/>
      <c r="K845" s="16"/>
      <c r="L845" s="16"/>
      <c r="M845" s="16"/>
      <c r="N845" s="100"/>
      <c r="O845" s="100"/>
      <c r="P845" s="100"/>
      <c r="Q845" s="106"/>
      <c r="R845" s="107"/>
      <c r="S845" s="104"/>
      <c r="T845" s="74"/>
      <c r="U845" s="108"/>
      <c r="V845" s="74" t="str">
        <f t="array" ref="V845">IFERROR(index('3. Công thức lab theo từng mã h'!J:J,MATCH(C845,'3. Công thức lab theo từng mã h'!L:L,0)),"")</f>
        <v/>
      </c>
      <c r="W845" s="74"/>
      <c r="X845" s="75"/>
    </row>
    <row r="846">
      <c r="A846" s="76">
        <f t="shared" si="2"/>
        <v>0</v>
      </c>
      <c r="B846" s="88"/>
      <c r="C846" s="76"/>
      <c r="D846" s="86"/>
      <c r="E846" s="86"/>
      <c r="F846" s="90"/>
      <c r="G846" s="91"/>
      <c r="H846" s="86"/>
      <c r="I846" s="86"/>
      <c r="J846" s="86"/>
      <c r="K846" s="86"/>
      <c r="L846" s="86"/>
      <c r="M846" s="86"/>
      <c r="N846" s="90"/>
      <c r="O846" s="90"/>
      <c r="P846" s="90"/>
      <c r="Q846" s="106"/>
      <c r="R846" s="95"/>
      <c r="S846" s="96"/>
      <c r="T846" s="85"/>
      <c r="U846" s="97"/>
      <c r="V846" s="85" t="str">
        <f t="array" ref="V846">IFERROR(index('3. Công thức lab theo từng mã h'!J:J,MATCH(C846,'3. Công thức lab theo từng mã h'!L:L,0)),"")</f>
        <v/>
      </c>
      <c r="W846" s="85"/>
      <c r="X846" s="75"/>
    </row>
    <row r="847">
      <c r="A847" s="64">
        <f t="shared" si="2"/>
        <v>0</v>
      </c>
      <c r="B847" s="98"/>
      <c r="C847" s="64"/>
      <c r="D847" s="16"/>
      <c r="E847" s="16"/>
      <c r="F847" s="100"/>
      <c r="G847" s="101"/>
      <c r="H847" s="16"/>
      <c r="I847" s="16"/>
      <c r="J847" s="16"/>
      <c r="K847" s="16"/>
      <c r="L847" s="16"/>
      <c r="M847" s="16"/>
      <c r="N847" s="100"/>
      <c r="O847" s="100"/>
      <c r="P847" s="100"/>
      <c r="Q847" s="106"/>
      <c r="R847" s="107"/>
      <c r="S847" s="104"/>
      <c r="T847" s="74"/>
      <c r="U847" s="108"/>
      <c r="V847" s="74" t="str">
        <f t="array" ref="V847">IFERROR(index('3. Công thức lab theo từng mã h'!J:J,MATCH(C847,'3. Công thức lab theo từng mã h'!L:L,0)),"")</f>
        <v/>
      </c>
      <c r="W847" s="74"/>
      <c r="X847" s="75"/>
    </row>
    <row r="848">
      <c r="A848" s="76">
        <f t="shared" si="2"/>
        <v>0</v>
      </c>
      <c r="B848" s="88"/>
      <c r="C848" s="76"/>
      <c r="D848" s="86"/>
      <c r="E848" s="86"/>
      <c r="F848" s="90"/>
      <c r="G848" s="91"/>
      <c r="H848" s="86"/>
      <c r="I848" s="86"/>
      <c r="J848" s="86"/>
      <c r="K848" s="86"/>
      <c r="L848" s="86"/>
      <c r="M848" s="86"/>
      <c r="N848" s="90"/>
      <c r="O848" s="90"/>
      <c r="P848" s="90"/>
      <c r="Q848" s="106"/>
      <c r="R848" s="95"/>
      <c r="S848" s="96"/>
      <c r="T848" s="85"/>
      <c r="U848" s="97"/>
      <c r="V848" s="85" t="str">
        <f t="array" ref="V848">IFERROR(index('3. Công thức lab theo từng mã h'!J:J,MATCH(C848,'3. Công thức lab theo từng mã h'!L:L,0)),"")</f>
        <v/>
      </c>
      <c r="W848" s="85"/>
      <c r="X848" s="75"/>
    </row>
    <row r="849">
      <c r="A849" s="64">
        <f t="shared" si="2"/>
        <v>0</v>
      </c>
      <c r="B849" s="98"/>
      <c r="C849" s="64"/>
      <c r="D849" s="16"/>
      <c r="E849" s="16"/>
      <c r="F849" s="100"/>
      <c r="G849" s="101"/>
      <c r="H849" s="16"/>
      <c r="I849" s="16"/>
      <c r="J849" s="16"/>
      <c r="K849" s="16"/>
      <c r="L849" s="16"/>
      <c r="M849" s="16"/>
      <c r="N849" s="100"/>
      <c r="O849" s="100"/>
      <c r="P849" s="100"/>
      <c r="Q849" s="106"/>
      <c r="R849" s="107"/>
      <c r="S849" s="104"/>
      <c r="T849" s="74"/>
      <c r="U849" s="108"/>
      <c r="V849" s="74" t="str">
        <f t="array" ref="V849">IFERROR(index('3. Công thức lab theo từng mã h'!J:J,MATCH(C849,'3. Công thức lab theo từng mã h'!L:L,0)),"")</f>
        <v/>
      </c>
      <c r="W849" s="74"/>
      <c r="X849" s="75"/>
    </row>
    <row r="850">
      <c r="A850" s="76">
        <f t="shared" si="2"/>
        <v>0</v>
      </c>
      <c r="B850" s="88"/>
      <c r="C850" s="76"/>
      <c r="D850" s="86"/>
      <c r="E850" s="86"/>
      <c r="F850" s="90"/>
      <c r="G850" s="91"/>
      <c r="H850" s="86"/>
      <c r="I850" s="86"/>
      <c r="J850" s="86"/>
      <c r="K850" s="86"/>
      <c r="L850" s="86"/>
      <c r="M850" s="86"/>
      <c r="N850" s="90"/>
      <c r="O850" s="90"/>
      <c r="P850" s="90"/>
      <c r="Q850" s="106"/>
      <c r="R850" s="95"/>
      <c r="S850" s="96"/>
      <c r="T850" s="85"/>
      <c r="U850" s="97"/>
      <c r="V850" s="85" t="str">
        <f t="array" ref="V850">IFERROR(index('3. Công thức lab theo từng mã h'!J:J,MATCH(C850,'3. Công thức lab theo từng mã h'!L:L,0)),"")</f>
        <v/>
      </c>
      <c r="W850" s="85"/>
      <c r="X850" s="75"/>
    </row>
    <row r="851">
      <c r="A851" s="64">
        <f t="shared" si="2"/>
        <v>0</v>
      </c>
      <c r="B851" s="98"/>
      <c r="C851" s="64"/>
      <c r="D851" s="16"/>
      <c r="E851" s="16"/>
      <c r="F851" s="100"/>
      <c r="G851" s="101"/>
      <c r="H851" s="16"/>
      <c r="I851" s="16"/>
      <c r="J851" s="16"/>
      <c r="K851" s="16"/>
      <c r="L851" s="16"/>
      <c r="M851" s="16"/>
      <c r="N851" s="100"/>
      <c r="O851" s="100"/>
      <c r="P851" s="100"/>
      <c r="Q851" s="106"/>
      <c r="R851" s="107"/>
      <c r="S851" s="104"/>
      <c r="T851" s="74"/>
      <c r="U851" s="108"/>
      <c r="V851" s="74" t="str">
        <f t="array" ref="V851">IFERROR(index('3. Công thức lab theo từng mã h'!J:J,MATCH(C851,'3. Công thức lab theo từng mã h'!L:L,0)),"")</f>
        <v/>
      </c>
      <c r="W851" s="74"/>
      <c r="X851" s="75"/>
    </row>
    <row r="852">
      <c r="A852" s="76">
        <f t="shared" si="2"/>
        <v>0</v>
      </c>
      <c r="B852" s="88"/>
      <c r="C852" s="76"/>
      <c r="D852" s="86"/>
      <c r="E852" s="86"/>
      <c r="F852" s="90"/>
      <c r="G852" s="91"/>
      <c r="H852" s="86"/>
      <c r="I852" s="86"/>
      <c r="J852" s="86"/>
      <c r="K852" s="86"/>
      <c r="L852" s="86"/>
      <c r="M852" s="86"/>
      <c r="N852" s="90"/>
      <c r="O852" s="90"/>
      <c r="P852" s="90"/>
      <c r="Q852" s="106"/>
      <c r="R852" s="95"/>
      <c r="S852" s="96"/>
      <c r="T852" s="85"/>
      <c r="U852" s="97"/>
      <c r="V852" s="85" t="str">
        <f t="array" ref="V852">IFERROR(index('3. Công thức lab theo từng mã h'!J:J,MATCH(C852,'3. Công thức lab theo từng mã h'!L:L,0)),"")</f>
        <v/>
      </c>
      <c r="W852" s="85"/>
      <c r="X852" s="75"/>
    </row>
    <row r="853">
      <c r="A853" s="64">
        <f t="shared" si="2"/>
        <v>0</v>
      </c>
      <c r="B853" s="98"/>
      <c r="C853" s="64"/>
      <c r="D853" s="16"/>
      <c r="E853" s="16"/>
      <c r="F853" s="100"/>
      <c r="G853" s="101"/>
      <c r="H853" s="16"/>
      <c r="I853" s="16"/>
      <c r="J853" s="16"/>
      <c r="K853" s="16"/>
      <c r="L853" s="16"/>
      <c r="M853" s="16"/>
      <c r="N853" s="100"/>
      <c r="O853" s="100"/>
      <c r="P853" s="100"/>
      <c r="Q853" s="106"/>
      <c r="R853" s="107"/>
      <c r="S853" s="104"/>
      <c r="T853" s="74"/>
      <c r="U853" s="108"/>
      <c r="V853" s="74" t="str">
        <f t="array" ref="V853">IFERROR(index('3. Công thức lab theo từng mã h'!J:J,MATCH(C853,'3. Công thức lab theo từng mã h'!L:L,0)),"")</f>
        <v/>
      </c>
      <c r="W853" s="74"/>
      <c r="X853" s="75"/>
    </row>
    <row r="854">
      <c r="A854" s="76">
        <f t="shared" si="2"/>
        <v>0</v>
      </c>
      <c r="B854" s="88"/>
      <c r="C854" s="76"/>
      <c r="D854" s="86"/>
      <c r="E854" s="86"/>
      <c r="F854" s="90"/>
      <c r="G854" s="91"/>
      <c r="H854" s="86"/>
      <c r="I854" s="86"/>
      <c r="J854" s="86"/>
      <c r="K854" s="86"/>
      <c r="L854" s="86"/>
      <c r="M854" s="86"/>
      <c r="N854" s="90"/>
      <c r="O854" s="90"/>
      <c r="P854" s="90"/>
      <c r="Q854" s="106"/>
      <c r="R854" s="95"/>
      <c r="S854" s="96"/>
      <c r="T854" s="85"/>
      <c r="U854" s="97"/>
      <c r="V854" s="85" t="str">
        <f t="array" ref="V854">IFERROR(index('3. Công thức lab theo từng mã h'!J:J,MATCH(C854,'3. Công thức lab theo từng mã h'!L:L,0)),"")</f>
        <v/>
      </c>
      <c r="W854" s="85"/>
      <c r="X854" s="75"/>
    </row>
    <row r="855">
      <c r="A855" s="64">
        <f t="shared" si="2"/>
        <v>0</v>
      </c>
      <c r="B855" s="98"/>
      <c r="C855" s="64"/>
      <c r="D855" s="16"/>
      <c r="E855" s="16"/>
      <c r="F855" s="100"/>
      <c r="G855" s="101"/>
      <c r="H855" s="16"/>
      <c r="I855" s="16"/>
      <c r="J855" s="16"/>
      <c r="K855" s="16"/>
      <c r="L855" s="16"/>
      <c r="M855" s="16"/>
      <c r="N855" s="100"/>
      <c r="O855" s="100"/>
      <c r="P855" s="100"/>
      <c r="Q855" s="106"/>
      <c r="R855" s="107"/>
      <c r="S855" s="104"/>
      <c r="T855" s="74"/>
      <c r="U855" s="108"/>
      <c r="V855" s="74" t="str">
        <f t="array" ref="V855">IFERROR(index('3. Công thức lab theo từng mã h'!J:J,MATCH(C855,'3. Công thức lab theo từng mã h'!L:L,0)),"")</f>
        <v/>
      </c>
      <c r="W855" s="74"/>
      <c r="X855" s="75"/>
    </row>
    <row r="856">
      <c r="A856" s="76">
        <f t="shared" si="2"/>
        <v>0</v>
      </c>
      <c r="B856" s="88"/>
      <c r="C856" s="76"/>
      <c r="D856" s="86"/>
      <c r="E856" s="86"/>
      <c r="F856" s="90"/>
      <c r="G856" s="91"/>
      <c r="H856" s="86"/>
      <c r="I856" s="86"/>
      <c r="J856" s="86"/>
      <c r="K856" s="86"/>
      <c r="L856" s="86"/>
      <c r="M856" s="86"/>
      <c r="N856" s="90"/>
      <c r="O856" s="90"/>
      <c r="P856" s="90"/>
      <c r="Q856" s="106"/>
      <c r="R856" s="95"/>
      <c r="S856" s="96"/>
      <c r="T856" s="85"/>
      <c r="U856" s="97"/>
      <c r="V856" s="85" t="str">
        <f t="array" ref="V856">IFERROR(index('3. Công thức lab theo từng mã h'!J:J,MATCH(C856,'3. Công thức lab theo từng mã h'!L:L,0)),"")</f>
        <v/>
      </c>
      <c r="W856" s="85"/>
      <c r="X856" s="75"/>
    </row>
    <row r="857">
      <c r="A857" s="64">
        <f t="shared" si="2"/>
        <v>0</v>
      </c>
      <c r="B857" s="98"/>
      <c r="C857" s="64"/>
      <c r="D857" s="16"/>
      <c r="E857" s="16"/>
      <c r="F857" s="100"/>
      <c r="G857" s="101"/>
      <c r="H857" s="16"/>
      <c r="I857" s="16"/>
      <c r="J857" s="16"/>
      <c r="K857" s="16"/>
      <c r="L857" s="16"/>
      <c r="M857" s="16"/>
      <c r="N857" s="100"/>
      <c r="O857" s="100"/>
      <c r="P857" s="100"/>
      <c r="Q857" s="106"/>
      <c r="R857" s="107"/>
      <c r="S857" s="104"/>
      <c r="T857" s="74"/>
      <c r="U857" s="108"/>
      <c r="V857" s="74" t="str">
        <f t="array" ref="V857">IFERROR(index('3. Công thức lab theo từng mã h'!J:J,MATCH(C857,'3. Công thức lab theo từng mã h'!L:L,0)),"")</f>
        <v/>
      </c>
      <c r="W857" s="74"/>
      <c r="X857" s="75"/>
    </row>
    <row r="858">
      <c r="A858" s="76">
        <f t="shared" si="2"/>
        <v>0</v>
      </c>
      <c r="B858" s="88"/>
      <c r="C858" s="76"/>
      <c r="D858" s="86"/>
      <c r="E858" s="86"/>
      <c r="F858" s="90"/>
      <c r="G858" s="91"/>
      <c r="H858" s="86"/>
      <c r="I858" s="86"/>
      <c r="J858" s="86"/>
      <c r="K858" s="86"/>
      <c r="L858" s="86"/>
      <c r="M858" s="86"/>
      <c r="N858" s="90"/>
      <c r="O858" s="90"/>
      <c r="P858" s="90"/>
      <c r="Q858" s="106"/>
      <c r="R858" s="95"/>
      <c r="S858" s="96"/>
      <c r="T858" s="85"/>
      <c r="U858" s="97"/>
      <c r="V858" s="85" t="str">
        <f t="array" ref="V858">IFERROR(index('3. Công thức lab theo từng mã h'!J:J,MATCH(C858,'3. Công thức lab theo từng mã h'!L:L,0)),"")</f>
        <v/>
      </c>
      <c r="W858" s="85"/>
      <c r="X858" s="75"/>
    </row>
    <row r="859">
      <c r="A859" s="64">
        <f t="shared" si="2"/>
        <v>0</v>
      </c>
      <c r="B859" s="98"/>
      <c r="C859" s="64"/>
      <c r="D859" s="16"/>
      <c r="E859" s="16"/>
      <c r="F859" s="100"/>
      <c r="G859" s="101"/>
      <c r="H859" s="16"/>
      <c r="I859" s="16"/>
      <c r="J859" s="16"/>
      <c r="K859" s="16"/>
      <c r="L859" s="16"/>
      <c r="M859" s="16"/>
      <c r="N859" s="100"/>
      <c r="O859" s="100"/>
      <c r="P859" s="100"/>
      <c r="Q859" s="106"/>
      <c r="R859" s="107"/>
      <c r="S859" s="104"/>
      <c r="T859" s="74"/>
      <c r="U859" s="108"/>
      <c r="V859" s="74" t="str">
        <f t="array" ref="V859">IFERROR(index('3. Công thức lab theo từng mã h'!J:J,MATCH(C859,'3. Công thức lab theo từng mã h'!L:L,0)),"")</f>
        <v/>
      </c>
      <c r="W859" s="74"/>
      <c r="X859" s="75"/>
    </row>
    <row r="860">
      <c r="A860" s="76">
        <f t="shared" si="2"/>
        <v>0</v>
      </c>
      <c r="B860" s="88"/>
      <c r="C860" s="76"/>
      <c r="D860" s="86"/>
      <c r="E860" s="86"/>
      <c r="F860" s="90"/>
      <c r="G860" s="91"/>
      <c r="H860" s="86"/>
      <c r="I860" s="86"/>
      <c r="J860" s="86"/>
      <c r="K860" s="86"/>
      <c r="L860" s="86"/>
      <c r="M860" s="86"/>
      <c r="N860" s="90"/>
      <c r="O860" s="90"/>
      <c r="P860" s="90"/>
      <c r="Q860" s="106"/>
      <c r="R860" s="95"/>
      <c r="S860" s="96"/>
      <c r="T860" s="85"/>
      <c r="U860" s="97"/>
      <c r="V860" s="85" t="str">
        <f t="array" ref="V860">IFERROR(index('3. Công thức lab theo từng mã h'!J:J,MATCH(C860,'3. Công thức lab theo từng mã h'!L:L,0)),"")</f>
        <v/>
      </c>
      <c r="W860" s="85"/>
      <c r="X860" s="75"/>
    </row>
    <row r="861">
      <c r="A861" s="64">
        <f t="shared" si="2"/>
        <v>0</v>
      </c>
      <c r="B861" s="98"/>
      <c r="C861" s="64"/>
      <c r="D861" s="16"/>
      <c r="E861" s="16"/>
      <c r="F861" s="100"/>
      <c r="G861" s="101"/>
      <c r="H861" s="16"/>
      <c r="I861" s="16"/>
      <c r="J861" s="16"/>
      <c r="K861" s="16"/>
      <c r="L861" s="16"/>
      <c r="M861" s="16"/>
      <c r="N861" s="100"/>
      <c r="O861" s="100"/>
      <c r="P861" s="100"/>
      <c r="Q861" s="106"/>
      <c r="R861" s="107"/>
      <c r="S861" s="104"/>
      <c r="T861" s="74"/>
      <c r="U861" s="108"/>
      <c r="V861" s="74" t="str">
        <f t="array" ref="V861">IFERROR(index('3. Công thức lab theo từng mã h'!J:J,MATCH(C861,'3. Công thức lab theo từng mã h'!L:L,0)),"")</f>
        <v/>
      </c>
      <c r="W861" s="74"/>
      <c r="X861" s="75"/>
    </row>
    <row r="862">
      <c r="A862" s="76">
        <f t="shared" si="2"/>
        <v>0</v>
      </c>
      <c r="B862" s="88"/>
      <c r="C862" s="76"/>
      <c r="D862" s="86"/>
      <c r="E862" s="86"/>
      <c r="F862" s="90"/>
      <c r="G862" s="91"/>
      <c r="H862" s="86"/>
      <c r="I862" s="86"/>
      <c r="J862" s="86"/>
      <c r="K862" s="86"/>
      <c r="L862" s="86"/>
      <c r="M862" s="86"/>
      <c r="N862" s="90"/>
      <c r="O862" s="90"/>
      <c r="P862" s="90"/>
      <c r="Q862" s="106"/>
      <c r="R862" s="95"/>
      <c r="S862" s="96"/>
      <c r="T862" s="85"/>
      <c r="U862" s="97"/>
      <c r="V862" s="85" t="str">
        <f t="array" ref="V862">IFERROR(index('3. Công thức lab theo từng mã h'!J:J,MATCH(C862,'3. Công thức lab theo từng mã h'!L:L,0)),"")</f>
        <v/>
      </c>
      <c r="W862" s="85"/>
      <c r="X862" s="75"/>
    </row>
    <row r="863">
      <c r="A863" s="64">
        <f t="shared" si="2"/>
        <v>0</v>
      </c>
      <c r="B863" s="98"/>
      <c r="C863" s="64"/>
      <c r="D863" s="16"/>
      <c r="E863" s="16"/>
      <c r="F863" s="100"/>
      <c r="G863" s="101"/>
      <c r="H863" s="16"/>
      <c r="I863" s="16"/>
      <c r="J863" s="16"/>
      <c r="K863" s="16"/>
      <c r="L863" s="16"/>
      <c r="M863" s="16"/>
      <c r="N863" s="100"/>
      <c r="O863" s="100"/>
      <c r="P863" s="100"/>
      <c r="Q863" s="106"/>
      <c r="R863" s="107"/>
      <c r="S863" s="104"/>
      <c r="T863" s="74"/>
      <c r="U863" s="108"/>
      <c r="V863" s="74" t="str">
        <f t="array" ref="V863">IFERROR(index('3. Công thức lab theo từng mã h'!J:J,MATCH(C863,'3. Công thức lab theo từng mã h'!L:L,0)),"")</f>
        <v/>
      </c>
      <c r="W863" s="74"/>
      <c r="X863" s="75"/>
    </row>
    <row r="864">
      <c r="A864" s="76">
        <f t="shared" si="2"/>
        <v>0</v>
      </c>
      <c r="B864" s="88"/>
      <c r="C864" s="76"/>
      <c r="D864" s="86"/>
      <c r="E864" s="86"/>
      <c r="F864" s="90"/>
      <c r="G864" s="91"/>
      <c r="H864" s="86"/>
      <c r="I864" s="86"/>
      <c r="J864" s="86"/>
      <c r="K864" s="86"/>
      <c r="L864" s="86"/>
      <c r="M864" s="86"/>
      <c r="N864" s="90"/>
      <c r="O864" s="90"/>
      <c r="P864" s="90"/>
      <c r="Q864" s="106"/>
      <c r="R864" s="95"/>
      <c r="S864" s="96"/>
      <c r="T864" s="85"/>
      <c r="U864" s="97"/>
      <c r="V864" s="85" t="str">
        <f t="array" ref="V864">IFERROR(index('3. Công thức lab theo từng mã h'!J:J,MATCH(C864,'3. Công thức lab theo từng mã h'!L:L,0)),"")</f>
        <v/>
      </c>
      <c r="W864" s="85"/>
      <c r="X864" s="75"/>
    </row>
    <row r="865">
      <c r="A865" s="64">
        <f t="shared" si="2"/>
        <v>0</v>
      </c>
      <c r="B865" s="98"/>
      <c r="C865" s="64"/>
      <c r="D865" s="16"/>
      <c r="E865" s="16"/>
      <c r="F865" s="100"/>
      <c r="G865" s="101"/>
      <c r="H865" s="16"/>
      <c r="I865" s="16"/>
      <c r="J865" s="16"/>
      <c r="K865" s="16"/>
      <c r="L865" s="16"/>
      <c r="M865" s="16"/>
      <c r="N865" s="100"/>
      <c r="O865" s="100"/>
      <c r="P865" s="100"/>
      <c r="Q865" s="106"/>
      <c r="R865" s="107"/>
      <c r="S865" s="104"/>
      <c r="T865" s="74"/>
      <c r="U865" s="108"/>
      <c r="V865" s="74" t="str">
        <f t="array" ref="V865">IFERROR(index('3. Công thức lab theo từng mã h'!J:J,MATCH(C865,'3. Công thức lab theo từng mã h'!L:L,0)),"")</f>
        <v/>
      </c>
      <c r="W865" s="74"/>
      <c r="X865" s="75"/>
    </row>
    <row r="866">
      <c r="A866" s="76">
        <f t="shared" si="2"/>
        <v>0</v>
      </c>
      <c r="B866" s="88"/>
      <c r="C866" s="76"/>
      <c r="D866" s="86"/>
      <c r="E866" s="86"/>
      <c r="F866" s="90"/>
      <c r="G866" s="91"/>
      <c r="H866" s="86"/>
      <c r="I866" s="86"/>
      <c r="J866" s="86"/>
      <c r="K866" s="86"/>
      <c r="L866" s="86"/>
      <c r="M866" s="86"/>
      <c r="N866" s="90"/>
      <c r="O866" s="90"/>
      <c r="P866" s="90"/>
      <c r="Q866" s="106"/>
      <c r="R866" s="95"/>
      <c r="S866" s="96"/>
      <c r="T866" s="85"/>
      <c r="U866" s="97"/>
      <c r="V866" s="85" t="str">
        <f t="array" ref="V866">IFERROR(index('3. Công thức lab theo từng mã h'!J:J,MATCH(C866,'3. Công thức lab theo từng mã h'!L:L,0)),"")</f>
        <v/>
      </c>
      <c r="W866" s="85"/>
      <c r="X866" s="75"/>
    </row>
    <row r="867">
      <c r="A867" s="64">
        <f t="shared" si="2"/>
        <v>0</v>
      </c>
      <c r="B867" s="98"/>
      <c r="C867" s="64"/>
      <c r="D867" s="16"/>
      <c r="E867" s="16"/>
      <c r="F867" s="100"/>
      <c r="G867" s="101"/>
      <c r="H867" s="16"/>
      <c r="I867" s="16"/>
      <c r="J867" s="16"/>
      <c r="K867" s="16"/>
      <c r="L867" s="16"/>
      <c r="M867" s="16"/>
      <c r="N867" s="100"/>
      <c r="O867" s="100"/>
      <c r="P867" s="100"/>
      <c r="Q867" s="106"/>
      <c r="R867" s="107"/>
      <c r="S867" s="104"/>
      <c r="T867" s="74"/>
      <c r="U867" s="108"/>
      <c r="V867" s="74" t="str">
        <f t="array" ref="V867">IFERROR(index('3. Công thức lab theo từng mã h'!J:J,MATCH(C867,'3. Công thức lab theo từng mã h'!L:L,0)),"")</f>
        <v/>
      </c>
      <c r="W867" s="74"/>
      <c r="X867" s="75"/>
    </row>
    <row r="868">
      <c r="A868" s="76">
        <f t="shared" si="2"/>
        <v>0</v>
      </c>
      <c r="B868" s="88"/>
      <c r="C868" s="76"/>
      <c r="D868" s="86"/>
      <c r="E868" s="86"/>
      <c r="F868" s="90"/>
      <c r="G868" s="91"/>
      <c r="H868" s="86"/>
      <c r="I868" s="86"/>
      <c r="J868" s="86"/>
      <c r="K868" s="86"/>
      <c r="L868" s="86"/>
      <c r="M868" s="86"/>
      <c r="N868" s="90"/>
      <c r="O868" s="90"/>
      <c r="P868" s="90"/>
      <c r="Q868" s="106"/>
      <c r="R868" s="95"/>
      <c r="S868" s="96"/>
      <c r="T868" s="85"/>
      <c r="U868" s="97"/>
      <c r="V868" s="85" t="str">
        <f t="array" ref="V868">IFERROR(index('3. Công thức lab theo từng mã h'!J:J,MATCH(C868,'3. Công thức lab theo từng mã h'!L:L,0)),"")</f>
        <v/>
      </c>
      <c r="W868" s="85"/>
      <c r="X868" s="75"/>
    </row>
    <row r="869">
      <c r="A869" s="64">
        <f t="shared" si="2"/>
        <v>0</v>
      </c>
      <c r="B869" s="98"/>
      <c r="C869" s="64"/>
      <c r="D869" s="16"/>
      <c r="E869" s="16"/>
      <c r="F869" s="100"/>
      <c r="G869" s="101"/>
      <c r="H869" s="16"/>
      <c r="I869" s="16"/>
      <c r="J869" s="16"/>
      <c r="K869" s="16"/>
      <c r="L869" s="16"/>
      <c r="M869" s="16"/>
      <c r="N869" s="100"/>
      <c r="O869" s="100"/>
      <c r="P869" s="100"/>
      <c r="Q869" s="106"/>
      <c r="R869" s="107"/>
      <c r="S869" s="104"/>
      <c r="T869" s="74"/>
      <c r="U869" s="108"/>
      <c r="V869" s="74" t="str">
        <f t="array" ref="V869">IFERROR(index('3. Công thức lab theo từng mã h'!J:J,MATCH(C869,'3. Công thức lab theo từng mã h'!L:L,0)),"")</f>
        <v/>
      </c>
      <c r="W869" s="74"/>
      <c r="X869" s="75"/>
    </row>
    <row r="870">
      <c r="A870" s="76">
        <f t="shared" si="2"/>
        <v>0</v>
      </c>
      <c r="B870" s="88"/>
      <c r="C870" s="76"/>
      <c r="D870" s="86"/>
      <c r="E870" s="86"/>
      <c r="F870" s="90"/>
      <c r="G870" s="91"/>
      <c r="H870" s="86"/>
      <c r="I870" s="86"/>
      <c r="J870" s="86"/>
      <c r="K870" s="86"/>
      <c r="L870" s="86"/>
      <c r="M870" s="86"/>
      <c r="N870" s="90"/>
      <c r="O870" s="90"/>
      <c r="P870" s="90"/>
      <c r="Q870" s="106"/>
      <c r="R870" s="95"/>
      <c r="S870" s="96"/>
      <c r="T870" s="85"/>
      <c r="U870" s="97"/>
      <c r="V870" s="85" t="str">
        <f t="array" ref="V870">IFERROR(index('3. Công thức lab theo từng mã h'!J:J,MATCH(C870,'3. Công thức lab theo từng mã h'!L:L,0)),"")</f>
        <v/>
      </c>
      <c r="W870" s="85"/>
      <c r="X870" s="75"/>
    </row>
    <row r="871">
      <c r="A871" s="64">
        <f t="shared" si="2"/>
        <v>0</v>
      </c>
      <c r="B871" s="98"/>
      <c r="C871" s="64"/>
      <c r="D871" s="16"/>
      <c r="E871" s="16"/>
      <c r="F871" s="100"/>
      <c r="G871" s="101"/>
      <c r="H871" s="16"/>
      <c r="I871" s="16"/>
      <c r="J871" s="16"/>
      <c r="K871" s="16"/>
      <c r="L871" s="16"/>
      <c r="M871" s="16"/>
      <c r="N871" s="100"/>
      <c r="O871" s="100"/>
      <c r="P871" s="100"/>
      <c r="Q871" s="106"/>
      <c r="R871" s="107"/>
      <c r="S871" s="104"/>
      <c r="T871" s="74"/>
      <c r="U871" s="108"/>
      <c r="V871" s="74" t="str">
        <f t="array" ref="V871">IFERROR(index('3. Công thức lab theo từng mã h'!J:J,MATCH(C871,'3. Công thức lab theo từng mã h'!L:L,0)),"")</f>
        <v/>
      </c>
      <c r="W871" s="74"/>
      <c r="X871" s="75"/>
    </row>
    <row r="872">
      <c r="A872" s="76">
        <f t="shared" si="2"/>
        <v>0</v>
      </c>
      <c r="B872" s="88"/>
      <c r="C872" s="76"/>
      <c r="D872" s="86"/>
      <c r="E872" s="86"/>
      <c r="F872" s="90"/>
      <c r="G872" s="91"/>
      <c r="H872" s="86"/>
      <c r="I872" s="86"/>
      <c r="J872" s="86"/>
      <c r="K872" s="86"/>
      <c r="L872" s="86"/>
      <c r="M872" s="86"/>
      <c r="N872" s="90"/>
      <c r="O872" s="90"/>
      <c r="P872" s="90"/>
      <c r="Q872" s="106"/>
      <c r="R872" s="95"/>
      <c r="S872" s="96"/>
      <c r="T872" s="85"/>
      <c r="U872" s="97"/>
      <c r="V872" s="85" t="str">
        <f t="array" ref="V872">IFERROR(index('3. Công thức lab theo từng mã h'!J:J,MATCH(C872,'3. Công thức lab theo từng mã h'!L:L,0)),"")</f>
        <v/>
      </c>
      <c r="W872" s="85"/>
      <c r="X872" s="75"/>
    </row>
    <row r="873">
      <c r="A873" s="64">
        <f t="shared" si="2"/>
        <v>0</v>
      </c>
      <c r="B873" s="98"/>
      <c r="C873" s="64"/>
      <c r="D873" s="16"/>
      <c r="E873" s="16"/>
      <c r="F873" s="100"/>
      <c r="G873" s="101"/>
      <c r="H873" s="16"/>
      <c r="I873" s="16"/>
      <c r="J873" s="16"/>
      <c r="K873" s="16"/>
      <c r="L873" s="16"/>
      <c r="M873" s="16"/>
      <c r="N873" s="100"/>
      <c r="O873" s="100"/>
      <c r="P873" s="100"/>
      <c r="Q873" s="106"/>
      <c r="R873" s="107"/>
      <c r="S873" s="104"/>
      <c r="T873" s="74"/>
      <c r="U873" s="108"/>
      <c r="V873" s="74" t="str">
        <f t="array" ref="V873">IFERROR(index('3. Công thức lab theo từng mã h'!J:J,MATCH(C873,'3. Công thức lab theo từng mã h'!L:L,0)),"")</f>
        <v/>
      </c>
      <c r="W873" s="74"/>
      <c r="X873" s="75"/>
    </row>
    <row r="874">
      <c r="A874" s="76">
        <f t="shared" si="2"/>
        <v>0</v>
      </c>
      <c r="B874" s="88"/>
      <c r="C874" s="76"/>
      <c r="D874" s="86"/>
      <c r="E874" s="86"/>
      <c r="F874" s="90"/>
      <c r="G874" s="91"/>
      <c r="H874" s="86"/>
      <c r="I874" s="86"/>
      <c r="J874" s="86"/>
      <c r="K874" s="86"/>
      <c r="L874" s="86"/>
      <c r="M874" s="86"/>
      <c r="N874" s="90"/>
      <c r="O874" s="90"/>
      <c r="P874" s="90"/>
      <c r="Q874" s="106"/>
      <c r="R874" s="95"/>
      <c r="S874" s="96"/>
      <c r="T874" s="85"/>
      <c r="U874" s="97"/>
      <c r="V874" s="85" t="str">
        <f t="array" ref="V874">IFERROR(index('3. Công thức lab theo từng mã h'!J:J,MATCH(C874,'3. Công thức lab theo từng mã h'!L:L,0)),"")</f>
        <v/>
      </c>
      <c r="W874" s="85"/>
      <c r="X874" s="75"/>
    </row>
    <row r="875">
      <c r="A875" s="64">
        <f t="shared" si="2"/>
        <v>0</v>
      </c>
      <c r="B875" s="98"/>
      <c r="C875" s="64"/>
      <c r="D875" s="16"/>
      <c r="E875" s="16"/>
      <c r="F875" s="100"/>
      <c r="G875" s="101"/>
      <c r="H875" s="16"/>
      <c r="I875" s="16"/>
      <c r="J875" s="16"/>
      <c r="K875" s="16"/>
      <c r="L875" s="16"/>
      <c r="M875" s="16"/>
      <c r="N875" s="100"/>
      <c r="O875" s="100"/>
      <c r="P875" s="100"/>
      <c r="Q875" s="106"/>
      <c r="R875" s="107"/>
      <c r="S875" s="104"/>
      <c r="T875" s="74"/>
      <c r="U875" s="108"/>
      <c r="V875" s="74" t="str">
        <f t="array" ref="V875">IFERROR(index('3. Công thức lab theo từng mã h'!J:J,MATCH(C875,'3. Công thức lab theo từng mã h'!L:L,0)),"")</f>
        <v/>
      </c>
      <c r="W875" s="74"/>
      <c r="X875" s="75"/>
    </row>
    <row r="876">
      <c r="A876" s="76">
        <f t="shared" si="2"/>
        <v>0</v>
      </c>
      <c r="B876" s="88"/>
      <c r="C876" s="76"/>
      <c r="D876" s="86"/>
      <c r="E876" s="86"/>
      <c r="F876" s="90"/>
      <c r="G876" s="91"/>
      <c r="H876" s="86"/>
      <c r="I876" s="86"/>
      <c r="J876" s="86"/>
      <c r="K876" s="86"/>
      <c r="L876" s="86"/>
      <c r="M876" s="86"/>
      <c r="N876" s="90"/>
      <c r="O876" s="90"/>
      <c r="P876" s="90"/>
      <c r="Q876" s="106"/>
      <c r="R876" s="95"/>
      <c r="S876" s="96"/>
      <c r="T876" s="85"/>
      <c r="U876" s="97"/>
      <c r="V876" s="85" t="str">
        <f t="array" ref="V876">IFERROR(index('3. Công thức lab theo từng mã h'!J:J,MATCH(C876,'3. Công thức lab theo từng mã h'!L:L,0)),"")</f>
        <v/>
      </c>
      <c r="W876" s="85"/>
      <c r="X876" s="75"/>
    </row>
    <row r="877">
      <c r="A877" s="64">
        <f t="shared" si="2"/>
        <v>0</v>
      </c>
      <c r="B877" s="98"/>
      <c r="C877" s="64"/>
      <c r="D877" s="16"/>
      <c r="E877" s="16"/>
      <c r="F877" s="100"/>
      <c r="G877" s="101"/>
      <c r="H877" s="16"/>
      <c r="I877" s="16"/>
      <c r="J877" s="16"/>
      <c r="K877" s="16"/>
      <c r="L877" s="16"/>
      <c r="M877" s="16"/>
      <c r="N877" s="100"/>
      <c r="O877" s="100"/>
      <c r="P877" s="100"/>
      <c r="Q877" s="106"/>
      <c r="R877" s="107"/>
      <c r="S877" s="104"/>
      <c r="T877" s="74"/>
      <c r="U877" s="108"/>
      <c r="V877" s="74" t="str">
        <f t="array" ref="V877">IFERROR(index('3. Công thức lab theo từng mã h'!J:J,MATCH(C877,'3. Công thức lab theo từng mã h'!L:L,0)),"")</f>
        <v/>
      </c>
      <c r="W877" s="74"/>
      <c r="X877" s="75"/>
    </row>
    <row r="878">
      <c r="A878" s="76">
        <f t="shared" si="2"/>
        <v>0</v>
      </c>
      <c r="B878" s="88"/>
      <c r="C878" s="76"/>
      <c r="D878" s="86"/>
      <c r="E878" s="86"/>
      <c r="F878" s="90"/>
      <c r="G878" s="91"/>
      <c r="H878" s="86"/>
      <c r="I878" s="86"/>
      <c r="J878" s="86"/>
      <c r="K878" s="86"/>
      <c r="L878" s="86"/>
      <c r="M878" s="86"/>
      <c r="N878" s="90"/>
      <c r="O878" s="90"/>
      <c r="P878" s="90"/>
      <c r="Q878" s="106"/>
      <c r="R878" s="95"/>
      <c r="S878" s="96"/>
      <c r="T878" s="85"/>
      <c r="U878" s="97"/>
      <c r="V878" s="85" t="str">
        <f t="array" ref="V878">IFERROR(index('3. Công thức lab theo từng mã h'!J:J,MATCH(C878,'3. Công thức lab theo từng mã h'!L:L,0)),"")</f>
        <v/>
      </c>
      <c r="W878" s="85"/>
      <c r="X878" s="75"/>
    </row>
    <row r="879">
      <c r="A879" s="64">
        <f t="shared" si="2"/>
        <v>0</v>
      </c>
      <c r="B879" s="98"/>
      <c r="C879" s="64"/>
      <c r="D879" s="16"/>
      <c r="E879" s="16"/>
      <c r="F879" s="100"/>
      <c r="G879" s="101"/>
      <c r="H879" s="16"/>
      <c r="I879" s="16"/>
      <c r="J879" s="16"/>
      <c r="K879" s="16"/>
      <c r="L879" s="16"/>
      <c r="M879" s="16"/>
      <c r="N879" s="100"/>
      <c r="O879" s="100"/>
      <c r="P879" s="100"/>
      <c r="Q879" s="106"/>
      <c r="R879" s="107"/>
      <c r="S879" s="104"/>
      <c r="T879" s="74"/>
      <c r="U879" s="108"/>
      <c r="V879" s="74" t="str">
        <f t="array" ref="V879">IFERROR(index('3. Công thức lab theo từng mã h'!J:J,MATCH(C879,'3. Công thức lab theo từng mã h'!L:L,0)),"")</f>
        <v/>
      </c>
      <c r="W879" s="74"/>
      <c r="X879" s="75"/>
    </row>
    <row r="880">
      <c r="A880" s="76">
        <f t="shared" si="2"/>
        <v>0</v>
      </c>
      <c r="B880" s="88"/>
      <c r="C880" s="76"/>
      <c r="D880" s="86"/>
      <c r="E880" s="86"/>
      <c r="F880" s="90"/>
      <c r="G880" s="91"/>
      <c r="H880" s="86"/>
      <c r="I880" s="86"/>
      <c r="J880" s="86"/>
      <c r="K880" s="86"/>
      <c r="L880" s="86"/>
      <c r="M880" s="86"/>
      <c r="N880" s="90"/>
      <c r="O880" s="90"/>
      <c r="P880" s="90"/>
      <c r="Q880" s="106"/>
      <c r="R880" s="95"/>
      <c r="S880" s="96"/>
      <c r="T880" s="85"/>
      <c r="U880" s="97"/>
      <c r="V880" s="85" t="str">
        <f t="array" ref="V880">IFERROR(index('3. Công thức lab theo từng mã h'!J:J,MATCH(C880,'3. Công thức lab theo từng mã h'!L:L,0)),"")</f>
        <v/>
      </c>
      <c r="W880" s="85"/>
      <c r="X880" s="75"/>
    </row>
    <row r="881">
      <c r="A881" s="64">
        <f t="shared" si="2"/>
        <v>0</v>
      </c>
      <c r="B881" s="98"/>
      <c r="C881" s="64"/>
      <c r="D881" s="16"/>
      <c r="E881" s="16"/>
      <c r="F881" s="100"/>
      <c r="G881" s="101"/>
      <c r="H881" s="16"/>
      <c r="I881" s="16"/>
      <c r="J881" s="16"/>
      <c r="K881" s="16"/>
      <c r="L881" s="16"/>
      <c r="M881" s="16"/>
      <c r="N881" s="100"/>
      <c r="O881" s="100"/>
      <c r="P881" s="100"/>
      <c r="Q881" s="106"/>
      <c r="R881" s="107"/>
      <c r="S881" s="104"/>
      <c r="T881" s="74"/>
      <c r="U881" s="108"/>
      <c r="V881" s="74" t="str">
        <f t="array" ref="V881">IFERROR(index('3. Công thức lab theo từng mã h'!J:J,MATCH(C881,'3. Công thức lab theo từng mã h'!L:L,0)),"")</f>
        <v/>
      </c>
      <c r="W881" s="74"/>
      <c r="X881" s="75"/>
    </row>
    <row r="882">
      <c r="A882" s="76">
        <f t="shared" si="2"/>
        <v>0</v>
      </c>
      <c r="B882" s="88"/>
      <c r="C882" s="76"/>
      <c r="D882" s="86"/>
      <c r="E882" s="86"/>
      <c r="F882" s="90"/>
      <c r="G882" s="91"/>
      <c r="H882" s="86"/>
      <c r="I882" s="86"/>
      <c r="J882" s="86"/>
      <c r="K882" s="86"/>
      <c r="L882" s="86"/>
      <c r="M882" s="86"/>
      <c r="N882" s="90"/>
      <c r="O882" s="90"/>
      <c r="P882" s="90"/>
      <c r="Q882" s="106"/>
      <c r="R882" s="95"/>
      <c r="S882" s="96"/>
      <c r="T882" s="85"/>
      <c r="U882" s="97"/>
      <c r="V882" s="85" t="str">
        <f t="array" ref="V882">IFERROR(index('3. Công thức lab theo từng mã h'!J:J,MATCH(C882,'3. Công thức lab theo từng mã h'!L:L,0)),"")</f>
        <v/>
      </c>
      <c r="W882" s="85"/>
      <c r="X882" s="75"/>
    </row>
    <row r="883">
      <c r="A883" s="64">
        <f t="shared" si="2"/>
        <v>0</v>
      </c>
      <c r="B883" s="98"/>
      <c r="C883" s="64"/>
      <c r="D883" s="16"/>
      <c r="E883" s="16"/>
      <c r="F883" s="100"/>
      <c r="G883" s="101"/>
      <c r="H883" s="16"/>
      <c r="I883" s="16"/>
      <c r="J883" s="16"/>
      <c r="K883" s="16"/>
      <c r="L883" s="16"/>
      <c r="M883" s="16"/>
      <c r="N883" s="100"/>
      <c r="O883" s="100"/>
      <c r="P883" s="100"/>
      <c r="Q883" s="106"/>
      <c r="R883" s="107"/>
      <c r="S883" s="104"/>
      <c r="T883" s="74"/>
      <c r="U883" s="108"/>
      <c r="V883" s="74" t="str">
        <f t="array" ref="V883">IFERROR(index('3. Công thức lab theo từng mã h'!J:J,MATCH(C883,'3. Công thức lab theo từng mã h'!L:L,0)),"")</f>
        <v/>
      </c>
      <c r="W883" s="74"/>
      <c r="X883" s="75"/>
    </row>
    <row r="884">
      <c r="A884" s="76">
        <f t="shared" si="2"/>
        <v>0</v>
      </c>
      <c r="B884" s="88"/>
      <c r="C884" s="76"/>
      <c r="D884" s="86"/>
      <c r="E884" s="86"/>
      <c r="F884" s="90"/>
      <c r="G884" s="91"/>
      <c r="H884" s="86"/>
      <c r="I884" s="86"/>
      <c r="J884" s="86"/>
      <c r="K884" s="86"/>
      <c r="L884" s="86"/>
      <c r="M884" s="86"/>
      <c r="N884" s="90"/>
      <c r="O884" s="90"/>
      <c r="P884" s="90"/>
      <c r="Q884" s="106"/>
      <c r="R884" s="95"/>
      <c r="S884" s="96"/>
      <c r="T884" s="85"/>
      <c r="U884" s="97"/>
      <c r="V884" s="85" t="str">
        <f t="array" ref="V884">IFERROR(index('3. Công thức lab theo từng mã h'!J:J,MATCH(C884,'3. Công thức lab theo từng mã h'!L:L,0)),"")</f>
        <v/>
      </c>
      <c r="W884" s="85"/>
      <c r="X884" s="75"/>
    </row>
    <row r="885">
      <c r="A885" s="64">
        <f t="shared" si="2"/>
        <v>0</v>
      </c>
      <c r="B885" s="98"/>
      <c r="C885" s="64"/>
      <c r="D885" s="16"/>
      <c r="E885" s="16"/>
      <c r="F885" s="100"/>
      <c r="G885" s="101"/>
      <c r="H885" s="16"/>
      <c r="I885" s="16"/>
      <c r="J885" s="16"/>
      <c r="K885" s="16"/>
      <c r="L885" s="16"/>
      <c r="M885" s="16"/>
      <c r="N885" s="100"/>
      <c r="O885" s="100"/>
      <c r="P885" s="100"/>
      <c r="Q885" s="106"/>
      <c r="R885" s="107"/>
      <c r="S885" s="104"/>
      <c r="T885" s="74"/>
      <c r="U885" s="108"/>
      <c r="V885" s="74" t="str">
        <f t="array" ref="V885">IFERROR(index('3. Công thức lab theo từng mã h'!J:J,MATCH(C885,'3. Công thức lab theo từng mã h'!L:L,0)),"")</f>
        <v/>
      </c>
      <c r="W885" s="74"/>
      <c r="X885" s="75"/>
    </row>
    <row r="886">
      <c r="A886" s="76">
        <f t="shared" si="2"/>
        <v>0</v>
      </c>
      <c r="B886" s="88"/>
      <c r="C886" s="76"/>
      <c r="D886" s="86"/>
      <c r="E886" s="86"/>
      <c r="F886" s="90"/>
      <c r="G886" s="91"/>
      <c r="H886" s="86"/>
      <c r="I886" s="86"/>
      <c r="J886" s="86"/>
      <c r="K886" s="86"/>
      <c r="L886" s="86"/>
      <c r="M886" s="86"/>
      <c r="N886" s="90"/>
      <c r="O886" s="90"/>
      <c r="P886" s="90"/>
      <c r="Q886" s="106"/>
      <c r="R886" s="95"/>
      <c r="S886" s="96"/>
      <c r="T886" s="85"/>
      <c r="U886" s="97"/>
      <c r="V886" s="85" t="str">
        <f t="array" ref="V886">IFERROR(index('3. Công thức lab theo từng mã h'!J:J,MATCH(C886,'3. Công thức lab theo từng mã h'!L:L,0)),"")</f>
        <v/>
      </c>
      <c r="W886" s="85"/>
      <c r="X886" s="75"/>
    </row>
    <row r="887">
      <c r="A887" s="64">
        <f t="shared" si="2"/>
        <v>0</v>
      </c>
      <c r="B887" s="98"/>
      <c r="C887" s="64"/>
      <c r="D887" s="16"/>
      <c r="E887" s="16"/>
      <c r="F887" s="100"/>
      <c r="G887" s="101"/>
      <c r="H887" s="16"/>
      <c r="I887" s="16"/>
      <c r="J887" s="16"/>
      <c r="K887" s="16"/>
      <c r="L887" s="16"/>
      <c r="M887" s="16"/>
      <c r="N887" s="100"/>
      <c r="O887" s="100"/>
      <c r="P887" s="100"/>
      <c r="Q887" s="106"/>
      <c r="R887" s="107"/>
      <c r="S887" s="104"/>
      <c r="T887" s="74"/>
      <c r="U887" s="108"/>
      <c r="V887" s="74" t="str">
        <f t="array" ref="V887">IFERROR(index('3. Công thức lab theo từng mã h'!J:J,MATCH(C887,'3. Công thức lab theo từng mã h'!L:L,0)),"")</f>
        <v/>
      </c>
      <c r="W887" s="74"/>
      <c r="X887" s="75"/>
    </row>
    <row r="888">
      <c r="A888" s="76">
        <f t="shared" si="2"/>
        <v>0</v>
      </c>
      <c r="B888" s="88"/>
      <c r="C888" s="76"/>
      <c r="D888" s="86"/>
      <c r="E888" s="86"/>
      <c r="F888" s="90"/>
      <c r="G888" s="91"/>
      <c r="H888" s="86"/>
      <c r="I888" s="86"/>
      <c r="J888" s="86"/>
      <c r="K888" s="86"/>
      <c r="L888" s="86"/>
      <c r="M888" s="86"/>
      <c r="N888" s="90"/>
      <c r="O888" s="90"/>
      <c r="P888" s="90"/>
      <c r="Q888" s="106"/>
      <c r="R888" s="95"/>
      <c r="S888" s="96"/>
      <c r="T888" s="85"/>
      <c r="U888" s="97"/>
      <c r="V888" s="85" t="str">
        <f t="array" ref="V888">IFERROR(index('3. Công thức lab theo từng mã h'!J:J,MATCH(C888,'3. Công thức lab theo từng mã h'!L:L,0)),"")</f>
        <v/>
      </c>
      <c r="W888" s="85"/>
      <c r="X888" s="75"/>
    </row>
    <row r="889">
      <c r="A889" s="64">
        <f t="shared" si="2"/>
        <v>0</v>
      </c>
      <c r="B889" s="98"/>
      <c r="C889" s="64"/>
      <c r="D889" s="16"/>
      <c r="E889" s="16"/>
      <c r="F889" s="100"/>
      <c r="G889" s="101"/>
      <c r="H889" s="16"/>
      <c r="I889" s="16"/>
      <c r="J889" s="16"/>
      <c r="K889" s="16"/>
      <c r="L889" s="16"/>
      <c r="M889" s="16"/>
      <c r="N889" s="100"/>
      <c r="O889" s="100"/>
      <c r="P889" s="100"/>
      <c r="Q889" s="106"/>
      <c r="R889" s="107"/>
      <c r="S889" s="104"/>
      <c r="T889" s="74"/>
      <c r="U889" s="108"/>
      <c r="V889" s="74" t="str">
        <f t="array" ref="V889">IFERROR(index('3. Công thức lab theo từng mã h'!J:J,MATCH(C889,'3. Công thức lab theo từng mã h'!L:L,0)),"")</f>
        <v/>
      </c>
      <c r="W889" s="74"/>
      <c r="X889" s="75"/>
    </row>
    <row r="890">
      <c r="A890" s="76">
        <f t="shared" si="2"/>
        <v>0</v>
      </c>
      <c r="B890" s="88"/>
      <c r="C890" s="76"/>
      <c r="D890" s="86"/>
      <c r="E890" s="86"/>
      <c r="F890" s="90"/>
      <c r="G890" s="91"/>
      <c r="H890" s="86"/>
      <c r="I890" s="86"/>
      <c r="J890" s="86"/>
      <c r="K890" s="86"/>
      <c r="L890" s="86"/>
      <c r="M890" s="86"/>
      <c r="N890" s="90"/>
      <c r="O890" s="90"/>
      <c r="P890" s="90"/>
      <c r="Q890" s="106"/>
      <c r="R890" s="95"/>
      <c r="S890" s="96"/>
      <c r="T890" s="85"/>
      <c r="U890" s="97"/>
      <c r="V890" s="85" t="str">
        <f t="array" ref="V890">IFERROR(index('3. Công thức lab theo từng mã h'!J:J,MATCH(C890,'3. Công thức lab theo từng mã h'!L:L,0)),"")</f>
        <v/>
      </c>
      <c r="W890" s="85"/>
      <c r="X890" s="75"/>
    </row>
    <row r="891">
      <c r="A891" s="64">
        <f t="shared" si="2"/>
        <v>0</v>
      </c>
      <c r="B891" s="98"/>
      <c r="C891" s="64"/>
      <c r="D891" s="16"/>
      <c r="E891" s="16"/>
      <c r="F891" s="100"/>
      <c r="G891" s="101"/>
      <c r="H891" s="16"/>
      <c r="I891" s="16"/>
      <c r="J891" s="16"/>
      <c r="K891" s="16"/>
      <c r="L891" s="16"/>
      <c r="M891" s="16"/>
      <c r="N891" s="100"/>
      <c r="O891" s="100"/>
      <c r="P891" s="100"/>
      <c r="Q891" s="106"/>
      <c r="R891" s="107"/>
      <c r="S891" s="104"/>
      <c r="T891" s="74"/>
      <c r="U891" s="108"/>
      <c r="V891" s="74" t="str">
        <f t="array" ref="V891">IFERROR(index('3. Công thức lab theo từng mã h'!J:J,MATCH(C891,'3. Công thức lab theo từng mã h'!L:L,0)),"")</f>
        <v/>
      </c>
      <c r="W891" s="74"/>
      <c r="X891" s="75"/>
    </row>
    <row r="892">
      <c r="A892" s="76">
        <f t="shared" si="2"/>
        <v>0</v>
      </c>
      <c r="B892" s="88"/>
      <c r="C892" s="76"/>
      <c r="D892" s="86"/>
      <c r="E892" s="86"/>
      <c r="F892" s="90"/>
      <c r="G892" s="91"/>
      <c r="H892" s="86"/>
      <c r="I892" s="86"/>
      <c r="J892" s="86"/>
      <c r="K892" s="86"/>
      <c r="L892" s="86"/>
      <c r="M892" s="86"/>
      <c r="N892" s="90"/>
      <c r="O892" s="90"/>
      <c r="P892" s="90"/>
      <c r="Q892" s="106"/>
      <c r="R892" s="95"/>
      <c r="S892" s="96"/>
      <c r="T892" s="85"/>
      <c r="U892" s="97"/>
      <c r="V892" s="85" t="str">
        <f t="array" ref="V892">IFERROR(index('3. Công thức lab theo từng mã h'!J:J,MATCH(C892,'3. Công thức lab theo từng mã h'!L:L,0)),"")</f>
        <v/>
      </c>
      <c r="W892" s="85"/>
      <c r="X892" s="75"/>
    </row>
    <row r="893">
      <c r="A893" s="64">
        <f t="shared" si="2"/>
        <v>0</v>
      </c>
      <c r="B893" s="98"/>
      <c r="C893" s="64"/>
      <c r="D893" s="16"/>
      <c r="E893" s="16"/>
      <c r="F893" s="100"/>
      <c r="G893" s="101"/>
      <c r="H893" s="16"/>
      <c r="I893" s="16"/>
      <c r="J893" s="16"/>
      <c r="K893" s="16"/>
      <c r="L893" s="16"/>
      <c r="M893" s="16"/>
      <c r="N893" s="100"/>
      <c r="O893" s="100"/>
      <c r="P893" s="100"/>
      <c r="Q893" s="106"/>
      <c r="R893" s="107"/>
      <c r="S893" s="104"/>
      <c r="T893" s="74"/>
      <c r="U893" s="108"/>
      <c r="V893" s="74" t="str">
        <f t="array" ref="V893">IFERROR(index('3. Công thức lab theo từng mã h'!J:J,MATCH(C893,'3. Công thức lab theo từng mã h'!L:L,0)),"")</f>
        <v/>
      </c>
      <c r="W893" s="74"/>
      <c r="X893" s="75"/>
    </row>
    <row r="894">
      <c r="A894" s="76">
        <f t="shared" si="2"/>
        <v>0</v>
      </c>
      <c r="B894" s="88"/>
      <c r="C894" s="76"/>
      <c r="D894" s="86"/>
      <c r="E894" s="86"/>
      <c r="F894" s="90"/>
      <c r="G894" s="91"/>
      <c r="H894" s="86"/>
      <c r="I894" s="86"/>
      <c r="J894" s="86"/>
      <c r="K894" s="86"/>
      <c r="L894" s="86"/>
      <c r="M894" s="86"/>
      <c r="N894" s="90"/>
      <c r="O894" s="90"/>
      <c r="P894" s="90"/>
      <c r="Q894" s="106"/>
      <c r="R894" s="95"/>
      <c r="S894" s="96"/>
      <c r="T894" s="85"/>
      <c r="U894" s="97"/>
      <c r="V894" s="85" t="str">
        <f t="array" ref="V894">IFERROR(index('3. Công thức lab theo từng mã h'!J:J,MATCH(C894,'3. Công thức lab theo từng mã h'!L:L,0)),"")</f>
        <v/>
      </c>
      <c r="W894" s="85"/>
      <c r="X894" s="75"/>
    </row>
    <row r="895">
      <c r="A895" s="64">
        <f t="shared" si="2"/>
        <v>0</v>
      </c>
      <c r="B895" s="98"/>
      <c r="C895" s="64"/>
      <c r="D895" s="16"/>
      <c r="E895" s="16"/>
      <c r="F895" s="100"/>
      <c r="G895" s="101"/>
      <c r="H895" s="16"/>
      <c r="I895" s="16"/>
      <c r="J895" s="16"/>
      <c r="K895" s="16"/>
      <c r="L895" s="16"/>
      <c r="M895" s="16"/>
      <c r="N895" s="100"/>
      <c r="O895" s="100"/>
      <c r="P895" s="100"/>
      <c r="Q895" s="106"/>
      <c r="R895" s="107"/>
      <c r="S895" s="104"/>
      <c r="T895" s="74"/>
      <c r="U895" s="108"/>
      <c r="V895" s="74" t="str">
        <f t="array" ref="V895">IFERROR(index('3. Công thức lab theo từng mã h'!J:J,MATCH(C895,'3. Công thức lab theo từng mã h'!L:L,0)),"")</f>
        <v/>
      </c>
      <c r="W895" s="74"/>
      <c r="X895" s="75"/>
    </row>
    <row r="896">
      <c r="A896" s="76">
        <f t="shared" si="2"/>
        <v>0</v>
      </c>
      <c r="B896" s="88"/>
      <c r="C896" s="76"/>
      <c r="D896" s="86"/>
      <c r="E896" s="86"/>
      <c r="F896" s="90"/>
      <c r="G896" s="91"/>
      <c r="H896" s="86"/>
      <c r="I896" s="86"/>
      <c r="J896" s="86"/>
      <c r="K896" s="86"/>
      <c r="L896" s="86"/>
      <c r="M896" s="86"/>
      <c r="N896" s="90"/>
      <c r="O896" s="90"/>
      <c r="P896" s="90"/>
      <c r="Q896" s="106"/>
      <c r="R896" s="95"/>
      <c r="S896" s="96"/>
      <c r="T896" s="85"/>
      <c r="U896" s="97"/>
      <c r="V896" s="85" t="str">
        <f t="array" ref="V896">IFERROR(index('3. Công thức lab theo từng mã h'!J:J,MATCH(C896,'3. Công thức lab theo từng mã h'!L:L,0)),"")</f>
        <v/>
      </c>
      <c r="W896" s="85"/>
      <c r="X896" s="75"/>
    </row>
    <row r="897">
      <c r="A897" s="64">
        <f t="shared" si="2"/>
        <v>0</v>
      </c>
      <c r="B897" s="98"/>
      <c r="C897" s="64"/>
      <c r="D897" s="16"/>
      <c r="E897" s="16"/>
      <c r="F897" s="100"/>
      <c r="G897" s="101"/>
      <c r="H897" s="16"/>
      <c r="I897" s="16"/>
      <c r="J897" s="16"/>
      <c r="K897" s="16"/>
      <c r="L897" s="16"/>
      <c r="M897" s="16"/>
      <c r="N897" s="100"/>
      <c r="O897" s="100"/>
      <c r="P897" s="100"/>
      <c r="Q897" s="106"/>
      <c r="R897" s="107"/>
      <c r="S897" s="104"/>
      <c r="T897" s="74"/>
      <c r="U897" s="108"/>
      <c r="V897" s="74" t="str">
        <f t="array" ref="V897">IFERROR(index('3. Công thức lab theo từng mã h'!J:J,MATCH(C897,'3. Công thức lab theo từng mã h'!L:L,0)),"")</f>
        <v/>
      </c>
      <c r="W897" s="74"/>
      <c r="X897" s="75"/>
    </row>
    <row r="898">
      <c r="A898" s="76">
        <f t="shared" si="2"/>
        <v>0</v>
      </c>
      <c r="B898" s="88"/>
      <c r="C898" s="76"/>
      <c r="D898" s="86"/>
      <c r="E898" s="86"/>
      <c r="F898" s="90"/>
      <c r="G898" s="91"/>
      <c r="H898" s="86"/>
      <c r="I898" s="86"/>
      <c r="J898" s="86"/>
      <c r="K898" s="86"/>
      <c r="L898" s="86"/>
      <c r="M898" s="86"/>
      <c r="N898" s="90"/>
      <c r="O898" s="90"/>
      <c r="P898" s="90"/>
      <c r="Q898" s="106"/>
      <c r="R898" s="95"/>
      <c r="S898" s="96"/>
      <c r="T898" s="85"/>
      <c r="U898" s="97"/>
      <c r="V898" s="85" t="str">
        <f t="array" ref="V898">IFERROR(index('3. Công thức lab theo từng mã h'!J:J,MATCH(C898,'3. Công thức lab theo từng mã h'!L:L,0)),"")</f>
        <v/>
      </c>
      <c r="W898" s="85"/>
      <c r="X898" s="75"/>
    </row>
    <row r="899">
      <c r="A899" s="64">
        <f t="shared" si="2"/>
        <v>0</v>
      </c>
      <c r="B899" s="98"/>
      <c r="C899" s="64"/>
      <c r="D899" s="16"/>
      <c r="E899" s="16"/>
      <c r="F899" s="100"/>
      <c r="G899" s="101"/>
      <c r="H899" s="16"/>
      <c r="I899" s="16"/>
      <c r="J899" s="16"/>
      <c r="K899" s="16"/>
      <c r="L899" s="16"/>
      <c r="M899" s="16"/>
      <c r="N899" s="100"/>
      <c r="O899" s="100"/>
      <c r="P899" s="100"/>
      <c r="Q899" s="106"/>
      <c r="R899" s="107"/>
      <c r="S899" s="104"/>
      <c r="T899" s="74"/>
      <c r="U899" s="108"/>
      <c r="V899" s="74" t="str">
        <f t="array" ref="V899">IFERROR(index('3. Công thức lab theo từng mã h'!J:J,MATCH(C899,'3. Công thức lab theo từng mã h'!L:L,0)),"")</f>
        <v/>
      </c>
      <c r="W899" s="74"/>
      <c r="X899" s="75"/>
    </row>
    <row r="900">
      <c r="A900" s="76">
        <f t="shared" si="2"/>
        <v>0</v>
      </c>
      <c r="B900" s="88"/>
      <c r="C900" s="76"/>
      <c r="D900" s="86"/>
      <c r="E900" s="86"/>
      <c r="F900" s="90"/>
      <c r="G900" s="91"/>
      <c r="H900" s="86"/>
      <c r="I900" s="86"/>
      <c r="J900" s="86"/>
      <c r="K900" s="86"/>
      <c r="L900" s="86"/>
      <c r="M900" s="86"/>
      <c r="N900" s="90"/>
      <c r="O900" s="90"/>
      <c r="P900" s="90"/>
      <c r="Q900" s="106"/>
      <c r="R900" s="95"/>
      <c r="S900" s="96"/>
      <c r="T900" s="85"/>
      <c r="U900" s="97"/>
      <c r="V900" s="85" t="str">
        <f t="array" ref="V900">IFERROR(index('3. Công thức lab theo từng mã h'!J:J,MATCH(C900,'3. Công thức lab theo từng mã h'!L:L,0)),"")</f>
        <v/>
      </c>
      <c r="W900" s="85"/>
      <c r="X900" s="75"/>
    </row>
    <row r="901">
      <c r="A901" s="64">
        <f t="shared" si="2"/>
        <v>0</v>
      </c>
      <c r="B901" s="98"/>
      <c r="C901" s="64"/>
      <c r="D901" s="16"/>
      <c r="E901" s="16"/>
      <c r="F901" s="100"/>
      <c r="G901" s="101"/>
      <c r="H901" s="16"/>
      <c r="I901" s="16"/>
      <c r="J901" s="16"/>
      <c r="K901" s="16"/>
      <c r="L901" s="16"/>
      <c r="M901" s="16"/>
      <c r="N901" s="100"/>
      <c r="O901" s="100"/>
      <c r="P901" s="100"/>
      <c r="Q901" s="106"/>
      <c r="R901" s="107"/>
      <c r="S901" s="104"/>
      <c r="T901" s="74"/>
      <c r="U901" s="108"/>
      <c r="V901" s="74" t="str">
        <f t="array" ref="V901">IFERROR(index('3. Công thức lab theo từng mã h'!J:J,MATCH(C901,'3. Công thức lab theo từng mã h'!L:L,0)),"")</f>
        <v/>
      </c>
      <c r="W901" s="74"/>
      <c r="X901" s="75"/>
    </row>
    <row r="902">
      <c r="A902" s="76">
        <f t="shared" si="2"/>
        <v>0</v>
      </c>
      <c r="B902" s="88"/>
      <c r="C902" s="76"/>
      <c r="D902" s="86"/>
      <c r="E902" s="86"/>
      <c r="F902" s="90"/>
      <c r="G902" s="91"/>
      <c r="H902" s="86"/>
      <c r="I902" s="86"/>
      <c r="J902" s="86"/>
      <c r="K902" s="86"/>
      <c r="L902" s="86"/>
      <c r="M902" s="86"/>
      <c r="N902" s="90"/>
      <c r="O902" s="90"/>
      <c r="P902" s="90"/>
      <c r="Q902" s="106"/>
      <c r="R902" s="95"/>
      <c r="S902" s="96"/>
      <c r="T902" s="85"/>
      <c r="U902" s="97"/>
      <c r="V902" s="85" t="str">
        <f t="array" ref="V902">IFERROR(index('3. Công thức lab theo từng mã h'!J:J,MATCH(C902,'3. Công thức lab theo từng mã h'!L:L,0)),"")</f>
        <v/>
      </c>
      <c r="W902" s="85"/>
      <c r="X902" s="75"/>
    </row>
    <row r="903">
      <c r="A903" s="64">
        <f t="shared" si="2"/>
        <v>0</v>
      </c>
      <c r="B903" s="98"/>
      <c r="C903" s="64"/>
      <c r="D903" s="16"/>
      <c r="E903" s="16"/>
      <c r="F903" s="100"/>
      <c r="G903" s="101"/>
      <c r="H903" s="16"/>
      <c r="I903" s="16"/>
      <c r="J903" s="16"/>
      <c r="K903" s="16"/>
      <c r="L903" s="16"/>
      <c r="M903" s="16"/>
      <c r="N903" s="100"/>
      <c r="O903" s="100"/>
      <c r="P903" s="100"/>
      <c r="Q903" s="106"/>
      <c r="R903" s="107"/>
      <c r="S903" s="104"/>
      <c r="T903" s="74"/>
      <c r="U903" s="108"/>
      <c r="V903" s="74" t="str">
        <f t="array" ref="V903">IFERROR(index('3. Công thức lab theo từng mã h'!J:J,MATCH(C903,'3. Công thức lab theo từng mã h'!L:L,0)),"")</f>
        <v/>
      </c>
      <c r="W903" s="74"/>
      <c r="X903" s="75"/>
    </row>
    <row r="904">
      <c r="A904" s="76">
        <f t="shared" si="2"/>
        <v>0</v>
      </c>
      <c r="B904" s="88"/>
      <c r="C904" s="76"/>
      <c r="D904" s="86"/>
      <c r="E904" s="86"/>
      <c r="F904" s="90"/>
      <c r="G904" s="91"/>
      <c r="H904" s="86"/>
      <c r="I904" s="86"/>
      <c r="J904" s="86"/>
      <c r="K904" s="86"/>
      <c r="L904" s="86"/>
      <c r="M904" s="86"/>
      <c r="N904" s="90"/>
      <c r="O904" s="90"/>
      <c r="P904" s="90"/>
      <c r="Q904" s="106"/>
      <c r="R904" s="95"/>
      <c r="S904" s="96"/>
      <c r="T904" s="85"/>
      <c r="U904" s="97"/>
      <c r="V904" s="85" t="str">
        <f t="array" ref="V904">IFERROR(index('3. Công thức lab theo từng mã h'!J:J,MATCH(C904,'3. Công thức lab theo từng mã h'!L:L,0)),"")</f>
        <v/>
      </c>
      <c r="W904" s="85"/>
      <c r="X904" s="75"/>
    </row>
    <row r="905">
      <c r="A905" s="64">
        <f t="shared" si="2"/>
        <v>0</v>
      </c>
      <c r="B905" s="98"/>
      <c r="C905" s="64"/>
      <c r="D905" s="16"/>
      <c r="E905" s="16"/>
      <c r="F905" s="100"/>
      <c r="G905" s="101"/>
      <c r="H905" s="16"/>
      <c r="I905" s="16"/>
      <c r="J905" s="16"/>
      <c r="K905" s="16"/>
      <c r="L905" s="16"/>
      <c r="M905" s="16"/>
      <c r="N905" s="100"/>
      <c r="O905" s="100"/>
      <c r="P905" s="100"/>
      <c r="Q905" s="106"/>
      <c r="R905" s="107"/>
      <c r="S905" s="104"/>
      <c r="T905" s="74"/>
      <c r="U905" s="108"/>
      <c r="V905" s="74" t="str">
        <f t="array" ref="V905">IFERROR(index('3. Công thức lab theo từng mã h'!J:J,MATCH(C905,'3. Công thức lab theo từng mã h'!L:L,0)),"")</f>
        <v/>
      </c>
      <c r="W905" s="74"/>
      <c r="X905" s="75"/>
    </row>
    <row r="906">
      <c r="A906" s="76">
        <f t="shared" si="2"/>
        <v>0</v>
      </c>
      <c r="B906" s="88"/>
      <c r="C906" s="76"/>
      <c r="D906" s="86"/>
      <c r="E906" s="86"/>
      <c r="F906" s="90"/>
      <c r="G906" s="91"/>
      <c r="H906" s="86"/>
      <c r="I906" s="86"/>
      <c r="J906" s="86"/>
      <c r="K906" s="86"/>
      <c r="L906" s="86"/>
      <c r="M906" s="86"/>
      <c r="N906" s="90"/>
      <c r="O906" s="90"/>
      <c r="P906" s="90"/>
      <c r="Q906" s="106"/>
      <c r="R906" s="95"/>
      <c r="S906" s="96"/>
      <c r="T906" s="85"/>
      <c r="U906" s="97"/>
      <c r="V906" s="85" t="str">
        <f t="array" ref="V906">IFERROR(index('3. Công thức lab theo từng mã h'!J:J,MATCH(C906,'3. Công thức lab theo từng mã h'!L:L,0)),"")</f>
        <v/>
      </c>
      <c r="W906" s="85"/>
      <c r="X906" s="75"/>
    </row>
    <row r="907">
      <c r="A907" s="64">
        <f t="shared" si="2"/>
        <v>0</v>
      </c>
      <c r="B907" s="98"/>
      <c r="C907" s="64"/>
      <c r="D907" s="16"/>
      <c r="E907" s="16"/>
      <c r="F907" s="100"/>
      <c r="G907" s="101"/>
      <c r="H907" s="16"/>
      <c r="I907" s="16"/>
      <c r="J907" s="16"/>
      <c r="K907" s="16"/>
      <c r="L907" s="16"/>
      <c r="M907" s="16"/>
      <c r="N907" s="100"/>
      <c r="O907" s="100"/>
      <c r="P907" s="100"/>
      <c r="Q907" s="106"/>
      <c r="R907" s="107"/>
      <c r="S907" s="104"/>
      <c r="T907" s="74"/>
      <c r="U907" s="108"/>
      <c r="V907" s="74" t="str">
        <f t="array" ref="V907">IFERROR(index('3. Công thức lab theo từng mã h'!J:J,MATCH(C907,'3. Công thức lab theo từng mã h'!L:L,0)),"")</f>
        <v/>
      </c>
      <c r="W907" s="74"/>
      <c r="X907" s="75"/>
    </row>
    <row r="908">
      <c r="A908" s="76">
        <f t="shared" si="2"/>
        <v>0</v>
      </c>
      <c r="B908" s="88"/>
      <c r="C908" s="76"/>
      <c r="D908" s="86"/>
      <c r="E908" s="86"/>
      <c r="F908" s="90"/>
      <c r="G908" s="91"/>
      <c r="H908" s="86"/>
      <c r="I908" s="86"/>
      <c r="J908" s="86"/>
      <c r="K908" s="86"/>
      <c r="L908" s="86"/>
      <c r="M908" s="86"/>
      <c r="N908" s="90"/>
      <c r="O908" s="90"/>
      <c r="P908" s="90"/>
      <c r="Q908" s="106"/>
      <c r="R908" s="95"/>
      <c r="S908" s="96"/>
      <c r="T908" s="85"/>
      <c r="U908" s="97"/>
      <c r="V908" s="85" t="str">
        <f t="array" ref="V908">IFERROR(index('3. Công thức lab theo từng mã h'!J:J,MATCH(C908,'3. Công thức lab theo từng mã h'!L:L,0)),"")</f>
        <v/>
      </c>
      <c r="W908" s="85"/>
      <c r="X908" s="75"/>
    </row>
    <row r="909">
      <c r="A909" s="64">
        <f t="shared" si="2"/>
        <v>0</v>
      </c>
      <c r="B909" s="98"/>
      <c r="C909" s="64"/>
      <c r="D909" s="16"/>
      <c r="E909" s="16"/>
      <c r="F909" s="100"/>
      <c r="G909" s="101"/>
      <c r="H909" s="16"/>
      <c r="I909" s="16"/>
      <c r="J909" s="16"/>
      <c r="K909" s="16"/>
      <c r="L909" s="16"/>
      <c r="M909" s="16"/>
      <c r="N909" s="100"/>
      <c r="O909" s="100"/>
      <c r="P909" s="100"/>
      <c r="Q909" s="106"/>
      <c r="R909" s="107"/>
      <c r="S909" s="104"/>
      <c r="T909" s="74"/>
      <c r="U909" s="108"/>
      <c r="V909" s="74" t="str">
        <f t="array" ref="V909">IFERROR(index('3. Công thức lab theo từng mã h'!J:J,MATCH(C909,'3. Công thức lab theo từng mã h'!L:L,0)),"")</f>
        <v/>
      </c>
      <c r="W909" s="74"/>
      <c r="X909" s="75"/>
    </row>
    <row r="910">
      <c r="A910" s="76">
        <f t="shared" si="2"/>
        <v>0</v>
      </c>
      <c r="B910" s="88"/>
      <c r="C910" s="76"/>
      <c r="D910" s="86"/>
      <c r="E910" s="86"/>
      <c r="F910" s="90"/>
      <c r="G910" s="91"/>
      <c r="H910" s="86"/>
      <c r="I910" s="86"/>
      <c r="J910" s="86"/>
      <c r="K910" s="86"/>
      <c r="L910" s="86"/>
      <c r="M910" s="86"/>
      <c r="N910" s="90"/>
      <c r="O910" s="90"/>
      <c r="P910" s="90"/>
      <c r="Q910" s="106"/>
      <c r="R910" s="95"/>
      <c r="S910" s="96"/>
      <c r="T910" s="85"/>
      <c r="U910" s="97"/>
      <c r="V910" s="85" t="str">
        <f t="array" ref="V910">IFERROR(index('3. Công thức lab theo từng mã h'!J:J,MATCH(C910,'3. Công thức lab theo từng mã h'!L:L,0)),"")</f>
        <v/>
      </c>
      <c r="W910" s="85"/>
      <c r="X910" s="75"/>
    </row>
    <row r="911">
      <c r="A911" s="64">
        <f t="shared" si="2"/>
        <v>0</v>
      </c>
      <c r="B911" s="98"/>
      <c r="C911" s="64"/>
      <c r="D911" s="16"/>
      <c r="E911" s="16"/>
      <c r="F911" s="100"/>
      <c r="G911" s="101"/>
      <c r="H911" s="16"/>
      <c r="I911" s="16"/>
      <c r="J911" s="16"/>
      <c r="K911" s="16"/>
      <c r="L911" s="16"/>
      <c r="M911" s="16"/>
      <c r="N911" s="100"/>
      <c r="O911" s="100"/>
      <c r="P911" s="100"/>
      <c r="Q911" s="106"/>
      <c r="R911" s="107"/>
      <c r="S911" s="104"/>
      <c r="T911" s="74"/>
      <c r="U911" s="108"/>
      <c r="V911" s="74" t="str">
        <f t="array" ref="V911">IFERROR(index('3. Công thức lab theo từng mã h'!J:J,MATCH(C911,'3. Công thức lab theo từng mã h'!L:L,0)),"")</f>
        <v/>
      </c>
      <c r="W911" s="74"/>
      <c r="X911" s="75"/>
    </row>
    <row r="912">
      <c r="A912" s="76">
        <f t="shared" si="2"/>
        <v>0</v>
      </c>
      <c r="B912" s="88"/>
      <c r="C912" s="76"/>
      <c r="D912" s="86"/>
      <c r="E912" s="86"/>
      <c r="F912" s="90"/>
      <c r="G912" s="91"/>
      <c r="H912" s="86"/>
      <c r="I912" s="86"/>
      <c r="J912" s="86"/>
      <c r="K912" s="86"/>
      <c r="L912" s="86"/>
      <c r="M912" s="86"/>
      <c r="N912" s="90"/>
      <c r="O912" s="90"/>
      <c r="P912" s="90"/>
      <c r="Q912" s="106"/>
      <c r="R912" s="95"/>
      <c r="S912" s="96"/>
      <c r="T912" s="85"/>
      <c r="U912" s="97"/>
      <c r="V912" s="85" t="str">
        <f t="array" ref="V912">IFERROR(index('3. Công thức lab theo từng mã h'!J:J,MATCH(C912,'3. Công thức lab theo từng mã h'!L:L,0)),"")</f>
        <v/>
      </c>
      <c r="W912" s="85"/>
      <c r="X912" s="75"/>
    </row>
    <row r="913">
      <c r="A913" s="64">
        <f t="shared" si="2"/>
        <v>0</v>
      </c>
      <c r="B913" s="98"/>
      <c r="C913" s="64"/>
      <c r="D913" s="16"/>
      <c r="E913" s="16"/>
      <c r="F913" s="100"/>
      <c r="G913" s="101"/>
      <c r="H913" s="16"/>
      <c r="I913" s="16"/>
      <c r="J913" s="16"/>
      <c r="K913" s="16"/>
      <c r="L913" s="16"/>
      <c r="M913" s="16"/>
      <c r="N913" s="100"/>
      <c r="O913" s="100"/>
      <c r="P913" s="100"/>
      <c r="Q913" s="106"/>
      <c r="R913" s="107"/>
      <c r="S913" s="104"/>
      <c r="T913" s="74"/>
      <c r="U913" s="108"/>
      <c r="V913" s="74" t="str">
        <f t="array" ref="V913">IFERROR(index('3. Công thức lab theo từng mã h'!J:J,MATCH(C913,'3. Công thức lab theo từng mã h'!L:L,0)),"")</f>
        <v/>
      </c>
      <c r="W913" s="74"/>
      <c r="X913" s="75"/>
    </row>
    <row r="914">
      <c r="A914" s="76">
        <f t="shared" si="2"/>
        <v>0</v>
      </c>
      <c r="B914" s="88"/>
      <c r="C914" s="76"/>
      <c r="D914" s="86"/>
      <c r="E914" s="86"/>
      <c r="F914" s="90"/>
      <c r="G914" s="91"/>
      <c r="H914" s="86"/>
      <c r="I914" s="86"/>
      <c r="J914" s="86"/>
      <c r="K914" s="86"/>
      <c r="L914" s="86"/>
      <c r="M914" s="86"/>
      <c r="N914" s="90"/>
      <c r="O914" s="90"/>
      <c r="P914" s="90"/>
      <c r="Q914" s="106"/>
      <c r="R914" s="95"/>
      <c r="S914" s="96"/>
      <c r="T914" s="85"/>
      <c r="U914" s="97"/>
      <c r="V914" s="85" t="str">
        <f t="array" ref="V914">IFERROR(index('3. Công thức lab theo từng mã h'!J:J,MATCH(C914,'3. Công thức lab theo từng mã h'!L:L,0)),"")</f>
        <v/>
      </c>
      <c r="W914" s="85"/>
      <c r="X914" s="75"/>
    </row>
    <row r="915">
      <c r="A915" s="64">
        <f t="shared" si="2"/>
        <v>0</v>
      </c>
      <c r="B915" s="98"/>
      <c r="C915" s="64"/>
      <c r="D915" s="16"/>
      <c r="E915" s="16"/>
      <c r="F915" s="100"/>
      <c r="G915" s="101"/>
      <c r="H915" s="16"/>
      <c r="I915" s="16"/>
      <c r="J915" s="16"/>
      <c r="K915" s="16"/>
      <c r="L915" s="16"/>
      <c r="M915" s="16"/>
      <c r="N915" s="100"/>
      <c r="O915" s="100"/>
      <c r="P915" s="100"/>
      <c r="Q915" s="106"/>
      <c r="R915" s="107"/>
      <c r="S915" s="104"/>
      <c r="T915" s="74"/>
      <c r="U915" s="108"/>
      <c r="V915" s="74" t="str">
        <f t="array" ref="V915">IFERROR(index('3. Công thức lab theo từng mã h'!J:J,MATCH(C915,'3. Công thức lab theo từng mã h'!L:L,0)),"")</f>
        <v/>
      </c>
      <c r="W915" s="74"/>
      <c r="X915" s="75"/>
    </row>
    <row r="916">
      <c r="A916" s="76">
        <f t="shared" si="2"/>
        <v>0</v>
      </c>
      <c r="B916" s="88"/>
      <c r="C916" s="76"/>
      <c r="D916" s="86"/>
      <c r="E916" s="86"/>
      <c r="F916" s="90"/>
      <c r="G916" s="91"/>
      <c r="H916" s="86"/>
      <c r="I916" s="86"/>
      <c r="J916" s="86"/>
      <c r="K916" s="86"/>
      <c r="L916" s="86"/>
      <c r="M916" s="86"/>
      <c r="N916" s="90"/>
      <c r="O916" s="90"/>
      <c r="P916" s="90"/>
      <c r="Q916" s="106"/>
      <c r="R916" s="95"/>
      <c r="S916" s="96"/>
      <c r="T916" s="85"/>
      <c r="U916" s="97"/>
      <c r="V916" s="85" t="str">
        <f t="array" ref="V916">IFERROR(index('3. Công thức lab theo từng mã h'!J:J,MATCH(C916,'3. Công thức lab theo từng mã h'!L:L,0)),"")</f>
        <v/>
      </c>
      <c r="W916" s="85"/>
      <c r="X916" s="75"/>
    </row>
    <row r="917">
      <c r="A917" s="64">
        <f t="shared" si="2"/>
        <v>0</v>
      </c>
      <c r="B917" s="98"/>
      <c r="C917" s="64"/>
      <c r="D917" s="16"/>
      <c r="E917" s="16"/>
      <c r="F917" s="100"/>
      <c r="G917" s="101"/>
      <c r="H917" s="16"/>
      <c r="I917" s="16"/>
      <c r="J917" s="16"/>
      <c r="K917" s="16"/>
      <c r="L917" s="16"/>
      <c r="M917" s="16"/>
      <c r="N917" s="100"/>
      <c r="O917" s="100"/>
      <c r="P917" s="100"/>
      <c r="Q917" s="106"/>
      <c r="R917" s="107"/>
      <c r="S917" s="104"/>
      <c r="T917" s="74"/>
      <c r="U917" s="108"/>
      <c r="V917" s="74" t="str">
        <f t="array" ref="V917">IFERROR(index('3. Công thức lab theo từng mã h'!J:J,MATCH(C917,'3. Công thức lab theo từng mã h'!L:L,0)),"")</f>
        <v/>
      </c>
      <c r="W917" s="74"/>
      <c r="X917" s="75"/>
    </row>
    <row r="918">
      <c r="A918" s="76">
        <f t="shared" si="2"/>
        <v>0</v>
      </c>
      <c r="B918" s="88"/>
      <c r="C918" s="76"/>
      <c r="D918" s="86"/>
      <c r="E918" s="86"/>
      <c r="F918" s="90"/>
      <c r="G918" s="91"/>
      <c r="H918" s="86"/>
      <c r="I918" s="86"/>
      <c r="J918" s="86"/>
      <c r="K918" s="86"/>
      <c r="L918" s="86"/>
      <c r="M918" s="86"/>
      <c r="N918" s="90"/>
      <c r="O918" s="90"/>
      <c r="P918" s="90"/>
      <c r="Q918" s="106"/>
      <c r="R918" s="95"/>
      <c r="S918" s="96"/>
      <c r="T918" s="85"/>
      <c r="U918" s="97"/>
      <c r="V918" s="85" t="str">
        <f t="array" ref="V918">IFERROR(index('3. Công thức lab theo từng mã h'!J:J,MATCH(C918,'3. Công thức lab theo từng mã h'!L:L,0)),"")</f>
        <v/>
      </c>
      <c r="W918" s="85"/>
      <c r="X918" s="75"/>
    </row>
    <row r="919">
      <c r="A919" s="64">
        <f t="shared" si="2"/>
        <v>0</v>
      </c>
      <c r="B919" s="98"/>
      <c r="C919" s="64"/>
      <c r="D919" s="16"/>
      <c r="E919" s="16"/>
      <c r="F919" s="100"/>
      <c r="G919" s="101"/>
      <c r="H919" s="16"/>
      <c r="I919" s="16"/>
      <c r="J919" s="16"/>
      <c r="K919" s="16"/>
      <c r="L919" s="16"/>
      <c r="M919" s="16"/>
      <c r="N919" s="100"/>
      <c r="O919" s="100"/>
      <c r="P919" s="100"/>
      <c r="Q919" s="106"/>
      <c r="R919" s="107"/>
      <c r="S919" s="104"/>
      <c r="T919" s="74"/>
      <c r="U919" s="108"/>
      <c r="V919" s="74" t="str">
        <f t="array" ref="V919">IFERROR(index('3. Công thức lab theo từng mã h'!J:J,MATCH(C919,'3. Công thức lab theo từng mã h'!L:L,0)),"")</f>
        <v/>
      </c>
      <c r="W919" s="74"/>
      <c r="X919" s="75"/>
    </row>
    <row r="920">
      <c r="A920" s="76">
        <f t="shared" si="2"/>
        <v>0</v>
      </c>
      <c r="B920" s="88"/>
      <c r="C920" s="76"/>
      <c r="D920" s="86"/>
      <c r="E920" s="86"/>
      <c r="F920" s="90"/>
      <c r="G920" s="91"/>
      <c r="H920" s="86"/>
      <c r="I920" s="86"/>
      <c r="J920" s="86"/>
      <c r="K920" s="86"/>
      <c r="L920" s="86"/>
      <c r="M920" s="86"/>
      <c r="N920" s="90"/>
      <c r="O920" s="90"/>
      <c r="P920" s="90"/>
      <c r="Q920" s="106"/>
      <c r="R920" s="95"/>
      <c r="S920" s="96"/>
      <c r="T920" s="85"/>
      <c r="U920" s="97"/>
      <c r="V920" s="85" t="str">
        <f t="array" ref="V920">IFERROR(index('3. Công thức lab theo từng mã h'!J:J,MATCH(C920,'3. Công thức lab theo từng mã h'!L:L,0)),"")</f>
        <v/>
      </c>
      <c r="W920" s="85"/>
      <c r="X920" s="75"/>
    </row>
    <row r="921">
      <c r="A921" s="64">
        <f t="shared" si="2"/>
        <v>0</v>
      </c>
      <c r="B921" s="98"/>
      <c r="C921" s="64"/>
      <c r="D921" s="16"/>
      <c r="E921" s="16"/>
      <c r="F921" s="100"/>
      <c r="G921" s="101"/>
      <c r="H921" s="16"/>
      <c r="I921" s="16"/>
      <c r="J921" s="16"/>
      <c r="K921" s="16"/>
      <c r="L921" s="16"/>
      <c r="M921" s="16"/>
      <c r="N921" s="100"/>
      <c r="O921" s="100"/>
      <c r="P921" s="100"/>
      <c r="Q921" s="106"/>
      <c r="R921" s="107"/>
      <c r="S921" s="104"/>
      <c r="T921" s="74"/>
      <c r="U921" s="108"/>
      <c r="V921" s="74" t="str">
        <f t="array" ref="V921">IFERROR(index('3. Công thức lab theo từng mã h'!J:J,MATCH(C921,'3. Công thức lab theo từng mã h'!L:L,0)),"")</f>
        <v/>
      </c>
      <c r="W921" s="74"/>
      <c r="X921" s="75"/>
    </row>
    <row r="922">
      <c r="A922" s="76">
        <f t="shared" si="2"/>
        <v>0</v>
      </c>
      <c r="B922" s="88"/>
      <c r="C922" s="76"/>
      <c r="D922" s="86"/>
      <c r="E922" s="86"/>
      <c r="F922" s="90"/>
      <c r="G922" s="91"/>
      <c r="H922" s="86"/>
      <c r="I922" s="86"/>
      <c r="J922" s="86"/>
      <c r="K922" s="86"/>
      <c r="L922" s="86"/>
      <c r="M922" s="86"/>
      <c r="N922" s="90"/>
      <c r="O922" s="90"/>
      <c r="P922" s="90"/>
      <c r="Q922" s="106"/>
      <c r="R922" s="95"/>
      <c r="S922" s="96"/>
      <c r="T922" s="85"/>
      <c r="U922" s="97"/>
      <c r="V922" s="85" t="str">
        <f t="array" ref="V922">IFERROR(index('3. Công thức lab theo từng mã h'!J:J,MATCH(C922,'3. Công thức lab theo từng mã h'!L:L,0)),"")</f>
        <v/>
      </c>
      <c r="W922" s="85"/>
      <c r="X922" s="75"/>
    </row>
    <row r="923">
      <c r="A923" s="64">
        <f t="shared" si="2"/>
        <v>0</v>
      </c>
      <c r="B923" s="98"/>
      <c r="C923" s="64"/>
      <c r="D923" s="16"/>
      <c r="E923" s="16"/>
      <c r="F923" s="100"/>
      <c r="G923" s="101"/>
      <c r="H923" s="16"/>
      <c r="I923" s="16"/>
      <c r="J923" s="16"/>
      <c r="K923" s="16"/>
      <c r="L923" s="16"/>
      <c r="M923" s="16"/>
      <c r="N923" s="100"/>
      <c r="O923" s="100"/>
      <c r="P923" s="100"/>
      <c r="Q923" s="106"/>
      <c r="R923" s="107"/>
      <c r="S923" s="104"/>
      <c r="T923" s="74"/>
      <c r="U923" s="108"/>
      <c r="V923" s="74" t="str">
        <f t="array" ref="V923">IFERROR(index('3. Công thức lab theo từng mã h'!J:J,MATCH(C923,'3. Công thức lab theo từng mã h'!L:L,0)),"")</f>
        <v/>
      </c>
      <c r="W923" s="74"/>
      <c r="X923" s="75"/>
    </row>
    <row r="924">
      <c r="A924" s="76">
        <f t="shared" si="2"/>
        <v>0</v>
      </c>
      <c r="B924" s="88"/>
      <c r="C924" s="76"/>
      <c r="D924" s="86"/>
      <c r="E924" s="86"/>
      <c r="F924" s="90"/>
      <c r="G924" s="91"/>
      <c r="H924" s="86"/>
      <c r="I924" s="86"/>
      <c r="J924" s="86"/>
      <c r="K924" s="86"/>
      <c r="L924" s="86"/>
      <c r="M924" s="86"/>
      <c r="N924" s="90"/>
      <c r="O924" s="90"/>
      <c r="P924" s="90"/>
      <c r="Q924" s="106"/>
      <c r="R924" s="95"/>
      <c r="S924" s="96"/>
      <c r="T924" s="85"/>
      <c r="U924" s="97"/>
      <c r="V924" s="85" t="str">
        <f t="array" ref="V924">IFERROR(index('3. Công thức lab theo từng mã h'!J:J,MATCH(C924,'3. Công thức lab theo từng mã h'!L:L,0)),"")</f>
        <v/>
      </c>
      <c r="W924" s="85"/>
      <c r="X924" s="75"/>
    </row>
    <row r="925">
      <c r="A925" s="64">
        <f t="shared" si="2"/>
        <v>0</v>
      </c>
      <c r="B925" s="98"/>
      <c r="C925" s="64"/>
      <c r="D925" s="16"/>
      <c r="E925" s="16"/>
      <c r="F925" s="100"/>
      <c r="G925" s="101"/>
      <c r="H925" s="16"/>
      <c r="I925" s="16"/>
      <c r="J925" s="16"/>
      <c r="K925" s="16"/>
      <c r="L925" s="16"/>
      <c r="M925" s="16"/>
      <c r="N925" s="100"/>
      <c r="O925" s="100"/>
      <c r="P925" s="100"/>
      <c r="Q925" s="106"/>
      <c r="R925" s="107"/>
      <c r="S925" s="104"/>
      <c r="T925" s="74"/>
      <c r="U925" s="108"/>
      <c r="V925" s="74" t="str">
        <f t="array" ref="V925">IFERROR(index('3. Công thức lab theo từng mã h'!J:J,MATCH(C925,'3. Công thức lab theo từng mã h'!L:L,0)),"")</f>
        <v/>
      </c>
      <c r="W925" s="74"/>
      <c r="X925" s="75"/>
    </row>
    <row r="926">
      <c r="A926" s="76">
        <f t="shared" si="2"/>
        <v>0</v>
      </c>
      <c r="B926" s="88"/>
      <c r="C926" s="76"/>
      <c r="D926" s="86"/>
      <c r="E926" s="86"/>
      <c r="F926" s="90"/>
      <c r="G926" s="91"/>
      <c r="H926" s="86"/>
      <c r="I926" s="86"/>
      <c r="J926" s="86"/>
      <c r="K926" s="86"/>
      <c r="L926" s="86"/>
      <c r="M926" s="86"/>
      <c r="N926" s="90"/>
      <c r="O926" s="90"/>
      <c r="P926" s="90"/>
      <c r="Q926" s="106"/>
      <c r="R926" s="95"/>
      <c r="S926" s="96"/>
      <c r="T926" s="85"/>
      <c r="U926" s="97"/>
      <c r="V926" s="85" t="str">
        <f t="array" ref="V926">IFERROR(index('3. Công thức lab theo từng mã h'!J:J,MATCH(C926,'3. Công thức lab theo từng mã h'!L:L,0)),"")</f>
        <v/>
      </c>
      <c r="W926" s="85"/>
      <c r="X926" s="75"/>
    </row>
    <row r="927">
      <c r="A927" s="64">
        <f t="shared" si="2"/>
        <v>0</v>
      </c>
      <c r="B927" s="98"/>
      <c r="C927" s="64"/>
      <c r="D927" s="16"/>
      <c r="E927" s="16"/>
      <c r="F927" s="100"/>
      <c r="G927" s="101"/>
      <c r="H927" s="16"/>
      <c r="I927" s="16"/>
      <c r="J927" s="16"/>
      <c r="K927" s="16"/>
      <c r="L927" s="16"/>
      <c r="M927" s="16"/>
      <c r="N927" s="100"/>
      <c r="O927" s="100"/>
      <c r="P927" s="100"/>
      <c r="Q927" s="106"/>
      <c r="R927" s="107"/>
      <c r="S927" s="104"/>
      <c r="T927" s="74"/>
      <c r="U927" s="108"/>
      <c r="V927" s="74" t="str">
        <f t="array" ref="V927">IFERROR(index('3. Công thức lab theo từng mã h'!J:J,MATCH(C927,'3. Công thức lab theo từng mã h'!L:L,0)),"")</f>
        <v/>
      </c>
      <c r="W927" s="74"/>
      <c r="X927" s="75"/>
    </row>
    <row r="928">
      <c r="A928" s="76">
        <f t="shared" si="2"/>
        <v>0</v>
      </c>
      <c r="B928" s="88"/>
      <c r="C928" s="76"/>
      <c r="D928" s="86"/>
      <c r="E928" s="86"/>
      <c r="F928" s="90"/>
      <c r="G928" s="91"/>
      <c r="H928" s="86"/>
      <c r="I928" s="86"/>
      <c r="J928" s="86"/>
      <c r="K928" s="86"/>
      <c r="L928" s="86"/>
      <c r="M928" s="86"/>
      <c r="N928" s="90"/>
      <c r="O928" s="90"/>
      <c r="P928" s="90"/>
      <c r="Q928" s="106"/>
      <c r="R928" s="95"/>
      <c r="S928" s="96"/>
      <c r="T928" s="85"/>
      <c r="U928" s="97"/>
      <c r="V928" s="85" t="str">
        <f t="array" ref="V928">IFERROR(index('3. Công thức lab theo từng mã h'!J:J,MATCH(C928,'3. Công thức lab theo từng mã h'!L:L,0)),"")</f>
        <v/>
      </c>
      <c r="W928" s="85"/>
      <c r="X928" s="75"/>
    </row>
    <row r="929">
      <c r="A929" s="64">
        <f t="shared" si="2"/>
        <v>0</v>
      </c>
      <c r="B929" s="98"/>
      <c r="C929" s="64"/>
      <c r="D929" s="16"/>
      <c r="E929" s="16"/>
      <c r="F929" s="100"/>
      <c r="G929" s="101"/>
      <c r="H929" s="16"/>
      <c r="I929" s="16"/>
      <c r="J929" s="16"/>
      <c r="K929" s="16"/>
      <c r="L929" s="16"/>
      <c r="M929" s="16"/>
      <c r="N929" s="100"/>
      <c r="O929" s="100"/>
      <c r="P929" s="100"/>
      <c r="Q929" s="106"/>
      <c r="R929" s="107"/>
      <c r="S929" s="104"/>
      <c r="T929" s="74"/>
      <c r="U929" s="108"/>
      <c r="V929" s="74" t="str">
        <f t="array" ref="V929">IFERROR(index('3. Công thức lab theo từng mã h'!J:J,MATCH(C929,'3. Công thức lab theo từng mã h'!L:L,0)),"")</f>
        <v/>
      </c>
      <c r="W929" s="74"/>
      <c r="X929" s="75"/>
    </row>
    <row r="930">
      <c r="A930" s="76">
        <f t="shared" si="2"/>
        <v>0</v>
      </c>
      <c r="B930" s="88"/>
      <c r="C930" s="76"/>
      <c r="D930" s="86"/>
      <c r="E930" s="86"/>
      <c r="F930" s="90"/>
      <c r="G930" s="91"/>
      <c r="H930" s="86"/>
      <c r="I930" s="86"/>
      <c r="J930" s="86"/>
      <c r="K930" s="86"/>
      <c r="L930" s="86"/>
      <c r="M930" s="86"/>
      <c r="N930" s="90"/>
      <c r="O930" s="90"/>
      <c r="P930" s="90"/>
      <c r="Q930" s="106"/>
      <c r="R930" s="95"/>
      <c r="S930" s="96"/>
      <c r="T930" s="85"/>
      <c r="U930" s="97"/>
      <c r="V930" s="85" t="str">
        <f t="array" ref="V930">IFERROR(index('3. Công thức lab theo từng mã h'!J:J,MATCH(C930,'3. Công thức lab theo từng mã h'!L:L,0)),"")</f>
        <v/>
      </c>
      <c r="W930" s="85"/>
      <c r="X930" s="75"/>
    </row>
    <row r="931">
      <c r="A931" s="64">
        <f t="shared" si="2"/>
        <v>0</v>
      </c>
      <c r="B931" s="98"/>
      <c r="C931" s="64"/>
      <c r="D931" s="16"/>
      <c r="E931" s="16"/>
      <c r="F931" s="100"/>
      <c r="G931" s="101"/>
      <c r="H931" s="16"/>
      <c r="I931" s="16"/>
      <c r="J931" s="16"/>
      <c r="K931" s="16"/>
      <c r="L931" s="16"/>
      <c r="M931" s="16"/>
      <c r="N931" s="100"/>
      <c r="O931" s="100"/>
      <c r="P931" s="100"/>
      <c r="Q931" s="106"/>
      <c r="R931" s="107"/>
      <c r="S931" s="104"/>
      <c r="T931" s="74"/>
      <c r="U931" s="108"/>
      <c r="V931" s="74" t="str">
        <f t="array" ref="V931">IFERROR(index('3. Công thức lab theo từng mã h'!J:J,MATCH(C931,'3. Công thức lab theo từng mã h'!L:L,0)),"")</f>
        <v/>
      </c>
      <c r="W931" s="74"/>
      <c r="X931" s="75"/>
    </row>
    <row r="932">
      <c r="A932" s="76">
        <f t="shared" si="2"/>
        <v>0</v>
      </c>
      <c r="B932" s="88"/>
      <c r="C932" s="76"/>
      <c r="D932" s="86"/>
      <c r="E932" s="86"/>
      <c r="F932" s="90"/>
      <c r="G932" s="91"/>
      <c r="H932" s="86"/>
      <c r="I932" s="86"/>
      <c r="J932" s="86"/>
      <c r="K932" s="86"/>
      <c r="L932" s="86"/>
      <c r="M932" s="86"/>
      <c r="N932" s="90"/>
      <c r="O932" s="90"/>
      <c r="P932" s="90"/>
      <c r="Q932" s="106"/>
      <c r="R932" s="95"/>
      <c r="S932" s="96"/>
      <c r="T932" s="85"/>
      <c r="U932" s="97"/>
      <c r="V932" s="85" t="str">
        <f t="array" ref="V932">IFERROR(index('3. Công thức lab theo từng mã h'!J:J,MATCH(C932,'3. Công thức lab theo từng mã h'!L:L,0)),"")</f>
        <v/>
      </c>
      <c r="W932" s="85"/>
      <c r="X932" s="75"/>
    </row>
    <row r="933">
      <c r="A933" s="64">
        <f t="shared" si="2"/>
        <v>0</v>
      </c>
      <c r="B933" s="98"/>
      <c r="C933" s="64"/>
      <c r="D933" s="16"/>
      <c r="E933" s="16"/>
      <c r="F933" s="100"/>
      <c r="G933" s="101"/>
      <c r="H933" s="16"/>
      <c r="I933" s="16"/>
      <c r="J933" s="16"/>
      <c r="K933" s="16"/>
      <c r="L933" s="16"/>
      <c r="M933" s="16"/>
      <c r="N933" s="100"/>
      <c r="O933" s="100"/>
      <c r="P933" s="100"/>
      <c r="Q933" s="106"/>
      <c r="R933" s="107"/>
      <c r="S933" s="104"/>
      <c r="T933" s="74"/>
      <c r="U933" s="108"/>
      <c r="V933" s="74" t="str">
        <f t="array" ref="V933">IFERROR(index('3. Công thức lab theo từng mã h'!J:J,MATCH(C933,'3. Công thức lab theo từng mã h'!L:L,0)),"")</f>
        <v/>
      </c>
      <c r="W933" s="74"/>
      <c r="X933" s="75"/>
    </row>
    <row r="934">
      <c r="A934" s="76">
        <f t="shared" si="2"/>
        <v>0</v>
      </c>
      <c r="B934" s="88"/>
      <c r="C934" s="76"/>
      <c r="D934" s="86"/>
      <c r="E934" s="86"/>
      <c r="F934" s="90"/>
      <c r="G934" s="91"/>
      <c r="H934" s="86"/>
      <c r="I934" s="86"/>
      <c r="J934" s="86"/>
      <c r="K934" s="86"/>
      <c r="L934" s="86"/>
      <c r="M934" s="86"/>
      <c r="N934" s="90"/>
      <c r="O934" s="90"/>
      <c r="P934" s="90"/>
      <c r="Q934" s="106"/>
      <c r="R934" s="95"/>
      <c r="S934" s="96"/>
      <c r="T934" s="85"/>
      <c r="U934" s="97"/>
      <c r="V934" s="85" t="str">
        <f t="array" ref="V934">IFERROR(index('3. Công thức lab theo từng mã h'!J:J,MATCH(C934,'3. Công thức lab theo từng mã h'!L:L,0)),"")</f>
        <v/>
      </c>
      <c r="W934" s="85"/>
      <c r="X934" s="75"/>
    </row>
    <row r="935">
      <c r="A935" s="64">
        <f t="shared" si="2"/>
        <v>0</v>
      </c>
      <c r="B935" s="98"/>
      <c r="C935" s="64"/>
      <c r="D935" s="16"/>
      <c r="E935" s="16"/>
      <c r="F935" s="100"/>
      <c r="G935" s="101"/>
      <c r="H935" s="16"/>
      <c r="I935" s="16"/>
      <c r="J935" s="16"/>
      <c r="K935" s="16"/>
      <c r="L935" s="16"/>
      <c r="M935" s="16"/>
      <c r="N935" s="100"/>
      <c r="O935" s="100"/>
      <c r="P935" s="100"/>
      <c r="Q935" s="106"/>
      <c r="R935" s="107"/>
      <c r="S935" s="104"/>
      <c r="T935" s="74"/>
      <c r="U935" s="108"/>
      <c r="V935" s="74" t="str">
        <f t="array" ref="V935">IFERROR(index('3. Công thức lab theo từng mã h'!J:J,MATCH(C935,'3. Công thức lab theo từng mã h'!L:L,0)),"")</f>
        <v/>
      </c>
      <c r="W935" s="74"/>
      <c r="X935" s="75"/>
    </row>
    <row r="936">
      <c r="A936" s="76">
        <f t="shared" si="2"/>
        <v>0</v>
      </c>
      <c r="B936" s="88"/>
      <c r="C936" s="76"/>
      <c r="D936" s="86"/>
      <c r="E936" s="86"/>
      <c r="F936" s="90"/>
      <c r="G936" s="91"/>
      <c r="H936" s="86"/>
      <c r="I936" s="86"/>
      <c r="J936" s="86"/>
      <c r="K936" s="86"/>
      <c r="L936" s="86"/>
      <c r="M936" s="86"/>
      <c r="N936" s="90"/>
      <c r="O936" s="90"/>
      <c r="P936" s="90"/>
      <c r="Q936" s="106"/>
      <c r="R936" s="95"/>
      <c r="S936" s="96"/>
      <c r="T936" s="85"/>
      <c r="U936" s="97"/>
      <c r="V936" s="85" t="str">
        <f t="array" ref="V936">IFERROR(index('3. Công thức lab theo từng mã h'!J:J,MATCH(C936,'3. Công thức lab theo từng mã h'!L:L,0)),"")</f>
        <v/>
      </c>
      <c r="W936" s="85"/>
      <c r="X936" s="75"/>
    </row>
    <row r="937">
      <c r="A937" s="64">
        <f t="shared" si="2"/>
        <v>0</v>
      </c>
      <c r="B937" s="98"/>
      <c r="C937" s="64"/>
      <c r="D937" s="16"/>
      <c r="E937" s="16"/>
      <c r="F937" s="100"/>
      <c r="G937" s="101"/>
      <c r="H937" s="16"/>
      <c r="I937" s="16"/>
      <c r="J937" s="16"/>
      <c r="K937" s="16"/>
      <c r="L937" s="16"/>
      <c r="M937" s="16"/>
      <c r="N937" s="100"/>
      <c r="O937" s="100"/>
      <c r="P937" s="100"/>
      <c r="Q937" s="106"/>
      <c r="R937" s="107"/>
      <c r="S937" s="104"/>
      <c r="T937" s="74"/>
      <c r="U937" s="108"/>
      <c r="V937" s="74" t="str">
        <f t="array" ref="V937">IFERROR(index('3. Công thức lab theo từng mã h'!J:J,MATCH(C937,'3. Công thức lab theo từng mã h'!L:L,0)),"")</f>
        <v/>
      </c>
      <c r="W937" s="74"/>
      <c r="X937" s="75"/>
    </row>
    <row r="938">
      <c r="A938" s="76">
        <f t="shared" si="2"/>
        <v>0</v>
      </c>
      <c r="B938" s="88"/>
      <c r="C938" s="76"/>
      <c r="D938" s="86"/>
      <c r="E938" s="86"/>
      <c r="F938" s="90"/>
      <c r="G938" s="91"/>
      <c r="H938" s="86"/>
      <c r="I938" s="86"/>
      <c r="J938" s="86"/>
      <c r="K938" s="86"/>
      <c r="L938" s="86"/>
      <c r="M938" s="86"/>
      <c r="N938" s="90"/>
      <c r="O938" s="90"/>
      <c r="P938" s="90"/>
      <c r="Q938" s="106"/>
      <c r="R938" s="95"/>
      <c r="S938" s="96"/>
      <c r="T938" s="85"/>
      <c r="U938" s="97"/>
      <c r="V938" s="85" t="str">
        <f t="array" ref="V938">IFERROR(index('3. Công thức lab theo từng mã h'!J:J,MATCH(C938,'3. Công thức lab theo từng mã h'!L:L,0)),"")</f>
        <v/>
      </c>
      <c r="W938" s="85"/>
      <c r="X938" s="75"/>
    </row>
    <row r="939">
      <c r="A939" s="64">
        <f t="shared" si="2"/>
        <v>0</v>
      </c>
      <c r="B939" s="98"/>
      <c r="C939" s="64"/>
      <c r="D939" s="16"/>
      <c r="E939" s="16"/>
      <c r="F939" s="100"/>
      <c r="G939" s="101"/>
      <c r="H939" s="16"/>
      <c r="I939" s="16"/>
      <c r="J939" s="16"/>
      <c r="K939" s="16"/>
      <c r="L939" s="16"/>
      <c r="M939" s="16"/>
      <c r="N939" s="100"/>
      <c r="O939" s="100"/>
      <c r="P939" s="100"/>
      <c r="Q939" s="106"/>
      <c r="R939" s="107"/>
      <c r="S939" s="104"/>
      <c r="T939" s="74"/>
      <c r="U939" s="108"/>
      <c r="V939" s="74" t="str">
        <f t="array" ref="V939">IFERROR(index('3. Công thức lab theo từng mã h'!J:J,MATCH(C939,'3. Công thức lab theo từng mã h'!L:L,0)),"")</f>
        <v/>
      </c>
      <c r="W939" s="74"/>
      <c r="X939" s="75"/>
    </row>
    <row r="940">
      <c r="A940" s="76">
        <f t="shared" si="2"/>
        <v>0</v>
      </c>
      <c r="B940" s="88"/>
      <c r="C940" s="76"/>
      <c r="D940" s="86"/>
      <c r="E940" s="86"/>
      <c r="F940" s="90"/>
      <c r="G940" s="91"/>
      <c r="H940" s="86"/>
      <c r="I940" s="86"/>
      <c r="J940" s="86"/>
      <c r="K940" s="86"/>
      <c r="L940" s="86"/>
      <c r="M940" s="86"/>
      <c r="N940" s="90"/>
      <c r="O940" s="90"/>
      <c r="P940" s="90"/>
      <c r="Q940" s="106"/>
      <c r="R940" s="95"/>
      <c r="S940" s="96"/>
      <c r="T940" s="85"/>
      <c r="U940" s="97"/>
      <c r="V940" s="85" t="str">
        <f t="array" ref="V940">IFERROR(index('3. Công thức lab theo từng mã h'!J:J,MATCH(C940,'3. Công thức lab theo từng mã h'!L:L,0)),"")</f>
        <v/>
      </c>
      <c r="W940" s="85"/>
      <c r="X940" s="75"/>
    </row>
    <row r="941">
      <c r="A941" s="64">
        <f t="shared" si="2"/>
        <v>0</v>
      </c>
      <c r="B941" s="98"/>
      <c r="C941" s="64"/>
      <c r="D941" s="16"/>
      <c r="E941" s="16"/>
      <c r="F941" s="100"/>
      <c r="G941" s="101"/>
      <c r="H941" s="16"/>
      <c r="I941" s="16"/>
      <c r="J941" s="16"/>
      <c r="K941" s="16"/>
      <c r="L941" s="16"/>
      <c r="M941" s="16"/>
      <c r="N941" s="100"/>
      <c r="O941" s="100"/>
      <c r="P941" s="100"/>
      <c r="Q941" s="106"/>
      <c r="R941" s="107"/>
      <c r="S941" s="104"/>
      <c r="T941" s="74"/>
      <c r="U941" s="108"/>
      <c r="V941" s="74" t="str">
        <f t="array" ref="V941">IFERROR(index('3. Công thức lab theo từng mã h'!J:J,MATCH(C941,'3. Công thức lab theo từng mã h'!L:L,0)),"")</f>
        <v/>
      </c>
      <c r="W941" s="74"/>
      <c r="X941" s="75"/>
    </row>
    <row r="942">
      <c r="A942" s="76">
        <f t="shared" si="2"/>
        <v>0</v>
      </c>
      <c r="B942" s="88"/>
      <c r="C942" s="76"/>
      <c r="D942" s="86"/>
      <c r="E942" s="86"/>
      <c r="F942" s="90"/>
      <c r="G942" s="91"/>
      <c r="H942" s="86"/>
      <c r="I942" s="86"/>
      <c r="J942" s="86"/>
      <c r="K942" s="86"/>
      <c r="L942" s="86"/>
      <c r="M942" s="86"/>
      <c r="N942" s="90"/>
      <c r="O942" s="90"/>
      <c r="P942" s="90"/>
      <c r="Q942" s="106"/>
      <c r="R942" s="95"/>
      <c r="S942" s="96"/>
      <c r="T942" s="85"/>
      <c r="U942" s="97"/>
      <c r="V942" s="85" t="str">
        <f t="array" ref="V942">IFERROR(index('3. Công thức lab theo từng mã h'!J:J,MATCH(C942,'3. Công thức lab theo từng mã h'!L:L,0)),"")</f>
        <v/>
      </c>
      <c r="W942" s="85"/>
      <c r="X942" s="75"/>
    </row>
    <row r="943">
      <c r="A943" s="64">
        <f t="shared" si="2"/>
        <v>0</v>
      </c>
      <c r="B943" s="98"/>
      <c r="C943" s="64"/>
      <c r="D943" s="16"/>
      <c r="E943" s="16"/>
      <c r="F943" s="100"/>
      <c r="G943" s="101"/>
      <c r="H943" s="16"/>
      <c r="I943" s="16"/>
      <c r="J943" s="16"/>
      <c r="K943" s="16"/>
      <c r="L943" s="16"/>
      <c r="M943" s="16"/>
      <c r="N943" s="100"/>
      <c r="O943" s="100"/>
      <c r="P943" s="100"/>
      <c r="Q943" s="106"/>
      <c r="R943" s="107"/>
      <c r="S943" s="104"/>
      <c r="T943" s="74"/>
      <c r="U943" s="108"/>
      <c r="V943" s="74" t="str">
        <f t="array" ref="V943">IFERROR(index('3. Công thức lab theo từng mã h'!J:J,MATCH(C943,'3. Công thức lab theo từng mã h'!L:L,0)),"")</f>
        <v/>
      </c>
      <c r="W943" s="74"/>
      <c r="X943" s="75"/>
    </row>
    <row r="944">
      <c r="A944" s="76">
        <f t="shared" si="2"/>
        <v>0</v>
      </c>
      <c r="B944" s="88"/>
      <c r="C944" s="76"/>
      <c r="D944" s="86"/>
      <c r="E944" s="86"/>
      <c r="F944" s="90"/>
      <c r="G944" s="91"/>
      <c r="H944" s="86"/>
      <c r="I944" s="86"/>
      <c r="J944" s="86"/>
      <c r="K944" s="86"/>
      <c r="L944" s="86"/>
      <c r="M944" s="86"/>
      <c r="N944" s="90"/>
      <c r="O944" s="90"/>
      <c r="P944" s="90"/>
      <c r="Q944" s="106"/>
      <c r="R944" s="95"/>
      <c r="S944" s="96"/>
      <c r="T944" s="85"/>
      <c r="U944" s="97"/>
      <c r="V944" s="85" t="str">
        <f t="array" ref="V944">IFERROR(index('3. Công thức lab theo từng mã h'!J:J,MATCH(C944,'3. Công thức lab theo từng mã h'!L:L,0)),"")</f>
        <v/>
      </c>
      <c r="W944" s="85"/>
      <c r="X944" s="75"/>
    </row>
    <row r="945">
      <c r="A945" s="64">
        <f t="shared" si="2"/>
        <v>0</v>
      </c>
      <c r="B945" s="98"/>
      <c r="C945" s="64"/>
      <c r="D945" s="16"/>
      <c r="E945" s="16"/>
      <c r="F945" s="100"/>
      <c r="G945" s="101"/>
      <c r="H945" s="16"/>
      <c r="I945" s="16"/>
      <c r="J945" s="16"/>
      <c r="K945" s="16"/>
      <c r="L945" s="16"/>
      <c r="M945" s="16"/>
      <c r="N945" s="100"/>
      <c r="O945" s="100"/>
      <c r="P945" s="100"/>
      <c r="Q945" s="106"/>
      <c r="R945" s="107"/>
      <c r="S945" s="104"/>
      <c r="T945" s="74"/>
      <c r="U945" s="108"/>
      <c r="V945" s="74" t="str">
        <f t="array" ref="V945">IFERROR(index('3. Công thức lab theo từng mã h'!J:J,MATCH(C945,'3. Công thức lab theo từng mã h'!L:L,0)),"")</f>
        <v/>
      </c>
      <c r="W945" s="74"/>
      <c r="X945" s="75"/>
    </row>
    <row r="946">
      <c r="A946" s="76">
        <f t="shared" si="2"/>
        <v>0</v>
      </c>
      <c r="B946" s="88"/>
      <c r="C946" s="76"/>
      <c r="D946" s="86"/>
      <c r="E946" s="86"/>
      <c r="F946" s="90"/>
      <c r="G946" s="91"/>
      <c r="H946" s="86"/>
      <c r="I946" s="86"/>
      <c r="J946" s="86"/>
      <c r="K946" s="86"/>
      <c r="L946" s="86"/>
      <c r="M946" s="86"/>
      <c r="N946" s="90"/>
      <c r="O946" s="90"/>
      <c r="P946" s="90"/>
      <c r="Q946" s="106"/>
      <c r="R946" s="95"/>
      <c r="S946" s="96"/>
      <c r="T946" s="85"/>
      <c r="U946" s="97"/>
      <c r="V946" s="85" t="str">
        <f t="array" ref="V946">IFERROR(index('3. Công thức lab theo từng mã h'!J:J,MATCH(C946,'3. Công thức lab theo từng mã h'!L:L,0)),"")</f>
        <v/>
      </c>
      <c r="W946" s="85"/>
      <c r="X946" s="75"/>
    </row>
    <row r="947">
      <c r="A947" s="64">
        <f t="shared" si="2"/>
        <v>0</v>
      </c>
      <c r="B947" s="98"/>
      <c r="C947" s="64"/>
      <c r="D947" s="16"/>
      <c r="E947" s="16"/>
      <c r="F947" s="100"/>
      <c r="G947" s="101"/>
      <c r="H947" s="16"/>
      <c r="I947" s="16"/>
      <c r="J947" s="16"/>
      <c r="K947" s="16"/>
      <c r="L947" s="16"/>
      <c r="M947" s="16"/>
      <c r="N947" s="100"/>
      <c r="O947" s="100"/>
      <c r="P947" s="100"/>
      <c r="Q947" s="106"/>
      <c r="R947" s="107"/>
      <c r="S947" s="104"/>
      <c r="T947" s="74"/>
      <c r="U947" s="108"/>
      <c r="V947" s="74" t="str">
        <f t="array" ref="V947">IFERROR(index('3. Công thức lab theo từng mã h'!J:J,MATCH(C947,'3. Công thức lab theo từng mã h'!L:L,0)),"")</f>
        <v/>
      </c>
      <c r="W947" s="74"/>
      <c r="X947" s="75"/>
    </row>
    <row r="948">
      <c r="A948" s="76">
        <f t="shared" si="2"/>
        <v>0</v>
      </c>
      <c r="B948" s="88"/>
      <c r="C948" s="76"/>
      <c r="D948" s="86"/>
      <c r="E948" s="86"/>
      <c r="F948" s="90"/>
      <c r="G948" s="91"/>
      <c r="H948" s="86"/>
      <c r="I948" s="86"/>
      <c r="J948" s="86"/>
      <c r="K948" s="86"/>
      <c r="L948" s="86"/>
      <c r="M948" s="86"/>
      <c r="N948" s="90"/>
      <c r="O948" s="90"/>
      <c r="P948" s="90"/>
      <c r="Q948" s="106"/>
      <c r="R948" s="95"/>
      <c r="S948" s="96"/>
      <c r="T948" s="85"/>
      <c r="U948" s="97"/>
      <c r="V948" s="85" t="str">
        <f t="array" ref="V948">IFERROR(index('3. Công thức lab theo từng mã h'!J:J,MATCH(C948,'3. Công thức lab theo từng mã h'!L:L,0)),"")</f>
        <v/>
      </c>
      <c r="W948" s="85"/>
      <c r="X948" s="75"/>
    </row>
    <row r="949">
      <c r="A949" s="64">
        <f t="shared" si="2"/>
        <v>0</v>
      </c>
      <c r="B949" s="98"/>
      <c r="C949" s="64"/>
      <c r="D949" s="16"/>
      <c r="E949" s="16"/>
      <c r="F949" s="100"/>
      <c r="G949" s="101"/>
      <c r="H949" s="16"/>
      <c r="I949" s="16"/>
      <c r="J949" s="16"/>
      <c r="K949" s="16"/>
      <c r="L949" s="16"/>
      <c r="M949" s="16"/>
      <c r="N949" s="100"/>
      <c r="O949" s="100"/>
      <c r="P949" s="100"/>
      <c r="Q949" s="106"/>
      <c r="R949" s="107"/>
      <c r="S949" s="104"/>
      <c r="T949" s="74"/>
      <c r="U949" s="108"/>
      <c r="V949" s="74" t="str">
        <f t="array" ref="V949">IFERROR(index('3. Công thức lab theo từng mã h'!J:J,MATCH(C949,'3. Công thức lab theo từng mã h'!L:L,0)),"")</f>
        <v/>
      </c>
      <c r="W949" s="74"/>
      <c r="X949" s="75"/>
    </row>
    <row r="950">
      <c r="A950" s="76">
        <f t="shared" si="2"/>
        <v>0</v>
      </c>
      <c r="B950" s="88"/>
      <c r="C950" s="76"/>
      <c r="D950" s="86"/>
      <c r="E950" s="86"/>
      <c r="F950" s="90"/>
      <c r="G950" s="91"/>
      <c r="H950" s="86"/>
      <c r="I950" s="86"/>
      <c r="J950" s="86"/>
      <c r="K950" s="86"/>
      <c r="L950" s="86"/>
      <c r="M950" s="86"/>
      <c r="N950" s="90"/>
      <c r="O950" s="90"/>
      <c r="P950" s="90"/>
      <c r="Q950" s="106"/>
      <c r="R950" s="95"/>
      <c r="S950" s="96"/>
      <c r="T950" s="85"/>
      <c r="U950" s="97"/>
      <c r="V950" s="85" t="str">
        <f t="array" ref="V950">IFERROR(index('3. Công thức lab theo từng mã h'!J:J,MATCH(C950,'3. Công thức lab theo từng mã h'!L:L,0)),"")</f>
        <v/>
      </c>
      <c r="W950" s="85"/>
      <c r="X950" s="75"/>
    </row>
    <row r="951">
      <c r="A951" s="64">
        <f t="shared" si="2"/>
        <v>0</v>
      </c>
      <c r="B951" s="98"/>
      <c r="C951" s="64"/>
      <c r="D951" s="16"/>
      <c r="E951" s="16"/>
      <c r="F951" s="100"/>
      <c r="G951" s="101"/>
      <c r="H951" s="16"/>
      <c r="I951" s="16"/>
      <c r="J951" s="16"/>
      <c r="K951" s="16"/>
      <c r="L951" s="16"/>
      <c r="M951" s="16"/>
      <c r="N951" s="100"/>
      <c r="O951" s="100"/>
      <c r="P951" s="100"/>
      <c r="Q951" s="106"/>
      <c r="R951" s="107"/>
      <c r="S951" s="104"/>
      <c r="T951" s="74"/>
      <c r="U951" s="108"/>
      <c r="V951" s="74" t="str">
        <f t="array" ref="V951">IFERROR(index('3. Công thức lab theo từng mã h'!J:J,MATCH(C951,'3. Công thức lab theo từng mã h'!L:L,0)),"")</f>
        <v/>
      </c>
      <c r="W951" s="74"/>
      <c r="X951" s="75"/>
    </row>
    <row r="952">
      <c r="A952" s="76">
        <f t="shared" si="2"/>
        <v>0</v>
      </c>
      <c r="B952" s="88"/>
      <c r="C952" s="76"/>
      <c r="D952" s="86"/>
      <c r="E952" s="86"/>
      <c r="F952" s="90"/>
      <c r="G952" s="91"/>
      <c r="H952" s="86"/>
      <c r="I952" s="86"/>
      <c r="J952" s="86"/>
      <c r="K952" s="86"/>
      <c r="L952" s="86"/>
      <c r="M952" s="86"/>
      <c r="N952" s="90"/>
      <c r="O952" s="90"/>
      <c r="P952" s="90"/>
      <c r="Q952" s="106"/>
      <c r="R952" s="95"/>
      <c r="S952" s="96"/>
      <c r="T952" s="85"/>
      <c r="U952" s="97"/>
      <c r="V952" s="85" t="str">
        <f t="array" ref="V952">IFERROR(index('3. Công thức lab theo từng mã h'!J:J,MATCH(C952,'3. Công thức lab theo từng mã h'!L:L,0)),"")</f>
        <v/>
      </c>
      <c r="W952" s="85"/>
      <c r="X952" s="75"/>
    </row>
    <row r="953">
      <c r="A953" s="64">
        <f t="shared" si="2"/>
        <v>0</v>
      </c>
      <c r="B953" s="98"/>
      <c r="C953" s="64"/>
      <c r="D953" s="16"/>
      <c r="E953" s="16"/>
      <c r="F953" s="100"/>
      <c r="G953" s="101"/>
      <c r="H953" s="16"/>
      <c r="I953" s="16"/>
      <c r="J953" s="16"/>
      <c r="K953" s="16"/>
      <c r="L953" s="16"/>
      <c r="M953" s="16"/>
      <c r="N953" s="100"/>
      <c r="O953" s="100"/>
      <c r="P953" s="100"/>
      <c r="Q953" s="106"/>
      <c r="R953" s="107"/>
      <c r="S953" s="104"/>
      <c r="T953" s="74"/>
      <c r="U953" s="108"/>
      <c r="V953" s="74" t="str">
        <f t="array" ref="V953">IFERROR(index('3. Công thức lab theo từng mã h'!J:J,MATCH(C953,'3. Công thức lab theo từng mã h'!L:L,0)),"")</f>
        <v/>
      </c>
      <c r="W953" s="74"/>
      <c r="X953" s="75"/>
    </row>
    <row r="954">
      <c r="A954" s="76">
        <f t="shared" si="2"/>
        <v>0</v>
      </c>
      <c r="B954" s="88"/>
      <c r="C954" s="76"/>
      <c r="D954" s="86"/>
      <c r="E954" s="86"/>
      <c r="F954" s="90"/>
      <c r="G954" s="91"/>
      <c r="H954" s="86"/>
      <c r="I954" s="86"/>
      <c r="J954" s="86"/>
      <c r="K954" s="86"/>
      <c r="L954" s="86"/>
      <c r="M954" s="86"/>
      <c r="N954" s="90"/>
      <c r="O954" s="90"/>
      <c r="P954" s="90"/>
      <c r="Q954" s="106"/>
      <c r="R954" s="95"/>
      <c r="S954" s="96"/>
      <c r="T954" s="85"/>
      <c r="U954" s="97"/>
      <c r="V954" s="85" t="str">
        <f t="array" ref="V954">IFERROR(index('3. Công thức lab theo từng mã h'!J:J,MATCH(C954,'3. Công thức lab theo từng mã h'!L:L,0)),"")</f>
        <v/>
      </c>
      <c r="W954" s="85"/>
      <c r="X954" s="75"/>
    </row>
    <row r="955">
      <c r="A955" s="64">
        <f t="shared" si="2"/>
        <v>0</v>
      </c>
      <c r="B955" s="98"/>
      <c r="C955" s="64"/>
      <c r="D955" s="16"/>
      <c r="E955" s="16"/>
      <c r="F955" s="100"/>
      <c r="G955" s="101"/>
      <c r="H955" s="16"/>
      <c r="I955" s="16"/>
      <c r="J955" s="16"/>
      <c r="K955" s="16"/>
      <c r="L955" s="16"/>
      <c r="M955" s="16"/>
      <c r="N955" s="100"/>
      <c r="O955" s="100"/>
      <c r="P955" s="100"/>
      <c r="Q955" s="106"/>
      <c r="R955" s="107"/>
      <c r="S955" s="104"/>
      <c r="T955" s="74"/>
      <c r="U955" s="108"/>
      <c r="V955" s="74" t="str">
        <f t="array" ref="V955">IFERROR(index('3. Công thức lab theo từng mã h'!J:J,MATCH(C955,'3. Công thức lab theo từng mã h'!L:L,0)),"")</f>
        <v/>
      </c>
      <c r="W955" s="74"/>
      <c r="X955" s="75"/>
    </row>
    <row r="956">
      <c r="A956" s="76">
        <f t="shared" si="2"/>
        <v>0</v>
      </c>
      <c r="B956" s="88"/>
      <c r="C956" s="76"/>
      <c r="D956" s="86"/>
      <c r="E956" s="86"/>
      <c r="F956" s="90"/>
      <c r="G956" s="91"/>
      <c r="H956" s="86"/>
      <c r="I956" s="86"/>
      <c r="J956" s="86"/>
      <c r="K956" s="86"/>
      <c r="L956" s="86"/>
      <c r="M956" s="86"/>
      <c r="N956" s="90"/>
      <c r="O956" s="90"/>
      <c r="P956" s="90"/>
      <c r="Q956" s="106"/>
      <c r="R956" s="95"/>
      <c r="S956" s="96"/>
      <c r="T956" s="85"/>
      <c r="U956" s="97"/>
      <c r="V956" s="85" t="str">
        <f t="array" ref="V956">IFERROR(index('3. Công thức lab theo từng mã h'!J:J,MATCH(C956,'3. Công thức lab theo từng mã h'!L:L,0)),"")</f>
        <v/>
      </c>
      <c r="W956" s="85"/>
      <c r="X956" s="75"/>
    </row>
    <row r="957">
      <c r="A957" s="64">
        <f t="shared" si="2"/>
        <v>0</v>
      </c>
      <c r="B957" s="98"/>
      <c r="C957" s="64"/>
      <c r="D957" s="16"/>
      <c r="E957" s="16"/>
      <c r="F957" s="100"/>
      <c r="G957" s="101"/>
      <c r="H957" s="16"/>
      <c r="I957" s="16"/>
      <c r="J957" s="16"/>
      <c r="K957" s="16"/>
      <c r="L957" s="16"/>
      <c r="M957" s="16"/>
      <c r="N957" s="100"/>
      <c r="O957" s="100"/>
      <c r="P957" s="100"/>
      <c r="Q957" s="106"/>
      <c r="R957" s="107"/>
      <c r="S957" s="104"/>
      <c r="T957" s="74"/>
      <c r="U957" s="108"/>
      <c r="V957" s="74" t="str">
        <f t="array" ref="V957">IFERROR(index('3. Công thức lab theo từng mã h'!J:J,MATCH(C957,'3. Công thức lab theo từng mã h'!L:L,0)),"")</f>
        <v/>
      </c>
      <c r="W957" s="74"/>
      <c r="X957" s="75"/>
    </row>
    <row r="958">
      <c r="A958" s="76">
        <f t="shared" si="2"/>
        <v>0</v>
      </c>
      <c r="B958" s="88"/>
      <c r="C958" s="76"/>
      <c r="D958" s="86"/>
      <c r="E958" s="86"/>
      <c r="F958" s="90"/>
      <c r="G958" s="91"/>
      <c r="H958" s="86"/>
      <c r="I958" s="86"/>
      <c r="J958" s="86"/>
      <c r="K958" s="86"/>
      <c r="L958" s="86"/>
      <c r="M958" s="86"/>
      <c r="N958" s="90"/>
      <c r="O958" s="90"/>
      <c r="P958" s="90"/>
      <c r="Q958" s="106"/>
      <c r="R958" s="95"/>
      <c r="S958" s="96"/>
      <c r="T958" s="85"/>
      <c r="U958" s="97"/>
      <c r="V958" s="85" t="str">
        <f t="array" ref="V958">IFERROR(index('3. Công thức lab theo từng mã h'!J:J,MATCH(C958,'3. Công thức lab theo từng mã h'!L:L,0)),"")</f>
        <v/>
      </c>
      <c r="W958" s="85"/>
      <c r="X958" s="75"/>
    </row>
    <row r="959">
      <c r="A959" s="64">
        <f t="shared" si="2"/>
        <v>0</v>
      </c>
      <c r="B959" s="98"/>
      <c r="C959" s="64"/>
      <c r="D959" s="16"/>
      <c r="E959" s="16"/>
      <c r="F959" s="100"/>
      <c r="G959" s="101"/>
      <c r="H959" s="16"/>
      <c r="I959" s="16"/>
      <c r="J959" s="16"/>
      <c r="K959" s="16"/>
      <c r="L959" s="16"/>
      <c r="M959" s="16"/>
      <c r="N959" s="100"/>
      <c r="O959" s="100"/>
      <c r="P959" s="100"/>
      <c r="Q959" s="106"/>
      <c r="R959" s="107"/>
      <c r="S959" s="104"/>
      <c r="T959" s="74"/>
      <c r="U959" s="108"/>
      <c r="V959" s="74" t="str">
        <f t="array" ref="V959">IFERROR(index('3. Công thức lab theo từng mã h'!J:J,MATCH(C959,'3. Công thức lab theo từng mã h'!L:L,0)),"")</f>
        <v/>
      </c>
      <c r="W959" s="74"/>
      <c r="X959" s="75"/>
    </row>
    <row r="960">
      <c r="A960" s="76">
        <f t="shared" si="2"/>
        <v>0</v>
      </c>
      <c r="B960" s="88"/>
      <c r="C960" s="76"/>
      <c r="D960" s="86"/>
      <c r="E960" s="86"/>
      <c r="F960" s="90"/>
      <c r="G960" s="91"/>
      <c r="H960" s="86"/>
      <c r="I960" s="86"/>
      <c r="J960" s="86"/>
      <c r="K960" s="86"/>
      <c r="L960" s="86"/>
      <c r="M960" s="86"/>
      <c r="N960" s="90"/>
      <c r="O960" s="90"/>
      <c r="P960" s="90"/>
      <c r="Q960" s="106"/>
      <c r="R960" s="95"/>
      <c r="S960" s="96"/>
      <c r="T960" s="85"/>
      <c r="U960" s="97"/>
      <c r="V960" s="85" t="str">
        <f t="array" ref="V960">IFERROR(index('3. Công thức lab theo từng mã h'!J:J,MATCH(C960,'3. Công thức lab theo từng mã h'!L:L,0)),"")</f>
        <v/>
      </c>
      <c r="W960" s="85"/>
      <c r="X960" s="75"/>
    </row>
    <row r="961">
      <c r="A961" s="64">
        <f t="shared" si="2"/>
        <v>0</v>
      </c>
      <c r="B961" s="98"/>
      <c r="C961" s="64"/>
      <c r="D961" s="16"/>
      <c r="E961" s="16"/>
      <c r="F961" s="100"/>
      <c r="G961" s="101"/>
      <c r="H961" s="16"/>
      <c r="I961" s="16"/>
      <c r="J961" s="16"/>
      <c r="K961" s="16"/>
      <c r="L961" s="16"/>
      <c r="M961" s="16"/>
      <c r="N961" s="100"/>
      <c r="O961" s="100"/>
      <c r="P961" s="100"/>
      <c r="Q961" s="106"/>
      <c r="R961" s="107"/>
      <c r="S961" s="104"/>
      <c r="T961" s="74"/>
      <c r="U961" s="108"/>
      <c r="V961" s="74" t="str">
        <f t="array" ref="V961">IFERROR(index('3. Công thức lab theo từng mã h'!J:J,MATCH(C961,'3. Công thức lab theo từng mã h'!L:L,0)),"")</f>
        <v/>
      </c>
      <c r="W961" s="74"/>
      <c r="X961" s="75"/>
    </row>
    <row r="962">
      <c r="A962" s="76">
        <f t="shared" si="2"/>
        <v>0</v>
      </c>
      <c r="B962" s="88"/>
      <c r="C962" s="76"/>
      <c r="D962" s="86"/>
      <c r="E962" s="86"/>
      <c r="F962" s="90"/>
      <c r="G962" s="91"/>
      <c r="H962" s="86"/>
      <c r="I962" s="86"/>
      <c r="J962" s="86"/>
      <c r="K962" s="86"/>
      <c r="L962" s="86"/>
      <c r="M962" s="86"/>
      <c r="N962" s="90"/>
      <c r="O962" s="90"/>
      <c r="P962" s="90"/>
      <c r="Q962" s="106"/>
      <c r="R962" s="95"/>
      <c r="S962" s="96"/>
      <c r="T962" s="85"/>
      <c r="U962" s="97"/>
      <c r="V962" s="85" t="str">
        <f t="array" ref="V962">IFERROR(index('3. Công thức lab theo từng mã h'!J:J,MATCH(C962,'3. Công thức lab theo từng mã h'!L:L,0)),"")</f>
        <v/>
      </c>
      <c r="W962" s="85"/>
      <c r="X962" s="75"/>
    </row>
    <row r="963">
      <c r="A963" s="64">
        <f t="shared" si="2"/>
        <v>0</v>
      </c>
      <c r="B963" s="98"/>
      <c r="C963" s="64"/>
      <c r="D963" s="16"/>
      <c r="E963" s="16"/>
      <c r="F963" s="100"/>
      <c r="G963" s="101"/>
      <c r="H963" s="16"/>
      <c r="I963" s="16"/>
      <c r="J963" s="16"/>
      <c r="K963" s="16"/>
      <c r="L963" s="16"/>
      <c r="M963" s="16"/>
      <c r="N963" s="100"/>
      <c r="O963" s="100"/>
      <c r="P963" s="100"/>
      <c r="Q963" s="106"/>
      <c r="R963" s="107"/>
      <c r="S963" s="104"/>
      <c r="T963" s="74"/>
      <c r="U963" s="108"/>
      <c r="V963" s="74" t="str">
        <f t="array" ref="V963">IFERROR(index('3. Công thức lab theo từng mã h'!J:J,MATCH(C963,'3. Công thức lab theo từng mã h'!L:L,0)),"")</f>
        <v/>
      </c>
      <c r="W963" s="74"/>
      <c r="X963" s="75"/>
    </row>
    <row r="964">
      <c r="A964" s="76">
        <f t="shared" si="2"/>
        <v>0</v>
      </c>
      <c r="B964" s="88"/>
      <c r="C964" s="76"/>
      <c r="D964" s="86"/>
      <c r="E964" s="86"/>
      <c r="F964" s="90"/>
      <c r="G964" s="91"/>
      <c r="H964" s="86"/>
      <c r="I964" s="86"/>
      <c r="J964" s="86"/>
      <c r="K964" s="86"/>
      <c r="L964" s="86"/>
      <c r="M964" s="86"/>
      <c r="N964" s="90"/>
      <c r="O964" s="90"/>
      <c r="P964" s="90"/>
      <c r="Q964" s="106"/>
      <c r="R964" s="95"/>
      <c r="S964" s="96"/>
      <c r="T964" s="85"/>
      <c r="U964" s="97"/>
      <c r="V964" s="85" t="str">
        <f t="array" ref="V964">IFERROR(index('3. Công thức lab theo từng mã h'!J:J,MATCH(C964,'3. Công thức lab theo từng mã h'!L:L,0)),"")</f>
        <v/>
      </c>
      <c r="W964" s="85"/>
      <c r="X964" s="75"/>
    </row>
    <row r="965">
      <c r="A965" s="64">
        <f t="shared" si="2"/>
        <v>0</v>
      </c>
      <c r="B965" s="98"/>
      <c r="C965" s="64"/>
      <c r="D965" s="16"/>
      <c r="E965" s="16"/>
      <c r="F965" s="100"/>
      <c r="G965" s="101"/>
      <c r="H965" s="16"/>
      <c r="I965" s="16"/>
      <c r="J965" s="16"/>
      <c r="K965" s="16"/>
      <c r="L965" s="16"/>
      <c r="M965" s="16"/>
      <c r="N965" s="100"/>
      <c r="O965" s="100"/>
      <c r="P965" s="100"/>
      <c r="Q965" s="106"/>
      <c r="R965" s="107"/>
      <c r="S965" s="104"/>
      <c r="T965" s="74"/>
      <c r="U965" s="108"/>
      <c r="V965" s="74" t="str">
        <f t="array" ref="V965">IFERROR(index('3. Công thức lab theo từng mã h'!J:J,MATCH(C965,'3. Công thức lab theo từng mã h'!L:L,0)),"")</f>
        <v/>
      </c>
      <c r="W965" s="74"/>
      <c r="X965" s="75"/>
    </row>
    <row r="966">
      <c r="A966" s="76">
        <f t="shared" si="2"/>
        <v>0</v>
      </c>
      <c r="B966" s="88"/>
      <c r="C966" s="76"/>
      <c r="D966" s="86"/>
      <c r="E966" s="86"/>
      <c r="F966" s="90"/>
      <c r="G966" s="91"/>
      <c r="H966" s="86"/>
      <c r="I966" s="86"/>
      <c r="J966" s="86"/>
      <c r="K966" s="86"/>
      <c r="L966" s="86"/>
      <c r="M966" s="86"/>
      <c r="N966" s="90"/>
      <c r="O966" s="90"/>
      <c r="P966" s="90"/>
      <c r="Q966" s="106"/>
      <c r="R966" s="95"/>
      <c r="S966" s="96"/>
      <c r="T966" s="85"/>
      <c r="U966" s="97"/>
      <c r="V966" s="85" t="str">
        <f t="array" ref="V966">IFERROR(index('3. Công thức lab theo từng mã h'!J:J,MATCH(C966,'3. Công thức lab theo từng mã h'!L:L,0)),"")</f>
        <v/>
      </c>
      <c r="W966" s="85"/>
      <c r="X966" s="75"/>
    </row>
    <row r="967">
      <c r="A967" s="64">
        <f t="shared" si="2"/>
        <v>0</v>
      </c>
      <c r="B967" s="98"/>
      <c r="C967" s="64"/>
      <c r="D967" s="16"/>
      <c r="E967" s="16"/>
      <c r="F967" s="100"/>
      <c r="G967" s="101"/>
      <c r="H967" s="16"/>
      <c r="I967" s="16"/>
      <c r="J967" s="16"/>
      <c r="K967" s="16"/>
      <c r="L967" s="16"/>
      <c r="M967" s="16"/>
      <c r="N967" s="100"/>
      <c r="O967" s="100"/>
      <c r="P967" s="100"/>
      <c r="Q967" s="106"/>
      <c r="R967" s="107"/>
      <c r="S967" s="104"/>
      <c r="T967" s="74"/>
      <c r="U967" s="108"/>
      <c r="V967" s="74" t="str">
        <f t="array" ref="V967">IFERROR(index('3. Công thức lab theo từng mã h'!J:J,MATCH(C967,'3. Công thức lab theo từng mã h'!L:L,0)),"")</f>
        <v/>
      </c>
      <c r="W967" s="74"/>
      <c r="X967" s="75"/>
    </row>
    <row r="968">
      <c r="A968" s="76">
        <f t="shared" si="2"/>
        <v>0</v>
      </c>
      <c r="B968" s="88"/>
      <c r="C968" s="76"/>
      <c r="D968" s="86"/>
      <c r="E968" s="86"/>
      <c r="F968" s="90"/>
      <c r="G968" s="91"/>
      <c r="H968" s="86"/>
      <c r="I968" s="86"/>
      <c r="J968" s="86"/>
      <c r="K968" s="86"/>
      <c r="L968" s="86"/>
      <c r="M968" s="86"/>
      <c r="N968" s="90"/>
      <c r="O968" s="90"/>
      <c r="P968" s="90"/>
      <c r="Q968" s="106"/>
      <c r="R968" s="95"/>
      <c r="S968" s="96"/>
      <c r="T968" s="85"/>
      <c r="U968" s="97"/>
      <c r="V968" s="85" t="str">
        <f t="array" ref="V968">IFERROR(index('3. Công thức lab theo từng mã h'!J:J,MATCH(C968,'3. Công thức lab theo từng mã h'!L:L,0)),"")</f>
        <v/>
      </c>
      <c r="W968" s="85"/>
      <c r="X968" s="75"/>
    </row>
    <row r="969">
      <c r="A969" s="64">
        <f t="shared" si="2"/>
        <v>0</v>
      </c>
      <c r="B969" s="98"/>
      <c r="C969" s="64"/>
      <c r="D969" s="16"/>
      <c r="E969" s="16"/>
      <c r="F969" s="100"/>
      <c r="G969" s="101"/>
      <c r="H969" s="16"/>
      <c r="I969" s="16"/>
      <c r="J969" s="16"/>
      <c r="K969" s="16"/>
      <c r="L969" s="16"/>
      <c r="M969" s="16"/>
      <c r="N969" s="100"/>
      <c r="O969" s="100"/>
      <c r="P969" s="100"/>
      <c r="Q969" s="106"/>
      <c r="R969" s="107"/>
      <c r="S969" s="104"/>
      <c r="T969" s="74"/>
      <c r="U969" s="108"/>
      <c r="V969" s="74" t="str">
        <f t="array" ref="V969">IFERROR(index('3. Công thức lab theo từng mã h'!J:J,MATCH(C969,'3. Công thức lab theo từng mã h'!L:L,0)),"")</f>
        <v/>
      </c>
      <c r="W969" s="74"/>
      <c r="X969" s="75"/>
    </row>
    <row r="970">
      <c r="A970" s="76">
        <f t="shared" si="2"/>
        <v>0</v>
      </c>
      <c r="B970" s="88"/>
      <c r="C970" s="76"/>
      <c r="D970" s="86"/>
      <c r="E970" s="86"/>
      <c r="F970" s="90"/>
      <c r="G970" s="91"/>
      <c r="H970" s="86"/>
      <c r="I970" s="86"/>
      <c r="J970" s="86"/>
      <c r="K970" s="86"/>
      <c r="L970" s="86"/>
      <c r="M970" s="86"/>
      <c r="N970" s="90"/>
      <c r="O970" s="90"/>
      <c r="P970" s="90"/>
      <c r="Q970" s="106"/>
      <c r="R970" s="95"/>
      <c r="S970" s="96"/>
      <c r="T970" s="85"/>
      <c r="U970" s="97"/>
      <c r="V970" s="85" t="str">
        <f t="array" ref="V970">IFERROR(index('3. Công thức lab theo từng mã h'!J:J,MATCH(C970,'3. Công thức lab theo từng mã h'!L:L,0)),"")</f>
        <v/>
      </c>
      <c r="W970" s="85"/>
      <c r="X970" s="75"/>
    </row>
    <row r="971">
      <c r="A971" s="64">
        <f t="shared" si="2"/>
        <v>0</v>
      </c>
      <c r="B971" s="98"/>
      <c r="C971" s="64"/>
      <c r="D971" s="16"/>
      <c r="E971" s="16"/>
      <c r="F971" s="100"/>
      <c r="G971" s="101"/>
      <c r="H971" s="16"/>
      <c r="I971" s="16"/>
      <c r="J971" s="16"/>
      <c r="K971" s="16"/>
      <c r="L971" s="16"/>
      <c r="M971" s="16"/>
      <c r="N971" s="100"/>
      <c r="O971" s="100"/>
      <c r="P971" s="100"/>
      <c r="Q971" s="106"/>
      <c r="R971" s="107"/>
      <c r="S971" s="104"/>
      <c r="T971" s="74"/>
      <c r="U971" s="108"/>
      <c r="V971" s="74" t="str">
        <f t="array" ref="V971">IFERROR(index('3. Công thức lab theo từng mã h'!J:J,MATCH(C971,'3. Công thức lab theo từng mã h'!L:L,0)),"")</f>
        <v/>
      </c>
      <c r="W971" s="74"/>
      <c r="X971" s="75"/>
    </row>
    <row r="972">
      <c r="A972" s="76">
        <f t="shared" si="2"/>
        <v>0</v>
      </c>
      <c r="B972" s="88"/>
      <c r="C972" s="76"/>
      <c r="D972" s="86"/>
      <c r="E972" s="86"/>
      <c r="F972" s="90"/>
      <c r="G972" s="91"/>
      <c r="H972" s="86"/>
      <c r="I972" s="86"/>
      <c r="J972" s="86"/>
      <c r="K972" s="86"/>
      <c r="L972" s="86"/>
      <c r="M972" s="86"/>
      <c r="N972" s="90"/>
      <c r="O972" s="90"/>
      <c r="P972" s="90"/>
      <c r="Q972" s="106"/>
      <c r="R972" s="95"/>
      <c r="S972" s="96"/>
      <c r="T972" s="85"/>
      <c r="U972" s="97"/>
      <c r="V972" s="85" t="str">
        <f t="array" ref="V972">IFERROR(index('3. Công thức lab theo từng mã h'!J:J,MATCH(C972,'3. Công thức lab theo từng mã h'!L:L,0)),"")</f>
        <v/>
      </c>
      <c r="W972" s="85"/>
      <c r="X972" s="75"/>
    </row>
    <row r="973">
      <c r="A973" s="64">
        <f t="shared" si="2"/>
        <v>0</v>
      </c>
      <c r="B973" s="98"/>
      <c r="C973" s="64"/>
      <c r="D973" s="16"/>
      <c r="E973" s="16"/>
      <c r="F973" s="100"/>
      <c r="G973" s="101"/>
      <c r="H973" s="16"/>
      <c r="I973" s="16"/>
      <c r="J973" s="16"/>
      <c r="K973" s="16"/>
      <c r="L973" s="16"/>
      <c r="M973" s="16"/>
      <c r="N973" s="100"/>
      <c r="O973" s="100"/>
      <c r="P973" s="100"/>
      <c r="Q973" s="106"/>
      <c r="R973" s="107"/>
      <c r="S973" s="104"/>
      <c r="T973" s="74"/>
      <c r="U973" s="108"/>
      <c r="V973" s="74" t="str">
        <f t="array" ref="V973">IFERROR(index('3. Công thức lab theo từng mã h'!J:J,MATCH(C973,'3. Công thức lab theo từng mã h'!L:L,0)),"")</f>
        <v/>
      </c>
      <c r="W973" s="74"/>
      <c r="X973" s="75"/>
    </row>
    <row r="974">
      <c r="A974" s="76">
        <f t="shared" si="2"/>
        <v>0</v>
      </c>
      <c r="B974" s="88"/>
      <c r="C974" s="76"/>
      <c r="D974" s="86"/>
      <c r="E974" s="86"/>
      <c r="F974" s="90"/>
      <c r="G974" s="91"/>
      <c r="H974" s="86"/>
      <c r="I974" s="86"/>
      <c r="J974" s="86"/>
      <c r="K974" s="86"/>
      <c r="L974" s="86"/>
      <c r="M974" s="86"/>
      <c r="N974" s="90"/>
      <c r="O974" s="90"/>
      <c r="P974" s="90"/>
      <c r="Q974" s="106"/>
      <c r="R974" s="95"/>
      <c r="S974" s="96"/>
      <c r="T974" s="85"/>
      <c r="U974" s="97"/>
      <c r="V974" s="85" t="str">
        <f t="array" ref="V974">IFERROR(index('3. Công thức lab theo từng mã h'!J:J,MATCH(C974,'3. Công thức lab theo từng mã h'!L:L,0)),"")</f>
        <v/>
      </c>
      <c r="W974" s="85"/>
      <c r="X974" s="75"/>
    </row>
    <row r="975">
      <c r="A975" s="64">
        <f t="shared" si="2"/>
        <v>0</v>
      </c>
      <c r="B975" s="98"/>
      <c r="C975" s="64"/>
      <c r="D975" s="16"/>
      <c r="E975" s="16"/>
      <c r="F975" s="100"/>
      <c r="G975" s="101"/>
      <c r="H975" s="16"/>
      <c r="I975" s="16"/>
      <c r="J975" s="16"/>
      <c r="K975" s="16"/>
      <c r="L975" s="16"/>
      <c r="M975" s="16"/>
      <c r="N975" s="100"/>
      <c r="O975" s="100"/>
      <c r="P975" s="100"/>
      <c r="Q975" s="106"/>
      <c r="R975" s="107"/>
      <c r="S975" s="104"/>
      <c r="T975" s="74"/>
      <c r="U975" s="108"/>
      <c r="V975" s="74" t="str">
        <f t="array" ref="V975">IFERROR(index('3. Công thức lab theo từng mã h'!J:J,MATCH(C975,'3. Công thức lab theo từng mã h'!L:L,0)),"")</f>
        <v/>
      </c>
      <c r="W975" s="74"/>
      <c r="X975" s="75"/>
    </row>
    <row r="976">
      <c r="A976" s="76">
        <f t="shared" si="2"/>
        <v>0</v>
      </c>
      <c r="B976" s="88"/>
      <c r="C976" s="76"/>
      <c r="D976" s="86"/>
      <c r="E976" s="86"/>
      <c r="F976" s="90"/>
      <c r="G976" s="91"/>
      <c r="H976" s="86"/>
      <c r="I976" s="86"/>
      <c r="J976" s="86"/>
      <c r="K976" s="86"/>
      <c r="L976" s="86"/>
      <c r="M976" s="86"/>
      <c r="N976" s="90"/>
      <c r="O976" s="90"/>
      <c r="P976" s="90"/>
      <c r="Q976" s="106"/>
      <c r="R976" s="95"/>
      <c r="S976" s="96"/>
      <c r="T976" s="85"/>
      <c r="U976" s="97"/>
      <c r="V976" s="85" t="str">
        <f t="array" ref="V976">IFERROR(index('3. Công thức lab theo từng mã h'!J:J,MATCH(C976,'3. Công thức lab theo từng mã h'!L:L,0)),"")</f>
        <v/>
      </c>
      <c r="W976" s="85"/>
      <c r="X976" s="75"/>
    </row>
    <row r="977">
      <c r="A977" s="64">
        <f t="shared" si="2"/>
        <v>0</v>
      </c>
      <c r="B977" s="98"/>
      <c r="C977" s="64"/>
      <c r="D977" s="16"/>
      <c r="E977" s="16"/>
      <c r="F977" s="100"/>
      <c r="G977" s="101"/>
      <c r="H977" s="16"/>
      <c r="I977" s="16"/>
      <c r="J977" s="16"/>
      <c r="K977" s="16"/>
      <c r="L977" s="16"/>
      <c r="M977" s="16"/>
      <c r="N977" s="100"/>
      <c r="O977" s="100"/>
      <c r="P977" s="100"/>
      <c r="Q977" s="106"/>
      <c r="R977" s="107"/>
      <c r="S977" s="104"/>
      <c r="T977" s="74"/>
      <c r="U977" s="108"/>
      <c r="V977" s="74" t="str">
        <f t="array" ref="V977">IFERROR(index('3. Công thức lab theo từng mã h'!J:J,MATCH(C977,'3. Công thức lab theo từng mã h'!L:L,0)),"")</f>
        <v/>
      </c>
      <c r="W977" s="74"/>
      <c r="X977" s="75"/>
    </row>
    <row r="978">
      <c r="A978" s="76">
        <f t="shared" si="2"/>
        <v>0</v>
      </c>
      <c r="B978" s="88"/>
      <c r="C978" s="76"/>
      <c r="D978" s="86"/>
      <c r="E978" s="86"/>
      <c r="F978" s="90"/>
      <c r="G978" s="91"/>
      <c r="H978" s="86"/>
      <c r="I978" s="86"/>
      <c r="J978" s="86"/>
      <c r="K978" s="86"/>
      <c r="L978" s="86"/>
      <c r="M978" s="86"/>
      <c r="N978" s="90"/>
      <c r="O978" s="90"/>
      <c r="P978" s="90"/>
      <c r="Q978" s="106"/>
      <c r="R978" s="95"/>
      <c r="S978" s="96"/>
      <c r="T978" s="85"/>
      <c r="U978" s="97"/>
      <c r="V978" s="85" t="str">
        <f t="array" ref="V978">IFERROR(index('3. Công thức lab theo từng mã h'!J:J,MATCH(C978,'3. Công thức lab theo từng mã h'!L:L,0)),"")</f>
        <v/>
      </c>
      <c r="W978" s="85"/>
      <c r="X978" s="75"/>
    </row>
    <row r="979">
      <c r="A979" s="64">
        <f t="shared" si="2"/>
        <v>0</v>
      </c>
      <c r="B979" s="98"/>
      <c r="C979" s="64"/>
      <c r="D979" s="16"/>
      <c r="E979" s="16"/>
      <c r="F979" s="100"/>
      <c r="G979" s="101"/>
      <c r="H979" s="16"/>
      <c r="I979" s="16"/>
      <c r="J979" s="16"/>
      <c r="K979" s="16"/>
      <c r="L979" s="16"/>
      <c r="M979" s="16"/>
      <c r="N979" s="100"/>
      <c r="O979" s="100"/>
      <c r="P979" s="100"/>
      <c r="Q979" s="106"/>
      <c r="R979" s="107"/>
      <c r="S979" s="104"/>
      <c r="T979" s="74"/>
      <c r="U979" s="108"/>
      <c r="V979" s="74" t="str">
        <f t="array" ref="V979">IFERROR(index('3. Công thức lab theo từng mã h'!J:J,MATCH(C979,'3. Công thức lab theo từng mã h'!L:L,0)),"")</f>
        <v/>
      </c>
      <c r="W979" s="74"/>
      <c r="X979" s="75"/>
    </row>
    <row r="980">
      <c r="A980" s="76">
        <f t="shared" si="2"/>
        <v>0</v>
      </c>
      <c r="B980" s="88"/>
      <c r="C980" s="76"/>
      <c r="D980" s="86"/>
      <c r="E980" s="86"/>
      <c r="F980" s="90"/>
      <c r="G980" s="91"/>
      <c r="H980" s="86"/>
      <c r="I980" s="86"/>
      <c r="J980" s="86"/>
      <c r="K980" s="86"/>
      <c r="L980" s="86"/>
      <c r="M980" s="86"/>
      <c r="N980" s="90"/>
      <c r="O980" s="90"/>
      <c r="P980" s="90"/>
      <c r="Q980" s="106"/>
      <c r="R980" s="95"/>
      <c r="S980" s="96"/>
      <c r="T980" s="85"/>
      <c r="U980" s="97"/>
      <c r="V980" s="85" t="str">
        <f t="array" ref="V980">IFERROR(index('3. Công thức lab theo từng mã h'!J:J,MATCH(C980,'3. Công thức lab theo từng mã h'!L:L,0)),"")</f>
        <v/>
      </c>
      <c r="W980" s="85"/>
      <c r="X980" s="75"/>
    </row>
    <row r="981">
      <c r="A981" s="64">
        <f t="shared" si="2"/>
        <v>0</v>
      </c>
      <c r="B981" s="98"/>
      <c r="C981" s="64"/>
      <c r="D981" s="16"/>
      <c r="E981" s="16"/>
      <c r="F981" s="100"/>
      <c r="G981" s="101"/>
      <c r="H981" s="16"/>
      <c r="I981" s="16"/>
      <c r="J981" s="16"/>
      <c r="K981" s="16"/>
      <c r="L981" s="16"/>
      <c r="M981" s="16"/>
      <c r="N981" s="100"/>
      <c r="O981" s="100"/>
      <c r="P981" s="100"/>
      <c r="Q981" s="106"/>
      <c r="R981" s="107"/>
      <c r="S981" s="104"/>
      <c r="T981" s="74"/>
      <c r="U981" s="108"/>
      <c r="V981" s="74" t="str">
        <f t="array" ref="V981">IFERROR(index('3. Công thức lab theo từng mã h'!J:J,MATCH(C981,'3. Công thức lab theo từng mã h'!L:L,0)),"")</f>
        <v/>
      </c>
      <c r="W981" s="74"/>
      <c r="X981" s="75"/>
    </row>
    <row r="982">
      <c r="A982" s="76">
        <f t="shared" si="2"/>
        <v>0</v>
      </c>
      <c r="B982" s="88"/>
      <c r="C982" s="76"/>
      <c r="D982" s="86"/>
      <c r="E982" s="86"/>
      <c r="F982" s="90"/>
      <c r="G982" s="91"/>
      <c r="H982" s="86"/>
      <c r="I982" s="86"/>
      <c r="J982" s="86"/>
      <c r="K982" s="86"/>
      <c r="L982" s="86"/>
      <c r="M982" s="86"/>
      <c r="N982" s="90"/>
      <c r="O982" s="90"/>
      <c r="P982" s="90"/>
      <c r="Q982" s="106"/>
      <c r="R982" s="95"/>
      <c r="S982" s="96"/>
      <c r="T982" s="85"/>
      <c r="U982" s="97"/>
      <c r="V982" s="85" t="str">
        <f t="array" ref="V982">IFERROR(index('3. Công thức lab theo từng mã h'!J:J,MATCH(C982,'3. Công thức lab theo từng mã h'!L:L,0)),"")</f>
        <v/>
      </c>
      <c r="W982" s="85"/>
      <c r="X982" s="75"/>
    </row>
    <row r="983">
      <c r="A983" s="64">
        <f t="shared" si="2"/>
        <v>0</v>
      </c>
      <c r="B983" s="98"/>
      <c r="C983" s="64"/>
      <c r="D983" s="16"/>
      <c r="E983" s="16"/>
      <c r="F983" s="100"/>
      <c r="G983" s="101"/>
      <c r="H983" s="16"/>
      <c r="I983" s="16"/>
      <c r="J983" s="16"/>
      <c r="K983" s="16"/>
      <c r="L983" s="16"/>
      <c r="M983" s="16"/>
      <c r="N983" s="100"/>
      <c r="O983" s="100"/>
      <c r="P983" s="100"/>
      <c r="Q983" s="106"/>
      <c r="R983" s="107"/>
      <c r="S983" s="104"/>
      <c r="T983" s="74"/>
      <c r="U983" s="108"/>
      <c r="V983" s="74" t="str">
        <f t="array" ref="V983">IFERROR(index('3. Công thức lab theo từng mã h'!J:J,MATCH(C983,'3. Công thức lab theo từng mã h'!L:L,0)),"")</f>
        <v/>
      </c>
      <c r="W983" s="74"/>
      <c r="X983" s="75"/>
    </row>
    <row r="984">
      <c r="A984" s="76">
        <f t="shared" si="2"/>
        <v>0</v>
      </c>
      <c r="B984" s="88"/>
      <c r="C984" s="76"/>
      <c r="D984" s="86"/>
      <c r="E984" s="86"/>
      <c r="F984" s="90"/>
      <c r="G984" s="91"/>
      <c r="H984" s="86"/>
      <c r="I984" s="86"/>
      <c r="J984" s="86"/>
      <c r="K984" s="86"/>
      <c r="L984" s="86"/>
      <c r="M984" s="86"/>
      <c r="N984" s="90"/>
      <c r="O984" s="90"/>
      <c r="P984" s="90"/>
      <c r="Q984" s="106"/>
      <c r="R984" s="95"/>
      <c r="S984" s="96"/>
      <c r="T984" s="85"/>
      <c r="U984" s="97"/>
      <c r="V984" s="85" t="str">
        <f t="array" ref="V984">IFERROR(index('3. Công thức lab theo từng mã h'!J:J,MATCH(C984,'3. Công thức lab theo từng mã h'!L:L,0)),"")</f>
        <v/>
      </c>
      <c r="W984" s="85"/>
      <c r="X984" s="75"/>
    </row>
    <row r="985">
      <c r="A985" s="64">
        <f t="shared" si="2"/>
        <v>0</v>
      </c>
      <c r="B985" s="98"/>
      <c r="C985" s="64"/>
      <c r="D985" s="16"/>
      <c r="E985" s="16"/>
      <c r="F985" s="100"/>
      <c r="G985" s="101"/>
      <c r="H985" s="16"/>
      <c r="I985" s="16"/>
      <c r="J985" s="16"/>
      <c r="K985" s="16"/>
      <c r="L985" s="16"/>
      <c r="M985" s="16"/>
      <c r="N985" s="100"/>
      <c r="O985" s="100"/>
      <c r="P985" s="100"/>
      <c r="Q985" s="106"/>
      <c r="R985" s="107"/>
      <c r="S985" s="104"/>
      <c r="T985" s="74"/>
      <c r="U985" s="108"/>
      <c r="V985" s="74" t="str">
        <f t="array" ref="V985">IFERROR(index('3. Công thức lab theo từng mã h'!J:J,MATCH(C985,'3. Công thức lab theo từng mã h'!L:L,0)),"")</f>
        <v/>
      </c>
      <c r="W985" s="74"/>
      <c r="X985" s="75"/>
    </row>
    <row r="986">
      <c r="A986" s="76">
        <f t="shared" si="2"/>
        <v>0</v>
      </c>
      <c r="B986" s="88"/>
      <c r="C986" s="76"/>
      <c r="D986" s="86"/>
      <c r="E986" s="86"/>
      <c r="F986" s="90"/>
      <c r="G986" s="91"/>
      <c r="H986" s="86"/>
      <c r="I986" s="86"/>
      <c r="J986" s="86"/>
      <c r="K986" s="86"/>
      <c r="L986" s="86"/>
      <c r="M986" s="86"/>
      <c r="N986" s="90"/>
      <c r="O986" s="90"/>
      <c r="P986" s="90"/>
      <c r="Q986" s="106"/>
      <c r="R986" s="95"/>
      <c r="S986" s="96"/>
      <c r="T986" s="85"/>
      <c r="U986" s="97"/>
      <c r="V986" s="85" t="str">
        <f t="array" ref="V986">IFERROR(index('3. Công thức lab theo từng mã h'!J:J,MATCH(C986,'3. Công thức lab theo từng mã h'!L:L,0)),"")</f>
        <v/>
      </c>
      <c r="W986" s="85"/>
      <c r="X986" s="75"/>
    </row>
    <row r="987">
      <c r="A987" s="64">
        <f t="shared" si="2"/>
        <v>0</v>
      </c>
      <c r="B987" s="98"/>
      <c r="C987" s="64"/>
      <c r="D987" s="16"/>
      <c r="E987" s="16"/>
      <c r="F987" s="100"/>
      <c r="G987" s="101"/>
      <c r="H987" s="16"/>
      <c r="I987" s="16"/>
      <c r="J987" s="16"/>
      <c r="K987" s="16"/>
      <c r="L987" s="16"/>
      <c r="M987" s="16"/>
      <c r="N987" s="100"/>
      <c r="O987" s="100"/>
      <c r="P987" s="100"/>
      <c r="Q987" s="106"/>
      <c r="R987" s="107"/>
      <c r="S987" s="104"/>
      <c r="T987" s="74"/>
      <c r="U987" s="108"/>
      <c r="V987" s="74" t="str">
        <f t="array" ref="V987">IFERROR(index('3. Công thức lab theo từng mã h'!J:J,MATCH(C987,'3. Công thức lab theo từng mã h'!L:L,0)),"")</f>
        <v/>
      </c>
      <c r="W987" s="74"/>
      <c r="X987" s="75"/>
    </row>
    <row r="988">
      <c r="A988" s="76">
        <f t="shared" si="2"/>
        <v>0</v>
      </c>
      <c r="B988" s="88"/>
      <c r="C988" s="76"/>
      <c r="D988" s="86"/>
      <c r="E988" s="86"/>
      <c r="F988" s="90"/>
      <c r="G988" s="91"/>
      <c r="H988" s="86"/>
      <c r="I988" s="86"/>
      <c r="J988" s="86"/>
      <c r="K988" s="86"/>
      <c r="L988" s="86"/>
      <c r="M988" s="86"/>
      <c r="N988" s="90"/>
      <c r="O988" s="90"/>
      <c r="P988" s="90"/>
      <c r="Q988" s="106"/>
      <c r="R988" s="95"/>
      <c r="S988" s="96"/>
      <c r="T988" s="85"/>
      <c r="U988" s="97"/>
      <c r="V988" s="85" t="str">
        <f t="array" ref="V988">IFERROR(index('3. Công thức lab theo từng mã h'!J:J,MATCH(C988,'3. Công thức lab theo từng mã h'!L:L,0)),"")</f>
        <v/>
      </c>
      <c r="W988" s="85"/>
      <c r="X988" s="75"/>
    </row>
    <row r="989">
      <c r="A989" s="64">
        <f t="shared" si="2"/>
        <v>0</v>
      </c>
      <c r="B989" s="98"/>
      <c r="C989" s="64"/>
      <c r="D989" s="16"/>
      <c r="E989" s="16"/>
      <c r="F989" s="100"/>
      <c r="G989" s="101"/>
      <c r="H989" s="16"/>
      <c r="I989" s="16"/>
      <c r="J989" s="16"/>
      <c r="K989" s="16"/>
      <c r="L989" s="16"/>
      <c r="M989" s="16"/>
      <c r="N989" s="100"/>
      <c r="O989" s="100"/>
      <c r="P989" s="100"/>
      <c r="Q989" s="106"/>
      <c r="R989" s="107"/>
      <c r="S989" s="104"/>
      <c r="T989" s="74"/>
      <c r="U989" s="108"/>
      <c r="V989" s="74" t="str">
        <f t="array" ref="V989">IFERROR(index('3. Công thức lab theo từng mã h'!J:J,MATCH(C989,'3. Công thức lab theo từng mã h'!L:L,0)),"")</f>
        <v/>
      </c>
      <c r="W989" s="74"/>
      <c r="X989" s="75"/>
    </row>
    <row r="990">
      <c r="A990" s="76">
        <f t="shared" si="2"/>
        <v>0</v>
      </c>
      <c r="B990" s="88"/>
      <c r="C990" s="76"/>
      <c r="D990" s="86"/>
      <c r="E990" s="86"/>
      <c r="F990" s="90"/>
      <c r="G990" s="91"/>
      <c r="H990" s="86"/>
      <c r="I990" s="86"/>
      <c r="J990" s="86"/>
      <c r="K990" s="86"/>
      <c r="L990" s="86"/>
      <c r="M990" s="86"/>
      <c r="N990" s="90"/>
      <c r="O990" s="90"/>
      <c r="P990" s="90"/>
      <c r="Q990" s="106"/>
      <c r="R990" s="95"/>
      <c r="S990" s="96"/>
      <c r="T990" s="85"/>
      <c r="U990" s="97"/>
      <c r="V990" s="85" t="str">
        <f t="array" ref="V990">IFERROR(index('3. Công thức lab theo từng mã h'!J:J,MATCH(C990,'3. Công thức lab theo từng mã h'!L:L,0)),"")</f>
        <v/>
      </c>
      <c r="W990" s="85"/>
      <c r="X990" s="75"/>
    </row>
    <row r="991">
      <c r="A991" s="64">
        <f t="shared" si="2"/>
        <v>0</v>
      </c>
      <c r="B991" s="98"/>
      <c r="C991" s="64"/>
      <c r="D991" s="16"/>
      <c r="E991" s="16"/>
      <c r="F991" s="100"/>
      <c r="G991" s="101"/>
      <c r="H991" s="16"/>
      <c r="I991" s="16"/>
      <c r="J991" s="16"/>
      <c r="K991" s="16"/>
      <c r="L991" s="16"/>
      <c r="M991" s="16"/>
      <c r="N991" s="100"/>
      <c r="O991" s="100"/>
      <c r="P991" s="100"/>
      <c r="Q991" s="106"/>
      <c r="R991" s="107"/>
      <c r="S991" s="104"/>
      <c r="T991" s="74"/>
      <c r="U991" s="108"/>
      <c r="V991" s="74" t="str">
        <f t="array" ref="V991">IFERROR(index('3. Công thức lab theo từng mã h'!J:J,MATCH(C991,'3. Công thức lab theo từng mã h'!L:L,0)),"")</f>
        <v/>
      </c>
      <c r="W991" s="74"/>
      <c r="X991" s="75"/>
    </row>
    <row r="992">
      <c r="A992" s="76">
        <f t="shared" si="2"/>
        <v>0</v>
      </c>
      <c r="B992" s="88"/>
      <c r="C992" s="76"/>
      <c r="D992" s="86"/>
      <c r="E992" s="86"/>
      <c r="F992" s="90"/>
      <c r="G992" s="91"/>
      <c r="H992" s="86"/>
      <c r="I992" s="86"/>
      <c r="J992" s="86"/>
      <c r="K992" s="86"/>
      <c r="L992" s="86"/>
      <c r="M992" s="86"/>
      <c r="N992" s="90"/>
      <c r="O992" s="90"/>
      <c r="P992" s="90"/>
      <c r="Q992" s="106"/>
      <c r="R992" s="95"/>
      <c r="S992" s="96"/>
      <c r="T992" s="85"/>
      <c r="U992" s="97"/>
      <c r="V992" s="85" t="str">
        <f t="array" ref="V992">IFERROR(index('3. Công thức lab theo từng mã h'!J:J,MATCH(C992,'3. Công thức lab theo từng mã h'!L:L,0)),"")</f>
        <v/>
      </c>
      <c r="W992" s="85"/>
      <c r="X992" s="75"/>
    </row>
    <row r="993">
      <c r="A993" s="64">
        <f t="shared" si="2"/>
        <v>0</v>
      </c>
      <c r="B993" s="98"/>
      <c r="C993" s="64"/>
      <c r="D993" s="16"/>
      <c r="E993" s="16"/>
      <c r="F993" s="100"/>
      <c r="G993" s="101"/>
      <c r="H993" s="16"/>
      <c r="I993" s="16"/>
      <c r="J993" s="16"/>
      <c r="K993" s="16"/>
      <c r="L993" s="16"/>
      <c r="M993" s="16"/>
      <c r="N993" s="100"/>
      <c r="O993" s="100"/>
      <c r="P993" s="100"/>
      <c r="Q993" s="106"/>
      <c r="R993" s="107"/>
      <c r="S993" s="104"/>
      <c r="T993" s="74"/>
      <c r="U993" s="108"/>
      <c r="V993" s="74" t="str">
        <f t="array" ref="V993">IFERROR(index('3. Công thức lab theo từng mã h'!J:J,MATCH(C993,'3. Công thức lab theo từng mã h'!L:L,0)),"")</f>
        <v/>
      </c>
      <c r="W993" s="74"/>
      <c r="X993" s="75"/>
    </row>
    <row r="994">
      <c r="A994" s="76">
        <f t="shared" si="2"/>
        <v>0</v>
      </c>
      <c r="B994" s="88"/>
      <c r="C994" s="76"/>
      <c r="D994" s="86"/>
      <c r="E994" s="86"/>
      <c r="F994" s="90"/>
      <c r="G994" s="91"/>
      <c r="H994" s="86"/>
      <c r="I994" s="86"/>
      <c r="J994" s="86"/>
      <c r="K994" s="86"/>
      <c r="L994" s="86"/>
      <c r="M994" s="86"/>
      <c r="N994" s="90"/>
      <c r="O994" s="90"/>
      <c r="P994" s="90"/>
      <c r="Q994" s="106"/>
      <c r="R994" s="95"/>
      <c r="S994" s="96"/>
      <c r="T994" s="85"/>
      <c r="U994" s="97"/>
      <c r="V994" s="85" t="str">
        <f t="array" ref="V994">IFERROR(index('3. Công thức lab theo từng mã h'!J:J,MATCH(C994,'3. Công thức lab theo từng mã h'!L:L,0)),"")</f>
        <v/>
      </c>
      <c r="W994" s="85"/>
      <c r="X994" s="75"/>
    </row>
    <row r="995">
      <c r="A995" s="64">
        <f t="shared" si="2"/>
        <v>0</v>
      </c>
      <c r="B995" s="98"/>
      <c r="C995" s="64"/>
      <c r="D995" s="16"/>
      <c r="E995" s="16"/>
      <c r="F995" s="100"/>
      <c r="G995" s="101"/>
      <c r="H995" s="16"/>
      <c r="I995" s="16"/>
      <c r="J995" s="16"/>
      <c r="K995" s="16"/>
      <c r="L995" s="16"/>
      <c r="M995" s="16"/>
      <c r="N995" s="100"/>
      <c r="O995" s="100"/>
      <c r="P995" s="100"/>
      <c r="Q995" s="106"/>
      <c r="R995" s="107"/>
      <c r="S995" s="104"/>
      <c r="T995" s="74"/>
      <c r="U995" s="108"/>
      <c r="V995" s="74" t="str">
        <f t="array" ref="V995">IFERROR(index('3. Công thức lab theo từng mã h'!J:J,MATCH(C995,'3. Công thức lab theo từng mã h'!L:L,0)),"")</f>
        <v/>
      </c>
      <c r="W995" s="74"/>
      <c r="X995" s="75"/>
    </row>
    <row r="996">
      <c r="A996" s="76">
        <f t="shared" si="2"/>
        <v>0</v>
      </c>
      <c r="B996" s="88"/>
      <c r="C996" s="76"/>
      <c r="D996" s="86"/>
      <c r="E996" s="86"/>
      <c r="F996" s="90"/>
      <c r="G996" s="91"/>
      <c r="H996" s="86"/>
      <c r="I996" s="86"/>
      <c r="J996" s="86"/>
      <c r="K996" s="86"/>
      <c r="L996" s="86"/>
      <c r="M996" s="86"/>
      <c r="N996" s="90"/>
      <c r="O996" s="90"/>
      <c r="P996" s="90"/>
      <c r="Q996" s="106"/>
      <c r="R996" s="95"/>
      <c r="S996" s="96"/>
      <c r="T996" s="85"/>
      <c r="U996" s="97"/>
      <c r="V996" s="85" t="str">
        <f t="array" ref="V996">IFERROR(index('3. Công thức lab theo từng mã h'!J:J,MATCH(C996,'3. Công thức lab theo từng mã h'!L:L,0)),"")</f>
        <v/>
      </c>
      <c r="W996" s="85"/>
      <c r="X996" s="75"/>
    </row>
  </sheetData>
  <autoFilter ref="$A$2:$X$996">
    <filterColumn colId="6">
      <filters blank="1">
        <filter val="HH4586"/>
        <filter val="HH4534"/>
        <filter val="HH4537"/>
        <filter val="HH4529"/>
        <filter val="HH4530"/>
      </filters>
    </filterColumn>
  </autoFilter>
  <dataValidations>
    <dataValidation type="list" allowBlank="1" showErrorMessage="1" sqref="U3:U996">
      <formula1>"Có công thức,Chưa có công thức lab,x,Ghi chú,Huỷ đơn"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
    <col customWidth="1" min="2" max="2" width="14.25"/>
    <col customWidth="1" min="3" max="3" width="15.88"/>
    <col customWidth="1" min="6" max="6" width="11.0"/>
    <col customWidth="1" min="7" max="7" width="10.0"/>
    <col customWidth="1" min="8" max="8" width="26.88"/>
    <col hidden="1" min="9" max="9" width="12.63"/>
    <col customWidth="1" min="10" max="10" width="18.25"/>
    <col customWidth="1" min="13" max="15" width="7.38"/>
    <col customWidth="1" min="16" max="16" width="11.5"/>
    <col hidden="1" min="18" max="56" width="12.63"/>
    <col customWidth="1" hidden="1" min="57" max="57" width="21.13"/>
    <col customWidth="1" min="58" max="58" width="20.38"/>
    <col customWidth="1" min="59" max="59" width="21.25"/>
  </cols>
  <sheetData>
    <row r="1">
      <c r="A1" s="133"/>
      <c r="B1" s="134" t="s">
        <v>69</v>
      </c>
      <c r="C1" s="135"/>
      <c r="D1" s="2"/>
      <c r="E1" s="2"/>
      <c r="F1" s="2"/>
      <c r="G1" s="2"/>
      <c r="H1" s="2"/>
      <c r="I1" s="2"/>
      <c r="J1" s="2"/>
      <c r="K1" s="2"/>
      <c r="L1" s="2"/>
      <c r="M1" s="2"/>
      <c r="N1" s="2"/>
      <c r="O1" s="2"/>
      <c r="P1" s="2"/>
      <c r="Q1" s="45"/>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row>
    <row r="2">
      <c r="A2" s="2"/>
      <c r="B2" s="2"/>
      <c r="C2" s="2"/>
      <c r="D2" s="2"/>
      <c r="E2" s="2"/>
      <c r="F2" s="2"/>
      <c r="G2" s="2"/>
      <c r="H2" s="2"/>
      <c r="I2" s="2"/>
      <c r="J2" s="2"/>
      <c r="K2" s="2"/>
      <c r="L2" s="2"/>
      <c r="M2" s="2"/>
      <c r="N2" s="2"/>
      <c r="O2" s="2"/>
      <c r="P2" s="2"/>
      <c r="Q2" s="45"/>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row>
    <row r="3">
      <c r="A3" s="136" t="s">
        <v>3</v>
      </c>
      <c r="B3" s="136" t="s">
        <v>48</v>
      </c>
      <c r="C3" s="136" t="s">
        <v>49</v>
      </c>
      <c r="D3" s="137" t="s">
        <v>50</v>
      </c>
      <c r="E3" s="136" t="s">
        <v>51</v>
      </c>
      <c r="F3" s="136" t="s">
        <v>52</v>
      </c>
      <c r="G3" s="136" t="s">
        <v>53</v>
      </c>
      <c r="H3" s="136" t="s">
        <v>54</v>
      </c>
      <c r="I3" s="136" t="s">
        <v>55</v>
      </c>
      <c r="J3" s="136" t="s">
        <v>56</v>
      </c>
      <c r="K3" s="136" t="s">
        <v>57</v>
      </c>
      <c r="L3" s="136" t="s">
        <v>58</v>
      </c>
      <c r="M3" s="136" t="s">
        <v>59</v>
      </c>
      <c r="N3" s="138" t="s">
        <v>60</v>
      </c>
      <c r="O3" s="139" t="s">
        <v>61</v>
      </c>
      <c r="P3" s="138" t="s">
        <v>62</v>
      </c>
      <c r="Q3" s="140" t="s">
        <v>63</v>
      </c>
      <c r="R3" s="136" t="s">
        <v>1357</v>
      </c>
      <c r="S3" s="138" t="s">
        <v>1358</v>
      </c>
      <c r="T3" s="138" t="s">
        <v>1359</v>
      </c>
      <c r="U3" s="138" t="s">
        <v>1360</v>
      </c>
      <c r="V3" s="138" t="s">
        <v>1361</v>
      </c>
      <c r="W3" s="138" t="s">
        <v>1362</v>
      </c>
      <c r="X3" s="136"/>
      <c r="Y3" s="136" t="s">
        <v>1363</v>
      </c>
      <c r="Z3" s="136" t="s">
        <v>1364</v>
      </c>
      <c r="AA3" s="136" t="s">
        <v>1365</v>
      </c>
      <c r="AB3" s="137" t="s">
        <v>1366</v>
      </c>
      <c r="AC3" s="137" t="s">
        <v>1367</v>
      </c>
      <c r="AD3" s="136" t="s">
        <v>1368</v>
      </c>
      <c r="AE3" s="137" t="s">
        <v>1369</v>
      </c>
      <c r="AF3" s="136" t="s">
        <v>1370</v>
      </c>
      <c r="AG3" s="141" t="s">
        <v>1371</v>
      </c>
      <c r="AH3" s="141" t="s">
        <v>1372</v>
      </c>
      <c r="AI3" s="141" t="s">
        <v>1373</v>
      </c>
      <c r="AJ3" s="141" t="s">
        <v>1374</v>
      </c>
      <c r="AK3" s="138" t="s">
        <v>1375</v>
      </c>
      <c r="AL3" s="138" t="s">
        <v>1376</v>
      </c>
      <c r="AM3" s="138" t="s">
        <v>1377</v>
      </c>
      <c r="AN3" s="136"/>
      <c r="AO3" s="136" t="s">
        <v>1378</v>
      </c>
      <c r="AP3" s="136" t="s">
        <v>1379</v>
      </c>
      <c r="AQ3" s="136" t="s">
        <v>1380</v>
      </c>
      <c r="AR3" s="136" t="s">
        <v>1381</v>
      </c>
      <c r="AS3" s="136" t="s">
        <v>1382</v>
      </c>
      <c r="AT3" s="136" t="s">
        <v>1383</v>
      </c>
      <c r="AU3" s="136" t="s">
        <v>1384</v>
      </c>
      <c r="AV3" s="136" t="s">
        <v>1385</v>
      </c>
      <c r="AW3" s="136" t="s">
        <v>1386</v>
      </c>
      <c r="AX3" s="136" t="s">
        <v>1387</v>
      </c>
      <c r="AY3" s="136"/>
      <c r="AZ3" s="136" t="s">
        <v>1388</v>
      </c>
      <c r="BA3" s="136" t="s">
        <v>1389</v>
      </c>
      <c r="BB3" s="136" t="s">
        <v>1390</v>
      </c>
      <c r="BC3" s="137" t="s">
        <v>1391</v>
      </c>
      <c r="BD3" s="136" t="s">
        <v>1392</v>
      </c>
      <c r="BE3" s="137" t="s">
        <v>1391</v>
      </c>
      <c r="BF3" s="136" t="s">
        <v>1393</v>
      </c>
      <c r="BG3" s="137" t="s">
        <v>9</v>
      </c>
      <c r="BH3" s="136"/>
      <c r="BI3" s="136"/>
      <c r="BJ3" s="136"/>
      <c r="BK3" s="136"/>
      <c r="BL3" s="136"/>
      <c r="BM3" s="136"/>
      <c r="BN3" s="136"/>
      <c r="BO3" s="136"/>
      <c r="BP3" s="136"/>
      <c r="BQ3" s="136"/>
    </row>
    <row r="4">
      <c r="A4" s="2">
        <f>IFERROR(__xludf.DUMMYFUNCTION("FILTER('TỔNG'!A$10:$BG999,'TỔNG'!$B10:$B999=B1)"),7.0)</f>
        <v>7</v>
      </c>
      <c r="B4" s="2" t="str">
        <f>IFERROR(__xludf.DUMMYFUNCTION("""COMPUTED_VALUE"""),"Dego Cần Thơ")</f>
        <v>Dego Cần Thơ</v>
      </c>
      <c r="C4" s="2" t="str">
        <f>IFERROR(__xludf.DUMMYFUNCTION("""COMPUTED_VALUE"""),"IYC.300102504")</f>
        <v>IYC.300102504</v>
      </c>
      <c r="D4" s="39">
        <f>IFERROR(__xludf.DUMMYFUNCTION("""COMPUTED_VALUE"""),45960.0)</f>
        <v>45960</v>
      </c>
      <c r="E4" s="2"/>
      <c r="F4" s="2" t="str">
        <f>IFERROR(__xludf.DUMMYFUNCTION("""COMPUTED_VALUE"""),"BAMBOO")</f>
        <v>BAMBOO</v>
      </c>
      <c r="G4" s="2" t="str">
        <f>IFERROR(__xludf.DUMMYFUNCTION("""COMPUTED_VALUE"""),"HH3790")</f>
        <v>HH3790</v>
      </c>
      <c r="H4" s="2" t="str">
        <f>IFERROR(__xludf.DUMMYFUNCTION("""COMPUTED_VALUE"""),"BAMBOO - VI - 3790 - BAMBOO CANXI BO MASTER (Nước trắng sữa) - 1L - 20")</f>
        <v>BAMBOO - VI - 3790 - BAMBOO CANXI BO MASTER (Nước trắng sữa) - 1L - 20</v>
      </c>
      <c r="I4" s="2" t="str">
        <f>IFERROR(__xludf.DUMMYFUNCTION("""COMPUTED_VALUE"""),"Phân bón")</f>
        <v>Phân bón</v>
      </c>
      <c r="J4" s="142" t="str">
        <f>IFERROR(__xludf.DUMMYFUNCTION("""COMPUTED_VALUE"""),"Vi lượng AGAMA-CANXI BO")</f>
        <v>Vi lượng AGAMA-CANXI BO</v>
      </c>
      <c r="K4" s="143" t="str">
        <f>IFERROR(__xludf.DUMMYFUNCTION("""COMPUTED_VALUE"""),"đóng như đơn gần nhất")</f>
        <v>đóng như đơn gần nhất</v>
      </c>
      <c r="L4" s="2" t="str">
        <f>IFERROR(__xludf.DUMMYFUNCTION("""COMPUTED_VALUE"""),"Nước trắng sữa")</f>
        <v>Nước trắng sữa</v>
      </c>
      <c r="M4" s="2" t="str">
        <f>IFERROR(__xludf.DUMMYFUNCTION("""COMPUTED_VALUE"""),"Chai")</f>
        <v>Chai</v>
      </c>
      <c r="N4" s="142">
        <f>IFERROR(__xludf.DUMMYFUNCTION("""COMPUTED_VALUE"""),20.0)</f>
        <v>20</v>
      </c>
      <c r="O4" s="144">
        <f>IFERROR(__xludf.DUMMYFUNCTION("""COMPUTED_VALUE"""),71.0)</f>
        <v>71</v>
      </c>
      <c r="P4" s="142">
        <f>IFERROR(__xludf.DUMMYFUNCTION("""COMPUTED_VALUE"""),1419.0)</f>
        <v>1419</v>
      </c>
      <c r="Q4" s="145">
        <f>IFERROR(__xludf.DUMMYFUNCTION("""COMPUTED_VALUE"""),45991.0)</f>
        <v>45991</v>
      </c>
      <c r="R4" s="2" t="str">
        <f>IFERROR(__xludf.DUMMYFUNCTION("""COMPUTED_VALUE"""),"x")</f>
        <v>x</v>
      </c>
      <c r="S4" s="142" t="str">
        <f>IFERROR(__xludf.DUMMYFUNCTION("""COMPUTED_VALUE"""),"yêu cầu xử lý lại hàng lỗi")</f>
        <v>yêu cầu xử lý lại hàng lỗi</v>
      </c>
      <c r="T4" s="142" t="str">
        <f>IFERROR(__xludf.DUMMYFUNCTION("""COMPUTED_VALUE"""),"x")</f>
        <v>x</v>
      </c>
      <c r="U4" s="142" t="str">
        <f>IFERROR(__xludf.DUMMYFUNCTION("""COMPUTED_VALUE"""),"x")</f>
        <v>x</v>
      </c>
      <c r="V4" s="142">
        <f>IFERROR(__xludf.DUMMYFUNCTION("""COMPUTED_VALUE"""),31.0)</f>
        <v>31</v>
      </c>
      <c r="W4" s="2" t="str">
        <f>IFERROR(__xludf.DUMMYFUNCTION("""COMPUTED_VALUE"""),"x - Giá bán 250000 - Ngày dự kiến thu tiền: x - Dự kiến ngày ra hết hàng: 30 ngày")</f>
        <v>x - Giá bán 250000 - Ngày dự kiến thu tiền: x - Dự kiến ngày ra hết hàng: 30 ngày</v>
      </c>
      <c r="X4" s="2"/>
      <c r="Y4" s="2" t="str">
        <f>IFERROR(__xludf.DUMMYFUNCTION("""COMPUTED_VALUE"""),"Dego Cần Thơ")</f>
        <v>Dego Cần Thơ</v>
      </c>
      <c r="Z4" s="2" t="str">
        <f>IFERROR(__xludf.DUMMYFUNCTION("""COMPUTED_VALUE"""),"Bổ sung Pháp lý")</f>
        <v>Bổ sung Pháp lý</v>
      </c>
      <c r="AA4" s="2"/>
      <c r="AB4" s="2" t="str">
        <f>IFERROR(__xludf.DUMMYFUNCTION("""COMPUTED_VALUE"""),"- Đổ thu BTP, trộn đều theo phương án của lab
- Khi BTP ổn định trích mẫu sau trộn đem test hàm lượng -&gt; chờ KQ test để xử lý đồng nhất màu
- Đóng thay chai, nhãn mã HH3790, nắp, thùng 
- Đóng lại date cũ: 07/08/2025 + L02
chưa có phương án")</f>
        <v>- Đổ thu BTP, trộn đều theo phương án của lab
- Khi BTP ổn định trích mẫu sau trộn đem test hàm lượng -&gt; chờ KQ test để xử lý đồng nhất màu
- Đóng thay chai, nhãn mã HH3790, nắp, thùng 
- Đóng lại date cũ: 07/08/2025 + L02
chưa có phương án</v>
      </c>
      <c r="AC4" s="146">
        <f>IFERROR(__xludf.DUMMYFUNCTION("""COMPUTED_VALUE"""),458.0)</f>
        <v>458</v>
      </c>
      <c r="AD4" s="146">
        <f>IFERROR(__xludf.DUMMYFUNCTION("""COMPUTED_VALUE"""),961.0)</f>
        <v>961</v>
      </c>
      <c r="AE4" s="2" t="str">
        <f>IFERROR(__xludf.DUMMYFUNCTION("""COMPUTED_VALUE"""),"đã bàn giao cho nhà máy 23/05")</f>
        <v>đã bàn giao cho nhà máy 23/05</v>
      </c>
      <c r="AF4" s="146" t="str">
        <f>IFERROR(__xludf.DUMMYFUNCTION("""COMPUTED_VALUE"""),"")</f>
        <v/>
      </c>
      <c r="AG4" s="2"/>
      <c r="AH4" s="2"/>
      <c r="AI4" s="2"/>
      <c r="AJ4" s="2"/>
      <c r="AK4" s="2"/>
      <c r="AL4" s="2"/>
      <c r="AM4" s="2"/>
      <c r="AN4" s="2"/>
      <c r="AO4" s="2"/>
      <c r="AP4" s="2"/>
      <c r="AQ4" s="2"/>
      <c r="AR4" s="2"/>
      <c r="AS4" s="2"/>
      <c r="AT4" s="2"/>
      <c r="AU4" s="2"/>
      <c r="AV4" s="2"/>
      <c r="AW4" s="2"/>
      <c r="AX4" s="2" t="str">
        <f>IFERROR(__xludf.DUMMYFUNCTION("""COMPUTED_VALUE"""),"Đang đóng")</f>
        <v>Đang đóng</v>
      </c>
      <c r="AY4" s="2"/>
      <c r="AZ4" s="2" t="str">
        <f>IFERROR(__xludf.DUMMYFUNCTION("""COMPUTED_VALUE"""),"#REF!")</f>
        <v>#REF!</v>
      </c>
      <c r="BA4" s="2" t="str">
        <f>IFERROR(__xludf.DUMMYFUNCTION("""COMPUTED_VALUE"""),"Đủ điều kiện")</f>
        <v>Đủ điều kiện</v>
      </c>
      <c r="BB4" s="2" t="str">
        <f>IFERROR(__xludf.DUMMYFUNCTION("""COMPUTED_VALUE"""),"Hàng xử ly lại")</f>
        <v>Hàng xử ly lại</v>
      </c>
      <c r="BC4" s="2"/>
      <c r="BD4" s="2" t="str">
        <f>IFERROR(__xludf.DUMMYFUNCTION("""COMPUTED_VALUE"""),"Hàng xử ly lại")</f>
        <v>Hàng xử ly lại</v>
      </c>
      <c r="BE4" s="2"/>
      <c r="BF4" s="2" t="str">
        <f>IFERROR(__xludf.DUMMYFUNCTION("""COMPUTED_VALUE"""),"Hàng xử lý lại")</f>
        <v>Hàng xử lý lại</v>
      </c>
      <c r="BG4" s="2" t="str">
        <f>IFERROR(__xludf.DUMMYFUNCTION("""COMPUTED_VALUE"""),"IYC.300102504 yêu cầu xử lý lại hàng lỗi 30/10/2025")</f>
        <v>IYC.300102504 yêu cầu xử lý lại hàng lỗi 30/10/2025</v>
      </c>
      <c r="BH4" s="2"/>
      <c r="BI4" s="2"/>
      <c r="BJ4" s="2"/>
      <c r="BK4" s="2"/>
      <c r="BL4" s="2"/>
      <c r="BM4" s="2"/>
      <c r="BN4" s="2"/>
      <c r="BO4" s="2"/>
      <c r="BP4" s="2"/>
      <c r="BQ4" s="2"/>
    </row>
    <row r="5">
      <c r="A5" s="2">
        <f>IFERROR(__xludf.DUMMYFUNCTION("""COMPUTED_VALUE"""),8.0)</f>
        <v>8</v>
      </c>
      <c r="B5" s="2" t="str">
        <f>IFERROR(__xludf.DUMMYFUNCTION("""COMPUTED_VALUE"""),"Dego Cần Thơ")</f>
        <v>Dego Cần Thơ</v>
      </c>
      <c r="C5" s="2" t="str">
        <f>IFERROR(__xludf.DUMMYFUNCTION("""COMPUTED_VALUE"""),"SYC31102503")</f>
        <v>SYC31102503</v>
      </c>
      <c r="D5" s="39">
        <f>IFERROR(__xludf.DUMMYFUNCTION("""COMPUTED_VALUE"""),45961.0)</f>
        <v>45961</v>
      </c>
      <c r="E5" s="2"/>
      <c r="F5" s="2" t="str">
        <f>IFERROR(__xludf.DUMMYFUNCTION("""COMPUTED_VALUE"""),"N2SBIO")</f>
        <v>N2SBIO</v>
      </c>
      <c r="G5" s="2" t="str">
        <f>IFERROR(__xludf.DUMMYFUNCTION("""COMPUTED_VALUE"""),"HH4068")</f>
        <v>HH4068</v>
      </c>
      <c r="H5" s="2" t="str">
        <f>IFERROR(__xludf.DUMMYFUNCTION("""COMPUTED_VALUE"""),"GC - IX - 4068 - N2SBIO - N2 HYPER CALBOR (Dạng SC - Vàng) - 500ml - 40")</f>
        <v>GC - IX - 4068 - N2SBIO - N2 HYPER CALBOR (Dạng SC - Vàng) - 500ml - 40</v>
      </c>
      <c r="I5" s="2" t="str">
        <f>IFERROR(__xludf.DUMMYFUNCTION("""COMPUTED_VALUE"""),"Phân bón")</f>
        <v>Phân bón</v>
      </c>
      <c r="J5" s="142" t="str">
        <f>IFERROR(__xludf.DUMMYFUNCTION("""COMPUTED_VALUE"""),"Lá NK Trung Vi Lượng Có Chất Điều Hòa Sinh Trưởng Halo 26")</f>
        <v>Lá NK Trung Vi Lượng Có Chất Điều Hòa Sinh Trưởng Halo 26</v>
      </c>
      <c r="K5" s="143" t="str">
        <f>IFERROR(__xludf.DUMMYFUNCTION("""COMPUTED_VALUE"""),"N01220825")</f>
        <v>N01220825</v>
      </c>
      <c r="L5" s="2" t="str">
        <f>IFERROR(__xludf.DUMMYFUNCTION("""COMPUTED_VALUE"""),"Dạng SC - Vàng")</f>
        <v>Dạng SC - Vàng</v>
      </c>
      <c r="M5" s="2" t="str">
        <f>IFERROR(__xludf.DUMMYFUNCTION("""COMPUTED_VALUE"""),"Chai")</f>
        <v>Chai</v>
      </c>
      <c r="N5" s="142">
        <f>IFERROR(__xludf.DUMMYFUNCTION("""COMPUTED_VALUE"""),40.0)</f>
        <v>40</v>
      </c>
      <c r="O5" s="144">
        <f>IFERROR(__xludf.DUMMYFUNCTION("""COMPUTED_VALUE"""),4.9)</f>
        <v>4.9</v>
      </c>
      <c r="P5" s="142">
        <f>IFERROR(__xludf.DUMMYFUNCTION("""COMPUTED_VALUE"""),196.0)</f>
        <v>196</v>
      </c>
      <c r="Q5" s="145">
        <f>IFERROR(__xludf.DUMMYFUNCTION("""COMPUTED_VALUE"""),45968.0)</f>
        <v>45968</v>
      </c>
      <c r="R5" s="2" t="str">
        <f>IFERROR(__xludf.DUMMYFUNCTION("""COMPUTED_VALUE"""),"x")</f>
        <v>x</v>
      </c>
      <c r="S5" s="142" t="str">
        <f>IFERROR(__xludf.DUMMYFUNCTION("""COMPUTED_VALUE"""),"x")</f>
        <v>x</v>
      </c>
      <c r="T5" s="142" t="str">
        <f>IFERROR(__xludf.DUMMYFUNCTION("""COMPUTED_VALUE"""),"x")</f>
        <v>x</v>
      </c>
      <c r="U5" s="142" t="str">
        <f>IFERROR(__xludf.DUMMYFUNCTION("""COMPUTED_VALUE"""),"x")</f>
        <v>x</v>
      </c>
      <c r="V5" s="142">
        <f>IFERROR(__xludf.DUMMYFUNCTION("""COMPUTED_VALUE"""),7.0)</f>
        <v>7</v>
      </c>
      <c r="W5" s="2" t="str">
        <f>IFERROR(__xludf.DUMMYFUNCTION("""COMPUTED_VALUE""")," - Giá bán 185000 - Ngày dự kiến thu tiền:  - Dự kiến ngày ra hết hàng: 30 ngày")</f>
        <v> - Giá bán 185000 - Ngày dự kiến thu tiền:  - Dự kiến ngày ra hết hàng: 30 ngày</v>
      </c>
      <c r="X5" s="2"/>
      <c r="Y5" s="2" t="str">
        <f>IFERROR(__xludf.DUMMYFUNCTION("""COMPUTED_VALUE"""),"Dego Cần Thơ")</f>
        <v>Dego Cần Thơ</v>
      </c>
      <c r="Z5" s="2" t="str">
        <f>IFERROR(__xludf.DUMMYFUNCTION("""COMPUTED_VALUE"""),"Chưa có lịch SX")</f>
        <v>Chưa có lịch SX</v>
      </c>
      <c r="AA5" s="2"/>
      <c r="AB5" s="2" t="str">
        <f>IFERROR(__xludf.DUMMYFUNCTION("""COMPUTED_VALUE"""),"- Đổ thu BTP, phối lại
- Đóng thay chai, nhãn, nắp, thùng (nếu thùng bị dơ, báo lại số lượng thùng dơ nếu có)
- Đóng lại date cũ: 13/10/2025 + L02
chưa có phương án
")</f>
        <v>- Đổ thu BTP, phối lại
- Đóng thay chai, nhãn, nắp, thùng (nếu thùng bị dơ, báo lại số lượng thùng dơ nếu có)
- Đóng lại date cũ: 13/10/2025 + L02
chưa có phương án
</v>
      </c>
      <c r="AC5" s="146">
        <f>IFERROR(__xludf.DUMMYFUNCTION("""COMPUTED_VALUE"""),196.0)</f>
        <v>196</v>
      </c>
      <c r="AD5" s="2"/>
      <c r="AE5" s="2" t="str">
        <f>IFERROR(__xludf.DUMMYFUNCTION("""COMPUTED_VALUE"""),"đã bàn giao cho nhà máy 23/05")</f>
        <v>đã bàn giao cho nhà máy 23/05</v>
      </c>
      <c r="AF5" s="146" t="str">
        <f>IFERROR(__xludf.DUMMYFUNCTION("""COMPUTED_VALUE"""),"")</f>
        <v/>
      </c>
      <c r="AG5" s="2"/>
      <c r="AH5" s="2"/>
      <c r="AI5" s="2"/>
      <c r="AJ5" s="2"/>
      <c r="AK5" s="2"/>
      <c r="AL5" s="2"/>
      <c r="AM5" s="2"/>
      <c r="AN5" s="2"/>
      <c r="AO5" s="2"/>
      <c r="AP5" s="2"/>
      <c r="AQ5" s="2"/>
      <c r="AR5" s="2"/>
      <c r="AS5" s="2"/>
      <c r="AT5" s="2"/>
      <c r="AU5" s="2"/>
      <c r="AV5" s="2"/>
      <c r="AW5" s="2"/>
      <c r="AX5" s="2" t="str">
        <f>IFERROR(__xludf.DUMMYFUNCTION("""COMPUTED_VALUE"""),"Xử lý gì")</f>
        <v>Xử lý gì</v>
      </c>
      <c r="AY5" s="2"/>
      <c r="AZ5" s="2" t="str">
        <f>IFERROR(__xludf.DUMMYFUNCTION("""COMPUTED_VALUE"""),"#REF!")</f>
        <v>#REF!</v>
      </c>
      <c r="BA5" s="2" t="str">
        <f>IFERROR(__xludf.DUMMYFUNCTION("""COMPUTED_VALUE"""),"Đủ điều kiện")</f>
        <v>Đủ điều kiện</v>
      </c>
      <c r="BB5" s="2" t="str">
        <f>IFERROR(__xludf.DUMMYFUNCTION("""COMPUTED_VALUE"""),"Hàng xử ly lại")</f>
        <v>Hàng xử ly lại</v>
      </c>
      <c r="BC5" s="2"/>
      <c r="BD5" s="2" t="str">
        <f>IFERROR(__xludf.DUMMYFUNCTION("""COMPUTED_VALUE"""),"Duyệt")</f>
        <v>Duyệt</v>
      </c>
      <c r="BE5" s="2"/>
      <c r="BF5" s="2" t="str">
        <f>IFERROR(__xludf.DUMMYFUNCTION("""COMPUTED_VALUE"""),"Hàng xử lý lại")</f>
        <v>Hàng xử lý lại</v>
      </c>
      <c r="BG5" s="2" t="str">
        <f>IFERROR(__xludf.DUMMYFUNCTION("""COMPUTED_VALUE"""),"SYC31102503  31/10/2025")</f>
        <v>SYC31102503  31/10/2025</v>
      </c>
      <c r="BH5" s="2"/>
      <c r="BI5" s="2"/>
      <c r="BJ5" s="2"/>
      <c r="BK5" s="2"/>
      <c r="BL5" s="2"/>
      <c r="BM5" s="2"/>
      <c r="BN5" s="2"/>
      <c r="BO5" s="2"/>
      <c r="BP5" s="2"/>
      <c r="BQ5" s="2"/>
    </row>
    <row r="6">
      <c r="A6" s="2">
        <f>IFERROR(__xludf.DUMMYFUNCTION("""COMPUTED_VALUE"""),11.0)</f>
        <v>11</v>
      </c>
      <c r="B6" s="2" t="str">
        <f>IFERROR(__xludf.DUMMYFUNCTION("""COMPUTED_VALUE"""),"Dego Cần Thơ")</f>
        <v>Dego Cần Thơ</v>
      </c>
      <c r="C6" s="2" t="str">
        <f>IFERROR(__xludf.DUMMYFUNCTION("""COMPUTED_VALUE"""),"ATP24122511")</f>
        <v>ATP24122511</v>
      </c>
      <c r="D6" s="39">
        <f>IFERROR(__xludf.DUMMYFUNCTION("""COMPUTED_VALUE"""),46015.0)</f>
        <v>46015</v>
      </c>
      <c r="E6" s="2" t="str">
        <f>IFERROR(__xludf.DUMMYFUNCTION("""COMPUTED_VALUE"""),"Đã duyệt")</f>
        <v>Đã duyệt</v>
      </c>
      <c r="F6" s="2" t="str">
        <f>IFERROR(__xludf.DUMMYFUNCTION("""COMPUTED_VALUE"""),"ABA")</f>
        <v>ABA</v>
      </c>
      <c r="G6" s="2" t="str">
        <f>IFERROR(__xludf.DUMMYFUNCTION("""COMPUTED_VALUE"""),"MAU3123")</f>
        <v>MAU3123</v>
      </c>
      <c r="H6" s="2" t="str">
        <f>IFERROR(__xludf.DUMMYFUNCTION("""COMPUTED_VALUE"""),"Mẫu CHẶN ĐỌT V3 - SICAK TOP - 1L - 20")</f>
        <v>Mẫu CHẶN ĐỌT V3 - SICAK TOP - 1L - 20</v>
      </c>
      <c r="I6" s="2" t="str">
        <f>IFERROR(__xludf.DUMMYFUNCTION("""COMPUTED_VALUE"""),"Phân bón")</f>
        <v>Phân bón</v>
      </c>
      <c r="J6" s="142" t="str">
        <f>IFERROR(__xludf.DUMMYFUNCTION("""COMPUTED_VALUE"""),"SICAK TOP")</f>
        <v>SICAK TOP</v>
      </c>
      <c r="K6" s="143" t="str">
        <f>IFERROR(__xludf.DUMMYFUNCTION("""COMPUTED_VALUE"""),"A06290925")</f>
        <v>A06290925</v>
      </c>
      <c r="L6" s="2" t="str">
        <f>IFERROR(__xludf.DUMMYFUNCTION("""COMPUTED_VALUE"""),"Nước nâu đen")</f>
        <v>Nước nâu đen</v>
      </c>
      <c r="M6" s="2" t="str">
        <f>IFERROR(__xludf.DUMMYFUNCTION("""COMPUTED_VALUE"""),"Chai")</f>
        <v>Chai</v>
      </c>
      <c r="N6" s="142">
        <f>IFERROR(__xludf.DUMMYFUNCTION("""COMPUTED_VALUE"""),20.0)</f>
        <v>20</v>
      </c>
      <c r="O6" s="142">
        <f>IFERROR(__xludf.DUMMYFUNCTION("""COMPUTED_VALUE"""),6.0)</f>
        <v>6</v>
      </c>
      <c r="P6" s="142">
        <f>IFERROR(__xludf.DUMMYFUNCTION("""COMPUTED_VALUE"""),120.0)</f>
        <v>120</v>
      </c>
      <c r="Q6" s="145">
        <f>IFERROR(__xludf.DUMMYFUNCTION("""COMPUTED_VALUE"""),46031.0)</f>
        <v>46031</v>
      </c>
      <c r="R6" s="2"/>
      <c r="S6" s="142" t="str">
        <f>IFERROR(__xludf.DUMMYFUNCTION("""COMPUTED_VALUE"""),"lấy chẳn thùng
Nhãn in trắng đén nhờ nhà máy in giúp")</f>
        <v>lấy chẳn thùng
Nhãn in trắng đén nhờ nhà máy in giúp</v>
      </c>
      <c r="T6" s="2"/>
      <c r="U6" s="2"/>
      <c r="V6" s="2"/>
      <c r="W6" s="2" t="str">
        <f>IFERROR(__xludf.DUMMYFUNCTION("""COMPUTED_VALUE"""),"WINDY - Giá bán Giá bổ sung sau - Ngày dự kiến thu tiền: 30 ngày - Dự kiến ngày ra hết hàng: ")</f>
        <v>WINDY - Giá bán Giá bổ sung sau - Ngày dự kiến thu tiền: 30 ngày - Dự kiến ngày ra hết hàng: </v>
      </c>
      <c r="X6" s="2"/>
      <c r="Y6" s="2" t="str">
        <f>IFERROR(__xludf.DUMMYFUNCTION("""COMPUTED_VALUE"""),"Dego Cần Thơ")</f>
        <v>Dego Cần Thơ</v>
      </c>
      <c r="Z6" s="2" t="str">
        <f>IFERROR(__xludf.DUMMYFUNCTION("""COMPUTED_VALUE"""),"Hàng sẵn kho")</f>
        <v>Hàng sẵn kho</v>
      </c>
      <c r="AA6" s="2"/>
      <c r="AB6" s="2"/>
      <c r="AC6" s="146">
        <f>IFERROR(__xludf.DUMMYFUNCTION("""COMPUTED_VALUE"""),22.0)</f>
        <v>22</v>
      </c>
      <c r="AD6" s="146">
        <f>IFERROR(__xludf.DUMMYFUNCTION("""COMPUTED_VALUE"""),98.0)</f>
        <v>98</v>
      </c>
      <c r="AE6" s="2" t="str">
        <f>IFERROR(__xludf.DUMMYFUNCTION("""COMPUTED_VALUE"""),"đã bàn giao cho nhà máy 23/05")</f>
        <v>đã bàn giao cho nhà máy 23/05</v>
      </c>
      <c r="AF6" s="146" t="str">
        <f>IFERROR(__xludf.DUMMYFUNCTION("""COMPUTED_VALUE"""),"")</f>
        <v/>
      </c>
      <c r="AG6" s="147">
        <f>IFERROR(__xludf.DUMMYFUNCTION("""COMPUTED_VALUE"""),46032.0)</f>
        <v>46032</v>
      </c>
      <c r="AH6" s="146" t="str">
        <f>IFERROR(__xludf.DUMMYFUNCTION("""COMPUTED_VALUE"""),"98")</f>
        <v>98</v>
      </c>
      <c r="AI6" s="2"/>
      <c r="AJ6" s="2"/>
      <c r="AK6" s="2"/>
      <c r="AL6" s="2"/>
      <c r="AM6" s="146">
        <f>IFERROR(__xludf.DUMMYFUNCTION("""COMPUTED_VALUE"""),43.0)</f>
        <v>43</v>
      </c>
      <c r="AN6" s="2"/>
      <c r="AO6" s="2"/>
      <c r="AP6" s="2"/>
      <c r="AQ6" s="2"/>
      <c r="AR6" s="2">
        <f>IFERROR(__xludf.DUMMYFUNCTION("""COMPUTED_VALUE"""),911225.0)</f>
        <v>911225</v>
      </c>
      <c r="AS6" s="143">
        <f>IFERROR(__xludf.DUMMYFUNCTION("""COMPUTED_VALUE"""),46032.0)</f>
        <v>46032</v>
      </c>
      <c r="AT6" s="2"/>
      <c r="AU6" s="146">
        <f>IFERROR(__xludf.DUMMYFUNCTION("""COMPUTED_VALUE"""),55.0)</f>
        <v>55</v>
      </c>
      <c r="AV6" s="2" t="str">
        <f>IFERROR(__xludf.DUMMYFUNCTION("""COMPUTED_VALUE"""),"13/01/2026 đã nhận 2t
12/02/2026 đã nhận 15 chai")</f>
        <v>13/01/2026 đã nhận 2t
12/02/2026 đã nhận 15 chai</v>
      </c>
      <c r="AW6" s="2"/>
      <c r="AX6" s="2"/>
      <c r="AY6" s="2"/>
      <c r="AZ6" s="2" t="str">
        <f>IFERROR(__xludf.DUMMYFUNCTION("""COMPUTED_VALUE"""),"#REF!")</f>
        <v>#REF!</v>
      </c>
      <c r="BA6" s="2" t="str">
        <f>IFERROR(__xludf.DUMMYFUNCTION("""COMPUTED_VALUE"""),"Đủ điều kiện")</f>
        <v>Đủ điều kiện</v>
      </c>
      <c r="BB6" s="2" t="str">
        <f>IFERROR(__xludf.DUMMYFUNCTION("""COMPUTED_VALUE"""),"Duyệt")</f>
        <v>Duyệt</v>
      </c>
      <c r="BC6" s="148">
        <f>IFERROR(__xludf.DUMMYFUNCTION("""COMPUTED_VALUE"""),46029.0)</f>
        <v>46029</v>
      </c>
      <c r="BD6" s="2" t="str">
        <f>IFERROR(__xludf.DUMMYFUNCTION("""COMPUTED_VALUE"""),"Duyệt")</f>
        <v>Duyệt</v>
      </c>
      <c r="BE6" s="2" t="str">
        <f>IFERROR(__xludf.DUMMYFUNCTION("""COMPUTED_VALUE"""),"xlg 25/12")</f>
        <v>xlg 25/12</v>
      </c>
      <c r="BF6" s="2" t="str">
        <f>IFERROR(__xludf.DUMMYFUNCTION("""COMPUTED_VALUE"""),"Đã xử lí giá")</f>
        <v>Đã xử lí giá</v>
      </c>
      <c r="BG6" s="2" t="str">
        <f>IFERROR(__xludf.DUMMYFUNCTION("""COMPUTED_VALUE"""),"A06290925 Bổ sung giá sau 24/12/2025")</f>
        <v>A06290925 Bổ sung giá sau 24/12/2025</v>
      </c>
      <c r="BH6" s="2"/>
      <c r="BI6" s="2"/>
      <c r="BJ6" s="2"/>
      <c r="BK6" s="2"/>
      <c r="BL6" s="2"/>
      <c r="BM6" s="2"/>
      <c r="BN6" s="2"/>
      <c r="BO6" s="2"/>
      <c r="BP6" s="2"/>
      <c r="BQ6" s="2"/>
    </row>
    <row r="7">
      <c r="A7" s="2">
        <f>IFERROR(__xludf.DUMMYFUNCTION("""COMPUTED_VALUE"""),17.0)</f>
        <v>17</v>
      </c>
      <c r="B7" s="2" t="str">
        <f>IFERROR(__xludf.DUMMYFUNCTION("""COMPUTED_VALUE"""),"Dego Cần Thơ")</f>
        <v>Dego Cần Thơ</v>
      </c>
      <c r="C7" s="2" t="str">
        <f>IFERROR(__xludf.DUMMYFUNCTION("""COMPUTED_VALUE"""),"XYC06032601")</f>
        <v>XYC06032601</v>
      </c>
      <c r="D7" s="39">
        <f>IFERROR(__xludf.DUMMYFUNCTION("""COMPUTED_VALUE"""),46087.0)</f>
        <v>46087</v>
      </c>
      <c r="E7" s="2"/>
      <c r="F7" s="2" t="str">
        <f>IFERROR(__xludf.DUMMYFUNCTION("""COMPUTED_VALUE"""),"Dr.Xanh")</f>
        <v>Dr.Xanh</v>
      </c>
      <c r="G7" s="2" t="str">
        <f>IFERROR(__xludf.DUMMYFUNCTION("""COMPUTED_VALUE"""),"HH4671")</f>
        <v>HH4671</v>
      </c>
      <c r="H7" s="2" t="str">
        <f>IFERROR(__xludf.DUMMYFUNCTION("""COMPUTED_VALUE"""),"DR.XANH - VIII - 4671 - DR.RICE (Nước hồng sữa) - 500ml - 40")</f>
        <v>DR.XANH - VIII - 4671 - DR.RICE (Nước hồng sữa) - 500ml - 40</v>
      </c>
      <c r="I7" s="2" t="str">
        <f>IFERROR(__xludf.DUMMYFUNCTION("""COMPUTED_VALUE"""),"Phân bón")</f>
        <v>Phân bón</v>
      </c>
      <c r="J7" s="142" t="str">
        <f>IFERROR(__xludf.DUMMYFUNCTION("""COMPUTED_VALUE"""),"NPK vi lượng Massive Blue")</f>
        <v>NPK vi lượng Massive Blue</v>
      </c>
      <c r="K7" s="143" t="str">
        <f>IFERROR(__xludf.DUMMYFUNCTION("""COMPUTED_VALUE"""),"X02080325")</f>
        <v>X02080325</v>
      </c>
      <c r="L7" s="2" t="str">
        <f>IFERROR(__xludf.DUMMYFUNCTION("""COMPUTED_VALUE"""),"Màu hồng sữa")</f>
        <v>Màu hồng sữa</v>
      </c>
      <c r="M7" s="2" t="str">
        <f>IFERROR(__xludf.DUMMYFUNCTION("""COMPUTED_VALUE"""),"chai")</f>
        <v>chai</v>
      </c>
      <c r="N7" s="142">
        <f>IFERROR(__xludf.DUMMYFUNCTION("""COMPUTED_VALUE"""),40.0)</f>
        <v>40</v>
      </c>
      <c r="O7" s="142">
        <f>IFERROR(__xludf.DUMMYFUNCTION("""COMPUTED_VALUE"""),3.625)</f>
        <v>3.625</v>
      </c>
      <c r="P7" s="142">
        <f>IFERROR(__xludf.DUMMYFUNCTION("""COMPUTED_VALUE"""),145.0)</f>
        <v>145</v>
      </c>
      <c r="Q7" s="145">
        <f>IFERROR(__xludf.DUMMYFUNCTION("""COMPUTED_VALUE"""),46105.0)</f>
        <v>46105</v>
      </c>
      <c r="R7" s="2"/>
      <c r="S7" s="142" t="str">
        <f>IFERROR(__xludf.DUMMYFUNCTION("""COMPUTED_VALUE"""),"Thu hồi xử lý lại do SP bị tách lớp")</f>
        <v>Thu hồi xử lý lại do SP bị tách lớp</v>
      </c>
      <c r="T7" s="2"/>
      <c r="U7" s="2"/>
      <c r="V7" s="2"/>
      <c r="W7" s="2" t="str">
        <f>IFERROR(__xludf.DUMMYFUNCTION("""COMPUTED_VALUE""")," - Giá bán 160000 - Ngày dự kiến thu tiền: 30 ngày - Dự kiến ngày ra hết hàng: ")</f>
        <v> - Giá bán 160000 - Ngày dự kiến thu tiền: 30 ngày - Dự kiến ngày ra hết hàng: </v>
      </c>
      <c r="X7" s="2"/>
      <c r="Y7" s="2" t="str">
        <f>IFERROR(__xludf.DUMMYFUNCTION("""COMPUTED_VALUE"""),"Dego Cần Thơ")</f>
        <v>Dego Cần Thơ</v>
      </c>
      <c r="Z7" s="2" t="str">
        <f>IFERROR(__xludf.DUMMYFUNCTION("""COMPUTED_VALUE"""),"Đã có lịch SX")</f>
        <v>Đã có lịch SX</v>
      </c>
      <c r="AA7" s="2"/>
      <c r="AB7" s="2" t="str">
        <f>IFERROR(__xludf.DUMMYFUNCTION("""COMPUTED_VALUE"""),"- Đổ thu BTP mã HH3557, phối lại 
- Thay chai, nắp, nhãn, thùng mã mới HH4671
- Đóng lại date cũ: 21/04/2025
- LSX +L02")</f>
        <v>- Đổ thu BTP mã HH3557, phối lại 
- Thay chai, nắp, nhãn, thùng mã mới HH4671
- Đóng lại date cũ: 21/04/2025
- LSX +L02</v>
      </c>
      <c r="AC7" s="146">
        <f>IFERROR(__xludf.DUMMYFUNCTION("""COMPUTED_VALUE"""),145.0)</f>
        <v>145</v>
      </c>
      <c r="AD7" s="2"/>
      <c r="AE7" s="2" t="str">
        <f>IFERROR(__xludf.DUMMYFUNCTION("""COMPUTED_VALUE"""),"đã bàn giao cho nhà máy 23/05")</f>
        <v>đã bàn giao cho nhà máy 23/05</v>
      </c>
      <c r="AF7" s="146" t="str">
        <f>IFERROR(__xludf.DUMMYFUNCTION("""COMPUTED_VALUE"""),"")</f>
        <v/>
      </c>
      <c r="AG7" s="2"/>
      <c r="AH7" s="2"/>
      <c r="AI7" s="2"/>
      <c r="AJ7" s="2"/>
      <c r="AK7" s="2"/>
      <c r="AL7" s="2"/>
      <c r="AM7" s="2"/>
      <c r="AN7" s="2"/>
      <c r="AO7" s="2"/>
      <c r="AP7" s="2"/>
      <c r="AQ7" s="2"/>
      <c r="AR7" s="2"/>
      <c r="AS7" s="2"/>
      <c r="AT7" s="2"/>
      <c r="AU7" s="2"/>
      <c r="AV7" s="2"/>
      <c r="AW7" s="2"/>
      <c r="AX7" s="2"/>
      <c r="AY7" s="2"/>
      <c r="AZ7" s="2" t="str">
        <f>IFERROR(__xludf.DUMMYFUNCTION("""COMPUTED_VALUE"""),"#REF!")</f>
        <v>#REF!</v>
      </c>
      <c r="BA7" s="2" t="str">
        <f>IFERROR(__xludf.DUMMYFUNCTION("""COMPUTED_VALUE"""),"Đủ điều kiện")</f>
        <v>Đủ điều kiện</v>
      </c>
      <c r="BB7" s="2" t="str">
        <f>IFERROR(__xludf.DUMMYFUNCTION("""COMPUTED_VALUE"""),"Duyệt")</f>
        <v>Duyệt</v>
      </c>
      <c r="BC7" s="2"/>
      <c r="BD7" s="2" t="str">
        <f>IFERROR(__xludf.DUMMYFUNCTION("""COMPUTED_VALUE"""),"Duyệt")</f>
        <v>Duyệt</v>
      </c>
      <c r="BE7" s="2" t="str">
        <f>IFERROR(__xludf.DUMMYFUNCTION("""COMPUTED_VALUE"""),"xlg 06/03
18/03")</f>
        <v>xlg 06/03
18/03</v>
      </c>
      <c r="BF7" s="2" t="str">
        <f>IFERROR(__xludf.DUMMYFUNCTION("""COMPUTED_VALUE"""),"Hàng xử lý lại")</f>
        <v>Hàng xử lý lại</v>
      </c>
      <c r="BG7" s="2" t="str">
        <f>IFERROR(__xludf.DUMMYFUNCTION("""COMPUTED_VALUE"""),"XYC06032601 X02080325 Màu hồng sữa Thu hồi xử lý lại do SP bị tách lớp 6/3/2026")</f>
        <v>XYC06032601 X02080325 Màu hồng sữa Thu hồi xử lý lại do SP bị tách lớp 6/3/2026</v>
      </c>
      <c r="BH7" s="2"/>
      <c r="BI7" s="2"/>
      <c r="BJ7" s="2"/>
      <c r="BK7" s="2"/>
      <c r="BL7" s="2"/>
      <c r="BM7" s="2"/>
      <c r="BN7" s="2"/>
      <c r="BO7" s="2"/>
      <c r="BP7" s="2"/>
      <c r="BQ7" s="2"/>
    </row>
    <row r="8">
      <c r="A8" s="2">
        <f>IFERROR(__xludf.DUMMYFUNCTION("""COMPUTED_VALUE"""),18.0)</f>
        <v>18</v>
      </c>
      <c r="B8" s="2" t="str">
        <f>IFERROR(__xludf.DUMMYFUNCTION("""COMPUTED_VALUE"""),"Dego Cần Thơ")</f>
        <v>Dego Cần Thơ</v>
      </c>
      <c r="C8" s="2" t="str">
        <f>IFERROR(__xludf.DUMMYFUNCTION("""COMPUTED_VALUE"""),"SYC07032601")</f>
        <v>SYC07032601</v>
      </c>
      <c r="D8" s="39">
        <f>IFERROR(__xludf.DUMMYFUNCTION("""COMPUTED_VALUE"""),46088.0)</f>
        <v>46088</v>
      </c>
      <c r="E8" s="2"/>
      <c r="F8" s="2" t="str">
        <f>IFERROR(__xludf.DUMMYFUNCTION("""COMPUTED_VALUE"""),"N2SBIO")</f>
        <v>N2SBIO</v>
      </c>
      <c r="G8" s="2" t="str">
        <f>IFERROR(__xludf.DUMMYFUNCTION("""COMPUTED_VALUE"""),"HH4058")</f>
        <v>HH4058</v>
      </c>
      <c r="H8" s="2" t="str">
        <f>IFERROR(__xludf.DUMMYFUNCTION("""COMPUTED_VALUE"""),"GC - IX - 4058 - N2SBIO -  SIÊU BO SỮA (Dạng SC - Trắng sữa) - 250ml - 40")</f>
        <v>GC - IX - 4058 - N2SBIO -  SIÊU BO SỮA (Dạng SC - Trắng sữa) - 250ml - 40</v>
      </c>
      <c r="I8" s="2" t="str">
        <f>IFERROR(__xludf.DUMMYFUNCTION("""COMPUTED_VALUE"""),"Phân bón")</f>
        <v>Phân bón</v>
      </c>
      <c r="J8" s="142" t="str">
        <f>IFERROR(__xludf.DUMMYFUNCTION("""COMPUTED_VALUE"""),"Lá Vi Lượng NBC-BO.15")</f>
        <v>Lá Vi Lượng NBC-BO.15</v>
      </c>
      <c r="K8" s="143" t="str">
        <f>IFERROR(__xludf.DUMMYFUNCTION("""COMPUTED_VALUE"""),"N01190825")</f>
        <v>N01190825</v>
      </c>
      <c r="L8" s="2" t="str">
        <f>IFERROR(__xludf.DUMMYFUNCTION("""COMPUTED_VALUE"""),"Dạng SC - Trắng sữa")</f>
        <v>Dạng SC - Trắng sữa</v>
      </c>
      <c r="M8" s="2" t="str">
        <f>IFERROR(__xludf.DUMMYFUNCTION("""COMPUTED_VALUE"""),"Chai")</f>
        <v>Chai</v>
      </c>
      <c r="N8" s="142">
        <f>IFERROR(__xludf.DUMMYFUNCTION("""COMPUTED_VALUE"""),40.0)</f>
        <v>40</v>
      </c>
      <c r="O8" s="142">
        <f>IFERROR(__xludf.DUMMYFUNCTION("""COMPUTED_VALUE"""),97.25)</f>
        <v>97.25</v>
      </c>
      <c r="P8" s="142">
        <f>IFERROR(__xludf.DUMMYFUNCTION("""COMPUTED_VALUE"""),3890.0)</f>
        <v>3890</v>
      </c>
      <c r="Q8" s="145">
        <f>IFERROR(__xludf.DUMMYFUNCTION("""COMPUTED_VALUE"""),46097.0)</f>
        <v>46097</v>
      </c>
      <c r="R8" s="2" t="str">
        <f>IFERROR(__xludf.DUMMYFUNCTION("""COMPUTED_VALUE"""),"x")</f>
        <v>x</v>
      </c>
      <c r="S8" s="142" t="str">
        <f>IFERROR(__xludf.DUMMYFUNCTION("""COMPUTED_VALUE"""),"x")</f>
        <v>x</v>
      </c>
      <c r="T8" s="142" t="str">
        <f>IFERROR(__xludf.DUMMYFUNCTION("""COMPUTED_VALUE"""),"x")</f>
        <v>x</v>
      </c>
      <c r="U8" s="142" t="str">
        <f>IFERROR(__xludf.DUMMYFUNCTION("""COMPUTED_VALUE"""),"x")</f>
        <v>x</v>
      </c>
      <c r="V8" s="142">
        <f>IFERROR(__xludf.DUMMYFUNCTION("""COMPUTED_VALUE"""),7.0)</f>
        <v>7</v>
      </c>
      <c r="W8" s="2" t="str">
        <f>IFERROR(__xludf.DUMMYFUNCTION("""COMPUTED_VALUE""")," - Giá bán 120.000 đ - Ngày dự kiến thu tiền:  - Dự kiến ngày ra hết hàng: ")</f>
        <v> - Giá bán 120.000 đ - Ngày dự kiến thu tiền:  - Dự kiến ngày ra hết hàng: </v>
      </c>
      <c r="X8" s="2"/>
      <c r="Y8" s="2" t="str">
        <f>IFERROR(__xludf.DUMMYFUNCTION("""COMPUTED_VALUE"""),"Dego Cần Thơ")</f>
        <v>Dego Cần Thơ</v>
      </c>
      <c r="Z8" s="2" t="str">
        <f>IFERROR(__xludf.DUMMYFUNCTION("""COMPUTED_VALUE"""),"Chưa có lịch SX")</f>
        <v>Chưa có lịch SX</v>
      </c>
      <c r="AA8" s="2"/>
      <c r="AB8" s="2" t="str">
        <f>IFERROR(__xludf.DUMMYFUNCTION("""COMPUTED_VALUE"""),"ĐÃ có ct 7/4
 Đổ thu BTP, phối lại 
- Thay chai, nắp, nhãn, thùng
- Đóng lại date cũ (phải đóng đúng số lượng date đã trả về)
+ date 07/02: 1198 chai
+ date 03/02: 399 chai
+ date 29/01: 1080 chai
+ date 24/02: 1213 chai
- LSX +L02")</f>
        <v>ĐÃ có ct 7/4
 Đổ thu BTP, phối lại 
- Thay chai, nắp, nhãn, thùng
- Đóng lại date cũ (phải đóng đúng số lượng date đã trả về)
+ date 07/02: 1198 chai
+ date 03/02: 399 chai
+ date 29/01: 1080 chai
+ date 24/02: 1213 chai
- LSX +L02</v>
      </c>
      <c r="AC8" s="146">
        <f>IFERROR(__xludf.DUMMYFUNCTION("""COMPUTED_VALUE"""),3890.0)</f>
        <v>3890</v>
      </c>
      <c r="AD8" s="2"/>
      <c r="AE8" s="2" t="str">
        <f>IFERROR(__xludf.DUMMYFUNCTION("""COMPUTED_VALUE"""),"đã bàn giao cho nhà máy 23/05")</f>
        <v>đã bàn giao cho nhà máy 23/05</v>
      </c>
      <c r="AF8" s="146" t="str">
        <f>IFERROR(__xludf.DUMMYFUNCTION("""COMPUTED_VALUE"""),"")</f>
        <v/>
      </c>
      <c r="AG8" s="2"/>
      <c r="AH8" s="2"/>
      <c r="AI8" s="2"/>
      <c r="AJ8" s="2"/>
      <c r="AK8" s="2"/>
      <c r="AL8" s="2"/>
      <c r="AM8" s="2"/>
      <c r="AN8" s="2"/>
      <c r="AO8" s="2"/>
      <c r="AP8" s="2"/>
      <c r="AQ8" s="2"/>
      <c r="AR8" s="2"/>
      <c r="AS8" s="2"/>
      <c r="AT8" s="2"/>
      <c r="AU8" s="2"/>
      <c r="AV8" s="2"/>
      <c r="AW8" s="2"/>
      <c r="AX8" s="2"/>
      <c r="AY8" s="2"/>
      <c r="AZ8" s="2" t="str">
        <f>IFERROR(__xludf.DUMMYFUNCTION("""COMPUTED_VALUE"""),"#REF!")</f>
        <v>#REF!</v>
      </c>
      <c r="BA8" s="2" t="str">
        <f>IFERROR(__xludf.DUMMYFUNCTION("""COMPUTED_VALUE"""),"Đủ điều kiện")</f>
        <v>Đủ điều kiện</v>
      </c>
      <c r="BB8" s="2" t="str">
        <f>IFERROR(__xludf.DUMMYFUNCTION("""COMPUTED_VALUE"""),"Duyệt")</f>
        <v>Duyệt</v>
      </c>
      <c r="BC8" s="143">
        <f>IFERROR(__xludf.DUMMYFUNCTION("""COMPUTED_VALUE"""),46095.0)</f>
        <v>46095</v>
      </c>
      <c r="BD8" s="2" t="str">
        <f>IFERROR(__xludf.DUMMYFUNCTION("""COMPUTED_VALUE"""),"Duyệt")</f>
        <v>Duyệt</v>
      </c>
      <c r="BE8" s="2" t="str">
        <f>IFERROR(__xludf.DUMMYFUNCTION("""COMPUTED_VALUE"""),"xlg 07/03
14/03")</f>
        <v>xlg 07/03
14/03</v>
      </c>
      <c r="BF8" s="2" t="str">
        <f>IFERROR(__xludf.DUMMYFUNCTION("""COMPUTED_VALUE"""),"Hàng xử lý lại")</f>
        <v>Hàng xử lý lại</v>
      </c>
      <c r="BG8" s="2" t="str">
        <f>IFERROR(__xludf.DUMMYFUNCTION("""COMPUTED_VALUE"""),"SYC07032601 N01190825 Dạng SC - Trắng sữa 120,000đ 7/3/2026")</f>
        <v>SYC07032601 N01190825 Dạng SC - Trắng sữa 120,000đ 7/3/2026</v>
      </c>
      <c r="BH8" s="2"/>
      <c r="BI8" s="2"/>
      <c r="BJ8" s="2"/>
      <c r="BK8" s="2"/>
      <c r="BL8" s="2"/>
      <c r="BM8" s="2"/>
      <c r="BN8" s="2"/>
      <c r="BO8" s="2"/>
      <c r="BP8" s="2"/>
      <c r="BQ8" s="2"/>
    </row>
    <row r="9">
      <c r="A9" s="2">
        <f>IFERROR(__xludf.DUMMYFUNCTION("""COMPUTED_VALUE"""),22.0)</f>
        <v>22</v>
      </c>
      <c r="B9" s="2" t="str">
        <f>IFERROR(__xludf.DUMMYFUNCTION("""COMPUTED_VALUE"""),"Dego Cần Thơ")</f>
        <v>Dego Cần Thơ</v>
      </c>
      <c r="C9" s="2" t="str">
        <f>IFERROR(__xludf.DUMMYFUNCTION("""COMPUTED_VALUE"""),"ATP23032613")</f>
        <v>ATP23032613</v>
      </c>
      <c r="D9" s="39">
        <f>IFERROR(__xludf.DUMMYFUNCTION("""COMPUTED_VALUE"""),46104.0)</f>
        <v>46104</v>
      </c>
      <c r="E9" s="2" t="str">
        <f>IFERROR(__xludf.DUMMYFUNCTION("""COMPUTED_VALUE"""),"Đã duyệt")</f>
        <v>Đã duyệt</v>
      </c>
      <c r="F9" s="2" t="str">
        <f>IFERROR(__xludf.DUMMYFUNCTION("""COMPUTED_VALUE"""),"ABA")</f>
        <v>ABA</v>
      </c>
      <c r="G9" s="2" t="str">
        <f>IFERROR(__xludf.DUMMYFUNCTION("""COMPUTED_VALUE"""),"HH4806")</f>
        <v>HH4806</v>
      </c>
      <c r="H9" s="2" t="str">
        <f>IFERROR(__xludf.DUMMYFUNCTION("""COMPUTED_VALUE"""),"GC - V - 4806 - CTY HÓA NÔNG CON ONG VÀNG - MAGIE KẼM PLUS (Dạng SC - Xanh lá) - 400ml - 40")</f>
        <v>GC - V - 4806 - CTY HÓA NÔNG CON ONG VÀNG - MAGIE KẼM PLUS (Dạng SC - Xanh lá) - 400ml - 40</v>
      </c>
      <c r="I9" s="2" t="str">
        <f>IFERROR(__xludf.DUMMYFUNCTION("""COMPUTED_VALUE"""),"Phân bón")</f>
        <v>Phân bón</v>
      </c>
      <c r="J9" s="142" t="str">
        <f>IFERROR(__xludf.DUMMYFUNCTION("""COMPUTED_VALUE"""),"vi lượng Phú Sĩ FJ-09 Kẽm Mg")</f>
        <v>vi lượng Phú Sĩ FJ-09 Kẽm Mg</v>
      </c>
      <c r="K9" s="2" t="str">
        <f>IFERROR(__xludf.DUMMYFUNCTION("""COMPUTED_VALUE"""),"A05200825 - 01")</f>
        <v>A05200825 - 01</v>
      </c>
      <c r="L9" s="2" t="str">
        <f>IFERROR(__xludf.DUMMYFUNCTION("""COMPUTED_VALUE"""),"Dạng SC - Xanh lá")</f>
        <v>Dạng SC - Xanh lá</v>
      </c>
      <c r="M9" s="2" t="str">
        <f>IFERROR(__xludf.DUMMYFUNCTION("""COMPUTED_VALUE"""),"Chai")</f>
        <v>Chai</v>
      </c>
      <c r="N9" s="142">
        <f>IFERROR(__xludf.DUMMYFUNCTION("""COMPUTED_VALUE"""),40.0)</f>
        <v>40</v>
      </c>
      <c r="O9" s="142">
        <f>IFERROR(__xludf.DUMMYFUNCTION("""COMPUTED_VALUE"""),20.0)</f>
        <v>20</v>
      </c>
      <c r="P9" s="142">
        <f>IFERROR(__xludf.DUMMYFUNCTION("""COMPUTED_VALUE"""),800.0)</f>
        <v>800</v>
      </c>
      <c r="Q9" s="145">
        <f>IFERROR(__xludf.DUMMYFUNCTION("""COMPUTED_VALUE"""),46115.0)</f>
        <v>46115</v>
      </c>
      <c r="R9" s="2"/>
      <c r="S9" s="142" t="str">
        <f>IFERROR(__xludf.DUMMYFUNCTION("""COMPUTED_VALUE"""),"lấy chẳn thùng")</f>
        <v>lấy chẳn thùng</v>
      </c>
      <c r="T9" s="2"/>
      <c r="U9" s="2"/>
      <c r="V9" s="2"/>
      <c r="W9" s="2" t="str">
        <f>IFERROR(__xludf.DUMMYFUNCTION("""COMPUTED_VALUE"""),"ONG VÀNG - Giá bán 42.000,00 đ - Ngày dự kiến thu tiền:  - Dự kiến ngày ra hết hàng: ")</f>
        <v>ONG VÀNG - Giá bán 42.000,00 đ - Ngày dự kiến thu tiền:  - Dự kiến ngày ra hết hàng: </v>
      </c>
      <c r="X9" s="2"/>
      <c r="Y9" s="2" t="str">
        <f>IFERROR(__xludf.DUMMYFUNCTION("""COMPUTED_VALUE"""),"Dego Cần Thơ")</f>
        <v>Dego Cần Thơ</v>
      </c>
      <c r="Z9" s="2" t="str">
        <f>IFERROR(__xludf.DUMMYFUNCTION("""COMPUTED_VALUE"""),"Hàng sẵn kho")</f>
        <v>Hàng sẵn kho</v>
      </c>
      <c r="AA9" s="2"/>
      <c r="AB9" s="2" t="str">
        <f>IFERROR(__xludf.DUMMYFUNCTION("""COMPUTED_VALUE"""),"đã gửi phiếu 02/04
nhà máy đang kcs lại, nào chốt mới lấy hàng dc
đã cho lấy hàng được 12/05
KD báo tầm qua tháng 6 mới lấy hàng (gần tới check lại KD)")</f>
        <v>đã gửi phiếu 02/04
nhà máy đang kcs lại, nào chốt mới lấy hàng dc
đã cho lấy hàng được 12/05
KD báo tầm qua tháng 6 mới lấy hàng (gần tới check lại KD)</v>
      </c>
      <c r="AC9" s="2"/>
      <c r="AD9" s="146">
        <f>IFERROR(__xludf.DUMMYFUNCTION("""COMPUTED_VALUE"""),910.0)</f>
        <v>910</v>
      </c>
      <c r="AE9" s="2" t="str">
        <f>IFERROR(__xludf.DUMMYFUNCTION("""COMPUTED_VALUE"""),"đã bàn giao cho nhà máy 23/05")</f>
        <v>đã bàn giao cho nhà máy 23/05</v>
      </c>
      <c r="AF9" s="146" t="str">
        <f>IFERROR(__xludf.DUMMYFUNCTION("""COMPUTED_VALUE"""),"ATP23032613")</f>
        <v>ATP23032613</v>
      </c>
      <c r="AG9" s="143">
        <f>IFERROR(__xludf.DUMMYFUNCTION("""COMPUTED_VALUE"""),46114.0)</f>
        <v>46114</v>
      </c>
      <c r="AH9" s="146">
        <f>IFERROR(__xludf.DUMMYFUNCTION("""COMPUTED_VALUE"""),910.0)</f>
        <v>910</v>
      </c>
      <c r="AI9" s="2"/>
      <c r="AJ9" s="2"/>
      <c r="AK9" s="2"/>
      <c r="AL9" s="2"/>
      <c r="AM9" s="142">
        <f>IFERROR(__xludf.DUMMYFUNCTION("""COMPUTED_VALUE"""),908.0)</f>
        <v>908</v>
      </c>
      <c r="AN9" s="2"/>
      <c r="AO9" s="2"/>
      <c r="AP9" s="2"/>
      <c r="AQ9" s="2"/>
      <c r="AR9" s="2"/>
      <c r="AS9" s="2"/>
      <c r="AT9" s="2"/>
      <c r="AU9" s="2"/>
      <c r="AV9" s="2"/>
      <c r="AW9" s="2"/>
      <c r="AX9" s="2"/>
      <c r="AY9" s="2"/>
      <c r="AZ9" s="2" t="str">
        <f>IFERROR(__xludf.DUMMYFUNCTION("""COMPUTED_VALUE"""),"#REF!")</f>
        <v>#REF!</v>
      </c>
      <c r="BA9" s="2" t="str">
        <f>IFERROR(__xludf.DUMMYFUNCTION("""COMPUTED_VALUE"""),"Đủ điều kiện")</f>
        <v>Đủ điều kiện</v>
      </c>
      <c r="BB9" s="2" t="str">
        <f>IFERROR(__xludf.DUMMYFUNCTION("""COMPUTED_VALUE"""),"Duyệt")</f>
        <v>Duyệt</v>
      </c>
      <c r="BC9" s="149">
        <f>IFERROR(__xludf.DUMMYFUNCTION("""COMPUTED_VALUE"""),46109.0)</f>
        <v>46109</v>
      </c>
      <c r="BD9" s="2" t="str">
        <f>IFERROR(__xludf.DUMMYFUNCTION("""COMPUTED_VALUE"""),"Duyệt")</f>
        <v>Duyệt</v>
      </c>
      <c r="BE9" s="2" t="str">
        <f>IFERROR(__xludf.DUMMYFUNCTION("""COMPUTED_VALUE"""),"xlg 26/03
28/03")</f>
        <v>xlg 26/03
28/03</v>
      </c>
      <c r="BF9" s="2" t="str">
        <f>IFERROR(__xludf.DUMMYFUNCTION("""COMPUTED_VALUE"""),"Đã xử lí giá")</f>
        <v>Đã xử lí giá</v>
      </c>
      <c r="BG9" s="2" t="str">
        <f>IFERROR(__xludf.DUMMYFUNCTION("""COMPUTED_VALUE"""),"A05200825 - 01 Dạng SC - Xanh lá 42,000đ 24/3/2026")</f>
        <v>A05200825 - 01 Dạng SC - Xanh lá 42,000đ 24/3/2026</v>
      </c>
      <c r="BH9" s="2"/>
      <c r="BI9" s="2"/>
      <c r="BJ9" s="2"/>
      <c r="BK9" s="2"/>
      <c r="BL9" s="2"/>
      <c r="BM9" s="2"/>
      <c r="BN9" s="2"/>
      <c r="BO9" s="2"/>
      <c r="BP9" s="2"/>
      <c r="BQ9" s="2"/>
    </row>
    <row r="10">
      <c r="A10" s="2">
        <f>IFERROR(__xludf.DUMMYFUNCTION("""COMPUTED_VALUE"""),27.0)</f>
        <v>27</v>
      </c>
      <c r="B10" s="2" t="str">
        <f>IFERROR(__xludf.DUMMYFUNCTION("""COMPUTED_VALUE"""),"Dego Cần Thơ")</f>
        <v>Dego Cần Thơ</v>
      </c>
      <c r="C10" s="2" t="str">
        <f>IFERROR(__xludf.DUMMYFUNCTION("""COMPUTED_VALUE"""),"ATP04042606")</f>
        <v>ATP04042606</v>
      </c>
      <c r="D10" s="39">
        <f>IFERROR(__xludf.DUMMYFUNCTION("""COMPUTED_VALUE"""),46116.0)</f>
        <v>46116</v>
      </c>
      <c r="E10" s="2" t="str">
        <f>IFERROR(__xludf.DUMMYFUNCTION("""COMPUTED_VALUE"""),"Đã duyệt")</f>
        <v>Đã duyệt</v>
      </c>
      <c r="F10" s="2" t="str">
        <f>IFERROR(__xludf.DUMMYFUNCTION("""COMPUTED_VALUE"""),"ABA")</f>
        <v>ABA</v>
      </c>
      <c r="G10" s="2" t="str">
        <f>IFERROR(__xludf.DUMMYFUNCTION("""COMPUTED_VALUE"""),"HH4911")</f>
        <v>HH4911</v>
      </c>
      <c r="H10" s="2" t="str">
        <f>IFERROR(__xludf.DUMMYFUNCTION("""COMPUTED_VALUE"""),"GC - V - 4911 - WINDY ALS - 10-60-10 (Bột màu trắng) - 500gr - 24")</f>
        <v>GC - V - 4911 - WINDY ALS - 10-60-10 (Bột màu trắng) - 500gr - 24</v>
      </c>
      <c r="I10" s="2" t="str">
        <f>IFERROR(__xludf.DUMMYFUNCTION("""COMPUTED_VALUE"""),"Phân bón")</f>
        <v>Phân bón</v>
      </c>
      <c r="J10" s="142" t="str">
        <f>IFERROR(__xludf.DUMMYFUNCTION("""COMPUTED_VALUE"""),"Hỗn Hợp NPK NPK 10-60-10 NNV")</f>
        <v>Hỗn Hợp NPK NPK 10-60-10 NNV</v>
      </c>
      <c r="K10" s="2" t="str">
        <f>IFERROR(__xludf.DUMMYFUNCTION("""COMPUTED_VALUE"""),"A01160326")</f>
        <v>A01160326</v>
      </c>
      <c r="L10" s="2" t="str">
        <f>IFERROR(__xludf.DUMMYFUNCTION("""COMPUTED_VALUE"""),"Bột trắng")</f>
        <v>Bột trắng</v>
      </c>
      <c r="M10" s="2" t="str">
        <f>IFERROR(__xludf.DUMMYFUNCTION("""COMPUTED_VALUE"""),"Lon")</f>
        <v>Lon</v>
      </c>
      <c r="N10" s="142">
        <f>IFERROR(__xludf.DUMMYFUNCTION("""COMPUTED_VALUE"""),24.0)</f>
        <v>24</v>
      </c>
      <c r="O10" s="142">
        <f>IFERROR(__xludf.DUMMYFUNCTION("""COMPUTED_VALUE"""),41.0)</f>
        <v>41</v>
      </c>
      <c r="P10" s="142">
        <f>IFERROR(__xludf.DUMMYFUNCTION("""COMPUTED_VALUE"""),984.0)</f>
        <v>984</v>
      </c>
      <c r="Q10" s="145">
        <f>IFERROR(__xludf.DUMMYFUNCTION("""COMPUTED_VALUE"""),46153.0)</f>
        <v>46153</v>
      </c>
      <c r="R10" s="2"/>
      <c r="S10" s="142" t="str">
        <f>IFERROR(__xludf.DUMMYFUNCTION("""COMPUTED_VALUE"""),"lấy chẳn thùng
41 thùng tròn quy cách 24 lon")</f>
        <v>lấy chẳn thùng
41 thùng tròn quy cách 24 lon</v>
      </c>
      <c r="T10" s="2"/>
      <c r="U10" s="2"/>
      <c r="V10" s="2"/>
      <c r="W10" s="2" t="str">
        <f>IFERROR(__xludf.DUMMYFUNCTION("""COMPUTED_VALUE"""),"WINDY - Giá bán 39.500,00 đ - Ngày dự kiến thu tiền:  - Dự kiến ngày ra hết hàng: ")</f>
        <v>WINDY - Giá bán 39.500,00 đ - Ngày dự kiến thu tiền:  - Dự kiến ngày ra hết hàng: </v>
      </c>
      <c r="X10" s="2"/>
      <c r="Y10" s="2" t="str">
        <f>IFERROR(__xludf.DUMMYFUNCTION("""COMPUTED_VALUE"""),"Dego Cần Thơ")</f>
        <v>Dego Cần Thơ</v>
      </c>
      <c r="Z10" s="2" t="str">
        <f>IFERROR(__xludf.DUMMYFUNCTION("""COMPUTED_VALUE"""),"Hàng sẵn kho")</f>
        <v>Hàng sẵn kho</v>
      </c>
      <c r="AA10" s="2"/>
      <c r="AB10" s="2" t="str">
        <f>IFERROR(__xludf.DUMMYFUNCTION("""COMPUTED_VALUE"""),"chưa chốt vtbb (chưa chọn được mẫu lon)
đã chốt vt 14/04
điều chỉnh lại dùng thùng 274, chờ tk cập nhật lại mockup
ngày 8/5 giao lon")</f>
        <v>chưa chốt vtbb (chưa chọn được mẫu lon)
đã chốt vt 14/04
điều chỉnh lại dùng thùng 274, chờ tk cập nhật lại mockup
ngày 8/5 giao lon</v>
      </c>
      <c r="AC10" s="2"/>
      <c r="AD10" s="146">
        <f>IFERROR(__xludf.DUMMYFUNCTION("""COMPUTED_VALUE"""),937.0)</f>
        <v>937</v>
      </c>
      <c r="AE10" s="2" t="str">
        <f>IFERROR(__xludf.DUMMYFUNCTION("""COMPUTED_VALUE"""),"đã bàn giao cho nhà máy 23/05")</f>
        <v>đã bàn giao cho nhà máy 23/05</v>
      </c>
      <c r="AF10" s="146" t="str">
        <f>IFERROR(__xludf.DUMMYFUNCTION("""COMPUTED_VALUE"""),"ATP04042606")</f>
        <v>ATP04042606</v>
      </c>
      <c r="AG10" s="143">
        <f>IFERROR(__xludf.DUMMYFUNCTION("""COMPUTED_VALUE"""),46155.0)</f>
        <v>46155</v>
      </c>
      <c r="AH10" s="146">
        <f>IFERROR(__xludf.DUMMYFUNCTION("""COMPUTED_VALUE"""),937.0)</f>
        <v>937</v>
      </c>
      <c r="AI10" s="2"/>
      <c r="AJ10" s="2"/>
      <c r="AK10" s="2"/>
      <c r="AL10" s="2"/>
      <c r="AM10" s="142">
        <f>IFERROR(__xludf.DUMMYFUNCTION("""COMPUTED_VALUE"""),46.0)</f>
        <v>46</v>
      </c>
      <c r="AN10" s="2"/>
      <c r="AO10" s="2"/>
      <c r="AP10" s="2"/>
      <c r="AQ10" s="2"/>
      <c r="AR10" s="2" t="str">
        <f>IFERROR(__xludf.DUMMYFUNCTION("""COMPUTED_VALUE"""),"040426")</f>
        <v>040426</v>
      </c>
      <c r="AS10" s="143">
        <f>IFERROR(__xludf.DUMMYFUNCTION("""COMPUTED_VALUE"""),46153.0)</f>
        <v>46153</v>
      </c>
      <c r="AT10" s="2"/>
      <c r="AU10" s="142">
        <f>IFERROR(__xludf.DUMMYFUNCTION("""COMPUTED_VALUE"""),888.0)</f>
        <v>888</v>
      </c>
      <c r="AV10" s="2" t="str">
        <f>IFERROR(__xludf.DUMMYFUNCTION("""COMPUTED_VALUE"""),"14/05/2026 đã giao 37t")</f>
        <v>14/05/2026 đã giao 37t</v>
      </c>
      <c r="AW10" s="2"/>
      <c r="AX10" s="2"/>
      <c r="AY10" s="2"/>
      <c r="AZ10" s="2" t="str">
        <f>IFERROR(__xludf.DUMMYFUNCTION("""COMPUTED_VALUE"""),"#REF!")</f>
        <v>#REF!</v>
      </c>
      <c r="BA10" s="2" t="str">
        <f>IFERROR(__xludf.DUMMYFUNCTION("""COMPUTED_VALUE"""),"Đủ điều kiện")</f>
        <v>Đủ điều kiện</v>
      </c>
      <c r="BB10" s="2" t="str">
        <f>IFERROR(__xludf.DUMMYFUNCTION("""COMPUTED_VALUE"""),"Duyệt")</f>
        <v>Duyệt</v>
      </c>
      <c r="BC10" s="2"/>
      <c r="BD10" s="2" t="str">
        <f>IFERROR(__xludf.DUMMYFUNCTION("""COMPUTED_VALUE"""),"Duyệt")</f>
        <v>Duyệt</v>
      </c>
      <c r="BE10" s="2" t="str">
        <f>IFERROR(__xludf.DUMMYFUNCTION("""COMPUTED_VALUE"""),"xlg 06/04
18/4")</f>
        <v>xlg 06/04
18/4</v>
      </c>
      <c r="BF10" s="2" t="str">
        <f>IFERROR(__xludf.DUMMYFUNCTION("""COMPUTED_VALUE"""),"Đã xử lí giá")</f>
        <v>Đã xử lí giá</v>
      </c>
      <c r="BG10" s="2" t="str">
        <f>IFERROR(__xludf.DUMMYFUNCTION("""COMPUTED_VALUE"""),"A01160326 Bột trắng KD chưa câp nhật giá bán 4/4/2026")</f>
        <v>A01160326 Bột trắng KD chưa câp nhật giá bán 4/4/2026</v>
      </c>
      <c r="BH10" s="2"/>
      <c r="BI10" s="2"/>
      <c r="BJ10" s="2"/>
      <c r="BK10" s="2"/>
      <c r="BL10" s="2"/>
      <c r="BM10" s="2"/>
      <c r="BN10" s="2"/>
      <c r="BO10" s="2"/>
      <c r="BP10" s="2"/>
      <c r="BQ10" s="2"/>
    </row>
    <row r="11">
      <c r="A11" s="2">
        <f>IFERROR(__xludf.DUMMYFUNCTION("""COMPUTED_VALUE"""),28.0)</f>
        <v>28</v>
      </c>
      <c r="B11" s="2" t="str">
        <f>IFERROR(__xludf.DUMMYFUNCTION("""COMPUTED_VALUE"""),"Dego Cần Thơ")</f>
        <v>Dego Cần Thơ</v>
      </c>
      <c r="C11" s="2" t="str">
        <f>IFERROR(__xludf.DUMMYFUNCTION("""COMPUTED_VALUE"""),"ATP09042601")</f>
        <v>ATP09042601</v>
      </c>
      <c r="D11" s="39">
        <f>IFERROR(__xludf.DUMMYFUNCTION("""COMPUTED_VALUE"""),46121.0)</f>
        <v>46121</v>
      </c>
      <c r="E11" s="2" t="str">
        <f>IFERROR(__xludf.DUMMYFUNCTION("""COMPUTED_VALUE"""),"Đã duyệt")</f>
        <v>Đã duyệt</v>
      </c>
      <c r="F11" s="2" t="str">
        <f>IFERROR(__xludf.DUMMYFUNCTION("""COMPUTED_VALUE"""),"ABA")</f>
        <v>ABA</v>
      </c>
      <c r="G11" s="2" t="str">
        <f>IFERROR(__xludf.DUMMYFUNCTION("""COMPUTED_VALUE"""),"HH4470")</f>
        <v>HH4470</v>
      </c>
      <c r="H11" s="2" t="str">
        <f>IFERROR(__xludf.DUMMYFUNCTION("""COMPUTED_VALUE"""),"GC - IV - 4470 - CTY R3 - R3 TANK  (Nước nâu vàng) - 300ml - 40")</f>
        <v>GC - IV - 4470 - CTY R3 - R3 TANK  (Nước nâu vàng) - 300ml - 40</v>
      </c>
      <c r="I11" s="2" t="str">
        <f>IFERROR(__xludf.DUMMYFUNCTION("""COMPUTED_VALUE"""),"Phân bón")</f>
        <v>Phân bón</v>
      </c>
      <c r="J11" s="142" t="str">
        <f>IFERROR(__xludf.DUMMYFUNCTION("""COMPUTED_VALUE"""),"vi lượng G.A 05")</f>
        <v>vi lượng G.A 05</v>
      </c>
      <c r="K11" s="2" t="str">
        <f>IFERROR(__xludf.DUMMYFUNCTION("""COMPUTED_VALUE"""),"A02200825 - 01")</f>
        <v>A02200825 - 01</v>
      </c>
      <c r="L11" s="2" t="str">
        <f>IFERROR(__xludf.DUMMYFUNCTION("""COMPUTED_VALUE"""),"Nước nâu vàng")</f>
        <v>Nước nâu vàng</v>
      </c>
      <c r="M11" s="2" t="str">
        <f>IFERROR(__xludf.DUMMYFUNCTION("""COMPUTED_VALUE"""),"Chai")</f>
        <v>Chai</v>
      </c>
      <c r="N11" s="142">
        <f>IFERROR(__xludf.DUMMYFUNCTION("""COMPUTED_VALUE"""),40.0)</f>
        <v>40</v>
      </c>
      <c r="O11" s="142">
        <f>IFERROR(__xludf.DUMMYFUNCTION("""COMPUTED_VALUE"""),50.0)</f>
        <v>50</v>
      </c>
      <c r="P11" s="142">
        <f>IFERROR(__xludf.DUMMYFUNCTION("""COMPUTED_VALUE"""),2000.0)</f>
        <v>2000</v>
      </c>
      <c r="Q11" s="145">
        <f>IFERROR(__xludf.DUMMYFUNCTION("""COMPUTED_VALUE"""),46134.0)</f>
        <v>46134</v>
      </c>
      <c r="R11" s="2"/>
      <c r="S11" s="142" t="str">
        <f>IFERROR(__xludf.DUMMYFUNCTION("""COMPUTED_VALUE"""),"lấy chẳn thùng")</f>
        <v>lấy chẳn thùng</v>
      </c>
      <c r="T11" s="2"/>
      <c r="U11" s="2"/>
      <c r="V11" s="2"/>
      <c r="W11" s="2" t="str">
        <f>IFERROR(__xludf.DUMMYFUNCTION("""COMPUTED_VALUE"""),"CTY R3 - Giá bán 35.200,00 đ - Ngày dự kiến thu tiền:  - Dự kiến ngày ra hết hàng: ")</f>
        <v>CTY R3 - Giá bán 35.200,00 đ - Ngày dự kiến thu tiền:  - Dự kiến ngày ra hết hàng: </v>
      </c>
      <c r="X11" s="2"/>
      <c r="Y11" s="2" t="str">
        <f>IFERROR(__xludf.DUMMYFUNCTION("""COMPUTED_VALUE"""),"Dego Cần Thơ")</f>
        <v>Dego Cần Thơ</v>
      </c>
      <c r="Z11" s="2" t="str">
        <f>IFERROR(__xludf.DUMMYFUNCTION("""COMPUTED_VALUE"""),"Chờ lấy hoá đơn")</f>
        <v>Chờ lấy hoá đơn</v>
      </c>
      <c r="AA11" s="2"/>
      <c r="AB11" s="2" t="str">
        <f>IFERROR(__xludf.DUMMYFUNCTION("""COMPUTED_VALUE"""),"đang chờ NL, dự kiến 22/04 về, 
đủ vtbb, dự kiến 9/5 chiết
chưa có hóa đơn 21 thùng +28 chai
đã có hóa đơn 25/05")</f>
        <v>đang chờ NL, dự kiến 22/04 về, 
đủ vtbb, dự kiến 9/5 chiết
chưa có hóa đơn 21 thùng +28 chai
đã có hóa đơn 25/05</v>
      </c>
      <c r="AC11" s="146">
        <f>IFERROR(__xludf.DUMMYFUNCTION("""COMPUTED_VALUE"""),362.0)</f>
        <v>362</v>
      </c>
      <c r="AD11" s="146">
        <f>IFERROR(__xludf.DUMMYFUNCTION("""COMPUTED_VALUE"""),1642.0)</f>
        <v>1642</v>
      </c>
      <c r="AE11" s="2" t="str">
        <f>IFERROR(__xludf.DUMMYFUNCTION("""COMPUTED_VALUE"""),"đã bàn giao cho nhà máy 23/05")</f>
        <v>đã bàn giao cho nhà máy 23/05</v>
      </c>
      <c r="AF11" s="146" t="str">
        <f>IFERROR(__xludf.DUMMYFUNCTION("""COMPUTED_VALUE"""),"ATP09042601")</f>
        <v>ATP09042601</v>
      </c>
      <c r="AG11" s="143">
        <f>IFERROR(__xludf.DUMMYFUNCTION("""COMPUTED_VALUE"""),46156.0)</f>
        <v>46156</v>
      </c>
      <c r="AH11" s="146">
        <f>IFERROR(__xludf.DUMMYFUNCTION("""COMPUTED_VALUE"""),772.0)</f>
        <v>772</v>
      </c>
      <c r="AI11" s="143">
        <f>IFERROR(__xludf.DUMMYFUNCTION("""COMPUTED_VALUE"""),46163.0)</f>
        <v>46163</v>
      </c>
      <c r="AJ11" s="146">
        <f>IFERROR(__xludf.DUMMYFUNCTION("""COMPUTED_VALUE"""),870.0)</f>
        <v>870</v>
      </c>
      <c r="AK11" s="2"/>
      <c r="AL11" s="2"/>
      <c r="AM11" s="142">
        <f>IFERROR(__xludf.DUMMYFUNCTION("""COMPUTED_VALUE"""),840.0)</f>
        <v>840</v>
      </c>
      <c r="AN11" s="2"/>
      <c r="AO11" s="2"/>
      <c r="AP11" s="2"/>
      <c r="AQ11" s="2"/>
      <c r="AR11" s="2" t="str">
        <f>IFERROR(__xludf.DUMMYFUNCTION("""COMPUTED_VALUE"""),"70426
430526 (21 thùng + 28 chai + 2m)")</f>
        <v>70426
430526 (21 thùng + 28 chai + 2m)</v>
      </c>
      <c r="AS11" s="2" t="str">
        <f>IFERROR(__xludf.DUMMYFUNCTION("""COMPUTED_VALUE"""),"14/05/2026
20/05/2026 (21 thùng + 28 chai + 2m)")</f>
        <v>14/05/2026
20/05/2026 (21 thùng + 28 chai + 2m)</v>
      </c>
      <c r="AT11" s="2"/>
      <c r="AU11" s="142">
        <f>IFERROR(__xludf.DUMMYFUNCTION("""COMPUTED_VALUE"""),760.0)</f>
        <v>760</v>
      </c>
      <c r="AV11" s="2" t="str">
        <f>IFERROR(__xludf.DUMMYFUNCTION("""COMPUTED_VALUE"""),"18/05/2026 đã giao 19t")</f>
        <v>18/05/2026 đã giao 19t</v>
      </c>
      <c r="AW11" s="2"/>
      <c r="AX11" s="2"/>
      <c r="AY11" s="2"/>
      <c r="AZ11" s="2" t="str">
        <f>IFERROR(__xludf.DUMMYFUNCTION("""COMPUTED_VALUE"""),"#REF!")</f>
        <v>#REF!</v>
      </c>
      <c r="BA11" s="2" t="str">
        <f>IFERROR(__xludf.DUMMYFUNCTION("""COMPUTED_VALUE"""),"Đủ điều kiện")</f>
        <v>Đủ điều kiện</v>
      </c>
      <c r="BB11" s="2" t="str">
        <f>IFERROR(__xludf.DUMMYFUNCTION("""COMPUTED_VALUE"""),"Duyệt")</f>
        <v>Duyệt</v>
      </c>
      <c r="BC11" s="149">
        <f>IFERROR(__xludf.DUMMYFUNCTION("""COMPUTED_VALUE"""),46121.0)</f>
        <v>46121</v>
      </c>
      <c r="BD11" s="2" t="str">
        <f>IFERROR(__xludf.DUMMYFUNCTION("""COMPUTED_VALUE"""),"Duyệt")</f>
        <v>Duyệt</v>
      </c>
      <c r="BE11" s="2" t="str">
        <f>IFERROR(__xludf.DUMMYFUNCTION("""COMPUTED_VALUE"""),"xlg 10/04
10/04")</f>
        <v>xlg 10/04
10/04</v>
      </c>
      <c r="BF11" s="2" t="str">
        <f>IFERROR(__xludf.DUMMYFUNCTION("""COMPUTED_VALUE"""),"Đã xử lí giá")</f>
        <v>Đã xử lí giá</v>
      </c>
      <c r="BG11" s="2" t="str">
        <f>IFERROR(__xludf.DUMMYFUNCTION("""COMPUTED_VALUE"""),"A02200825 - 01 Nước nâu vàng 35,200đ 9/4/2026")</f>
        <v>A02200825 - 01 Nước nâu vàng 35,200đ 9/4/2026</v>
      </c>
      <c r="BH11" s="2"/>
      <c r="BI11" s="2"/>
      <c r="BJ11" s="2"/>
      <c r="BK11" s="2"/>
      <c r="BL11" s="2"/>
      <c r="BM11" s="2"/>
      <c r="BN11" s="2"/>
      <c r="BO11" s="2"/>
      <c r="BP11" s="2"/>
      <c r="BQ11" s="2"/>
    </row>
    <row r="12">
      <c r="A12" s="2">
        <f>IFERROR(__xludf.DUMMYFUNCTION("""COMPUTED_VALUE"""),31.0)</f>
        <v>31</v>
      </c>
      <c r="B12" s="2" t="str">
        <f>IFERROR(__xludf.DUMMYFUNCTION("""COMPUTED_VALUE"""),"Dego Cần Thơ")</f>
        <v>Dego Cần Thơ</v>
      </c>
      <c r="C12" s="2" t="str">
        <f>IFERROR(__xludf.DUMMYFUNCTION("""COMPUTED_VALUE"""),"ATP11042601")</f>
        <v>ATP11042601</v>
      </c>
      <c r="D12" s="39">
        <f>IFERROR(__xludf.DUMMYFUNCTION("""COMPUTED_VALUE"""),46123.0)</f>
        <v>46123</v>
      </c>
      <c r="E12" s="2" t="str">
        <f>IFERROR(__xludf.DUMMYFUNCTION("""COMPUTED_VALUE"""),"Đã duyệt")</f>
        <v>Đã duyệt</v>
      </c>
      <c r="F12" s="2" t="str">
        <f>IFERROR(__xludf.DUMMYFUNCTION("""COMPUTED_VALUE"""),"ABA")</f>
        <v>ABA</v>
      </c>
      <c r="G12" s="2" t="str">
        <f>IFERROR(__xludf.DUMMYFUNCTION("""COMPUTED_VALUE"""),"HH4672")</f>
        <v>HH4672</v>
      </c>
      <c r="H12" s="2" t="str">
        <f>IFERROR(__xludf.DUMMYFUNCTION("""COMPUTED_VALUE"""),"LOT ABA - V - 4672 - THIÊN AN - NEW AMINO (Nước nâu đen) - 500ml - 30")</f>
        <v>LOT ABA - V - 4672 - THIÊN AN - NEW AMINO (Nước nâu đen) - 500ml - 30</v>
      </c>
      <c r="I12" s="2" t="str">
        <f>IFERROR(__xludf.DUMMYFUNCTION("""COMPUTED_VALUE"""),"Phân bón")</f>
        <v>Phân bón</v>
      </c>
      <c r="J12" s="142" t="str">
        <f>IFERROR(__xludf.DUMMYFUNCTION("""COMPUTED_VALUE"""),"Hữu cơ Organic BM Gold  FW")</f>
        <v>Hữu cơ Organic BM Gold  FW</v>
      </c>
      <c r="K12" s="2" t="str">
        <f>IFERROR(__xludf.DUMMYFUNCTION("""COMPUTED_VALUE"""),"Cùng ruột HH2776")</f>
        <v>Cùng ruột HH2776</v>
      </c>
      <c r="L12" s="2" t="str">
        <f>IFERROR(__xludf.DUMMYFUNCTION("""COMPUTED_VALUE"""),"Nước nâu đen")</f>
        <v>Nước nâu đen</v>
      </c>
      <c r="M12" s="2" t="str">
        <f>IFERROR(__xludf.DUMMYFUNCTION("""COMPUTED_VALUE"""),"Chai")</f>
        <v>Chai</v>
      </c>
      <c r="N12" s="142">
        <f>IFERROR(__xludf.DUMMYFUNCTION("""COMPUTED_VALUE"""),30.0)</f>
        <v>30</v>
      </c>
      <c r="O12" s="142">
        <f>IFERROR(__xludf.DUMMYFUNCTION("""COMPUTED_VALUE"""),16.0)</f>
        <v>16</v>
      </c>
      <c r="P12" s="142">
        <f>IFERROR(__xludf.DUMMYFUNCTION("""COMPUTED_VALUE"""),480.0)</f>
        <v>480</v>
      </c>
      <c r="Q12" s="145">
        <f>IFERROR(__xludf.DUMMYFUNCTION("""COMPUTED_VALUE"""),46130.0)</f>
        <v>46130</v>
      </c>
      <c r="R12" s="2"/>
      <c r="S12" s="142" t="str">
        <f>IFERROR(__xludf.DUMMYFUNCTION("""COMPUTED_VALUE"""),"lấy chẳn thùng
đóng hết nhãn tròn thùng
ưu tiên xử lý do 13/4 hêt hạn thuê")</f>
        <v>lấy chẳn thùng
đóng hết nhãn tròn thùng
ưu tiên xử lý do 13/4 hêt hạn thuê</v>
      </c>
      <c r="T12" s="2"/>
      <c r="U12" s="2"/>
      <c r="V12" s="2"/>
      <c r="W12" s="2" t="str">
        <f>IFERROR(__xludf.DUMMYFUNCTION("""COMPUTED_VALUE"""),"THIÊN AN - Giá bán 49.000,00 đ - Ngày dự kiến thu tiền:  - Dự kiến ngày ra hết hàng: ")</f>
        <v>THIÊN AN - Giá bán 49.000,00 đ - Ngày dự kiến thu tiền:  - Dự kiến ngày ra hết hàng: </v>
      </c>
      <c r="X12" s="2"/>
      <c r="Y12" s="2" t="str">
        <f>IFERROR(__xludf.DUMMYFUNCTION("""COMPUTED_VALUE"""),"Dego Cần Thơ")</f>
        <v>Dego Cần Thơ</v>
      </c>
      <c r="Z12" s="2" t="str">
        <f>IFERROR(__xludf.DUMMYFUNCTION("""COMPUTED_VALUE"""),"Chưa có lịch SX")</f>
        <v>Chưa có lịch SX</v>
      </c>
      <c r="AA12" s="2"/>
      <c r="AB12" s="2" t="str">
        <f>IFERROR(__xludf.DUMMYFUNCTION("""COMPUTED_VALUE"""),"chưa gửi phiếu
có 5 thùng +24 chai bị lôi xì chai, lem nhãn đang lên đơn xử lý lại
Lượng hàng còn lại sẽ gom làm chung với hàng xử lý")</f>
        <v>chưa gửi phiếu
có 5 thùng +24 chai bị lôi xì chai, lem nhãn đang lên đơn xử lý lại
Lượng hàng còn lại sẽ gom làm chung với hàng xử lý</v>
      </c>
      <c r="AC12" s="142">
        <f>IFERROR(__xludf.DUMMYFUNCTION("""COMPUTED_VALUE"""),95.0)</f>
        <v>95</v>
      </c>
      <c r="AD12" s="146">
        <f>IFERROR(__xludf.DUMMYFUNCTION("""COMPUTED_VALUE"""),387.0)</f>
        <v>387</v>
      </c>
      <c r="AE12" s="2" t="str">
        <f>IFERROR(__xludf.DUMMYFUNCTION("""COMPUTED_VALUE"""),"đã bàn giao cho nhà máy 23/05")</f>
        <v>đã bàn giao cho nhà máy 23/05</v>
      </c>
      <c r="AF12" s="146" t="str">
        <f>IFERROR(__xludf.DUMMYFUNCTION("""COMPUTED_VALUE"""),"Đủ điều kiện nhận hàng")</f>
        <v>Đủ điều kiện nhận hàng</v>
      </c>
      <c r="AG12" s="143">
        <f>IFERROR(__xludf.DUMMYFUNCTION("""COMPUTED_VALUE"""),46133.0)</f>
        <v>46133</v>
      </c>
      <c r="AH12" s="146">
        <f>IFERROR(__xludf.DUMMYFUNCTION("""COMPUTED_VALUE"""),387.0)</f>
        <v>387</v>
      </c>
      <c r="AI12" s="2"/>
      <c r="AJ12" s="2"/>
      <c r="AK12" s="2"/>
      <c r="AL12" s="2"/>
      <c r="AM12" s="2"/>
      <c r="AN12" s="2"/>
      <c r="AO12" s="2"/>
      <c r="AP12" s="2"/>
      <c r="AQ12" s="2"/>
      <c r="AR12" s="2">
        <f>IFERROR(__xludf.DUMMYFUNCTION("""COMPUTED_VALUE"""),170426.0)</f>
        <v>170426</v>
      </c>
      <c r="AS12" s="143">
        <f>IFERROR(__xludf.DUMMYFUNCTION("""COMPUTED_VALUE"""),46120.0)</f>
        <v>46120</v>
      </c>
      <c r="AT12" s="2"/>
      <c r="AU12" s="142">
        <f>IFERROR(__xludf.DUMMYFUNCTION("""COMPUTED_VALUE"""),384.0)</f>
        <v>384</v>
      </c>
      <c r="AV12" s="2" t="str">
        <f>IFERROR(__xludf.DUMMYFUNCTION("""COMPUTED_VALUE"""),"23/04/2026 đã giao 12t+25 chai")</f>
        <v>23/04/2026 đã giao 12t+25 chai</v>
      </c>
      <c r="AW12" s="2"/>
      <c r="AX12" s="2"/>
      <c r="AY12" s="2"/>
      <c r="AZ12" s="2" t="str">
        <f>IFERROR(__xludf.DUMMYFUNCTION("""COMPUTED_VALUE"""),"#REF!")</f>
        <v>#REF!</v>
      </c>
      <c r="BA12" s="2" t="str">
        <f>IFERROR(__xludf.DUMMYFUNCTION("""COMPUTED_VALUE"""),"Đủ điều kiện")</f>
        <v>Đủ điều kiện</v>
      </c>
      <c r="BB12" s="2" t="str">
        <f>IFERROR(__xludf.DUMMYFUNCTION("""COMPUTED_VALUE"""),"Duyệt")</f>
        <v>Duyệt</v>
      </c>
      <c r="BC12" s="148">
        <f>IFERROR(__xludf.DUMMYFUNCTION("""COMPUTED_VALUE"""),46123.0)</f>
        <v>46123</v>
      </c>
      <c r="BD12" s="2" t="str">
        <f>IFERROR(__xludf.DUMMYFUNCTION("""COMPUTED_VALUE"""),"Duyệt")</f>
        <v>Duyệt</v>
      </c>
      <c r="BE12" s="2" t="str">
        <f>IFERROR(__xludf.DUMMYFUNCTION("""COMPUTED_VALUE"""),"xlg 11/04
11/04")</f>
        <v>xlg 11/04
11/04</v>
      </c>
      <c r="BF12" s="2" t="str">
        <f>IFERROR(__xludf.DUMMYFUNCTION("""COMPUTED_VALUE"""),"Đã xử lí giá")</f>
        <v>Đã xử lí giá</v>
      </c>
      <c r="BG12" s="2" t="str">
        <f>IFERROR(__xludf.DUMMYFUNCTION("""COMPUTED_VALUE"""),"Cùng ruột HH2776 Nước nâu đen 49,000đ 11/4/2026")</f>
        <v>Cùng ruột HH2776 Nước nâu đen 49,000đ 11/4/2026</v>
      </c>
      <c r="BH12" s="2"/>
      <c r="BI12" s="2"/>
      <c r="BJ12" s="2"/>
      <c r="BK12" s="2"/>
      <c r="BL12" s="2"/>
      <c r="BM12" s="2"/>
      <c r="BN12" s="2"/>
      <c r="BO12" s="2"/>
      <c r="BP12" s="2"/>
      <c r="BQ12" s="2"/>
    </row>
    <row r="13">
      <c r="A13" s="2">
        <f>IFERROR(__xludf.DUMMYFUNCTION("""COMPUTED_VALUE"""),38.0)</f>
        <v>38</v>
      </c>
      <c r="B13" s="2" t="str">
        <f>IFERROR(__xludf.DUMMYFUNCTION("""COMPUTED_VALUE"""),"Dego Cần Thơ")</f>
        <v>Dego Cần Thơ</v>
      </c>
      <c r="C13" s="2" t="str">
        <f>IFERROR(__xludf.DUMMYFUNCTION("""COMPUTED_VALUE"""),"ATP24042608")</f>
        <v>ATP24042608</v>
      </c>
      <c r="D13" s="39">
        <f>IFERROR(__xludf.DUMMYFUNCTION("""COMPUTED_VALUE"""),46136.0)</f>
        <v>46136</v>
      </c>
      <c r="E13" s="2" t="str">
        <f>IFERROR(__xludf.DUMMYFUNCTION("""COMPUTED_VALUE"""),"Đã duyệt")</f>
        <v>Đã duyệt</v>
      </c>
      <c r="F13" s="2" t="str">
        <f>IFERROR(__xludf.DUMMYFUNCTION("""COMPUTED_VALUE"""),"ABA")</f>
        <v>ABA</v>
      </c>
      <c r="G13" s="2" t="str">
        <f>IFERROR(__xludf.DUMMYFUNCTION("""COMPUTED_VALUE"""),"HH4908")</f>
        <v>HH4908</v>
      </c>
      <c r="H13" s="2" t="str">
        <f>IFERROR(__xludf.DUMMYFUNCTION("""COMPUTED_VALUE"""),"GC - V - 4908 - HÓA NÔNG SHINO - CỨNG CÂY K40 (Nước nâu đen) - 450ml - 30")</f>
        <v>GC - V - 4908 - HÓA NÔNG SHINO - CỨNG CÂY K40 (Nước nâu đen) - 450ml - 30</v>
      </c>
      <c r="I13" s="2" t="str">
        <f>IFERROR(__xludf.DUMMYFUNCTION("""COMPUTED_VALUE"""),"Phân bón")</f>
        <v>Phân bón</v>
      </c>
      <c r="J13" s="142" t="str">
        <f>IFERROR(__xludf.DUMMYFUNCTION("""COMPUTED_VALUE"""),"Vi Lượng G.A 05")</f>
        <v>Vi Lượng G.A 05</v>
      </c>
      <c r="K13" s="2" t="str">
        <f>IFERROR(__xludf.DUMMYFUNCTION("""COMPUTED_VALUE"""),"A02090426")</f>
        <v>A02090426</v>
      </c>
      <c r="L13" s="2" t="str">
        <f>IFERROR(__xludf.DUMMYFUNCTION("""COMPUTED_VALUE"""),"Nước nâu đen")</f>
        <v>Nước nâu đen</v>
      </c>
      <c r="M13" s="2" t="str">
        <f>IFERROR(__xludf.DUMMYFUNCTION("""COMPUTED_VALUE"""),"Chai")</f>
        <v>Chai</v>
      </c>
      <c r="N13" s="142">
        <f>IFERROR(__xludf.DUMMYFUNCTION("""COMPUTED_VALUE"""),30.0)</f>
        <v>30</v>
      </c>
      <c r="O13" s="142">
        <f>IFERROR(__xludf.DUMMYFUNCTION("""COMPUTED_VALUE"""),15.0)</f>
        <v>15</v>
      </c>
      <c r="P13" s="142">
        <f>IFERROR(__xludf.DUMMYFUNCTION("""COMPUTED_VALUE"""),450.0)</f>
        <v>450</v>
      </c>
      <c r="Q13" s="145">
        <f>IFERROR(__xludf.DUMMYFUNCTION("""COMPUTED_VALUE"""),46155.0)</f>
        <v>46155</v>
      </c>
      <c r="R13" s="2"/>
      <c r="S13" s="142" t="str">
        <f>IFERROR(__xludf.DUMMYFUNCTION("""COMPUTED_VALUE"""),"lấy chẳn thùng")</f>
        <v>lấy chẳn thùng</v>
      </c>
      <c r="T13" s="2"/>
      <c r="U13" s="2"/>
      <c r="V13" s="2"/>
      <c r="W13" s="2" t="str">
        <f>IFERROR(__xludf.DUMMYFUNCTION("""COMPUTED_VALUE"""),"SHINO - Giá bán 57.000,00 đ - Ngày dự kiến thu tiền:  - Dự kiến ngày ra hết hàng: ")</f>
        <v>SHINO - Giá bán 57.000,00 đ - Ngày dự kiến thu tiền:  - Dự kiến ngày ra hết hàng: </v>
      </c>
      <c r="X13" s="2"/>
      <c r="Y13" s="2" t="str">
        <f>IFERROR(__xludf.DUMMYFUNCTION("""COMPUTED_VALUE"""),"Dego Cần Thơ")</f>
        <v>Dego Cần Thơ</v>
      </c>
      <c r="Z13" s="2" t="str">
        <f>IFERROR(__xludf.DUMMYFUNCTION("""COMPUTED_VALUE"""),"Hàng sẵn kho")</f>
        <v>Hàng sẵn kho</v>
      </c>
      <c r="AA13" s="2"/>
      <c r="AB13" s="2" t="str">
        <f>IFERROR(__xludf.DUMMYFUNCTION("""COMPUTED_VALUE"""),"chờ xử lý giá  24/04
Kd tăng đơn lên 15 thùng 29/04
chai 7/5 giao, dự kiến 9/5 chiết
có 1 NL test hàm lượng không đạt, hiện đang tìm NCC khác để test lại mẫu, dự kiến mất trên 15 ngày
đã có lịch dự kiến 22/05 chiết")</f>
        <v>chờ xử lý giá  24/04
Kd tăng đơn lên 15 thùng 29/04
chai 7/5 giao, dự kiến 9/5 chiết
có 1 NL test hàm lượng không đạt, hiện đang tìm NCC khác để test lại mẫu, dự kiến mất trên 15 ngày
đã có lịch dự kiến 22/05 chiết</v>
      </c>
      <c r="AC13" s="2"/>
      <c r="AD13" s="146">
        <f>IFERROR(__xludf.DUMMYFUNCTION("""COMPUTED_VALUE"""),452.0)</f>
        <v>452</v>
      </c>
      <c r="AE13" s="2" t="str">
        <f>IFERROR(__xludf.DUMMYFUNCTION("""COMPUTED_VALUE"""),"đã bàn giao cho nhà máy 23/05")</f>
        <v>đã bàn giao cho nhà máy 23/05</v>
      </c>
      <c r="AF13" s="146" t="str">
        <f>IFERROR(__xludf.DUMMYFUNCTION("""COMPUTED_VALUE"""),"ATP24042608")</f>
        <v>ATP24042608</v>
      </c>
      <c r="AG13" s="143">
        <f>IFERROR(__xludf.DUMMYFUNCTION("""COMPUTED_VALUE"""),46163.0)</f>
        <v>46163</v>
      </c>
      <c r="AH13" s="146">
        <f>IFERROR(__xludf.DUMMYFUNCTION("""COMPUTED_VALUE"""),452.0)</f>
        <v>452</v>
      </c>
      <c r="AI13" s="2"/>
      <c r="AJ13" s="2"/>
      <c r="AK13" s="2"/>
      <c r="AL13" s="2"/>
      <c r="AM13" s="142">
        <f>IFERROR(__xludf.DUMMYFUNCTION("""COMPUTED_VALUE"""),450.0)</f>
        <v>450</v>
      </c>
      <c r="AN13" s="2"/>
      <c r="AO13" s="2"/>
      <c r="AP13" s="2"/>
      <c r="AQ13" s="2"/>
      <c r="AR13" s="2" t="str">
        <f>IFERROR(__xludf.DUMMYFUNCTION("""COMPUTED_VALUE"""),"020526")</f>
        <v>020526</v>
      </c>
      <c r="AS13" s="143">
        <f>IFERROR(__xludf.DUMMYFUNCTION("""COMPUTED_VALUE"""),46163.0)</f>
        <v>46163</v>
      </c>
      <c r="AT13" s="2"/>
      <c r="AU13" s="2"/>
      <c r="AV13" s="2"/>
      <c r="AW13" s="2"/>
      <c r="AX13" s="2"/>
      <c r="AY13" s="2"/>
      <c r="AZ13" s="2" t="str">
        <f>IFERROR(__xludf.DUMMYFUNCTION("""COMPUTED_VALUE"""),"#REF!")</f>
        <v>#REF!</v>
      </c>
      <c r="BA13" s="2" t="str">
        <f>IFERROR(__xludf.DUMMYFUNCTION("""COMPUTED_VALUE"""),"Đủ điều kiện")</f>
        <v>Đủ điều kiện</v>
      </c>
      <c r="BB13" s="2" t="str">
        <f>IFERROR(__xludf.DUMMYFUNCTION("""COMPUTED_VALUE"""),"Duyệt")</f>
        <v>Duyệt</v>
      </c>
      <c r="BC13" s="148">
        <f>IFERROR(__xludf.DUMMYFUNCTION("""COMPUTED_VALUE"""),46136.0)</f>
        <v>46136</v>
      </c>
      <c r="BD13" s="2" t="str">
        <f>IFERROR(__xludf.DUMMYFUNCTION("""COMPUTED_VALUE"""),"Duyệt")</f>
        <v>Duyệt</v>
      </c>
      <c r="BE13" s="2" t="str">
        <f>IFERROR(__xludf.DUMMYFUNCTION("""COMPUTED_VALUE"""),"xlg 25/04
27/04")</f>
        <v>xlg 25/04
27/04</v>
      </c>
      <c r="BF13" s="2" t="str">
        <f>IFERROR(__xludf.DUMMYFUNCTION("""COMPUTED_VALUE"""),"Đã xử lí giá")</f>
        <v>Đã xử lí giá</v>
      </c>
      <c r="BG13" s="2" t="str">
        <f>IFERROR(__xludf.DUMMYFUNCTION("""COMPUTED_VALUE"""),"A02090426 Nước nâu đen 57,000đ 25/4/2026")</f>
        <v>A02090426 Nước nâu đen 57,000đ 25/4/2026</v>
      </c>
      <c r="BH13" s="2"/>
      <c r="BI13" s="2"/>
      <c r="BJ13" s="2"/>
      <c r="BK13" s="2"/>
      <c r="BL13" s="2"/>
      <c r="BM13" s="2"/>
      <c r="BN13" s="2"/>
      <c r="BO13" s="2"/>
      <c r="BP13" s="2"/>
      <c r="BQ13" s="2"/>
    </row>
    <row r="14">
      <c r="A14" s="2">
        <f>IFERROR(__xludf.DUMMYFUNCTION("""COMPUTED_VALUE"""),39.0)</f>
        <v>39</v>
      </c>
      <c r="B14" s="2" t="str">
        <f>IFERROR(__xludf.DUMMYFUNCTION("""COMPUTED_VALUE"""),"Dego Cần Thơ")</f>
        <v>Dego Cần Thơ</v>
      </c>
      <c r="C14" s="2" t="str">
        <f>IFERROR(__xludf.DUMMYFUNCTION("""COMPUTED_VALUE"""),"STP24042601")</f>
        <v>STP24042601</v>
      </c>
      <c r="D14" s="39">
        <f>IFERROR(__xludf.DUMMYFUNCTION("""COMPUTED_VALUE"""),46136.0)</f>
        <v>46136</v>
      </c>
      <c r="E14" s="2"/>
      <c r="F14" s="2" t="str">
        <f>IFERROR(__xludf.DUMMYFUNCTION("""COMPUTED_VALUE"""),"N2SBIO")</f>
        <v>N2SBIO</v>
      </c>
      <c r="G14" s="2" t="str">
        <f>IFERROR(__xludf.DUMMYFUNCTION("""COMPUTED_VALUE"""),"HH4968")</f>
        <v>HH4968</v>
      </c>
      <c r="H14" s="2" t="str">
        <f>IFERROR(__xludf.DUMMYFUNCTION("""COMPUTED_VALUE"""),"GC - IX - 4968 - N2SBIO - N2 HYPER SHIELD (Nước hồng) - 50ml - 300")</f>
        <v>GC - IX - 4968 - N2SBIO - N2 HYPER SHIELD (Nước hồng) - 50ml - 300</v>
      </c>
      <c r="I14" s="2" t="str">
        <f>IFERROR(__xludf.DUMMYFUNCTION("""COMPUTED_VALUE"""),"Phân bón")</f>
        <v>Phân bón</v>
      </c>
      <c r="J14" s="142" t="str">
        <f>IFERROR(__xludf.DUMMYFUNCTION("""COMPUTED_VALUE"""),"Vi lượng Run Fast")</f>
        <v>Vi lượng Run Fast</v>
      </c>
      <c r="K14" s="2" t="str">
        <f>IFERROR(__xludf.DUMMYFUNCTION("""COMPUTED_VALUE"""),"N06230326")</f>
        <v>N06230326</v>
      </c>
      <c r="L14" s="2" t="str">
        <f>IFERROR(__xludf.DUMMYFUNCTION("""COMPUTED_VALUE"""),"Nước hồng")</f>
        <v>Nước hồng</v>
      </c>
      <c r="M14" s="2" t="str">
        <f>IFERROR(__xludf.DUMMYFUNCTION("""COMPUTED_VALUE"""),"Túi/Gói")</f>
        <v>Túi/Gói</v>
      </c>
      <c r="N14" s="142">
        <f>IFERROR(__xludf.DUMMYFUNCTION("""COMPUTED_VALUE"""),300.0)</f>
        <v>300</v>
      </c>
      <c r="O14" s="142">
        <f>IFERROR(__xludf.DUMMYFUNCTION("""COMPUTED_VALUE"""),15.0)</f>
        <v>15</v>
      </c>
      <c r="P14" s="142">
        <f>IFERROR(__xludf.DUMMYFUNCTION("""COMPUTED_VALUE"""),4500.0)</f>
        <v>4500</v>
      </c>
      <c r="Q14" s="145">
        <f>IFERROR(__xludf.DUMMYFUNCTION("""COMPUTED_VALUE"""),46146.0)</f>
        <v>46146</v>
      </c>
      <c r="R14" s="2" t="str">
        <f>IFERROR(__xludf.DUMMYFUNCTION("""COMPUTED_VALUE"""),"x")</f>
        <v>x</v>
      </c>
      <c r="S14" s="142" t="str">
        <f>IFERROR(__xludf.DUMMYFUNCTION("""COMPUTED_VALUE"""),"x")</f>
        <v>x</v>
      </c>
      <c r="T14" s="142" t="str">
        <f>IFERROR(__xludf.DUMMYFUNCTION("""COMPUTED_VALUE"""),"x")</f>
        <v>x</v>
      </c>
      <c r="U14" s="142" t="str">
        <f>IFERROR(__xludf.DUMMYFUNCTION("""COMPUTED_VALUE"""),"x")</f>
        <v>x</v>
      </c>
      <c r="V14" s="142">
        <f>IFERROR(__xludf.DUMMYFUNCTION("""COMPUTED_VALUE"""),10.0)</f>
        <v>10</v>
      </c>
      <c r="W14" s="2" t="str">
        <f>IFERROR(__xludf.DUMMYFUNCTION("""COMPUTED_VALUE""")," - Giá bán 45.000 đ - Ngày dự kiến thu tiền:  - Dự kiến ngày ra hết hàng: ")</f>
        <v> - Giá bán 45.000 đ - Ngày dự kiến thu tiền:  - Dự kiến ngày ra hết hàng: </v>
      </c>
      <c r="X14" s="2"/>
      <c r="Y14" s="2" t="str">
        <f>IFERROR(__xludf.DUMMYFUNCTION("""COMPUTED_VALUE"""),"Dego Cần Thơ")</f>
        <v>Dego Cần Thơ</v>
      </c>
      <c r="Z14" s="2" t="str">
        <f>IFERROR(__xludf.DUMMYFUNCTION("""COMPUTED_VALUE"""),"Hàng sẵn kho")</f>
        <v>Hàng sẵn kho</v>
      </c>
      <c r="AA14" s="2"/>
      <c r="AB14" s="2" t="str">
        <f>IFERROR(__xludf.DUMMYFUNCTION("""COMPUTED_VALUE"""),"Dự kiến NL ngày 09/05 về. Nếu lab test đạt ngày 11 phối, theo dõi 24h và ngày 13/05 chiết
đã lấy hóa đơn 16/05
ngày 18/05 giao 7 thùng, lượng còn lại nhà máy kiểm tra lại dường hàn, sẽ lấy cho đợt kế tiếp")</f>
        <v>Dự kiến NL ngày 09/05 về. Nếu lab test đạt ngày 11 phối, theo dõi 24h và ngày 13/05 chiết
đã lấy hóa đơn 16/05
ngày 18/05 giao 7 thùng, lượng còn lại nhà máy kiểm tra lại dường hàn, sẽ lấy cho đợt kế tiếp</v>
      </c>
      <c r="AC14" s="2"/>
      <c r="AD14" s="146">
        <f>IFERROR(__xludf.DUMMYFUNCTION("""COMPUTED_VALUE"""),4745.0)</f>
        <v>4745</v>
      </c>
      <c r="AE14" s="2" t="str">
        <f>IFERROR(__xludf.DUMMYFUNCTION("""COMPUTED_VALUE"""),"đã bàn giao cho nhà máy 23/05")</f>
        <v>đã bàn giao cho nhà máy 23/05</v>
      </c>
      <c r="AF14" s="146" t="str">
        <f>IFERROR(__xludf.DUMMYFUNCTION("""COMPUTED_VALUE"""),"STP24042601")</f>
        <v>STP24042601</v>
      </c>
      <c r="AG14" s="143">
        <f>IFERROR(__xludf.DUMMYFUNCTION("""COMPUTED_VALUE"""),46156.0)</f>
        <v>46156</v>
      </c>
      <c r="AH14" s="146">
        <f>IFERROR(__xludf.DUMMYFUNCTION("""COMPUTED_VALUE"""),4745.0)</f>
        <v>4745</v>
      </c>
      <c r="AI14" s="2"/>
      <c r="AJ14" s="2"/>
      <c r="AK14" s="2"/>
      <c r="AL14" s="2"/>
      <c r="AM14" s="142">
        <f>IFERROR(__xludf.DUMMYFUNCTION("""COMPUTED_VALUE"""),2643.0)</f>
        <v>2643</v>
      </c>
      <c r="AN14" s="2"/>
      <c r="AO14" s="2"/>
      <c r="AP14" s="2"/>
      <c r="AQ14" s="2"/>
      <c r="AR14" s="2">
        <f>IFERROR(__xludf.DUMMYFUNCTION("""COMPUTED_VALUE"""),390426.0)</f>
        <v>390426</v>
      </c>
      <c r="AS14" s="143">
        <f>IFERROR(__xludf.DUMMYFUNCTION("""COMPUTED_VALUE"""),46156.0)</f>
        <v>46156</v>
      </c>
      <c r="AT14" s="2"/>
      <c r="AU14" s="2"/>
      <c r="AV14" s="2"/>
      <c r="AW14" s="2"/>
      <c r="AX14" s="2"/>
      <c r="AY14" s="2"/>
      <c r="AZ14" s="2" t="str">
        <f>IFERROR(__xludf.DUMMYFUNCTION("""COMPUTED_VALUE"""),"#REF!")</f>
        <v>#REF!</v>
      </c>
      <c r="BA14" s="2" t="str">
        <f>IFERROR(__xludf.DUMMYFUNCTION("""COMPUTED_VALUE"""),"Đủ điều kiện")</f>
        <v>Đủ điều kiện</v>
      </c>
      <c r="BB14" s="2" t="str">
        <f>IFERROR(__xludf.DUMMYFUNCTION("""COMPUTED_VALUE"""),"Duyệt")</f>
        <v>Duyệt</v>
      </c>
      <c r="BC14" s="148">
        <f>IFERROR(__xludf.DUMMYFUNCTION("""COMPUTED_VALUE"""),46136.0)</f>
        <v>46136</v>
      </c>
      <c r="BD14" s="2" t="str">
        <f>IFERROR(__xludf.DUMMYFUNCTION("""COMPUTED_VALUE"""),"Duyệt")</f>
        <v>Duyệt</v>
      </c>
      <c r="BE14" s="2" t="str">
        <f>IFERROR(__xludf.DUMMYFUNCTION("""COMPUTED_VALUE"""),"27/04 cho đi đơn trước , sẽ xử lý giá sau
xlg 29/04
29/04")</f>
        <v>27/04 cho đi đơn trước , sẽ xử lý giá sau
xlg 29/04
29/04</v>
      </c>
      <c r="BF14" s="2" t="str">
        <f>IFERROR(__xludf.DUMMYFUNCTION("""COMPUTED_VALUE"""),"Đã xử lí giá")</f>
        <v>Đã xử lí giá</v>
      </c>
      <c r="BG14" s="2" t="str">
        <f>IFERROR(__xludf.DUMMYFUNCTION("""COMPUTED_VALUE"""),"N06230326 Nước hồng chưa có giá bán khách hàng 25/4/2026
Hiện tại chưa có giá vốn, tuy nhiên chị Ngân đã duyệt cho đi đơn để chuẩn bị NL/BTP, nhằm kịp xử lý đơn hàng ngày 27/04/2026")</f>
        <v>N06230326 Nước hồng chưa có giá bán khách hàng 25/4/2026
Hiện tại chưa có giá vốn, tuy nhiên chị Ngân đã duyệt cho đi đơn để chuẩn bị NL/BTP, nhằm kịp xử lý đơn hàng ngày 27/04/2026</v>
      </c>
      <c r="BH14" s="2"/>
      <c r="BI14" s="2"/>
      <c r="BJ14" s="2"/>
      <c r="BK14" s="2"/>
      <c r="BL14" s="2"/>
      <c r="BM14" s="2"/>
      <c r="BN14" s="2"/>
      <c r="BO14" s="2"/>
      <c r="BP14" s="2"/>
      <c r="BQ14" s="2"/>
    </row>
    <row r="15">
      <c r="A15" s="2">
        <f>IFERROR(__xludf.DUMMYFUNCTION("""COMPUTED_VALUE"""),41.0)</f>
        <v>41</v>
      </c>
      <c r="B15" s="2" t="str">
        <f>IFERROR(__xludf.DUMMYFUNCTION("""COMPUTED_VALUE"""),"Dego Cần Thơ")</f>
        <v>Dego Cần Thơ</v>
      </c>
      <c r="C15" s="2" t="str">
        <f>IFERROR(__xludf.DUMMYFUNCTION("""COMPUTED_VALUE"""),"ITP29042605")</f>
        <v>ITP29042605</v>
      </c>
      <c r="D15" s="39">
        <f>IFERROR(__xludf.DUMMYFUNCTION("""COMPUTED_VALUE"""),46141.0)</f>
        <v>46141</v>
      </c>
      <c r="E15" s="2"/>
      <c r="F15" s="2" t="str">
        <f>IFERROR(__xludf.DUMMYFUNCTION("""COMPUTED_VALUE"""),"BAMBOO")</f>
        <v>BAMBOO</v>
      </c>
      <c r="G15" s="2" t="str">
        <f>IFERROR(__xludf.DUMMYFUNCTION("""COMPUTED_VALUE"""),"HH4375")</f>
        <v>HH4375</v>
      </c>
      <c r="H15" s="2" t="str">
        <f>IFERROR(__xludf.DUMMYFUNCTION("""COMPUTED_VALUE"""),"BAMBOO - VI - 4375 - BAMBOO CANXI BO MASTER (Nước trắng sữa) - 1L - 20")</f>
        <v>BAMBOO - VI - 4375 - BAMBOO CANXI BO MASTER (Nước trắng sữa) - 1L - 20</v>
      </c>
      <c r="I15" s="2" t="str">
        <f>IFERROR(__xludf.DUMMYFUNCTION("""COMPUTED_VALUE"""),"Phân bón")</f>
        <v>Phân bón</v>
      </c>
      <c r="J15" s="142" t="str">
        <f>IFERROR(__xludf.DUMMYFUNCTION("""COMPUTED_VALUE"""),"Vi lượng AGAMA-CANXI BO")</f>
        <v>Vi lượng AGAMA-CANXI BO</v>
      </c>
      <c r="K15" s="2" t="str">
        <f>IFERROR(__xludf.DUMMYFUNCTION("""COMPUTED_VALUE"""),"Đóng theo đơn gần nhất")</f>
        <v>Đóng theo đơn gần nhất</v>
      </c>
      <c r="L15" s="2" t="str">
        <f>IFERROR(__xludf.DUMMYFUNCTION("""COMPUTED_VALUE"""),"Nước trắng sữa")</f>
        <v>Nước trắng sữa</v>
      </c>
      <c r="M15" s="2" t="str">
        <f>IFERROR(__xludf.DUMMYFUNCTION("""COMPUTED_VALUE"""),"Chai")</f>
        <v>Chai</v>
      </c>
      <c r="N15" s="142">
        <f>IFERROR(__xludf.DUMMYFUNCTION("""COMPUTED_VALUE"""),20.0)</f>
        <v>20</v>
      </c>
      <c r="O15" s="142">
        <f>IFERROR(__xludf.DUMMYFUNCTION("""COMPUTED_VALUE"""),100.0)</f>
        <v>100</v>
      </c>
      <c r="P15" s="142">
        <f>IFERROR(__xludf.DUMMYFUNCTION("""COMPUTED_VALUE"""),2000.0)</f>
        <v>2000</v>
      </c>
      <c r="Q15" s="145">
        <f>IFERROR(__xludf.DUMMYFUNCTION("""COMPUTED_VALUE"""),46156.0)</f>
        <v>46156</v>
      </c>
      <c r="R15" s="2" t="str">
        <f>IFERROR(__xludf.DUMMYFUNCTION("""COMPUTED_VALUE"""),"x")</f>
        <v>x</v>
      </c>
      <c r="S15" s="142" t="str">
        <f>IFERROR(__xludf.DUMMYFUNCTION("""COMPUTED_VALUE"""),"x")</f>
        <v>x</v>
      </c>
      <c r="T15" s="142" t="str">
        <f>IFERROR(__xludf.DUMMYFUNCTION("""COMPUTED_VALUE"""),"x")</f>
        <v>x</v>
      </c>
      <c r="U15" s="142" t="str">
        <f>IFERROR(__xludf.DUMMYFUNCTION("""COMPUTED_VALUE"""),"x")</f>
        <v>x</v>
      </c>
      <c r="V15" s="142">
        <f>IFERROR(__xludf.DUMMYFUNCTION("""COMPUTED_VALUE"""),15.0)</f>
        <v>15</v>
      </c>
      <c r="W15" s="2" t="str">
        <f>IFERROR(__xludf.DUMMYFUNCTION("""COMPUTED_VALUE"""),"x - Giá bán 250000 - Ngày dự kiến thu tiền: x - Dự kiến ngày ra hết hàng: 30 ngày")</f>
        <v>x - Giá bán 250000 - Ngày dự kiến thu tiền: x - Dự kiến ngày ra hết hàng: 30 ngày</v>
      </c>
      <c r="X15" s="2"/>
      <c r="Y15" s="2" t="str">
        <f>IFERROR(__xludf.DUMMYFUNCTION("""COMPUTED_VALUE"""),"Dego Cần Thơ")</f>
        <v>Dego Cần Thơ</v>
      </c>
      <c r="Z15" s="2" t="str">
        <f>IFERROR(__xludf.DUMMYFUNCTION("""COMPUTED_VALUE"""),"Hàng sẵn kho")</f>
        <v>Hàng sẵn kho</v>
      </c>
      <c r="AA15" s="2"/>
      <c r="AB15" s="2" t="str">
        <f>IFERROR(__xludf.DUMMYFUNCTION("""COMPUTED_VALUE"""),"đủ vtbb")</f>
        <v>đủ vtbb</v>
      </c>
      <c r="AC15" s="146">
        <f>IFERROR(__xludf.DUMMYFUNCTION("""COMPUTED_VALUE"""),506.0)</f>
        <v>506</v>
      </c>
      <c r="AD15" s="146">
        <f>IFERROR(__xludf.DUMMYFUNCTION("""COMPUTED_VALUE"""),1498.0)</f>
        <v>1498</v>
      </c>
      <c r="AE15" s="2" t="str">
        <f>IFERROR(__xludf.DUMMYFUNCTION("""COMPUTED_VALUE"""),"đã bàn giao cho nhà máy 23/05")</f>
        <v>đã bàn giao cho nhà máy 23/05</v>
      </c>
      <c r="AF15" s="146" t="str">
        <f>IFERROR(__xludf.DUMMYFUNCTION("""COMPUTED_VALUE"""),"ITP29042605")</f>
        <v>ITP29042605</v>
      </c>
      <c r="AG15" s="143">
        <f>IFERROR(__xludf.DUMMYFUNCTION("""COMPUTED_VALUE"""),46153.0)</f>
        <v>46153</v>
      </c>
      <c r="AH15" s="146">
        <f>IFERROR(__xludf.DUMMYFUNCTION("""COMPUTED_VALUE"""),434.0)</f>
        <v>434</v>
      </c>
      <c r="AI15" s="143">
        <f>IFERROR(__xludf.DUMMYFUNCTION("""COMPUTED_VALUE"""),46154.0)</f>
        <v>46154</v>
      </c>
      <c r="AJ15" s="146">
        <f>IFERROR(__xludf.DUMMYFUNCTION("""COMPUTED_VALUE"""),1064.0)</f>
        <v>1064</v>
      </c>
      <c r="AK15" s="2"/>
      <c r="AL15" s="2"/>
      <c r="AM15" s="142">
        <f>IFERROR(__xludf.DUMMYFUNCTION("""COMPUTED_VALUE"""),612.0)</f>
        <v>612</v>
      </c>
      <c r="AN15" s="2"/>
      <c r="AO15" s="2"/>
      <c r="AP15" s="2"/>
      <c r="AQ15" s="2"/>
      <c r="AR15" s="2" t="str">
        <f>IFERROR(__xludf.DUMMYFUNCTION("""COMPUTED_VALUE"""),"300526 (53 thùng + 2 chai + 2 mẫu)
110526 (21 thùng + 12 chai + 2 mẫu)")</f>
        <v>300526 (53 thùng + 2 chai + 2 mẫu)
110526 (21 thùng + 12 chai + 2 mẫu)</v>
      </c>
      <c r="AS15" s="2" t="str">
        <f>IFERROR(__xludf.DUMMYFUNCTION("""COMPUTED_VALUE"""),"12/05/2026 (53 thùng + 2 chai + 2 mẫu)
11/05/2026 (21 thùng + 12 chai + 2 mẫu)")</f>
        <v>12/05/2026 (53 thùng + 2 chai + 2 mẫu)
11/05/2026 (21 thùng + 12 chai + 2 mẫu)</v>
      </c>
      <c r="AT15" s="2"/>
      <c r="AU15" s="142">
        <f>IFERROR(__xludf.DUMMYFUNCTION("""COMPUTED_VALUE"""),882.0)</f>
        <v>882</v>
      </c>
      <c r="AV15" s="2" t="str">
        <f>IFERROR(__xludf.DUMMYFUNCTION("""COMPUTED_VALUE"""),"16/05/2026 đã giao 44t+2 chai")</f>
        <v>16/05/2026 đã giao 44t+2 chai</v>
      </c>
      <c r="AW15" s="2"/>
      <c r="AX15" s="2"/>
      <c r="AY15" s="2"/>
      <c r="AZ15" s="2" t="str">
        <f>IFERROR(__xludf.DUMMYFUNCTION("""COMPUTED_VALUE"""),"#REF!")</f>
        <v>#REF!</v>
      </c>
      <c r="BA15" s="2" t="str">
        <f>IFERROR(__xludf.DUMMYFUNCTION("""COMPUTED_VALUE"""),"Đủ điều kiện")</f>
        <v>Đủ điều kiện</v>
      </c>
      <c r="BB15" s="2" t="str">
        <f>IFERROR(__xludf.DUMMYFUNCTION("""COMPUTED_VALUE"""),"Duyệt")</f>
        <v>Duyệt</v>
      </c>
      <c r="BC15" s="148">
        <f>IFERROR(__xludf.DUMMYFUNCTION("""COMPUTED_VALUE"""),46147.0)</f>
        <v>46147</v>
      </c>
      <c r="BD15" s="2" t="str">
        <f>IFERROR(__xludf.DUMMYFUNCTION("""COMPUTED_VALUE"""),"Duyệt")</f>
        <v>Duyệt</v>
      </c>
      <c r="BE15" s="2" t="str">
        <f>IFERROR(__xludf.DUMMYFUNCTION("""COMPUTED_VALUE"""),"xlg 29/04
04/05")</f>
        <v>xlg 29/04
04/05</v>
      </c>
      <c r="BF15" s="2" t="str">
        <f>IFERROR(__xludf.DUMMYFUNCTION("""COMPUTED_VALUE"""),"Đã xử lí giá")</f>
        <v>Đã xử lí giá</v>
      </c>
      <c r="BG15" s="2" t="str">
        <f>IFERROR(__xludf.DUMMYFUNCTION("""COMPUTED_VALUE"""),"Đóng theo đơn gần nhất Nước trắng sữa 250,000đ 29/4/2026")</f>
        <v>Đóng theo đơn gần nhất Nước trắng sữa 250,000đ 29/4/2026</v>
      </c>
      <c r="BH15" s="2"/>
      <c r="BI15" s="2"/>
      <c r="BJ15" s="2"/>
      <c r="BK15" s="2"/>
      <c r="BL15" s="2"/>
      <c r="BM15" s="2"/>
      <c r="BN15" s="2"/>
      <c r="BO15" s="2"/>
      <c r="BP15" s="2"/>
      <c r="BQ15" s="2"/>
    </row>
    <row r="16">
      <c r="A16" s="2">
        <f>IFERROR(__xludf.DUMMYFUNCTION("""COMPUTED_VALUE"""),42.0)</f>
        <v>42</v>
      </c>
      <c r="B16" s="2" t="str">
        <f>IFERROR(__xludf.DUMMYFUNCTION("""COMPUTED_VALUE"""),"Dego Cần Thơ")</f>
        <v>Dego Cần Thơ</v>
      </c>
      <c r="C16" s="2" t="str">
        <f>IFERROR(__xludf.DUMMYFUNCTION("""COMPUTED_VALUE"""),"ITP29042606")</f>
        <v>ITP29042606</v>
      </c>
      <c r="D16" s="39">
        <f>IFERROR(__xludf.DUMMYFUNCTION("""COMPUTED_VALUE"""),46141.0)</f>
        <v>46141</v>
      </c>
      <c r="E16" s="2"/>
      <c r="F16" s="2" t="str">
        <f>IFERROR(__xludf.DUMMYFUNCTION("""COMPUTED_VALUE"""),"BAMBOO")</f>
        <v>BAMBOO</v>
      </c>
      <c r="G16" s="2" t="str">
        <f>IFERROR(__xludf.DUMMYFUNCTION("""COMPUTED_VALUE"""),"HH4375")</f>
        <v>HH4375</v>
      </c>
      <c r="H16" s="2" t="str">
        <f>IFERROR(__xludf.DUMMYFUNCTION("""COMPUTED_VALUE"""),"BAMBOO - VI - 4375 - BAMBOO CANXI BO MASTER (Nước trắng sữa) - 1L - 20")</f>
        <v>BAMBOO - VI - 4375 - BAMBOO CANXI BO MASTER (Nước trắng sữa) - 1L - 20</v>
      </c>
      <c r="I16" s="2" t="str">
        <f>IFERROR(__xludf.DUMMYFUNCTION("""COMPUTED_VALUE"""),"Phân bón")</f>
        <v>Phân bón</v>
      </c>
      <c r="J16" s="142" t="str">
        <f>IFERROR(__xludf.DUMMYFUNCTION("""COMPUTED_VALUE"""),"Vi lượng AGAMA-CANXI BO")</f>
        <v>Vi lượng AGAMA-CANXI BO</v>
      </c>
      <c r="K16" s="2" t="str">
        <f>IFERROR(__xludf.DUMMYFUNCTION("""COMPUTED_VALUE"""),"Đóng theo đơn gần nhất")</f>
        <v>Đóng theo đơn gần nhất</v>
      </c>
      <c r="L16" s="2" t="str">
        <f>IFERROR(__xludf.DUMMYFUNCTION("""COMPUTED_VALUE"""),"Nước trắng sữa")</f>
        <v>Nước trắng sữa</v>
      </c>
      <c r="M16" s="2" t="str">
        <f>IFERROR(__xludf.DUMMYFUNCTION("""COMPUTED_VALUE"""),"Chai")</f>
        <v>Chai</v>
      </c>
      <c r="N16" s="142">
        <f>IFERROR(__xludf.DUMMYFUNCTION("""COMPUTED_VALUE"""),20.0)</f>
        <v>20</v>
      </c>
      <c r="O16" s="142">
        <f>IFERROR(__xludf.DUMMYFUNCTION("""COMPUTED_VALUE"""),100.0)</f>
        <v>100</v>
      </c>
      <c r="P16" s="142">
        <f>IFERROR(__xludf.DUMMYFUNCTION("""COMPUTED_VALUE"""),2000.0)</f>
        <v>2000</v>
      </c>
      <c r="Q16" s="145">
        <f>IFERROR(__xludf.DUMMYFUNCTION("""COMPUTED_VALUE"""),46160.0)</f>
        <v>46160</v>
      </c>
      <c r="R16" s="2" t="str">
        <f>IFERROR(__xludf.DUMMYFUNCTION("""COMPUTED_VALUE"""),"x")</f>
        <v>x</v>
      </c>
      <c r="S16" s="142" t="str">
        <f>IFERROR(__xludf.DUMMYFUNCTION("""COMPUTED_VALUE"""),"x")</f>
        <v>x</v>
      </c>
      <c r="T16" s="142" t="str">
        <f>IFERROR(__xludf.DUMMYFUNCTION("""COMPUTED_VALUE"""),"x")</f>
        <v>x</v>
      </c>
      <c r="U16" s="142" t="str">
        <f>IFERROR(__xludf.DUMMYFUNCTION("""COMPUTED_VALUE"""),"x")</f>
        <v>x</v>
      </c>
      <c r="V16" s="142">
        <f>IFERROR(__xludf.DUMMYFUNCTION("""COMPUTED_VALUE"""),19.0)</f>
        <v>19</v>
      </c>
      <c r="W16" s="2" t="str">
        <f>IFERROR(__xludf.DUMMYFUNCTION("""COMPUTED_VALUE"""),"x - Giá bán 250000 - Ngày dự kiến thu tiền: x - Dự kiến ngày ra hết hàng: 30 ngày")</f>
        <v>x - Giá bán 250000 - Ngày dự kiến thu tiền: x - Dự kiến ngày ra hết hàng: 30 ngày</v>
      </c>
      <c r="X16" s="2"/>
      <c r="Y16" s="2" t="str">
        <f>IFERROR(__xludf.DUMMYFUNCTION("""COMPUTED_VALUE"""),"Dego Cần Thơ")</f>
        <v>Dego Cần Thơ</v>
      </c>
      <c r="Z16" s="2" t="str">
        <f>IFERROR(__xludf.DUMMYFUNCTION("""COMPUTED_VALUE"""),"Đã có lịch SX")</f>
        <v>Đã có lịch SX</v>
      </c>
      <c r="AA16" s="2"/>
      <c r="AB16" s="2" t="str">
        <f>IFERROR(__xludf.DUMMYFUNCTION("""COMPUTED_VALUE"""),"đủ vtbb")</f>
        <v>đủ vtbb</v>
      </c>
      <c r="AC16" s="146">
        <f>IFERROR(__xludf.DUMMYFUNCTION("""COMPUTED_VALUE"""),2000.0)</f>
        <v>2000</v>
      </c>
      <c r="AD16" s="2"/>
      <c r="AE16" s="2" t="str">
        <f>IFERROR(__xludf.DUMMYFUNCTION("""COMPUTED_VALUE"""),"đã bàn giao cho nhà máy 23/05")</f>
        <v>đã bàn giao cho nhà máy 23/05</v>
      </c>
      <c r="AF16" s="146" t="str">
        <f>IFERROR(__xludf.DUMMYFUNCTION("""COMPUTED_VALUE"""),"")</f>
        <v/>
      </c>
      <c r="AG16" s="2"/>
      <c r="AH16" s="2"/>
      <c r="AI16" s="2"/>
      <c r="AJ16" s="2"/>
      <c r="AK16" s="2"/>
      <c r="AL16" s="2"/>
      <c r="AM16" s="2"/>
      <c r="AN16" s="2"/>
      <c r="AO16" s="2"/>
      <c r="AP16" s="2"/>
      <c r="AQ16" s="2"/>
      <c r="AR16" s="2"/>
      <c r="AS16" s="2"/>
      <c r="AT16" s="2"/>
      <c r="AU16" s="2"/>
      <c r="AV16" s="2"/>
      <c r="AW16" s="2"/>
      <c r="AX16" s="2"/>
      <c r="AY16" s="2"/>
      <c r="AZ16" s="2" t="str">
        <f>IFERROR(__xludf.DUMMYFUNCTION("""COMPUTED_VALUE"""),"#REF!")</f>
        <v>#REF!</v>
      </c>
      <c r="BA16" s="2" t="str">
        <f>IFERROR(__xludf.DUMMYFUNCTION("""COMPUTED_VALUE"""),"Đủ điều kiện")</f>
        <v>Đủ điều kiện</v>
      </c>
      <c r="BB16" s="2" t="str">
        <f>IFERROR(__xludf.DUMMYFUNCTION("""COMPUTED_VALUE"""),"Duyệt")</f>
        <v>Duyệt</v>
      </c>
      <c r="BC16" s="148">
        <f>IFERROR(__xludf.DUMMYFUNCTION("""COMPUTED_VALUE"""),46147.0)</f>
        <v>46147</v>
      </c>
      <c r="BD16" s="2" t="str">
        <f>IFERROR(__xludf.DUMMYFUNCTION("""COMPUTED_VALUE"""),"Duyệt")</f>
        <v>Duyệt</v>
      </c>
      <c r="BE16" s="2" t="str">
        <f>IFERROR(__xludf.DUMMYFUNCTION("""COMPUTED_VALUE"""),"xlg 29/04
04/05")</f>
        <v>xlg 29/04
04/05</v>
      </c>
      <c r="BF16" s="2" t="str">
        <f>IFERROR(__xludf.DUMMYFUNCTION("""COMPUTED_VALUE"""),"Đã xử lí giá")</f>
        <v>Đã xử lí giá</v>
      </c>
      <c r="BG16" s="2" t="str">
        <f>IFERROR(__xludf.DUMMYFUNCTION("""COMPUTED_VALUE"""),"Đóng theo đơn gần nhất Nước trắng sữa 250,000đ 29/4/2026")</f>
        <v>Đóng theo đơn gần nhất Nước trắng sữa 250,000đ 29/4/2026</v>
      </c>
      <c r="BH16" s="2"/>
      <c r="BI16" s="2"/>
      <c r="BJ16" s="2"/>
      <c r="BK16" s="2"/>
      <c r="BL16" s="2"/>
      <c r="BM16" s="2"/>
      <c r="BN16" s="2"/>
      <c r="BO16" s="2"/>
      <c r="BP16" s="2"/>
      <c r="BQ16" s="2"/>
    </row>
    <row r="17">
      <c r="A17" s="2">
        <f>IFERROR(__xludf.DUMMYFUNCTION("""COMPUTED_VALUE"""),43.0)</f>
        <v>43</v>
      </c>
      <c r="B17" s="2" t="str">
        <f>IFERROR(__xludf.DUMMYFUNCTION("""COMPUTED_VALUE"""),"Dego Cần Thơ")</f>
        <v>Dego Cần Thơ</v>
      </c>
      <c r="C17" s="2" t="str">
        <f>IFERROR(__xludf.DUMMYFUNCTION("""COMPUTED_VALUE"""),"ITP29042607")</f>
        <v>ITP29042607</v>
      </c>
      <c r="D17" s="39">
        <f>IFERROR(__xludf.DUMMYFUNCTION("""COMPUTED_VALUE"""),46141.0)</f>
        <v>46141</v>
      </c>
      <c r="E17" s="2"/>
      <c r="F17" s="2" t="str">
        <f>IFERROR(__xludf.DUMMYFUNCTION("""COMPUTED_VALUE"""),"BAMBOO")</f>
        <v>BAMBOO</v>
      </c>
      <c r="G17" s="2" t="str">
        <f>IFERROR(__xludf.DUMMYFUNCTION("""COMPUTED_VALUE"""),"HH4375")</f>
        <v>HH4375</v>
      </c>
      <c r="H17" s="2" t="str">
        <f>IFERROR(__xludf.DUMMYFUNCTION("""COMPUTED_VALUE"""),"BAMBOO - VI - 4375 - BAMBOO CANXI BO MASTER (Nước trắng sữa) - 1L - 20")</f>
        <v>BAMBOO - VI - 4375 - BAMBOO CANXI BO MASTER (Nước trắng sữa) - 1L - 20</v>
      </c>
      <c r="I17" s="2" t="str">
        <f>IFERROR(__xludf.DUMMYFUNCTION("""COMPUTED_VALUE"""),"Phân bón")</f>
        <v>Phân bón</v>
      </c>
      <c r="J17" s="142" t="str">
        <f>IFERROR(__xludf.DUMMYFUNCTION("""COMPUTED_VALUE"""),"Vi lượng AGAMA-CANXI BO")</f>
        <v>Vi lượng AGAMA-CANXI BO</v>
      </c>
      <c r="K17" s="2" t="str">
        <f>IFERROR(__xludf.DUMMYFUNCTION("""COMPUTED_VALUE"""),"Đóng theo đơn gần nhất")</f>
        <v>Đóng theo đơn gần nhất</v>
      </c>
      <c r="L17" s="2" t="str">
        <f>IFERROR(__xludf.DUMMYFUNCTION("""COMPUTED_VALUE"""),"Nước trắng sữa")</f>
        <v>Nước trắng sữa</v>
      </c>
      <c r="M17" s="2" t="str">
        <f>IFERROR(__xludf.DUMMYFUNCTION("""COMPUTED_VALUE"""),"Chai")</f>
        <v>Chai</v>
      </c>
      <c r="N17" s="142">
        <f>IFERROR(__xludf.DUMMYFUNCTION("""COMPUTED_VALUE"""),20.0)</f>
        <v>20</v>
      </c>
      <c r="O17" s="142">
        <f>IFERROR(__xludf.DUMMYFUNCTION("""COMPUTED_VALUE"""),100.0)</f>
        <v>100</v>
      </c>
      <c r="P17" s="142">
        <f>IFERROR(__xludf.DUMMYFUNCTION("""COMPUTED_VALUE"""),2000.0)</f>
        <v>2000</v>
      </c>
      <c r="Q17" s="145">
        <f>IFERROR(__xludf.DUMMYFUNCTION("""COMPUTED_VALUE"""),46167.0)</f>
        <v>46167</v>
      </c>
      <c r="R17" s="2" t="str">
        <f>IFERROR(__xludf.DUMMYFUNCTION("""COMPUTED_VALUE"""),"x")</f>
        <v>x</v>
      </c>
      <c r="S17" s="142" t="str">
        <f>IFERROR(__xludf.DUMMYFUNCTION("""COMPUTED_VALUE"""),"x")</f>
        <v>x</v>
      </c>
      <c r="T17" s="142" t="str">
        <f>IFERROR(__xludf.DUMMYFUNCTION("""COMPUTED_VALUE"""),"x")</f>
        <v>x</v>
      </c>
      <c r="U17" s="142" t="str">
        <f>IFERROR(__xludf.DUMMYFUNCTION("""COMPUTED_VALUE"""),"x")</f>
        <v>x</v>
      </c>
      <c r="V17" s="142">
        <f>IFERROR(__xludf.DUMMYFUNCTION("""COMPUTED_VALUE"""),26.0)</f>
        <v>26</v>
      </c>
      <c r="W17" s="2" t="str">
        <f>IFERROR(__xludf.DUMMYFUNCTION("""COMPUTED_VALUE"""),"x - Giá bán 250000 - Ngày dự kiến thu tiền: x - Dự kiến ngày ra hết hàng: 30 ngày")</f>
        <v>x - Giá bán 250000 - Ngày dự kiến thu tiền: x - Dự kiến ngày ra hết hàng: 30 ngày</v>
      </c>
      <c r="X17" s="2"/>
      <c r="Y17" s="2" t="str">
        <f>IFERROR(__xludf.DUMMYFUNCTION("""COMPUTED_VALUE"""),"Dego Cần Thơ")</f>
        <v>Dego Cần Thơ</v>
      </c>
      <c r="Z17" s="2" t="str">
        <f>IFERROR(__xludf.DUMMYFUNCTION("""COMPUTED_VALUE"""),"Đã có lịch SX")</f>
        <v>Đã có lịch SX</v>
      </c>
      <c r="AA17" s="2"/>
      <c r="AB17" s="2" t="str">
        <f>IFERROR(__xludf.DUMMYFUNCTION("""COMPUTED_VALUE"""),"đủ vtbb")</f>
        <v>đủ vtbb</v>
      </c>
      <c r="AC17" s="146">
        <f>IFERROR(__xludf.DUMMYFUNCTION("""COMPUTED_VALUE"""),2000.0)</f>
        <v>2000</v>
      </c>
      <c r="AD17" s="2"/>
      <c r="AE17" s="2" t="str">
        <f>IFERROR(__xludf.DUMMYFUNCTION("""COMPUTED_VALUE"""),"đã bàn giao cho nhà máy 23/05")</f>
        <v>đã bàn giao cho nhà máy 23/05</v>
      </c>
      <c r="AF17" s="146" t="str">
        <f>IFERROR(__xludf.DUMMYFUNCTION("""COMPUTED_VALUE"""),"")</f>
        <v/>
      </c>
      <c r="AG17" s="2"/>
      <c r="AH17" s="2"/>
      <c r="AI17" s="2"/>
      <c r="AJ17" s="2"/>
      <c r="AK17" s="2"/>
      <c r="AL17" s="2"/>
      <c r="AM17" s="2"/>
      <c r="AN17" s="2"/>
      <c r="AO17" s="2"/>
      <c r="AP17" s="2"/>
      <c r="AQ17" s="2"/>
      <c r="AR17" s="2"/>
      <c r="AS17" s="2"/>
      <c r="AT17" s="2"/>
      <c r="AU17" s="2"/>
      <c r="AV17" s="2"/>
      <c r="AW17" s="2"/>
      <c r="AX17" s="2"/>
      <c r="AY17" s="2"/>
      <c r="AZ17" s="2" t="str">
        <f>IFERROR(__xludf.DUMMYFUNCTION("""COMPUTED_VALUE"""),"#REF!")</f>
        <v>#REF!</v>
      </c>
      <c r="BA17" s="2" t="str">
        <f>IFERROR(__xludf.DUMMYFUNCTION("""COMPUTED_VALUE"""),"Đủ điều kiện")</f>
        <v>Đủ điều kiện</v>
      </c>
      <c r="BB17" s="2" t="str">
        <f>IFERROR(__xludf.DUMMYFUNCTION("""COMPUTED_VALUE"""),"Duyệt")</f>
        <v>Duyệt</v>
      </c>
      <c r="BC17" s="148">
        <f>IFERROR(__xludf.DUMMYFUNCTION("""COMPUTED_VALUE"""),46147.0)</f>
        <v>46147</v>
      </c>
      <c r="BD17" s="2" t="str">
        <f>IFERROR(__xludf.DUMMYFUNCTION("""COMPUTED_VALUE"""),"Duyệt")</f>
        <v>Duyệt</v>
      </c>
      <c r="BE17" s="2" t="str">
        <f>IFERROR(__xludf.DUMMYFUNCTION("""COMPUTED_VALUE"""),"xlg 29/04
04/05")</f>
        <v>xlg 29/04
04/05</v>
      </c>
      <c r="BF17" s="2" t="str">
        <f>IFERROR(__xludf.DUMMYFUNCTION("""COMPUTED_VALUE"""),"Đã xử lí giá")</f>
        <v>Đã xử lí giá</v>
      </c>
      <c r="BG17" s="2" t="str">
        <f>IFERROR(__xludf.DUMMYFUNCTION("""COMPUTED_VALUE"""),"Đóng theo đơn gần nhất Nước trắng sữa 250,000đ 29/4/2026")</f>
        <v>Đóng theo đơn gần nhất Nước trắng sữa 250,000đ 29/4/2026</v>
      </c>
      <c r="BH17" s="2"/>
      <c r="BI17" s="2"/>
      <c r="BJ17" s="2"/>
      <c r="BK17" s="2"/>
      <c r="BL17" s="2"/>
      <c r="BM17" s="2"/>
      <c r="BN17" s="2"/>
      <c r="BO17" s="2"/>
      <c r="BP17" s="2"/>
      <c r="BQ17" s="2"/>
    </row>
    <row r="18">
      <c r="A18" s="2">
        <f>IFERROR(__xludf.DUMMYFUNCTION("""COMPUTED_VALUE"""),46.0)</f>
        <v>46</v>
      </c>
      <c r="B18" s="2" t="str">
        <f>IFERROR(__xludf.DUMMYFUNCTION("""COMPUTED_VALUE"""),"Dego Cần Thơ")</f>
        <v>Dego Cần Thơ</v>
      </c>
      <c r="C18" s="2" t="str">
        <f>IFERROR(__xludf.DUMMYFUNCTION("""COMPUTED_VALUE"""),"ATP05052604")</f>
        <v>ATP05052604</v>
      </c>
      <c r="D18" s="39">
        <f>IFERROR(__xludf.DUMMYFUNCTION("""COMPUTED_VALUE"""),46147.0)</f>
        <v>46147</v>
      </c>
      <c r="E18" s="2" t="str">
        <f>IFERROR(__xludf.DUMMYFUNCTION("""COMPUTED_VALUE"""),"Đã duyệt")</f>
        <v>Đã duyệt</v>
      </c>
      <c r="F18" s="2" t="str">
        <f>IFERROR(__xludf.DUMMYFUNCTION("""COMPUTED_VALUE"""),"ABA")</f>
        <v>ABA</v>
      </c>
      <c r="G18" s="2" t="str">
        <f>IFERROR(__xludf.DUMMYFUNCTION("""COMPUTED_VALUE"""),"HH4976")</f>
        <v>HH4976</v>
      </c>
      <c r="H18" s="2" t="str">
        <f>IFERROR(__xludf.DUMMYFUNCTION("""COMPUTED_VALUE"""),"GC - V - 4976 - CTY AN LẠC - GROW 7-7-7 + TE (Gel xanh lơ) - 50ml - 300")</f>
        <v>GC - V - 4976 - CTY AN LẠC - GROW 7-7-7 + TE (Gel xanh lơ) - 50ml - 300</v>
      </c>
      <c r="I18" s="2" t="str">
        <f>IFERROR(__xludf.DUMMYFUNCTION("""COMPUTED_VALUE"""),"Phân bón")</f>
        <v>Phân bón</v>
      </c>
      <c r="J18" s="142" t="str">
        <f>IFERROR(__xludf.DUMMYFUNCTION("""COMPUTED_VALUE"""),"lá NPK-vi lượng GNC19")</f>
        <v>lá NPK-vi lượng GNC19</v>
      </c>
      <c r="K18" s="2" t="str">
        <f>IFERROR(__xludf.DUMMYFUNCTION("""COMPUTED_VALUE"""),"A07290725")</f>
        <v>A07290725</v>
      </c>
      <c r="L18" s="2" t="str">
        <f>IFERROR(__xludf.DUMMYFUNCTION("""COMPUTED_VALUE"""),"Gel xanh lơ")</f>
        <v>Gel xanh lơ</v>
      </c>
      <c r="M18" s="2" t="str">
        <f>IFERROR(__xludf.DUMMYFUNCTION("""COMPUTED_VALUE"""),"Túi/Gói")</f>
        <v>Túi/Gói</v>
      </c>
      <c r="N18" s="142">
        <f>IFERROR(__xludf.DUMMYFUNCTION("""COMPUTED_VALUE"""),300.0)</f>
        <v>300</v>
      </c>
      <c r="O18" s="142">
        <f>IFERROR(__xludf.DUMMYFUNCTION("""COMPUTED_VALUE"""),15.0)</f>
        <v>15</v>
      </c>
      <c r="P18" s="142">
        <f>IFERROR(__xludf.DUMMYFUNCTION("""COMPUTED_VALUE"""),4500.0)</f>
        <v>4500</v>
      </c>
      <c r="Q18" s="145">
        <f>IFERROR(__xludf.DUMMYFUNCTION("""COMPUTED_VALUE"""),46158.0)</f>
        <v>46158</v>
      </c>
      <c r="R18" s="2"/>
      <c r="S18" s="142" t="str">
        <f>IFERROR(__xludf.DUMMYFUNCTION("""COMPUTED_VALUE"""),"lấy chẳn thùng
hàng cần gấp")</f>
        <v>lấy chẳn thùng
hàng cần gấp</v>
      </c>
      <c r="T18" s="2"/>
      <c r="U18" s="2"/>
      <c r="V18" s="2"/>
      <c r="W18" s="2" t="str">
        <f>IFERROR(__xludf.DUMMYFUNCTION("""COMPUTED_VALUE"""),"AN LẠC - Giá bán 4.300,00 đ - Ngày dự kiến thu tiền:  - Dự kiến ngày ra hết hàng: ")</f>
        <v>AN LẠC - Giá bán 4.300,00 đ - Ngày dự kiến thu tiền:  - Dự kiến ngày ra hết hàng: </v>
      </c>
      <c r="X18" s="2"/>
      <c r="Y18" s="2" t="str">
        <f>IFERROR(__xludf.DUMMYFUNCTION("""COMPUTED_VALUE"""),"Dego Cần Thơ")</f>
        <v>Dego Cần Thơ</v>
      </c>
      <c r="Z18" s="2" t="str">
        <f>IFERROR(__xludf.DUMMYFUNCTION("""COMPUTED_VALUE"""),"Hàng sẵn kho")</f>
        <v>Hàng sẵn kho</v>
      </c>
      <c r="AA18" s="2"/>
      <c r="AB18" s="2" t="str">
        <f>IFERROR(__xludf.DUMMYFUNCTION("""COMPUTED_VALUE"""),"chờ chị Huỳnh chờ duyệt giá 07/05-08/05
đã đủ dk 11/05
đã có hóa đơn 25/05 lấy hàng được")</f>
        <v>chờ chị Huỳnh chờ duyệt giá 07/05-08/05
đã đủ dk 11/05
đã có hóa đơn 25/05 lấy hàng được</v>
      </c>
      <c r="AC18" s="2"/>
      <c r="AD18" s="146">
        <f>IFERROR(__xludf.DUMMYFUNCTION("""COMPUTED_VALUE"""),4785.0)</f>
        <v>4785</v>
      </c>
      <c r="AE18" s="2" t="str">
        <f>IFERROR(__xludf.DUMMYFUNCTION("""COMPUTED_VALUE"""),"đã bàn giao cho nhà máy 23/05")</f>
        <v>đã bàn giao cho nhà máy 23/05</v>
      </c>
      <c r="AF18" s="146" t="str">
        <f>IFERROR(__xludf.DUMMYFUNCTION("""COMPUTED_VALUE"""),"ATP05052604")</f>
        <v>ATP05052604</v>
      </c>
      <c r="AG18" s="143">
        <f>IFERROR(__xludf.DUMMYFUNCTION("""COMPUTED_VALUE"""),46164.0)</f>
        <v>46164</v>
      </c>
      <c r="AH18" s="146">
        <f>IFERROR(__xludf.DUMMYFUNCTION("""COMPUTED_VALUE"""),4785.0)</f>
        <v>4785</v>
      </c>
      <c r="AI18" s="2"/>
      <c r="AJ18" s="2"/>
      <c r="AK18" s="2"/>
      <c r="AL18" s="2"/>
      <c r="AM18" s="142">
        <f>IFERROR(__xludf.DUMMYFUNCTION("""COMPUTED_VALUE"""),4783.0)</f>
        <v>4783</v>
      </c>
      <c r="AN18" s="2"/>
      <c r="AO18" s="2"/>
      <c r="AP18" s="2"/>
      <c r="AQ18" s="2"/>
      <c r="AR18" s="2">
        <f>IFERROR(__xludf.DUMMYFUNCTION("""COMPUTED_VALUE"""),200526.0)</f>
        <v>200526</v>
      </c>
      <c r="AS18" s="143">
        <f>IFERROR(__xludf.DUMMYFUNCTION("""COMPUTED_VALUE"""),46162.0)</f>
        <v>46162</v>
      </c>
      <c r="AT18" s="2"/>
      <c r="AU18" s="2"/>
      <c r="AV18" s="2"/>
      <c r="AW18" s="2"/>
      <c r="AX18" s="2"/>
      <c r="AY18" s="2"/>
      <c r="AZ18" s="2" t="str">
        <f>IFERROR(__xludf.DUMMYFUNCTION("""COMPUTED_VALUE"""),"#REF!")</f>
        <v>#REF!</v>
      </c>
      <c r="BA18" s="2" t="str">
        <f>IFERROR(__xludf.DUMMYFUNCTION("""COMPUTED_VALUE"""),"Đủ điều kiện")</f>
        <v>Đủ điều kiện</v>
      </c>
      <c r="BB18" s="2" t="str">
        <f>IFERROR(__xludf.DUMMYFUNCTION("""COMPUTED_VALUE"""),"Duyệt")</f>
        <v>Duyệt</v>
      </c>
      <c r="BC18" s="148">
        <f>IFERROR(__xludf.DUMMYFUNCTION("""COMPUTED_VALUE"""),46148.0)</f>
        <v>46148</v>
      </c>
      <c r="BD18" s="2" t="str">
        <f>IFERROR(__xludf.DUMMYFUNCTION("""COMPUTED_VALUE"""),"Duyệt")</f>
        <v>Duyệt</v>
      </c>
      <c r="BE18" s="2" t="str">
        <f>IFERROR(__xludf.DUMMYFUNCTION("""COMPUTED_VALUE"""),"xlg 07/05
09/05")</f>
        <v>xlg 07/05
09/05</v>
      </c>
      <c r="BF18" s="2" t="str">
        <f>IFERROR(__xludf.DUMMYFUNCTION("""COMPUTED_VALUE"""),"Đã xử lí giá")</f>
        <v>Đã xử lí giá</v>
      </c>
      <c r="BG18" s="2" t="str">
        <f>IFERROR(__xludf.DUMMYFUNCTION("""COMPUTED_VALUE"""),"A07290725 Gel xanh lơ 4,300đ 7/5//2026")</f>
        <v>A07290725 Gel xanh lơ 4,300đ 7/5//2026</v>
      </c>
      <c r="BH18" s="2"/>
      <c r="BI18" s="2"/>
      <c r="BJ18" s="2"/>
      <c r="BK18" s="2"/>
      <c r="BL18" s="2"/>
      <c r="BM18" s="2"/>
      <c r="BN18" s="2"/>
      <c r="BO18" s="2"/>
      <c r="BP18" s="2"/>
      <c r="BQ18" s="2"/>
    </row>
    <row r="19">
      <c r="A19" s="2">
        <f>IFERROR(__xludf.DUMMYFUNCTION("""COMPUTED_VALUE"""),49.0)</f>
        <v>49</v>
      </c>
      <c r="B19" s="2" t="str">
        <f>IFERROR(__xludf.DUMMYFUNCTION("""COMPUTED_VALUE"""),"Dego Cần Thơ")</f>
        <v>Dego Cần Thơ</v>
      </c>
      <c r="C19" s="2" t="str">
        <f>IFERROR(__xludf.DUMMYFUNCTION("""COMPUTED_VALUE"""),"ITP07052601")</f>
        <v>ITP07052601</v>
      </c>
      <c r="D19" s="39">
        <f>IFERROR(__xludf.DUMMYFUNCTION("""COMPUTED_VALUE"""),46149.0)</f>
        <v>46149</v>
      </c>
      <c r="E19" s="2"/>
      <c r="F19" s="2" t="str">
        <f>IFERROR(__xludf.DUMMYFUNCTION("""COMPUTED_VALUE"""),"BAMBOO")</f>
        <v>BAMBOO</v>
      </c>
      <c r="G19" s="2" t="str">
        <f>IFERROR(__xludf.DUMMYFUNCTION("""COMPUTED_VALUE"""),"HH4311")</f>
        <v>HH4311</v>
      </c>
      <c r="H19" s="2" t="str">
        <f>IFERROR(__xludf.DUMMYFUNCTION("""COMPUTED_VALUE"""),"BAMBOO - VI - 4311 - BAMBOO 777 TE (nước xanh lơ) - 1L - 20")</f>
        <v>BAMBOO - VI - 4311 - BAMBOO 777 TE (nước xanh lơ) - 1L - 20</v>
      </c>
      <c r="I19" s="2" t="str">
        <f>IFERROR(__xludf.DUMMYFUNCTION("""COMPUTED_VALUE"""),"Phân bón")</f>
        <v>Phân bón</v>
      </c>
      <c r="J19" s="142" t="str">
        <f>IFERROR(__xludf.DUMMYFUNCTION("""COMPUTED_VALUE"""),"lá NPK-vi lượng GNC19")</f>
        <v>lá NPK-vi lượng GNC19</v>
      </c>
      <c r="K19" s="2" t="str">
        <f>IFERROR(__xludf.DUMMYFUNCTION("""COMPUTED_VALUE"""),"Đóng theo đơn gần nhất")</f>
        <v>Đóng theo đơn gần nhất</v>
      </c>
      <c r="L19" s="2" t="str">
        <f>IFERROR(__xludf.DUMMYFUNCTION("""COMPUTED_VALUE"""),"Nước xanh lơ")</f>
        <v>Nước xanh lơ</v>
      </c>
      <c r="M19" s="2" t="str">
        <f>IFERROR(__xludf.DUMMYFUNCTION("""COMPUTED_VALUE"""),"Chai")</f>
        <v>Chai</v>
      </c>
      <c r="N19" s="142">
        <f>IFERROR(__xludf.DUMMYFUNCTION("""COMPUTED_VALUE"""),20.0)</f>
        <v>20</v>
      </c>
      <c r="O19" s="142">
        <f>IFERROR(__xludf.DUMMYFUNCTION("""COMPUTED_VALUE"""),35.0)</f>
        <v>35</v>
      </c>
      <c r="P19" s="142">
        <f>IFERROR(__xludf.DUMMYFUNCTION("""COMPUTED_VALUE"""),700.0)</f>
        <v>700</v>
      </c>
      <c r="Q19" s="145">
        <f>IFERROR(__xludf.DUMMYFUNCTION("""COMPUTED_VALUE"""),46155.0)</f>
        <v>46155</v>
      </c>
      <c r="R19" s="2" t="str">
        <f>IFERROR(__xludf.DUMMYFUNCTION("""COMPUTED_VALUE"""),"x")</f>
        <v>x</v>
      </c>
      <c r="S19" s="142" t="str">
        <f>IFERROR(__xludf.DUMMYFUNCTION("""COMPUTED_VALUE""")," nhận lẻ thùng")</f>
        <v> nhận lẻ thùng</v>
      </c>
      <c r="T19" s="142" t="str">
        <f>IFERROR(__xludf.DUMMYFUNCTION("""COMPUTED_VALUE"""),"x")</f>
        <v>x</v>
      </c>
      <c r="U19" s="142" t="str">
        <f>IFERROR(__xludf.DUMMYFUNCTION("""COMPUTED_VALUE"""),"x")</f>
        <v>x</v>
      </c>
      <c r="V19" s="142">
        <f>IFERROR(__xludf.DUMMYFUNCTION("""COMPUTED_VALUE"""),6.0)</f>
        <v>6</v>
      </c>
      <c r="W19" s="2" t="str">
        <f>IFERROR(__xludf.DUMMYFUNCTION("""COMPUTED_VALUE"""),"x - Giá bán 290000 - Ngày dự kiến thu tiền: x - Dự kiến ngày ra hết hàng: 30 ngày")</f>
        <v>x - Giá bán 290000 - Ngày dự kiến thu tiền: x - Dự kiến ngày ra hết hàng: 30 ngày</v>
      </c>
      <c r="X19" s="2"/>
      <c r="Y19" s="2" t="str">
        <f>IFERROR(__xludf.DUMMYFUNCTION("""COMPUTED_VALUE"""),"Dego Cần Thơ")</f>
        <v>Dego Cần Thơ</v>
      </c>
      <c r="Z19" s="2" t="str">
        <f>IFERROR(__xludf.DUMMYFUNCTION("""COMPUTED_VALUE"""),"Hàng sẵn kho")</f>
        <v>Hàng sẵn kho</v>
      </c>
      <c r="AA19" s="2"/>
      <c r="AB19" s="2" t="str">
        <f>IFERROR(__xludf.DUMMYFUNCTION("""COMPUTED_VALUE"""),"chưa gửi đơn, chưa duyệt giá (7-9/5)")</f>
        <v>chưa gửi đơn, chưa duyệt giá (7-9/5)</v>
      </c>
      <c r="AC19" s="2"/>
      <c r="AD19" s="146">
        <f>IFERROR(__xludf.DUMMYFUNCTION("""COMPUTED_VALUE"""),685.0)</f>
        <v>685</v>
      </c>
      <c r="AE19" s="2" t="str">
        <f>IFERROR(__xludf.DUMMYFUNCTION("""COMPUTED_VALUE"""),"đã bàn giao cho nhà máy 23/05")</f>
        <v>đã bàn giao cho nhà máy 23/05</v>
      </c>
      <c r="AF19" s="146" t="str">
        <f>IFERROR(__xludf.DUMMYFUNCTION("""COMPUTED_VALUE"""),"ITP07052601")</f>
        <v>ITP07052601</v>
      </c>
      <c r="AG19" s="143">
        <f>IFERROR(__xludf.DUMMYFUNCTION("""COMPUTED_VALUE"""),46160.0)</f>
        <v>46160</v>
      </c>
      <c r="AH19" s="146">
        <f>IFERROR(__xludf.DUMMYFUNCTION("""COMPUTED_VALUE"""),685.0)</f>
        <v>685</v>
      </c>
      <c r="AI19" s="2"/>
      <c r="AJ19" s="2"/>
      <c r="AK19" s="2"/>
      <c r="AL19" s="2"/>
      <c r="AM19" s="142">
        <f>IFERROR(__xludf.DUMMYFUNCTION("""COMPUTED_VALUE"""),683.0)</f>
        <v>683</v>
      </c>
      <c r="AN19" s="2"/>
      <c r="AO19" s="2"/>
      <c r="AP19" s="2"/>
      <c r="AQ19" s="2"/>
      <c r="AR19" s="2">
        <f>IFERROR(__xludf.DUMMYFUNCTION("""COMPUTED_VALUE"""),240526.0)</f>
        <v>240526</v>
      </c>
      <c r="AS19" s="143">
        <f>IFERROR(__xludf.DUMMYFUNCTION("""COMPUTED_VALUE"""),46160.0)</f>
        <v>46160</v>
      </c>
      <c r="AT19" s="2"/>
      <c r="AU19" s="2"/>
      <c r="AV19" s="2"/>
      <c r="AW19" s="2"/>
      <c r="AX19" s="2"/>
      <c r="AY19" s="2"/>
      <c r="AZ19" s="2" t="str">
        <f>IFERROR(__xludf.DUMMYFUNCTION("""COMPUTED_VALUE"""),"#REF!")</f>
        <v>#REF!</v>
      </c>
      <c r="BA19" s="2" t="str">
        <f>IFERROR(__xludf.DUMMYFUNCTION("""COMPUTED_VALUE"""),"Đủ điều kiện")</f>
        <v>Đủ điều kiện</v>
      </c>
      <c r="BB19" s="2" t="str">
        <f>IFERROR(__xludf.DUMMYFUNCTION("""COMPUTED_VALUE"""),"Duyệt")</f>
        <v>Duyệt</v>
      </c>
      <c r="BC19" s="148">
        <f>IFERROR(__xludf.DUMMYFUNCTION("""COMPUTED_VALUE"""),46150.0)</f>
        <v>46150</v>
      </c>
      <c r="BD19" s="2" t="str">
        <f>IFERROR(__xludf.DUMMYFUNCTION("""COMPUTED_VALUE"""),"Duyệt")</f>
        <v>Duyệt</v>
      </c>
      <c r="BE19" s="2" t="str">
        <f>IFERROR(__xludf.DUMMYFUNCTION("""COMPUTED_VALUE"""),"xlg 09/05
11/05")</f>
        <v>xlg 09/05
11/05</v>
      </c>
      <c r="BF19" s="2" t="str">
        <f>IFERROR(__xludf.DUMMYFUNCTION("""COMPUTED_VALUE"""),"Đã xử lí giá")</f>
        <v>Đã xử lí giá</v>
      </c>
      <c r="BG19" s="2" t="str">
        <f>IFERROR(__xludf.DUMMYFUNCTION("""COMPUTED_VALUE"""),"Đóng theo đơn gần nhất Nước xanh lơ 290,000đ 8/5/2026")</f>
        <v>Đóng theo đơn gần nhất Nước xanh lơ 290,000đ 8/5/2026</v>
      </c>
      <c r="BH19" s="2"/>
      <c r="BI19" s="2"/>
      <c r="BJ19" s="2"/>
      <c r="BK19" s="2"/>
      <c r="BL19" s="2"/>
      <c r="BM19" s="2"/>
      <c r="BN19" s="2"/>
      <c r="BO19" s="2"/>
      <c r="BP19" s="2"/>
      <c r="BQ19" s="2"/>
    </row>
    <row r="20">
      <c r="A20" s="2">
        <f>IFERROR(__xludf.DUMMYFUNCTION("""COMPUTED_VALUE"""),51.0)</f>
        <v>51</v>
      </c>
      <c r="B20" s="2" t="str">
        <f>IFERROR(__xludf.DUMMYFUNCTION("""COMPUTED_VALUE"""),"Dego Cần Thơ")</f>
        <v>Dego Cần Thơ</v>
      </c>
      <c r="C20" s="2" t="str">
        <f>IFERROR(__xludf.DUMMYFUNCTION("""COMPUTED_VALUE"""),"ATP08052602")</f>
        <v>ATP08052602</v>
      </c>
      <c r="D20" s="39">
        <f>IFERROR(__xludf.DUMMYFUNCTION("""COMPUTED_VALUE"""),46150.0)</f>
        <v>46150</v>
      </c>
      <c r="E20" s="2" t="str">
        <f>IFERROR(__xludf.DUMMYFUNCTION("""COMPUTED_VALUE"""),"Đã duyệt")</f>
        <v>Đã duyệt</v>
      </c>
      <c r="F20" s="2" t="str">
        <f>IFERROR(__xludf.DUMMYFUNCTION("""COMPUTED_VALUE"""),"ABA")</f>
        <v>ABA</v>
      </c>
      <c r="G20" s="2" t="str">
        <f>IFERROR(__xludf.DUMMYFUNCTION("""COMPUTED_VALUE"""),"HH4694")</f>
        <v>HH4694</v>
      </c>
      <c r="H20" s="2" t="str">
        <f>IFERROR(__xludf.DUMMYFUNCTION("""COMPUTED_VALUE"""),"GC - V - 4694 - Cty Newtex - VÔ GẠO T9 (Dạng SC - Xanh lá) - 500ml - 40")</f>
        <v>GC - V - 4694 - Cty Newtex - VÔ GẠO T9 (Dạng SC - Xanh lá) - 500ml - 40</v>
      </c>
      <c r="I20" s="2" t="str">
        <f>IFERROR(__xludf.DUMMYFUNCTION("""COMPUTED_VALUE"""),"Phân bón")</f>
        <v>Phân bón</v>
      </c>
      <c r="J20" s="142" t="str">
        <f>IFERROR(__xludf.DUMMYFUNCTION("""COMPUTED_VALUE"""),"Hỗn hợp NPK GNC 101")</f>
        <v>Hỗn hợp NPK GNC 101</v>
      </c>
      <c r="K20" s="2" t="str">
        <f>IFERROR(__xludf.DUMMYFUNCTION("""COMPUTED_VALUE"""),"A01020426")</f>
        <v>A01020426</v>
      </c>
      <c r="L20" s="2" t="str">
        <f>IFERROR(__xludf.DUMMYFUNCTION("""COMPUTED_VALUE"""),"Dạng SC - Xanh lá")</f>
        <v>Dạng SC - Xanh lá</v>
      </c>
      <c r="M20" s="2" t="str">
        <f>IFERROR(__xludf.DUMMYFUNCTION("""COMPUTED_VALUE"""),"Chai")</f>
        <v>Chai</v>
      </c>
      <c r="N20" s="142">
        <f>IFERROR(__xludf.DUMMYFUNCTION("""COMPUTED_VALUE"""),40.0)</f>
        <v>40</v>
      </c>
      <c r="O20" s="144">
        <f>IFERROR(__xludf.DUMMYFUNCTION("""COMPUTED_VALUE"""),52.5)</f>
        <v>52.5</v>
      </c>
      <c r="P20" s="142">
        <f>IFERROR(__xludf.DUMMYFUNCTION("""COMPUTED_VALUE"""),2100.0)</f>
        <v>2100</v>
      </c>
      <c r="Q20" s="145">
        <f>IFERROR(__xludf.DUMMYFUNCTION("""COMPUTED_VALUE"""),46160.0)</f>
        <v>46160</v>
      </c>
      <c r="R20" s="2"/>
      <c r="S20" s="142" t="str">
        <f>IFERROR(__xludf.DUMMYFUNCTION("""COMPUTED_VALUE"""),"lấy chẳn thùng
lấy đúng 52 thùng 20 chai")</f>
        <v>lấy chẳn thùng
lấy đúng 52 thùng 20 chai</v>
      </c>
      <c r="T20" s="2"/>
      <c r="U20" s="2"/>
      <c r="V20" s="2"/>
      <c r="W20" s="2" t="str">
        <f>IFERROR(__xludf.DUMMYFUNCTION("""COMPUTED_VALUE"""),"NEWTEX - Giá bán 75000 - Ngày dự kiến thu tiền:  - Dự kiến ngày ra hết hàng: ")</f>
        <v>NEWTEX - Giá bán 75000 - Ngày dự kiến thu tiền:  - Dự kiến ngày ra hết hàng: </v>
      </c>
      <c r="X20" s="2"/>
      <c r="Y20" s="2" t="str">
        <f>IFERROR(__xludf.DUMMYFUNCTION("""COMPUTED_VALUE"""),"Dego Cần Thơ")</f>
        <v>Dego Cần Thơ</v>
      </c>
      <c r="Z20" s="2" t="str">
        <f>IFERROR(__xludf.DUMMYFUNCTION("""COMPUTED_VALUE"""),"Hàng sẵn kho")</f>
        <v>Hàng sẵn kho</v>
      </c>
      <c r="AA20" s="2"/>
      <c r="AB20" s="2" t="str">
        <f>IFERROR(__xludf.DUMMYFUNCTION("""COMPUTED_VALUE"""),"đã có hóa đơn 25/05 lấy hàng được")</f>
        <v>đã có hóa đơn 25/05 lấy hàng được</v>
      </c>
      <c r="AC20" s="146">
        <f>IFERROR(__xludf.DUMMYFUNCTION("""COMPUTED_VALUE"""),153.0)</f>
        <v>153</v>
      </c>
      <c r="AD20" s="146">
        <f>IFERROR(__xludf.DUMMYFUNCTION("""COMPUTED_VALUE"""),1951.0)</f>
        <v>1951</v>
      </c>
      <c r="AE20" s="2" t="str">
        <f>IFERROR(__xludf.DUMMYFUNCTION("""COMPUTED_VALUE"""),"đã bàn giao cho nhà máy 23/05")</f>
        <v>đã bàn giao cho nhà máy 23/05</v>
      </c>
      <c r="AF20" s="146" t="str">
        <f>IFERROR(__xludf.DUMMYFUNCTION("""COMPUTED_VALUE"""),"ATP08052602")</f>
        <v>ATP08052602</v>
      </c>
      <c r="AG20" s="143">
        <f>IFERROR(__xludf.DUMMYFUNCTION("""COMPUTED_VALUE"""),46162.0)</f>
        <v>46162</v>
      </c>
      <c r="AH20" s="146">
        <f>IFERROR(__xludf.DUMMYFUNCTION("""COMPUTED_VALUE"""),1951.0)</f>
        <v>1951</v>
      </c>
      <c r="AI20" s="2"/>
      <c r="AJ20" s="2"/>
      <c r="AK20" s="2"/>
      <c r="AL20" s="2"/>
      <c r="AM20" s="142">
        <f>IFERROR(__xludf.DUMMYFUNCTION("""COMPUTED_VALUE"""),1947.0)</f>
        <v>1947</v>
      </c>
      <c r="AN20" s="2"/>
      <c r="AO20" s="2"/>
      <c r="AP20" s="2"/>
      <c r="AQ20" s="2"/>
      <c r="AR20" s="2">
        <f>IFERROR(__xludf.DUMMYFUNCTION("""COMPUTED_VALUE"""),380526.0)</f>
        <v>380526</v>
      </c>
      <c r="AS20" s="143">
        <f>IFERROR(__xludf.DUMMYFUNCTION("""COMPUTED_VALUE"""),46162.0)</f>
        <v>46162</v>
      </c>
      <c r="AT20" s="2"/>
      <c r="AU20" s="2"/>
      <c r="AV20" s="2"/>
      <c r="AW20" s="2"/>
      <c r="AX20" s="2" t="str">
        <f>IFERROR(__xludf.DUMMYFUNCTION("""COMPUTED_VALUE""")," ")</f>
        <v> </v>
      </c>
      <c r="AY20" s="2"/>
      <c r="AZ20" s="2" t="str">
        <f>IFERROR(__xludf.DUMMYFUNCTION("""COMPUTED_VALUE"""),"#REF!")</f>
        <v>#REF!</v>
      </c>
      <c r="BA20" s="2" t="str">
        <f>IFERROR(__xludf.DUMMYFUNCTION("""COMPUTED_VALUE"""),"Đủ điều kiện")</f>
        <v>Đủ điều kiện</v>
      </c>
      <c r="BB20" s="2" t="str">
        <f>IFERROR(__xludf.DUMMYFUNCTION("""COMPUTED_VALUE"""),"Duyệt")</f>
        <v>Duyệt</v>
      </c>
      <c r="BC20" s="148">
        <f>IFERROR(__xludf.DUMMYFUNCTION("""COMPUTED_VALUE"""),46150.0)</f>
        <v>46150</v>
      </c>
      <c r="BD20" s="2" t="str">
        <f>IFERROR(__xludf.DUMMYFUNCTION("""COMPUTED_VALUE"""),"Duyệt")</f>
        <v>Duyệt</v>
      </c>
      <c r="BE20" s="2" t="str">
        <f>IFERROR(__xludf.DUMMYFUNCTION("""COMPUTED_VALUE"""),"xlg 09/05
11/05")</f>
        <v>xlg 09/05
11/05</v>
      </c>
      <c r="BF20" s="2" t="str">
        <f>IFERROR(__xludf.DUMMYFUNCTION("""COMPUTED_VALUE"""),"Đã xử lí giá")</f>
        <v>Đã xử lí giá</v>
      </c>
      <c r="BG20" s="2" t="str">
        <f>IFERROR(__xludf.DUMMYFUNCTION("""COMPUTED_VALUE"""),"A01020426 Dạng SC - Xanh lá 75,000đ 8/5/2026")</f>
        <v>A01020426 Dạng SC - Xanh lá 75,000đ 8/5/2026</v>
      </c>
      <c r="BH20" s="2"/>
      <c r="BI20" s="2"/>
      <c r="BJ20" s="2"/>
      <c r="BK20" s="2"/>
      <c r="BL20" s="2"/>
      <c r="BM20" s="2"/>
      <c r="BN20" s="2"/>
      <c r="BO20" s="2"/>
      <c r="BP20" s="2"/>
      <c r="BQ20" s="2"/>
    </row>
    <row r="21">
      <c r="A21" s="2">
        <f>IFERROR(__xludf.DUMMYFUNCTION("""COMPUTED_VALUE"""),55.0)</f>
        <v>55</v>
      </c>
      <c r="B21" s="2" t="str">
        <f>IFERROR(__xludf.DUMMYFUNCTION("""COMPUTED_VALUE"""),"Dego Cần Thơ")</f>
        <v>Dego Cần Thơ</v>
      </c>
      <c r="C21" s="2" t="str">
        <f>IFERROR(__xludf.DUMMYFUNCTION("""COMPUTED_VALUE"""),"AYC08052602")</f>
        <v>AYC08052602</v>
      </c>
      <c r="D21" s="39">
        <f>IFERROR(__xludf.DUMMYFUNCTION("""COMPUTED_VALUE"""),46150.0)</f>
        <v>46150</v>
      </c>
      <c r="E21" s="2" t="str">
        <f>IFERROR(__xludf.DUMMYFUNCTION("""COMPUTED_VALUE"""),"Đã duyệt")</f>
        <v>Đã duyệt</v>
      </c>
      <c r="F21" s="2" t="str">
        <f>IFERROR(__xludf.DUMMYFUNCTION("""COMPUTED_VALUE"""),"ABA")</f>
        <v>ABA</v>
      </c>
      <c r="G21" s="2" t="str">
        <f>IFERROR(__xludf.DUMMYFUNCTION("""COMPUTED_VALUE"""),"HH4672")</f>
        <v>HH4672</v>
      </c>
      <c r="H21" s="2" t="str">
        <f>IFERROR(__xludf.DUMMYFUNCTION("""COMPUTED_VALUE"""),"LOT ABA - V - 4672 - THIÊN AN - NEW AMINO (Nước nâu đen) - 500ml - 30")</f>
        <v>LOT ABA - V - 4672 - THIÊN AN - NEW AMINO (Nước nâu đen) - 500ml - 30</v>
      </c>
      <c r="I21" s="2" t="str">
        <f>IFERROR(__xludf.DUMMYFUNCTION("""COMPUTED_VALUE"""),"Phân bón")</f>
        <v>Phân bón</v>
      </c>
      <c r="J21" s="142" t="str">
        <f>IFERROR(__xludf.DUMMYFUNCTION("""COMPUTED_VALUE"""),"Hữu cơ Organic BM Gold  FW")</f>
        <v>Hữu cơ Organic BM Gold  FW</v>
      </c>
      <c r="K21" s="2" t="str">
        <f>IFERROR(__xludf.DUMMYFUNCTION("""COMPUTED_VALUE"""),"Cùng ruột HH2776")</f>
        <v>Cùng ruột HH2776</v>
      </c>
      <c r="L21" s="2" t="str">
        <f>IFERROR(__xludf.DUMMYFUNCTION("""COMPUTED_VALUE"""),"Nước nâu đen")</f>
        <v>Nước nâu đen</v>
      </c>
      <c r="M21" s="2" t="str">
        <f>IFERROR(__xludf.DUMMYFUNCTION("""COMPUTED_VALUE"""),"Chai")</f>
        <v>Chai</v>
      </c>
      <c r="N21" s="142">
        <f>IFERROR(__xludf.DUMMYFUNCTION("""COMPUTED_VALUE"""),30.0)</f>
        <v>30</v>
      </c>
      <c r="O21" s="144">
        <f>IFERROR(__xludf.DUMMYFUNCTION("""COMPUTED_VALUE"""),12.83333333)</f>
        <v>12.83333333</v>
      </c>
      <c r="P21" s="142">
        <f>IFERROR(__xludf.DUMMYFUNCTION("""COMPUTED_VALUE"""),385.0)</f>
        <v>385</v>
      </c>
      <c r="Q21" s="145">
        <f>IFERROR(__xludf.DUMMYFUNCTION("""COMPUTED_VALUE"""),46158.0)</f>
        <v>46158</v>
      </c>
      <c r="R21" s="2"/>
      <c r="S21" s="142" t="str">
        <f>IFERROR(__xludf.DUMMYFUNCTION("""COMPUTED_VALUE"""),"Xử lý hàng xì")</f>
        <v>Xử lý hàng xì</v>
      </c>
      <c r="T21" s="2"/>
      <c r="U21" s="2"/>
      <c r="V21" s="2"/>
      <c r="W21" s="2" t="str">
        <f>IFERROR(__xludf.DUMMYFUNCTION("""COMPUTED_VALUE"""),"THIÊN AN - Giá bán 49.000,00 đ - Ngày dự kiến thu tiền:  - Dự kiến ngày ra hết hàng: ")</f>
        <v>THIÊN AN - Giá bán 49.000,00 đ - Ngày dự kiến thu tiền:  - Dự kiến ngày ra hết hàng: </v>
      </c>
      <c r="X21" s="2"/>
      <c r="Y21" s="2" t="str">
        <f>IFERROR(__xludf.DUMMYFUNCTION("""COMPUTED_VALUE"""),"Dego Cần Thơ")</f>
        <v>Dego Cần Thơ</v>
      </c>
      <c r="Z21" s="2" t="str">
        <f>IFERROR(__xludf.DUMMYFUNCTION("""COMPUTED_VALUE"""),"Chưa có lịch SX")</f>
        <v>Chưa có lịch SX</v>
      </c>
      <c r="AA21" s="2"/>
      <c r="AB21" s="2" t="str">
        <f>IFERROR(__xludf.DUMMYFUNCTION("""COMPUTED_VALUE"""),"chưa gửi đơn, chưa duyệt giá, chưa duyệt pháp lý(8-9/5)
đã trả hàng lỗi về nhà máy 11/05
Phương án:
- Đổ thu BTP, phối lại
- Đóng thay chai nhãn nắp thùng mã HH4672
- Đóng lại date cũ: 08/04/2026
- LSX +L02
đã có phương án")</f>
        <v>chưa gửi đơn, chưa duyệt giá, chưa duyệt pháp lý(8-9/5)
đã trả hàng lỗi về nhà máy 11/05
Phương án:
- Đổ thu BTP, phối lại
- Đóng thay chai nhãn nắp thùng mã HH4672
- Đóng lại date cũ: 08/04/2026
- LSX +L02
đã có phương án</v>
      </c>
      <c r="AC21" s="146">
        <f>IFERROR(__xludf.DUMMYFUNCTION("""COMPUTED_VALUE"""),385.0)</f>
        <v>385</v>
      </c>
      <c r="AD21" s="2"/>
      <c r="AE21" s="2" t="str">
        <f>IFERROR(__xludf.DUMMYFUNCTION("""COMPUTED_VALUE"""),"đã bàn giao cho nhà máy 23/05")</f>
        <v>đã bàn giao cho nhà máy 23/05</v>
      </c>
      <c r="AF21" s="146" t="str">
        <f>IFERROR(__xludf.DUMMYFUNCTION("""COMPUTED_VALUE"""),"")</f>
        <v/>
      </c>
      <c r="AG21" s="2"/>
      <c r="AH21" s="2"/>
      <c r="AI21" s="2"/>
      <c r="AJ21" s="2"/>
      <c r="AK21" s="2"/>
      <c r="AL21" s="2"/>
      <c r="AM21" s="2"/>
      <c r="AN21" s="2"/>
      <c r="AO21" s="2"/>
      <c r="AP21" s="2"/>
      <c r="AQ21" s="2"/>
      <c r="AR21" s="2"/>
      <c r="AS21" s="2"/>
      <c r="AT21" s="2"/>
      <c r="AU21" s="2"/>
      <c r="AV21" s="2"/>
      <c r="AW21" s="2"/>
      <c r="AX21" s="2"/>
      <c r="AY21" s="2"/>
      <c r="AZ21" s="2" t="str">
        <f>IFERROR(__xludf.DUMMYFUNCTION("""COMPUTED_VALUE"""),"#REF!")</f>
        <v>#REF!</v>
      </c>
      <c r="BA21" s="2" t="str">
        <f>IFERROR(__xludf.DUMMYFUNCTION("""COMPUTED_VALUE"""),"Đủ điều kiện")</f>
        <v>Đủ điều kiện</v>
      </c>
      <c r="BB21" s="2" t="str">
        <f>IFERROR(__xludf.DUMMYFUNCTION("""COMPUTED_VALUE"""),"Duyệt")</f>
        <v>Duyệt</v>
      </c>
      <c r="BC21" s="148">
        <f>IFERROR(__xludf.DUMMYFUNCTION("""COMPUTED_VALUE"""),46150.0)</f>
        <v>46150</v>
      </c>
      <c r="BD21" s="2" t="str">
        <f>IFERROR(__xludf.DUMMYFUNCTION("""COMPUTED_VALUE"""),"Duyệt")</f>
        <v>Duyệt</v>
      </c>
      <c r="BE21" s="2" t="str">
        <f>IFERROR(__xludf.DUMMYFUNCTION("""COMPUTED_VALUE"""),"xlg 08/05
12/05")</f>
        <v>xlg 08/05
12/05</v>
      </c>
      <c r="BF21" s="2" t="str">
        <f>IFERROR(__xludf.DUMMYFUNCTION("""COMPUTED_VALUE"""),"Hàng xử lý lại")</f>
        <v>Hàng xử lý lại</v>
      </c>
      <c r="BG21" s="2" t="str">
        <f>IFERROR(__xludf.DUMMYFUNCTION("""COMPUTED_VALUE"""),"AYC08052602 Cùng ruột HH2776 Nước nâu đen 49,000đ 8/5/2026")</f>
        <v>AYC08052602 Cùng ruột HH2776 Nước nâu đen 49,000đ 8/5/2026</v>
      </c>
      <c r="BH21" s="2"/>
      <c r="BI21" s="2"/>
      <c r="BJ21" s="2"/>
      <c r="BK21" s="2"/>
      <c r="BL21" s="2"/>
      <c r="BM21" s="2"/>
      <c r="BN21" s="2"/>
      <c r="BO21" s="2"/>
      <c r="BP21" s="2"/>
      <c r="BQ21" s="2"/>
    </row>
    <row r="22">
      <c r="A22" s="2">
        <f>IFERROR(__xludf.DUMMYFUNCTION("""COMPUTED_VALUE"""),56.0)</f>
        <v>56</v>
      </c>
      <c r="B22" s="2" t="str">
        <f>IFERROR(__xludf.DUMMYFUNCTION("""COMPUTED_VALUE"""),"Dego Cần Thơ")</f>
        <v>Dego Cần Thơ</v>
      </c>
      <c r="C22" s="2" t="str">
        <f>IFERROR(__xludf.DUMMYFUNCTION("""COMPUTED_VALUE"""),"ATP08052611")</f>
        <v>ATP08052611</v>
      </c>
      <c r="D22" s="39">
        <f>IFERROR(__xludf.DUMMYFUNCTION("""COMPUTED_VALUE"""),46150.0)</f>
        <v>46150</v>
      </c>
      <c r="E22" s="2" t="str">
        <f>IFERROR(__xludf.DUMMYFUNCTION("""COMPUTED_VALUE"""),"Đã duyệt")</f>
        <v>Đã duyệt</v>
      </c>
      <c r="F22" s="2" t="str">
        <f>IFERROR(__xludf.DUMMYFUNCTION("""COMPUTED_VALUE"""),"ABA")</f>
        <v>ABA</v>
      </c>
      <c r="G22" s="2" t="str">
        <f>IFERROR(__xludf.DUMMYFUNCTION("""COMPUTED_VALUE"""),"HH4380")</f>
        <v>HH4380</v>
      </c>
      <c r="H22" s="2" t="str">
        <f>IFERROR(__xludf.DUMMYFUNCTION("""COMPUTED_VALUE"""),"GC - V - 4380 - Cty Thành Công Agri - MASTER STOP (nước nâu đen V2) - 1L - 20")</f>
        <v>GC - V - 4380 - Cty Thành Công Agri - MASTER STOP (nước nâu đen V2) - 1L - 20</v>
      </c>
      <c r="I22" s="2" t="str">
        <f>IFERROR(__xludf.DUMMYFUNCTION("""COMPUTED_VALUE"""),"Phân bón")</f>
        <v>Phân bón</v>
      </c>
      <c r="J22" s="142" t="str">
        <f>IFERROR(__xludf.DUMMYFUNCTION("""COMPUTED_VALUE"""),"Vi lượng Quantity New")</f>
        <v>Vi lượng Quantity New</v>
      </c>
      <c r="K22" s="2" t="str">
        <f>IFERROR(__xludf.DUMMYFUNCTION("""COMPUTED_VALUE"""),"CHẶN ĐỌT 
DÒNG V2")</f>
        <v>CHẶN ĐỌT 
DÒNG V2</v>
      </c>
      <c r="L22" s="2" t="str">
        <f>IFERROR(__xludf.DUMMYFUNCTION("""COMPUTED_VALUE"""),"Nước nâu đen")</f>
        <v>Nước nâu đen</v>
      </c>
      <c r="M22" s="2" t="str">
        <f>IFERROR(__xludf.DUMMYFUNCTION("""COMPUTED_VALUE"""),"Chai")</f>
        <v>Chai</v>
      </c>
      <c r="N22" s="142">
        <f>IFERROR(__xludf.DUMMYFUNCTION("""COMPUTED_VALUE"""),20.0)</f>
        <v>20</v>
      </c>
      <c r="O22" s="142">
        <f>IFERROR(__xludf.DUMMYFUNCTION("""COMPUTED_VALUE"""),25.0)</f>
        <v>25</v>
      </c>
      <c r="P22" s="142">
        <f>IFERROR(__xludf.DUMMYFUNCTION("""COMPUTED_VALUE"""),500.0)</f>
        <v>500</v>
      </c>
      <c r="Q22" s="145">
        <f>IFERROR(__xludf.DUMMYFUNCTION("""COMPUTED_VALUE"""),46158.0)</f>
        <v>46158</v>
      </c>
      <c r="R22" s="2"/>
      <c r="S22" s="142" t="str">
        <f>IFERROR(__xludf.DUMMYFUNCTION("""COMPUTED_VALUE"""),"lấy chẳn thùng")</f>
        <v>lấy chẳn thùng</v>
      </c>
      <c r="T22" s="2"/>
      <c r="U22" s="2"/>
      <c r="V22" s="2"/>
      <c r="W22" s="2" t="str">
        <f>IFERROR(__xludf.DUMMYFUNCTION("""COMPUTED_VALUE"""),"THÀNH CÔNG - Giá bán 115.500,00 đ - Ngày dự kiến thu tiền:  - Dự kiến ngày ra hết hàng: ")</f>
        <v>THÀNH CÔNG - Giá bán 115.500,00 đ - Ngày dự kiến thu tiền:  - Dự kiến ngày ra hết hàng: </v>
      </c>
      <c r="X22" s="2"/>
      <c r="Y22" s="2" t="str">
        <f>IFERROR(__xludf.DUMMYFUNCTION("""COMPUTED_VALUE"""),"Dego Cần Thơ")</f>
        <v>Dego Cần Thơ</v>
      </c>
      <c r="Z22" s="2" t="str">
        <f>IFERROR(__xludf.DUMMYFUNCTION("""COMPUTED_VALUE"""),"Hàng sẵn kho")</f>
        <v>Hàng sẵn kho</v>
      </c>
      <c r="AA22" s="2"/>
      <c r="AB22" s="2" t="str">
        <f>IFERROR(__xludf.DUMMYFUNCTION("""COMPUTED_VALUE"""),"chưa gửi đơn, chưa duyệt giá (8-9/5)
đã lấy hóa đơn 16/05
")</f>
        <v>chưa gửi đơn, chưa duyệt giá (8-9/5)
đã lấy hóa đơn 16/05
</v>
      </c>
      <c r="AC22" s="2"/>
      <c r="AD22" s="146">
        <f>IFERROR(__xludf.DUMMYFUNCTION("""COMPUTED_VALUE"""),503.0)</f>
        <v>503</v>
      </c>
      <c r="AE22" s="2" t="str">
        <f>IFERROR(__xludf.DUMMYFUNCTION("""COMPUTED_VALUE"""),"đã bàn giao cho nhà máy 23/05")</f>
        <v>đã bàn giao cho nhà máy 23/05</v>
      </c>
      <c r="AF22" s="146" t="str">
        <f>IFERROR(__xludf.DUMMYFUNCTION("""COMPUTED_VALUE"""),"ATP08052611")</f>
        <v>ATP08052611</v>
      </c>
      <c r="AG22" s="143">
        <f>IFERROR(__xludf.DUMMYFUNCTION("""COMPUTED_VALUE"""),46156.0)</f>
        <v>46156</v>
      </c>
      <c r="AH22" s="146">
        <f>IFERROR(__xludf.DUMMYFUNCTION("""COMPUTED_VALUE"""),110.0)</f>
        <v>110</v>
      </c>
      <c r="AI22" s="143">
        <f>IFERROR(__xludf.DUMMYFUNCTION("""COMPUTED_VALUE"""),46157.0)</f>
        <v>46157</v>
      </c>
      <c r="AJ22" s="146">
        <f>IFERROR(__xludf.DUMMYFUNCTION("""COMPUTED_VALUE"""),393.0)</f>
        <v>393</v>
      </c>
      <c r="AK22" s="2"/>
      <c r="AL22" s="2"/>
      <c r="AM22" s="142">
        <f>IFERROR(__xludf.DUMMYFUNCTION("""COMPUTED_VALUE"""),200.0)</f>
        <v>200</v>
      </c>
      <c r="AN22" s="2"/>
      <c r="AO22" s="2"/>
      <c r="AP22" s="2"/>
      <c r="AQ22" s="2"/>
      <c r="AR22" s="2" t="str">
        <f>IFERROR(__xludf.DUMMYFUNCTION("""COMPUTED_VALUE"""),"350326 (5 thùng + 9 chai + 1 mẫu)
330526 (19 thùng + 11 chai + 2 mẫu)")</f>
        <v>350326 (5 thùng + 9 chai + 1 mẫu)
330526 (19 thùng + 11 chai + 2 mẫu)</v>
      </c>
      <c r="AS22" s="143">
        <f>IFERROR(__xludf.DUMMYFUNCTION("""COMPUTED_VALUE"""),46156.0)</f>
        <v>46156</v>
      </c>
      <c r="AT22" s="2"/>
      <c r="AU22" s="142">
        <f>IFERROR(__xludf.DUMMYFUNCTION("""COMPUTED_VALUE"""),300.0)</f>
        <v>300</v>
      </c>
      <c r="AV22" s="2" t="str">
        <f>IFERROR(__xludf.DUMMYFUNCTION("""COMPUTED_VALUE"""),"18/05/2026 đã giao 10t
19/05/2026 đã giao 5t")</f>
        <v>18/05/2026 đã giao 10t
19/05/2026 đã giao 5t</v>
      </c>
      <c r="AW22" s="2"/>
      <c r="AX22" s="2"/>
      <c r="AY22" s="2"/>
      <c r="AZ22" s="2" t="str">
        <f>IFERROR(__xludf.DUMMYFUNCTION("""COMPUTED_VALUE"""),"#REF!")</f>
        <v>#REF!</v>
      </c>
      <c r="BA22" s="2" t="str">
        <f>IFERROR(__xludf.DUMMYFUNCTION("""COMPUTED_VALUE"""),"Đủ điều kiện")</f>
        <v>Đủ điều kiện</v>
      </c>
      <c r="BB22" s="2" t="str">
        <f>IFERROR(__xludf.DUMMYFUNCTION("""COMPUTED_VALUE"""),"Duyệt")</f>
        <v>Duyệt</v>
      </c>
      <c r="BC22" s="148">
        <f>IFERROR(__xludf.DUMMYFUNCTION("""COMPUTED_VALUE"""),46150.0)</f>
        <v>46150</v>
      </c>
      <c r="BD22" s="2" t="str">
        <f>IFERROR(__xludf.DUMMYFUNCTION("""COMPUTED_VALUE"""),"Duyệt")</f>
        <v>Duyệt</v>
      </c>
      <c r="BE22" s="2" t="str">
        <f>IFERROR(__xludf.DUMMYFUNCTION("""COMPUTED_VALUE"""),"xlg 09/05
11/05")</f>
        <v>xlg 09/05
11/05</v>
      </c>
      <c r="BF22" s="2" t="str">
        <f>IFERROR(__xludf.DUMMYFUNCTION("""COMPUTED_VALUE"""),"Đã xử lí giá")</f>
        <v>Đã xử lí giá</v>
      </c>
      <c r="BG22" s="2" t="str">
        <f>IFERROR(__xludf.DUMMYFUNCTION("""COMPUTED_VALUE"""),"CHẶN ĐỌT 
DÒNG V2 Nước nâu đen 115,500đ 8/5/2026")</f>
        <v>CHẶN ĐỌT 
DÒNG V2 Nước nâu đen 115,500đ 8/5/2026</v>
      </c>
      <c r="BH22" s="2"/>
      <c r="BI22" s="2"/>
      <c r="BJ22" s="2"/>
      <c r="BK22" s="2"/>
      <c r="BL22" s="2"/>
      <c r="BM22" s="2"/>
      <c r="BN22" s="2"/>
      <c r="BO22" s="2"/>
      <c r="BP22" s="2"/>
      <c r="BQ22" s="2"/>
    </row>
    <row r="23">
      <c r="A23" s="2">
        <f>IFERROR(__xludf.DUMMYFUNCTION("""COMPUTED_VALUE"""),57.0)</f>
        <v>57</v>
      </c>
      <c r="B23" s="2" t="str">
        <f>IFERROR(__xludf.DUMMYFUNCTION("""COMPUTED_VALUE"""),"Dego Cần Thơ")</f>
        <v>Dego Cần Thơ</v>
      </c>
      <c r="C23" s="2" t="str">
        <f>IFERROR(__xludf.DUMMYFUNCTION("""COMPUTED_VALUE"""),"STP09052601")</f>
        <v>STP09052601</v>
      </c>
      <c r="D23" s="39">
        <f>IFERROR(__xludf.DUMMYFUNCTION("""COMPUTED_VALUE"""),46151.0)</f>
        <v>46151</v>
      </c>
      <c r="E23" s="2"/>
      <c r="F23" s="2" t="str">
        <f>IFERROR(__xludf.DUMMYFUNCTION("""COMPUTED_VALUE"""),"N2SBIO")</f>
        <v>N2SBIO</v>
      </c>
      <c r="G23" s="2" t="str">
        <f>IFERROR(__xludf.DUMMYFUNCTION("""COMPUTED_VALUE"""),"HH4988")</f>
        <v>HH4988</v>
      </c>
      <c r="H23" s="2" t="str">
        <f>IFERROR(__xludf.DUMMYFUNCTION("""COMPUTED_VALUE"""),"GC - IX - 4988 - N2SBIO - N2 AMINO 100 (Gel nâu đen) - 250ml - 40")</f>
        <v>GC - IX - 4988 - N2SBIO - N2 AMINO 100 (Gel nâu đen) - 250ml - 40</v>
      </c>
      <c r="I23" s="2" t="str">
        <f>IFERROR(__xludf.DUMMYFUNCTION("""COMPUTED_VALUE"""),"Phân bón")</f>
        <v>Phân bón</v>
      </c>
      <c r="J23" s="142" t="str">
        <f>IFERROR(__xludf.DUMMYFUNCTION("""COMPUTED_VALUE"""),"LÁ VÔ CƠ NHIỀU THÀNH PHẦN NBC-ALCROP")</f>
        <v>LÁ VÔ CƠ NHIỀU THÀNH PHẦN NBC-ALCROP</v>
      </c>
      <c r="K23" s="2" t="str">
        <f>IFERROR(__xludf.DUMMYFUNCTION("""COMPUTED_VALUE"""),"N05230326")</f>
        <v>N05230326</v>
      </c>
      <c r="L23" s="2" t="str">
        <f>IFERROR(__xludf.DUMMYFUNCTION("""COMPUTED_VALUE"""),"Gel nâu đen")</f>
        <v>Gel nâu đen</v>
      </c>
      <c r="M23" s="2" t="str">
        <f>IFERROR(__xludf.DUMMYFUNCTION("""COMPUTED_VALUE"""),"Chai")</f>
        <v>Chai</v>
      </c>
      <c r="N23" s="142">
        <f>IFERROR(__xludf.DUMMYFUNCTION("""COMPUTED_VALUE"""),40.0)</f>
        <v>40</v>
      </c>
      <c r="O23" s="142">
        <f>IFERROR(__xludf.DUMMYFUNCTION("""COMPUTED_VALUE"""),20.0)</f>
        <v>20</v>
      </c>
      <c r="P23" s="142">
        <f>IFERROR(__xludf.DUMMYFUNCTION("""COMPUTED_VALUE"""),800.0)</f>
        <v>800</v>
      </c>
      <c r="Q23" s="145">
        <f>IFERROR(__xludf.DUMMYFUNCTION("""COMPUTED_VALUE"""),46158.0)</f>
        <v>46158</v>
      </c>
      <c r="R23" s="2" t="str">
        <f>IFERROR(__xludf.DUMMYFUNCTION("""COMPUTED_VALUE"""),"x")</f>
        <v>x</v>
      </c>
      <c r="S23" s="142" t="str">
        <f>IFERROR(__xludf.DUMMYFUNCTION("""COMPUTED_VALUE"""),"x")</f>
        <v>x</v>
      </c>
      <c r="T23" s="142" t="str">
        <f>IFERROR(__xludf.DUMMYFUNCTION("""COMPUTED_VALUE"""),"x")</f>
        <v>x</v>
      </c>
      <c r="U23" s="142" t="str">
        <f>IFERROR(__xludf.DUMMYFUNCTION("""COMPUTED_VALUE"""),"x")</f>
        <v>x</v>
      </c>
      <c r="V23" s="142">
        <f>IFERROR(__xludf.DUMMYFUNCTION("""COMPUTED_VALUE"""),7.0)</f>
        <v>7</v>
      </c>
      <c r="W23" s="2" t="str">
        <f>IFERROR(__xludf.DUMMYFUNCTION("""COMPUTED_VALUE""")," - Giá bán  - Ngày dự kiến thu tiền:  - Dự kiến ngày ra hết hàng: ")</f>
        <v> - Giá bán  - Ngày dự kiến thu tiền:  - Dự kiến ngày ra hết hàng: </v>
      </c>
      <c r="X23" s="2"/>
      <c r="Y23" s="2" t="str">
        <f>IFERROR(__xludf.DUMMYFUNCTION("""COMPUTED_VALUE"""),"Dego Cần Thơ")</f>
        <v>Dego Cần Thơ</v>
      </c>
      <c r="Z23" s="2" t="str">
        <f>IFERROR(__xludf.DUMMYFUNCTION("""COMPUTED_VALUE"""),"Chưa có lịch SX")</f>
        <v>Chưa có lịch SX</v>
      </c>
      <c r="AA23" s="2"/>
      <c r="AB23" s="2" t="str">
        <f>IFERROR(__xludf.DUMMYFUNCTION("""COMPUTED_VALUE"""),"chưa gửi đơn, chưa duyệt giá (8-9/5)
chưa có NL về, nào có báo thông tin ngày xong hàng với KD ")</f>
        <v>chưa gửi đơn, chưa duyệt giá (8-9/5)
chưa có NL về, nào có báo thông tin ngày xong hàng với KD </v>
      </c>
      <c r="AC23" s="146">
        <f>IFERROR(__xludf.DUMMYFUNCTION("""COMPUTED_VALUE"""),800.0)</f>
        <v>800</v>
      </c>
      <c r="AD23" s="2"/>
      <c r="AE23" s="2" t="str">
        <f>IFERROR(__xludf.DUMMYFUNCTION("""COMPUTED_VALUE"""),"đã bàn giao cho nhà máy 23/05")</f>
        <v>đã bàn giao cho nhà máy 23/05</v>
      </c>
      <c r="AF23" s="146" t="str">
        <f>IFERROR(__xludf.DUMMYFUNCTION("""COMPUTED_VALUE"""),"")</f>
        <v/>
      </c>
      <c r="AG23" s="2"/>
      <c r="AH23" s="2"/>
      <c r="AI23" s="2"/>
      <c r="AJ23" s="2"/>
      <c r="AK23" s="2"/>
      <c r="AL23" s="2"/>
      <c r="AM23" s="2"/>
      <c r="AN23" s="2"/>
      <c r="AO23" s="2"/>
      <c r="AP23" s="2"/>
      <c r="AQ23" s="2"/>
      <c r="AR23" s="2"/>
      <c r="AS23" s="2"/>
      <c r="AT23" s="2"/>
      <c r="AU23" s="2"/>
      <c r="AV23" s="2"/>
      <c r="AW23" s="2"/>
      <c r="AX23" s="2"/>
      <c r="AY23" s="2"/>
      <c r="AZ23" s="2" t="str">
        <f>IFERROR(__xludf.DUMMYFUNCTION("""COMPUTED_VALUE"""),"#REF!")</f>
        <v>#REF!</v>
      </c>
      <c r="BA23" s="2" t="str">
        <f>IFERROR(__xludf.DUMMYFUNCTION("""COMPUTED_VALUE"""),"Đủ điều kiện")</f>
        <v>Đủ điều kiện</v>
      </c>
      <c r="BB23" s="2" t="str">
        <f>IFERROR(__xludf.DUMMYFUNCTION("""COMPUTED_VALUE"""),"Duyệt")</f>
        <v>Duyệt</v>
      </c>
      <c r="BC23" s="148">
        <f>IFERROR(__xludf.DUMMYFUNCTION("""COMPUTED_VALUE"""),46151.0)</f>
        <v>46151</v>
      </c>
      <c r="BD23" s="2" t="str">
        <f>IFERROR(__xludf.DUMMYFUNCTION("""COMPUTED_VALUE"""),"Duyệt")</f>
        <v>Duyệt</v>
      </c>
      <c r="BE23" s="2" t="str">
        <f>IFERROR(__xludf.DUMMYFUNCTION("""COMPUTED_VALUE"""),"xlg 12/05")</f>
        <v>xlg 12/05</v>
      </c>
      <c r="BF23" s="2" t="str">
        <f>IFERROR(__xludf.DUMMYFUNCTION("""COMPUTED_VALUE"""),"Đã xử lí giá")</f>
        <v>Đã xử lí giá</v>
      </c>
      <c r="BG23" s="2" t="str">
        <f>IFERROR(__xludf.DUMMYFUNCTION("""COMPUTED_VALUE"""),"N05230326 Gel nâu đen Chưa có giá bán khách hàng 9/5/2026")</f>
        <v>N05230326 Gel nâu đen Chưa có giá bán khách hàng 9/5/2026</v>
      </c>
      <c r="BH23" s="2"/>
      <c r="BI23" s="2"/>
      <c r="BJ23" s="2"/>
      <c r="BK23" s="2"/>
      <c r="BL23" s="2"/>
      <c r="BM23" s="2"/>
      <c r="BN23" s="2"/>
      <c r="BO23" s="2"/>
      <c r="BP23" s="2"/>
      <c r="BQ23" s="2"/>
    </row>
    <row r="24">
      <c r="A24" s="2">
        <f>IFERROR(__xludf.DUMMYFUNCTION("""COMPUTED_VALUE"""),58.0)</f>
        <v>58</v>
      </c>
      <c r="B24" s="2" t="str">
        <f>IFERROR(__xludf.DUMMYFUNCTION("""COMPUTED_VALUE"""),"Dego Cần Thơ")</f>
        <v>Dego Cần Thơ</v>
      </c>
      <c r="C24" s="2" t="str">
        <f>IFERROR(__xludf.DUMMYFUNCTION("""COMPUTED_VALUE"""),"STP09052602")</f>
        <v>STP09052602</v>
      </c>
      <c r="D24" s="39">
        <f>IFERROR(__xludf.DUMMYFUNCTION("""COMPUTED_VALUE"""),46151.0)</f>
        <v>46151</v>
      </c>
      <c r="E24" s="2"/>
      <c r="F24" s="2" t="str">
        <f>IFERROR(__xludf.DUMMYFUNCTION("""COMPUTED_VALUE"""),"N2SBIO")</f>
        <v>N2SBIO</v>
      </c>
      <c r="G24" s="2" t="str">
        <f>IFERROR(__xludf.DUMMYFUNCTION("""COMPUTED_VALUE"""),"HH4442")</f>
        <v>HH4442</v>
      </c>
      <c r="H24" s="2" t="str">
        <f>IFERROR(__xludf.DUMMYFUNCTION("""COMPUTED_VALUE"""),"GC - IX - 4442 - N2SBIO - N2 MG ZN-70 (Nước xanh lá) - 500ml - 40")</f>
        <v>GC - IX - 4442 - N2SBIO - N2 MG ZN-70 (Nước xanh lá) - 500ml - 40</v>
      </c>
      <c r="I24" s="2" t="str">
        <f>IFERROR(__xludf.DUMMYFUNCTION("""COMPUTED_VALUE"""),"Phân bón")</f>
        <v>Phân bón</v>
      </c>
      <c r="J24" s="142" t="str">
        <f>IFERROR(__xludf.DUMMYFUNCTION("""COMPUTED_VALUE"""),"vi lượng Phú Sĩ FJ-09 Kẽm Mg")</f>
        <v>vi lượng Phú Sĩ FJ-09 Kẽm Mg</v>
      </c>
      <c r="K24" s="2" t="str">
        <f>IFERROR(__xludf.DUMMYFUNCTION("""COMPUTED_VALUE"""),"N01080825")</f>
        <v>N01080825</v>
      </c>
      <c r="L24" s="2" t="str">
        <f>IFERROR(__xludf.DUMMYFUNCTION("""COMPUTED_VALUE"""),"Nước xanh lá")</f>
        <v>Nước xanh lá</v>
      </c>
      <c r="M24" s="2" t="str">
        <f>IFERROR(__xludf.DUMMYFUNCTION("""COMPUTED_VALUE"""),"Chai")</f>
        <v>Chai</v>
      </c>
      <c r="N24" s="142">
        <f>IFERROR(__xludf.DUMMYFUNCTION("""COMPUTED_VALUE"""),40.0)</f>
        <v>40</v>
      </c>
      <c r="O24" s="142">
        <f>IFERROR(__xludf.DUMMYFUNCTION("""COMPUTED_VALUE"""),100.0)</f>
        <v>100</v>
      </c>
      <c r="P24" s="142">
        <f>IFERROR(__xludf.DUMMYFUNCTION("""COMPUTED_VALUE"""),4000.0)</f>
        <v>4000</v>
      </c>
      <c r="Q24" s="145">
        <f>IFERROR(__xludf.DUMMYFUNCTION("""COMPUTED_VALUE"""),46160.0)</f>
        <v>46160</v>
      </c>
      <c r="R24" s="2" t="str">
        <f>IFERROR(__xludf.DUMMYFUNCTION("""COMPUTED_VALUE"""),"x")</f>
        <v>x</v>
      </c>
      <c r="S24" s="142" t="str">
        <f>IFERROR(__xludf.DUMMYFUNCTION("""COMPUTED_VALUE"""),"x")</f>
        <v>x</v>
      </c>
      <c r="T24" s="142" t="str">
        <f>IFERROR(__xludf.DUMMYFUNCTION("""COMPUTED_VALUE"""),"x")</f>
        <v>x</v>
      </c>
      <c r="U24" s="142" t="str">
        <f>IFERROR(__xludf.DUMMYFUNCTION("""COMPUTED_VALUE"""),"x")</f>
        <v>x</v>
      </c>
      <c r="V24" s="142">
        <f>IFERROR(__xludf.DUMMYFUNCTION("""COMPUTED_VALUE"""),9.0)</f>
        <v>9</v>
      </c>
      <c r="W24" s="2" t="str">
        <f>IFERROR(__xludf.DUMMYFUNCTION("""COMPUTED_VALUE""")," - Giá bán  - Ngày dự kiến thu tiền:  - Dự kiến ngày ra hết hàng: ")</f>
        <v> - Giá bán  - Ngày dự kiến thu tiền:  - Dự kiến ngày ra hết hàng: </v>
      </c>
      <c r="X24" s="2"/>
      <c r="Y24" s="2" t="str">
        <f>IFERROR(__xludf.DUMMYFUNCTION("""COMPUTED_VALUE"""),"Dego Cần Thơ")</f>
        <v>Dego Cần Thơ</v>
      </c>
      <c r="Z24" s="2" t="str">
        <f>IFERROR(__xludf.DUMMYFUNCTION("""COMPUTED_VALUE"""),"Chờ lấy hoá đơn")</f>
        <v>Chờ lấy hoá đơn</v>
      </c>
      <c r="AA24" s="2"/>
      <c r="AB24" s="2" t="str">
        <f>IFERROR(__xludf.DUMMYFUNCTION("""COMPUTED_VALUE"""),"đã có hóa đơn 25/05")</f>
        <v>đã có hóa đơn 25/05</v>
      </c>
      <c r="AC24" s="146">
        <f>IFERROR(__xludf.DUMMYFUNCTION("""COMPUTED_VALUE"""),1791.0)</f>
        <v>1791</v>
      </c>
      <c r="AD24" s="146">
        <f>IFERROR(__xludf.DUMMYFUNCTION("""COMPUTED_VALUE"""),2209.0)</f>
        <v>2209</v>
      </c>
      <c r="AE24" s="2" t="str">
        <f>IFERROR(__xludf.DUMMYFUNCTION("""COMPUTED_VALUE"""),"đã bàn giao cho nhà máy 23/05")</f>
        <v>đã bàn giao cho nhà máy 23/05</v>
      </c>
      <c r="AF24" s="146" t="str">
        <f>IFERROR(__xludf.DUMMYFUNCTION("""COMPUTED_VALUE"""),"STP09052602")</f>
        <v>STP09052602</v>
      </c>
      <c r="AG24" s="143">
        <f>IFERROR(__xludf.DUMMYFUNCTION("""COMPUTED_VALUE"""),46156.0)</f>
        <v>46156</v>
      </c>
      <c r="AH24" s="146">
        <f>IFERROR(__xludf.DUMMYFUNCTION("""COMPUTED_VALUE"""),421.0)</f>
        <v>421</v>
      </c>
      <c r="AI24" s="143">
        <f>IFERROR(__xludf.DUMMYFUNCTION("""COMPUTED_VALUE"""),46165.0)</f>
        <v>46165</v>
      </c>
      <c r="AJ24" s="146">
        <f>IFERROR(__xludf.DUMMYFUNCTION("""COMPUTED_VALUE"""),1788.0)</f>
        <v>1788</v>
      </c>
      <c r="AK24" s="2"/>
      <c r="AL24" s="2"/>
      <c r="AM24" s="2"/>
      <c r="AN24" s="2"/>
      <c r="AO24" s="2"/>
      <c r="AP24" s="2"/>
      <c r="AQ24" s="2"/>
      <c r="AR24" s="2" t="str">
        <f>IFERROR(__xludf.DUMMYFUNCTION("""COMPUTED_VALUE"""),"490326 (10 thùng + 21 chai)")</f>
        <v>490326 (10 thùng + 21 chai)</v>
      </c>
      <c r="AS24" s="2" t="str">
        <f>IFERROR(__xludf.DUMMYFUNCTION("""COMPUTED_VALUE"""),"13/05/2026 (10 thùng + 21 chai)")</f>
        <v>13/05/2026 (10 thùng + 21 chai)</v>
      </c>
      <c r="AT24" s="2"/>
      <c r="AU24" s="142">
        <f>IFERROR(__xludf.DUMMYFUNCTION("""COMPUTED_VALUE"""),421.0)</f>
        <v>421</v>
      </c>
      <c r="AV24" s="2" t="str">
        <f>IFERROR(__xludf.DUMMYFUNCTION("""COMPUTED_VALUE"""),"18/05/2026 đã giao 10t+21 chai")</f>
        <v>18/05/2026 đã giao 10t+21 chai</v>
      </c>
      <c r="AW24" s="2"/>
      <c r="AX24" s="2"/>
      <c r="AY24" s="2"/>
      <c r="AZ24" s="2" t="str">
        <f>IFERROR(__xludf.DUMMYFUNCTION("""COMPUTED_VALUE"""),"#REF!")</f>
        <v>#REF!</v>
      </c>
      <c r="BA24" s="2" t="str">
        <f>IFERROR(__xludf.DUMMYFUNCTION("""COMPUTED_VALUE"""),"Đủ điều kiện")</f>
        <v>Đủ điều kiện</v>
      </c>
      <c r="BB24" s="2" t="str">
        <f>IFERROR(__xludf.DUMMYFUNCTION("""COMPUTED_VALUE"""),"Duyệt")</f>
        <v>Duyệt</v>
      </c>
      <c r="BC24" s="149">
        <f>IFERROR(__xludf.DUMMYFUNCTION("""COMPUTED_VALUE"""),46151.0)</f>
        <v>46151</v>
      </c>
      <c r="BD24" s="2" t="str">
        <f>IFERROR(__xludf.DUMMYFUNCTION("""COMPUTED_VALUE"""),"Duyệt")</f>
        <v>Duyệt</v>
      </c>
      <c r="BE24" s="2" t="str">
        <f>IFERROR(__xludf.DUMMYFUNCTION("""COMPUTED_VALUE"""),"xlg 09/05
11/05")</f>
        <v>xlg 09/05
11/05</v>
      </c>
      <c r="BF24" s="2" t="str">
        <f>IFERROR(__xludf.DUMMYFUNCTION("""COMPUTED_VALUE"""),"Đã xử lí giá")</f>
        <v>Đã xử lí giá</v>
      </c>
      <c r="BG24" s="2" t="str">
        <f>IFERROR(__xludf.DUMMYFUNCTION("""COMPUTED_VALUE"""),"N01080825 Nước xanh lá  Chưa có giá bán khách hàng 9/5/2026")</f>
        <v>N01080825 Nước xanh lá  Chưa có giá bán khách hàng 9/5/2026</v>
      </c>
      <c r="BH24" s="2"/>
      <c r="BI24" s="2"/>
      <c r="BJ24" s="2"/>
      <c r="BK24" s="2"/>
      <c r="BL24" s="2"/>
      <c r="BM24" s="2"/>
      <c r="BN24" s="2"/>
      <c r="BO24" s="2"/>
      <c r="BP24" s="2"/>
      <c r="BQ24" s="2"/>
    </row>
    <row r="25">
      <c r="A25" s="2">
        <f>IFERROR(__xludf.DUMMYFUNCTION("""COMPUTED_VALUE"""),59.0)</f>
        <v>59</v>
      </c>
      <c r="B25" s="2" t="str">
        <f>IFERROR(__xludf.DUMMYFUNCTION("""COMPUTED_VALUE"""),"Dego Cần Thơ")</f>
        <v>Dego Cần Thơ</v>
      </c>
      <c r="C25" s="2" t="str">
        <f>IFERROR(__xludf.DUMMYFUNCTION("""COMPUTED_VALUE"""),"STP09052603")</f>
        <v>STP09052603</v>
      </c>
      <c r="D25" s="39">
        <f>IFERROR(__xludf.DUMMYFUNCTION("""COMPUTED_VALUE"""),46151.0)</f>
        <v>46151</v>
      </c>
      <c r="E25" s="2"/>
      <c r="F25" s="2" t="str">
        <f>IFERROR(__xludf.DUMMYFUNCTION("""COMPUTED_VALUE"""),"N2SBIO")</f>
        <v>N2SBIO</v>
      </c>
      <c r="G25" s="2" t="str">
        <f>IFERROR(__xludf.DUMMYFUNCTION("""COMPUTED_VALUE"""),"HH4187")</f>
        <v>HH4187</v>
      </c>
      <c r="H25" s="2" t="str">
        <f>IFERROR(__xludf.DUMMYFUNCTION("""COMPUTED_VALUE"""),"GC - IX - 4187 - N2SBIO - N2 ULTRA LOCK (Dạng SC - Trắng sữa) - 500ml - 40")</f>
        <v>GC - IX - 4187 - N2SBIO - N2 ULTRA LOCK (Dạng SC - Trắng sữa) - 500ml - 40</v>
      </c>
      <c r="I25" s="2" t="str">
        <f>IFERROR(__xludf.DUMMYFUNCTION("""COMPUTED_VALUE"""),"Phân bón")</f>
        <v>Phân bón</v>
      </c>
      <c r="J25" s="142" t="str">
        <f>IFERROR(__xludf.DUMMYFUNCTION("""COMPUTED_VALUE"""),"Lá PK-Trung Lượng NBC-Photphonate")</f>
        <v>Lá PK-Trung Lượng NBC-Photphonate</v>
      </c>
      <c r="K25" s="2" t="str">
        <f>IFERROR(__xludf.DUMMYFUNCTION("""COMPUTED_VALUE"""),"N04290725")</f>
        <v>N04290725</v>
      </c>
      <c r="L25" s="2" t="str">
        <f>IFERROR(__xludf.DUMMYFUNCTION("""COMPUTED_VALUE"""),"Dạng SC - Trắng sữa")</f>
        <v>Dạng SC - Trắng sữa</v>
      </c>
      <c r="M25" s="2" t="str">
        <f>IFERROR(__xludf.DUMMYFUNCTION("""COMPUTED_VALUE"""),"Chai")</f>
        <v>Chai</v>
      </c>
      <c r="N25" s="142">
        <f>IFERROR(__xludf.DUMMYFUNCTION("""COMPUTED_VALUE"""),40.0)</f>
        <v>40</v>
      </c>
      <c r="O25" s="142">
        <f>IFERROR(__xludf.DUMMYFUNCTION("""COMPUTED_VALUE"""),100.0)</f>
        <v>100</v>
      </c>
      <c r="P25" s="142">
        <f>IFERROR(__xludf.DUMMYFUNCTION("""COMPUTED_VALUE"""),4000.0)</f>
        <v>4000</v>
      </c>
      <c r="Q25" s="145">
        <f>IFERROR(__xludf.DUMMYFUNCTION("""COMPUTED_VALUE"""),46158.0)</f>
        <v>46158</v>
      </c>
      <c r="R25" s="2" t="str">
        <f>IFERROR(__xludf.DUMMYFUNCTION("""COMPUTED_VALUE"""),"x")</f>
        <v>x</v>
      </c>
      <c r="S25" s="142" t="str">
        <f>IFERROR(__xludf.DUMMYFUNCTION("""COMPUTED_VALUE"""),"x")</f>
        <v>x</v>
      </c>
      <c r="T25" s="142" t="str">
        <f>IFERROR(__xludf.DUMMYFUNCTION("""COMPUTED_VALUE"""),"x")</f>
        <v>x</v>
      </c>
      <c r="U25" s="142" t="str">
        <f>IFERROR(__xludf.DUMMYFUNCTION("""COMPUTED_VALUE"""),"x")</f>
        <v>x</v>
      </c>
      <c r="V25" s="142">
        <f>IFERROR(__xludf.DUMMYFUNCTION("""COMPUTED_VALUE"""),7.0)</f>
        <v>7</v>
      </c>
      <c r="W25" s="2" t="str">
        <f>IFERROR(__xludf.DUMMYFUNCTION("""COMPUTED_VALUE""")," - Giá bán  - Ngày dự kiến thu tiền:  - Dự kiến ngày ra hết hàng: ")</f>
        <v> - Giá bán  - Ngày dự kiến thu tiền:  - Dự kiến ngày ra hết hàng: </v>
      </c>
      <c r="X25" s="2"/>
      <c r="Y25" s="2" t="str">
        <f>IFERROR(__xludf.DUMMYFUNCTION("""COMPUTED_VALUE"""),"Dego Cần Thơ")</f>
        <v>Dego Cần Thơ</v>
      </c>
      <c r="Z25" s="2" t="str">
        <f>IFERROR(__xludf.DUMMYFUNCTION("""COMPUTED_VALUE"""),"Hàng sẵn kho")</f>
        <v>Hàng sẵn kho</v>
      </c>
      <c r="AA25" s="2"/>
      <c r="AB25" s="2" t="str">
        <f>IFERROR(__xludf.DUMMYFUNCTION("""COMPUTED_VALUE"""),"chưa gửi đơn, chưa duyệt giá (8-9/5)
15-16/05 chiết được 35-40 thùng, để ra hàng lấy hóa đơn xong e báo lại a hả lấy hàng nha,  lượng còn lại đang đợi nguyên liệu mới về hiện chưa có ngày dự kiến
38 thùng +8 chai đã có hóa đơn
đã có hóa đơn 25/05 lấy hàng"&amp;" được")</f>
        <v>chưa gửi đơn, chưa duyệt giá (8-9/5)
15-16/05 chiết được 35-40 thùng, để ra hàng lấy hóa đơn xong e báo lại a hả lấy hàng nha,  lượng còn lại đang đợi nguyên liệu mới về hiện chưa có ngày dự kiến
38 thùng +8 chai đã có hóa đơn
đã có hóa đơn 25/05 lấy hàng được</v>
      </c>
      <c r="AC25" s="2"/>
      <c r="AD25" s="146">
        <f>IFERROR(__xludf.DUMMYFUNCTION("""COMPUTED_VALUE"""),4305.0)</f>
        <v>4305</v>
      </c>
      <c r="AE25" s="2" t="str">
        <f>IFERROR(__xludf.DUMMYFUNCTION("""COMPUTED_VALUE"""),"đã bàn giao cho nhà máy 23/05")</f>
        <v>đã bàn giao cho nhà máy 23/05</v>
      </c>
      <c r="AF25" s="146" t="str">
        <f>IFERROR(__xludf.DUMMYFUNCTION("""COMPUTED_VALUE"""),"STP09052603")</f>
        <v>STP09052603</v>
      </c>
      <c r="AG25" s="143">
        <f>IFERROR(__xludf.DUMMYFUNCTION("""COMPUTED_VALUE"""),46157.0)</f>
        <v>46157</v>
      </c>
      <c r="AH25" s="146">
        <f>IFERROR(__xludf.DUMMYFUNCTION("""COMPUTED_VALUE"""),1531.0)</f>
        <v>1531</v>
      </c>
      <c r="AI25" s="143">
        <f>IFERROR(__xludf.DUMMYFUNCTION("""COMPUTED_VALUE"""),46162.0)</f>
        <v>46162</v>
      </c>
      <c r="AJ25" s="146">
        <f>IFERROR(__xludf.DUMMYFUNCTION("""COMPUTED_VALUE"""),1530.0)</f>
        <v>1530</v>
      </c>
      <c r="AK25" s="143">
        <f>IFERROR(__xludf.DUMMYFUNCTION("""COMPUTED_VALUE"""),46163.0)</f>
        <v>46163</v>
      </c>
      <c r="AL25" s="142">
        <f>IFERROR(__xludf.DUMMYFUNCTION("""COMPUTED_VALUE"""),1244.0)</f>
        <v>1244</v>
      </c>
      <c r="AM25" s="142">
        <f>IFERROR(__xludf.DUMMYFUNCTION("""COMPUTED_VALUE"""),2770.0)</f>
        <v>2770</v>
      </c>
      <c r="AN25" s="2"/>
      <c r="AO25" s="2"/>
      <c r="AP25" s="2"/>
      <c r="AQ25" s="2"/>
      <c r="AR25" s="2">
        <f>IFERROR(__xludf.DUMMYFUNCTION("""COMPUTED_VALUE"""),280526.0)</f>
        <v>280526</v>
      </c>
      <c r="AS25" s="2" t="str">
        <f>IFERROR(__xludf.DUMMYFUNCTION("""COMPUTED_VALUE"""),"15/05/2026 (38 thùng + 89chai + 2 mẫu)
19/05/2026 (38 thùng + 8 chai + 2 mẫu)")</f>
        <v>15/05/2026 (38 thùng + 89chai + 2 mẫu)
19/05/2026 (38 thùng + 8 chai + 2 mẫu)</v>
      </c>
      <c r="AT25" s="2"/>
      <c r="AU25" s="142">
        <f>IFERROR(__xludf.DUMMYFUNCTION("""COMPUTED_VALUE"""),1529.0)</f>
        <v>1529</v>
      </c>
      <c r="AV25" s="2" t="str">
        <f>IFERROR(__xludf.DUMMYFUNCTION("""COMPUTED_VALUE"""),"19/05/2026 đã giao 38t+9 chai")</f>
        <v>19/05/2026 đã giao 38t+9 chai</v>
      </c>
      <c r="AW25" s="2"/>
      <c r="AX25" s="2"/>
      <c r="AY25" s="2"/>
      <c r="AZ25" s="2" t="str">
        <f>IFERROR(__xludf.DUMMYFUNCTION("""COMPUTED_VALUE"""),"#REF!")</f>
        <v>#REF!</v>
      </c>
      <c r="BA25" s="2" t="str">
        <f>IFERROR(__xludf.DUMMYFUNCTION("""COMPUTED_VALUE"""),"Đủ điều kiện")</f>
        <v>Đủ điều kiện</v>
      </c>
      <c r="BB25" s="2" t="str">
        <f>IFERROR(__xludf.DUMMYFUNCTION("""COMPUTED_VALUE"""),"Duyệt")</f>
        <v>Duyệt</v>
      </c>
      <c r="BC25" s="148">
        <f>IFERROR(__xludf.DUMMYFUNCTION("""COMPUTED_VALUE"""),46151.0)</f>
        <v>46151</v>
      </c>
      <c r="BD25" s="2" t="str">
        <f>IFERROR(__xludf.DUMMYFUNCTION("""COMPUTED_VALUE"""),"Duyệt")</f>
        <v>Duyệt</v>
      </c>
      <c r="BE25" s="2" t="str">
        <f>IFERROR(__xludf.DUMMYFUNCTION("""COMPUTED_VALUE"""),"xlg 09/05
11/05")</f>
        <v>xlg 09/05
11/05</v>
      </c>
      <c r="BF25" s="2" t="str">
        <f>IFERROR(__xludf.DUMMYFUNCTION("""COMPUTED_VALUE"""),"Đã xử lí giá")</f>
        <v>Đã xử lí giá</v>
      </c>
      <c r="BG25" s="2" t="str">
        <f>IFERROR(__xludf.DUMMYFUNCTION("""COMPUTED_VALUE"""),"N04290725Dạng SC - Trắng sữa  Chưa có giá bán khách hàng 9/5/2026")</f>
        <v>N04290725Dạng SC - Trắng sữa  Chưa có giá bán khách hàng 9/5/2026</v>
      </c>
      <c r="BH25" s="2"/>
      <c r="BI25" s="2"/>
      <c r="BJ25" s="2"/>
      <c r="BK25" s="2"/>
      <c r="BL25" s="2"/>
      <c r="BM25" s="2"/>
      <c r="BN25" s="2"/>
      <c r="BO25" s="2"/>
      <c r="BP25" s="2"/>
      <c r="BQ25" s="2"/>
    </row>
    <row r="26">
      <c r="A26" s="2">
        <f>IFERROR(__xludf.DUMMYFUNCTION("""COMPUTED_VALUE"""),60.0)</f>
        <v>60</v>
      </c>
      <c r="B26" s="2" t="str">
        <f>IFERROR(__xludf.DUMMYFUNCTION("""COMPUTED_VALUE"""),"Dego Cần Thơ")</f>
        <v>Dego Cần Thơ</v>
      </c>
      <c r="C26" s="2" t="str">
        <f>IFERROR(__xludf.DUMMYFUNCTION("""COMPUTED_VALUE"""),"ATP11052601")</f>
        <v>ATP11052601</v>
      </c>
      <c r="D26" s="39">
        <f>IFERROR(__xludf.DUMMYFUNCTION("""COMPUTED_VALUE"""),46153.0)</f>
        <v>46153</v>
      </c>
      <c r="E26" s="2" t="str">
        <f>IFERROR(__xludf.DUMMYFUNCTION("""COMPUTED_VALUE"""),"Đã duyệt")</f>
        <v>Đã duyệt</v>
      </c>
      <c r="F26" s="2" t="str">
        <f>IFERROR(__xludf.DUMMYFUNCTION("""COMPUTED_VALUE"""),"ABA")</f>
        <v>ABA</v>
      </c>
      <c r="G26" s="2" t="str">
        <f>IFERROR(__xludf.DUMMYFUNCTION("""COMPUTED_VALUE"""),"HH5010")</f>
        <v>HH5010</v>
      </c>
      <c r="H26" s="2" t="str">
        <f>IFERROR(__xludf.DUMMYFUNCTION("""COMPUTED_VALUE"""),"GC - V - 5010 - CTY CAPY GLOBAL - SUPER CU (Nước xanh dương) - 500ml - 40")</f>
        <v>GC - V - 5010 - CTY CAPY GLOBAL - SUPER CU (Nước xanh dương) - 500ml - 40</v>
      </c>
      <c r="I26" s="2" t="str">
        <f>IFERROR(__xludf.DUMMYFUNCTION("""COMPUTED_VALUE"""),"Phân bón")</f>
        <v>Phân bón</v>
      </c>
      <c r="J26" s="142" t="str">
        <f>IFERROR(__xludf.DUMMYFUNCTION("""COMPUTED_VALUE"""),"Vi lượng Agama - Cu")</f>
        <v>Vi lượng Agama - Cu</v>
      </c>
      <c r="K26" s="2" t="str">
        <f>IFERROR(__xludf.DUMMYFUNCTION("""COMPUTED_VALUE"""),"A02300524 Maxan-01")</f>
        <v>A02300524 Maxan-01</v>
      </c>
      <c r="L26" s="2" t="str">
        <f>IFERROR(__xludf.DUMMYFUNCTION("""COMPUTED_VALUE"""),"Nước xanh dương")</f>
        <v>Nước xanh dương</v>
      </c>
      <c r="M26" s="2" t="str">
        <f>IFERROR(__xludf.DUMMYFUNCTION("""COMPUTED_VALUE"""),"Chai")</f>
        <v>Chai</v>
      </c>
      <c r="N26" s="142">
        <f>IFERROR(__xludf.DUMMYFUNCTION("""COMPUTED_VALUE"""),40.0)</f>
        <v>40</v>
      </c>
      <c r="O26" s="142">
        <f>IFERROR(__xludf.DUMMYFUNCTION("""COMPUTED_VALUE"""),10.0)</f>
        <v>10</v>
      </c>
      <c r="P26" s="142">
        <f>IFERROR(__xludf.DUMMYFUNCTION("""COMPUTED_VALUE"""),400.0)</f>
        <v>400</v>
      </c>
      <c r="Q26" s="145">
        <f>IFERROR(__xludf.DUMMYFUNCTION("""COMPUTED_VALUE"""),46162.0)</f>
        <v>46162</v>
      </c>
      <c r="R26" s="2"/>
      <c r="S26" s="142" t="str">
        <f>IFERROR(__xludf.DUMMYFUNCTION("""COMPUTED_VALUE"""),"lấy chẳn thùng")</f>
        <v>lấy chẳn thùng</v>
      </c>
      <c r="T26" s="2"/>
      <c r="U26" s="2"/>
      <c r="V26" s="2"/>
      <c r="W26" s="2" t="str">
        <f>IFERROR(__xludf.DUMMYFUNCTION("""COMPUTED_VALUE"""),"CAPY - Giá bán 47250 - Ngày dự kiến thu tiền:  - Dự kiến ngày ra hết hàng: ")</f>
        <v>CAPY - Giá bán 47250 - Ngày dự kiến thu tiền:  - Dự kiến ngày ra hết hàng: </v>
      </c>
      <c r="X26" s="2"/>
      <c r="Y26" s="2" t="str">
        <f>IFERROR(__xludf.DUMMYFUNCTION("""COMPUTED_VALUE"""),"Dego Cần Thơ")</f>
        <v>Dego Cần Thơ</v>
      </c>
      <c r="Z26" s="2" t="str">
        <f>IFERROR(__xludf.DUMMYFUNCTION("""COMPUTED_VALUE"""),"Đã có lịch SX")</f>
        <v>Đã có lịch SX</v>
      </c>
      <c r="AA26" s="2"/>
      <c r="AB26" s="2" t="str">
        <f>IFERROR(__xludf.DUMMYFUNCTION("""COMPUTED_VALUE"""),"KD ok lấy hết lẻ")</f>
        <v>KD ok lấy hết lẻ</v>
      </c>
      <c r="AC26" s="146">
        <f>IFERROR(__xludf.DUMMYFUNCTION("""COMPUTED_VALUE"""),400.0)</f>
        <v>400</v>
      </c>
      <c r="AD26" s="2"/>
      <c r="AE26" s="2" t="str">
        <f>IFERROR(__xludf.DUMMYFUNCTION("""COMPUTED_VALUE"""),"đã bàn giao cho nhà máy 23/05")</f>
        <v>đã bàn giao cho nhà máy 23/05</v>
      </c>
      <c r="AF26" s="2"/>
      <c r="AG26" s="2"/>
      <c r="AH26" s="2"/>
      <c r="AI26" s="2"/>
      <c r="AJ26" s="2"/>
      <c r="AK26" s="2"/>
      <c r="AL26" s="2"/>
      <c r="AM26" s="2"/>
      <c r="AN26" s="2"/>
      <c r="AO26" s="2"/>
      <c r="AP26" s="2"/>
      <c r="AQ26" s="2"/>
      <c r="AR26" s="2"/>
      <c r="AS26" s="2"/>
      <c r="AT26" s="2"/>
      <c r="AU26" s="2"/>
      <c r="AV26" s="2"/>
      <c r="AW26" s="2"/>
      <c r="AX26" s="2"/>
      <c r="AY26" s="2"/>
      <c r="AZ26" s="2" t="str">
        <f>IFERROR(__xludf.DUMMYFUNCTION("""COMPUTED_VALUE"""),"#REF!")</f>
        <v>#REF!</v>
      </c>
      <c r="BA26" s="2" t="str">
        <f>IFERROR(__xludf.DUMMYFUNCTION("""COMPUTED_VALUE"""),"Đủ điều kiện")</f>
        <v>Đủ điều kiện</v>
      </c>
      <c r="BB26" s="2" t="str">
        <f>IFERROR(__xludf.DUMMYFUNCTION("""COMPUTED_VALUE"""),"Duyệt")</f>
        <v>Duyệt</v>
      </c>
      <c r="BC26" s="148">
        <f>IFERROR(__xludf.DUMMYFUNCTION("""COMPUTED_VALUE"""),46154.0)</f>
        <v>46154</v>
      </c>
      <c r="BD26" s="2" t="str">
        <f>IFERROR(__xludf.DUMMYFUNCTION("""COMPUTED_VALUE"""),"Duyệt")</f>
        <v>Duyệt</v>
      </c>
      <c r="BE26" s="2" t="str">
        <f>IFERROR(__xludf.DUMMYFUNCTION("""COMPUTED_VALUE"""),"xlg 13/05")</f>
        <v>xlg 13/05</v>
      </c>
      <c r="BF26" s="2" t="str">
        <f>IFERROR(__xludf.DUMMYFUNCTION("""COMPUTED_VALUE"""),"Đã xử lí giá")</f>
        <v>Đã xử lí giá</v>
      </c>
      <c r="BG26" s="2" t="str">
        <f>IFERROR(__xludf.DUMMYFUNCTION("""COMPUTED_VALUE"""),"A02300524 Maxan-01 Nước xanh dương 47,250đ 12/5/2026")</f>
        <v>A02300524 Maxan-01 Nước xanh dương 47,250đ 12/5/2026</v>
      </c>
      <c r="BH26" s="2"/>
      <c r="BI26" s="2"/>
      <c r="BJ26" s="2"/>
      <c r="BK26" s="2"/>
      <c r="BL26" s="2"/>
      <c r="BM26" s="2"/>
      <c r="BN26" s="2"/>
      <c r="BO26" s="2"/>
      <c r="BP26" s="2"/>
      <c r="BQ26" s="2"/>
    </row>
    <row r="27">
      <c r="A27" s="2">
        <f>IFERROR(__xludf.DUMMYFUNCTION("""COMPUTED_VALUE"""),61.0)</f>
        <v>61</v>
      </c>
      <c r="B27" s="2" t="str">
        <f>IFERROR(__xludf.DUMMYFUNCTION("""COMPUTED_VALUE"""),"Dego Cần Thơ")</f>
        <v>Dego Cần Thơ</v>
      </c>
      <c r="C27" s="2" t="str">
        <f>IFERROR(__xludf.DUMMYFUNCTION("""COMPUTED_VALUE"""),"ATP11052602")</f>
        <v>ATP11052602</v>
      </c>
      <c r="D27" s="39">
        <f>IFERROR(__xludf.DUMMYFUNCTION("""COMPUTED_VALUE"""),46153.0)</f>
        <v>46153</v>
      </c>
      <c r="E27" s="2" t="str">
        <f>IFERROR(__xludf.DUMMYFUNCTION("""COMPUTED_VALUE"""),"Đã duyệt")</f>
        <v>Đã duyệt</v>
      </c>
      <c r="F27" s="2" t="str">
        <f>IFERROR(__xludf.DUMMYFUNCTION("""COMPUTED_VALUE"""),"ABA")</f>
        <v>ABA</v>
      </c>
      <c r="G27" s="2" t="str">
        <f>IFERROR(__xludf.DUMMYFUNCTION("""COMPUTED_VALUE"""),"HH5014")</f>
        <v>HH5014</v>
      </c>
      <c r="H27" s="2" t="str">
        <f>IFERROR(__xludf.DUMMYFUNCTION("""COMPUTED_VALUE"""),"GC - X - 5014 - CSSX An Khang - TAK12 (Nước nâu vàng) - 500ml - 40")</f>
        <v>GC - X - 5014 - CSSX An Khang - TAK12 (Nước nâu vàng) - 500ml - 40</v>
      </c>
      <c r="I27" s="2" t="str">
        <f>IFERROR(__xludf.DUMMYFUNCTION("""COMPUTED_VALUE"""),"Phân bón")</f>
        <v>Phân bón</v>
      </c>
      <c r="J27" s="142" t="str">
        <f>IFERROR(__xludf.DUMMYFUNCTION("""COMPUTED_VALUE"""),"Lá Hỗn Hợp PK AGRI FOS AB")</f>
        <v>Lá Hỗn Hợp PK AGRI FOS AB</v>
      </c>
      <c r="K27" s="2" t="str">
        <f>IFERROR(__xludf.DUMMYFUNCTION("""COMPUTED_VALUE"""),"A07290925")</f>
        <v>A07290925</v>
      </c>
      <c r="L27" s="2" t="str">
        <f>IFERROR(__xludf.DUMMYFUNCTION("""COMPUTED_VALUE"""),"Nước nâu vàng")</f>
        <v>Nước nâu vàng</v>
      </c>
      <c r="M27" s="2" t="str">
        <f>IFERROR(__xludf.DUMMYFUNCTION("""COMPUTED_VALUE"""),"Chai")</f>
        <v>Chai</v>
      </c>
      <c r="N27" s="142">
        <f>IFERROR(__xludf.DUMMYFUNCTION("""COMPUTED_VALUE"""),40.0)</f>
        <v>40</v>
      </c>
      <c r="O27" s="142">
        <f>IFERROR(__xludf.DUMMYFUNCTION("""COMPUTED_VALUE"""),25.0)</f>
        <v>25</v>
      </c>
      <c r="P27" s="142">
        <f>IFERROR(__xludf.DUMMYFUNCTION("""COMPUTED_VALUE"""),1000.0)</f>
        <v>1000</v>
      </c>
      <c r="Q27" s="145">
        <f>IFERROR(__xludf.DUMMYFUNCTION("""COMPUTED_VALUE"""),46162.0)</f>
        <v>46162</v>
      </c>
      <c r="R27" s="2"/>
      <c r="S27" s="142" t="str">
        <f>IFERROR(__xludf.DUMMYFUNCTION("""COMPUTED_VALUE"""),"lấy chẳn thùng")</f>
        <v>lấy chẳn thùng</v>
      </c>
      <c r="T27" s="2"/>
      <c r="U27" s="2"/>
      <c r="V27" s="2"/>
      <c r="W27" s="2" t="str">
        <f>IFERROR(__xludf.DUMMYFUNCTION("""COMPUTED_VALUE"""),"CAPY - Giá bán 68000 - Ngày dự kiến thu tiền:  - Dự kiến ngày ra hết hàng: ")</f>
        <v>CAPY - Giá bán 68000 - Ngày dự kiến thu tiền:  - Dự kiến ngày ra hết hàng: </v>
      </c>
      <c r="X27" s="2"/>
      <c r="Y27" s="2" t="str">
        <f>IFERROR(__xludf.DUMMYFUNCTION("""COMPUTED_VALUE"""),"Dego Cần Thơ")</f>
        <v>Dego Cần Thơ</v>
      </c>
      <c r="Z27" s="2" t="str">
        <f>IFERROR(__xludf.DUMMYFUNCTION("""COMPUTED_VALUE"""),"Hàng sẵn kho")</f>
        <v>Hàng sẵn kho</v>
      </c>
      <c r="AA27" s="2"/>
      <c r="AB27" s="2" t="str">
        <f>IFERROR(__xludf.DUMMYFUNCTION("""COMPUTED_VALUE"""),"KD lấy lẻ
chốt 21 thùng +29 chai kết đơn
đã có hóa đơn 25/05 lấy hàng được")</f>
        <v>KD lấy lẻ
chốt 21 thùng +29 chai kết đơn
đã có hóa đơn 25/05 lấy hàng được</v>
      </c>
      <c r="AC27" s="2"/>
      <c r="AD27" s="146">
        <f>IFERROR(__xludf.DUMMYFUNCTION("""COMPUTED_VALUE"""),872.0)</f>
        <v>872</v>
      </c>
      <c r="AE27" s="2" t="str">
        <f>IFERROR(__xludf.DUMMYFUNCTION("""COMPUTED_VALUE"""),"đã bàn giao cho nhà máy 23/05")</f>
        <v>đã bàn giao cho nhà máy 23/05</v>
      </c>
      <c r="AF27" s="146" t="str">
        <f>IFERROR(__xludf.DUMMYFUNCTION("""COMPUTED_VALUE"""),"ATP11052602")</f>
        <v>ATP11052602</v>
      </c>
      <c r="AG27" s="143">
        <f>IFERROR(__xludf.DUMMYFUNCTION("""COMPUTED_VALUE"""),46164.0)</f>
        <v>46164</v>
      </c>
      <c r="AH27" s="146">
        <f>IFERROR(__xludf.DUMMYFUNCTION("""COMPUTED_VALUE"""),872.0)</f>
        <v>872</v>
      </c>
      <c r="AI27" s="2"/>
      <c r="AJ27" s="2"/>
      <c r="AK27" s="2"/>
      <c r="AL27" s="2"/>
      <c r="AM27" s="142">
        <f>IFERROR(__xludf.DUMMYFUNCTION("""COMPUTED_VALUE"""),869.0)</f>
        <v>869</v>
      </c>
      <c r="AN27" s="2"/>
      <c r="AO27" s="2"/>
      <c r="AP27" s="2"/>
      <c r="AQ27" s="2"/>
      <c r="AR27" s="2" t="str">
        <f>IFERROR(__xludf.DUMMYFUNCTION("""COMPUTED_VALUE"""),"401225 (7 thùng + 9 chai + 1 mẫu)
350526 (14 thùng + 10 chai + 2 mẫu)")</f>
        <v>401225 (7 thùng + 9 chai + 1 mẫu)
350526 (14 thùng + 10 chai + 2 mẫu)</v>
      </c>
      <c r="AS27" s="143">
        <f>IFERROR(__xludf.DUMMYFUNCTION("""COMPUTED_VALUE"""),46163.0)</f>
        <v>46163</v>
      </c>
      <c r="AT27" s="2"/>
      <c r="AU27" s="2"/>
      <c r="AV27" s="2"/>
      <c r="AW27" s="2"/>
      <c r="AX27" s="2"/>
      <c r="AY27" s="2"/>
      <c r="AZ27" s="2" t="str">
        <f>IFERROR(__xludf.DUMMYFUNCTION("""COMPUTED_VALUE"""),"#REF!")</f>
        <v>#REF!</v>
      </c>
      <c r="BA27" s="2" t="str">
        <f>IFERROR(__xludf.DUMMYFUNCTION("""COMPUTED_VALUE"""),"Đủ điều kiện")</f>
        <v>Đủ điều kiện</v>
      </c>
      <c r="BB27" s="2" t="str">
        <f>IFERROR(__xludf.DUMMYFUNCTION("""COMPUTED_VALUE"""),"Duyệt")</f>
        <v>Duyệt</v>
      </c>
      <c r="BC27" s="148">
        <f>IFERROR(__xludf.DUMMYFUNCTION("""COMPUTED_VALUE"""),46154.0)</f>
        <v>46154</v>
      </c>
      <c r="BD27" s="2" t="str">
        <f>IFERROR(__xludf.DUMMYFUNCTION("""COMPUTED_VALUE"""),"Duyệt")</f>
        <v>Duyệt</v>
      </c>
      <c r="BE27" s="2" t="str">
        <f>IFERROR(__xludf.DUMMYFUNCTION("""COMPUTED_VALUE"""),"xlg 13/05
14/05")</f>
        <v>xlg 13/05
14/05</v>
      </c>
      <c r="BF27" s="2" t="str">
        <f>IFERROR(__xludf.DUMMYFUNCTION("""COMPUTED_VALUE"""),"Đã xử lí giá")</f>
        <v>Đã xử lí giá</v>
      </c>
      <c r="BG27" s="2" t="str">
        <f>IFERROR(__xludf.DUMMYFUNCTION("""COMPUTED_VALUE"""),"A07290925 Nước nâu vàng 68,000đ 12/5/2026")</f>
        <v>A07290925 Nước nâu vàng 68,000đ 12/5/2026</v>
      </c>
      <c r="BH27" s="2"/>
      <c r="BI27" s="2"/>
      <c r="BJ27" s="2"/>
      <c r="BK27" s="2"/>
      <c r="BL27" s="2"/>
      <c r="BM27" s="2"/>
      <c r="BN27" s="2"/>
      <c r="BO27" s="2"/>
      <c r="BP27" s="2"/>
      <c r="BQ27" s="2"/>
    </row>
    <row r="28">
      <c r="A28" s="2">
        <f>IFERROR(__xludf.DUMMYFUNCTION("""COMPUTED_VALUE"""),63.0)</f>
        <v>63</v>
      </c>
      <c r="B28" s="2" t="str">
        <f>IFERROR(__xludf.DUMMYFUNCTION("""COMPUTED_VALUE"""),"Dego Cần Thơ")</f>
        <v>Dego Cần Thơ</v>
      </c>
      <c r="C28" s="2" t="str">
        <f>IFERROR(__xludf.DUMMYFUNCTION("""COMPUTED_VALUE"""),"ATP11052607")</f>
        <v>ATP11052607</v>
      </c>
      <c r="D28" s="39">
        <f>IFERROR(__xludf.DUMMYFUNCTION("""COMPUTED_VALUE"""),46153.0)</f>
        <v>46153</v>
      </c>
      <c r="E28" s="2" t="str">
        <f>IFERROR(__xludf.DUMMYFUNCTION("""COMPUTED_VALUE"""),"Đã duyệt")</f>
        <v>Đã duyệt</v>
      </c>
      <c r="F28" s="2" t="str">
        <f>IFERROR(__xludf.DUMMYFUNCTION("""COMPUTED_VALUE"""),"ABA")</f>
        <v>ABA</v>
      </c>
      <c r="G28" s="2" t="str">
        <f>IFERROR(__xludf.DUMMYFUNCTION("""COMPUTED_VALUE"""),"HH5006")</f>
        <v>HH5006</v>
      </c>
      <c r="H28" s="2" t="str">
        <f>IFERROR(__xludf.DUMMYFUNCTION("""COMPUTED_VALUE"""),"GC - V - 5006 - Cty Sen Hồng - ROOT+ (Gel xanh dương) - 500ml - 40")</f>
        <v>GC - V - 5006 - Cty Sen Hồng - ROOT+ (Gel xanh dương) - 500ml - 40</v>
      </c>
      <c r="I28" s="2" t="str">
        <f>IFERROR(__xludf.DUMMYFUNCTION("""COMPUTED_VALUE"""),"Phân bón")</f>
        <v>Phân bón</v>
      </c>
      <c r="J28" s="142" t="str">
        <f>IFERROR(__xludf.DUMMYFUNCTION("""COMPUTED_VALUE"""),"Hỗn Hợp NP AGAMA-AP")</f>
        <v>Hỗn Hợp NP AGAMA-AP</v>
      </c>
      <c r="K28" s="2" t="str">
        <f>IFERROR(__xludf.DUMMYFUNCTION("""COMPUTED_VALUE"""),"A06091025")</f>
        <v>A06091025</v>
      </c>
      <c r="L28" s="2" t="str">
        <f>IFERROR(__xludf.DUMMYFUNCTION("""COMPUTED_VALUE"""),"Gel xanh dương")</f>
        <v>Gel xanh dương</v>
      </c>
      <c r="M28" s="2" t="str">
        <f>IFERROR(__xludf.DUMMYFUNCTION("""COMPUTED_VALUE"""),"Chai")</f>
        <v>Chai</v>
      </c>
      <c r="N28" s="142">
        <f>IFERROR(__xludf.DUMMYFUNCTION("""COMPUTED_VALUE"""),40.0)</f>
        <v>40</v>
      </c>
      <c r="O28" s="142">
        <f>IFERROR(__xludf.DUMMYFUNCTION("""COMPUTED_VALUE"""),10.0)</f>
        <v>10</v>
      </c>
      <c r="P28" s="142">
        <f>IFERROR(__xludf.DUMMYFUNCTION("""COMPUTED_VALUE"""),400.0)</f>
        <v>400</v>
      </c>
      <c r="Q28" s="145">
        <f>IFERROR(__xludf.DUMMYFUNCTION("""COMPUTED_VALUE"""),46162.0)</f>
        <v>46162</v>
      </c>
      <c r="R28" s="2"/>
      <c r="S28" s="142" t="str">
        <f>IFERROR(__xludf.DUMMYFUNCTION("""COMPUTED_VALUE"""),"lấy chẳn thùng")</f>
        <v>lấy chẳn thùng</v>
      </c>
      <c r="T28" s="2"/>
      <c r="U28" s="2"/>
      <c r="V28" s="2"/>
      <c r="W28" s="2" t="str">
        <f>IFERROR(__xludf.DUMMYFUNCTION("""COMPUTED_VALUE"""),"SEN HỒNG - Giá bán 42000 - Ngày dự kiến thu tiền:  - Dự kiến ngày ra hết hàng: ")</f>
        <v>SEN HỒNG - Giá bán 42000 - Ngày dự kiến thu tiền:  - Dự kiến ngày ra hết hàng: </v>
      </c>
      <c r="X28" s="2"/>
      <c r="Y28" s="2" t="str">
        <f>IFERROR(__xludf.DUMMYFUNCTION("""COMPUTED_VALUE"""),"Dego Cần Thơ")</f>
        <v>Dego Cần Thơ</v>
      </c>
      <c r="Z28" s="2" t="str">
        <f>IFERROR(__xludf.DUMMYFUNCTION("""COMPUTED_VALUE"""),"Đã có lịch SX")</f>
        <v>Đã có lịch SX</v>
      </c>
      <c r="AA28" s="2"/>
      <c r="AB28" s="2"/>
      <c r="AC28" s="146">
        <f>IFERROR(__xludf.DUMMYFUNCTION("""COMPUTED_VALUE"""),400.0)</f>
        <v>400</v>
      </c>
      <c r="AD28" s="2"/>
      <c r="AE28" s="2" t="str">
        <f>IFERROR(__xludf.DUMMYFUNCTION("""COMPUTED_VALUE"""),"đã bàn giao cho nhà máy 23/05")</f>
        <v>đã bàn giao cho nhà máy 23/05</v>
      </c>
      <c r="AF28" s="146" t="str">
        <f>IFERROR(__xludf.DUMMYFUNCTION("""COMPUTED_VALUE"""),"")</f>
        <v/>
      </c>
      <c r="AG28" s="2"/>
      <c r="AH28" s="2"/>
      <c r="AI28" s="2"/>
      <c r="AJ28" s="2"/>
      <c r="AK28" s="2"/>
      <c r="AL28" s="2"/>
      <c r="AM28" s="2"/>
      <c r="AN28" s="2"/>
      <c r="AO28" s="2"/>
      <c r="AP28" s="2"/>
      <c r="AQ28" s="2"/>
      <c r="AR28" s="2"/>
      <c r="AS28" s="2"/>
      <c r="AT28" s="2"/>
      <c r="AU28" s="2"/>
      <c r="AV28" s="2"/>
      <c r="AW28" s="2"/>
      <c r="AX28" s="2"/>
      <c r="AY28" s="2"/>
      <c r="AZ28" s="2" t="str">
        <f>IFERROR(__xludf.DUMMYFUNCTION("""COMPUTED_VALUE"""),"#REF!")</f>
        <v>#REF!</v>
      </c>
      <c r="BA28" s="2" t="str">
        <f>IFERROR(__xludf.DUMMYFUNCTION("""COMPUTED_VALUE"""),"Đủ điều kiện")</f>
        <v>Đủ điều kiện</v>
      </c>
      <c r="BB28" s="2" t="str">
        <f>IFERROR(__xludf.DUMMYFUNCTION("""COMPUTED_VALUE"""),"Duyệt")</f>
        <v>Duyệt</v>
      </c>
      <c r="BC28" s="148">
        <f>IFERROR(__xludf.DUMMYFUNCTION("""COMPUTED_VALUE"""),46154.0)</f>
        <v>46154</v>
      </c>
      <c r="BD28" s="2" t="str">
        <f>IFERROR(__xludf.DUMMYFUNCTION("""COMPUTED_VALUE"""),"Duyệt")</f>
        <v>Duyệt</v>
      </c>
      <c r="BE28" s="2" t="str">
        <f>IFERROR(__xludf.DUMMYFUNCTION("""COMPUTED_VALUE"""),"xlg 13/05
14/05")</f>
        <v>xlg 13/05
14/05</v>
      </c>
      <c r="BF28" s="2" t="str">
        <f>IFERROR(__xludf.DUMMYFUNCTION("""COMPUTED_VALUE"""),"Đã xử lí giá")</f>
        <v>Đã xử lí giá</v>
      </c>
      <c r="BG28" s="2" t="str">
        <f>IFERROR(__xludf.DUMMYFUNCTION("""COMPUTED_VALUE"""),"A06091025 Gel xanh dương 42,000đ 12/5//2026")</f>
        <v>A06091025 Gel xanh dương 42,000đ 12/5//2026</v>
      </c>
      <c r="BH28" s="2"/>
      <c r="BI28" s="2"/>
      <c r="BJ28" s="2"/>
      <c r="BK28" s="2"/>
      <c r="BL28" s="2"/>
      <c r="BM28" s="2"/>
      <c r="BN28" s="2"/>
      <c r="BO28" s="2"/>
      <c r="BP28" s="2"/>
      <c r="BQ28" s="2"/>
    </row>
    <row r="29">
      <c r="A29" s="2">
        <f>IFERROR(__xludf.DUMMYFUNCTION("""COMPUTED_VALUE"""),64.0)</f>
        <v>64</v>
      </c>
      <c r="B29" s="2" t="str">
        <f>IFERROR(__xludf.DUMMYFUNCTION("""COMPUTED_VALUE"""),"Dego Cần Thơ")</f>
        <v>Dego Cần Thơ</v>
      </c>
      <c r="C29" s="2" t="str">
        <f>IFERROR(__xludf.DUMMYFUNCTION("""COMPUTED_VALUE"""),"ATP12052601")</f>
        <v>ATP12052601</v>
      </c>
      <c r="D29" s="39">
        <f>IFERROR(__xludf.DUMMYFUNCTION("""COMPUTED_VALUE"""),46154.0)</f>
        <v>46154</v>
      </c>
      <c r="E29" s="2" t="str">
        <f>IFERROR(__xludf.DUMMYFUNCTION("""COMPUTED_VALUE"""),"Đã duyệt")</f>
        <v>Đã duyệt</v>
      </c>
      <c r="F29" s="2" t="str">
        <f>IFERROR(__xludf.DUMMYFUNCTION("""COMPUTED_VALUE"""),"ABA")</f>
        <v>ABA</v>
      </c>
      <c r="G29" s="2" t="str">
        <f>IFERROR(__xludf.DUMMYFUNCTION("""COMPUTED_VALUE"""),"HH4876")</f>
        <v>HH4876</v>
      </c>
      <c r="H29" s="2" t="str">
        <f>IFERROR(__xludf.DUMMYFUNCTION("""COMPUTED_VALUE"""),"GC - V - 4876 - CTY AGRITECH - MEGA FRUIT (Nước nâu đen) - 20L - 1")</f>
        <v>GC - V - 4876 - CTY AGRITECH - MEGA FRUIT (Nước nâu đen) - 20L - 1</v>
      </c>
      <c r="I29" s="2" t="str">
        <f>IFERROR(__xludf.DUMMYFUNCTION("""COMPUTED_VALUE"""),"Phân bón")</f>
        <v>Phân bón</v>
      </c>
      <c r="J29" s="142" t="str">
        <f>IFERROR(__xludf.DUMMYFUNCTION("""COMPUTED_VALUE"""),"Hữu Cơ Organic ĐGP 01")</f>
        <v>Hữu Cơ Organic ĐGP 01</v>
      </c>
      <c r="K29" s="2" t="str">
        <f>IFERROR(__xludf.DUMMYFUNCTION("""COMPUTED_VALUE"""),"A05181225- 01")</f>
        <v>A05181225- 01</v>
      </c>
      <c r="L29" s="2" t="str">
        <f>IFERROR(__xludf.DUMMYFUNCTION("""COMPUTED_VALUE"""),"Nước nâu đen")</f>
        <v>Nước nâu đen</v>
      </c>
      <c r="M29" s="2" t="str">
        <f>IFERROR(__xludf.DUMMYFUNCTION("""COMPUTED_VALUE"""),"Xô")</f>
        <v>Xô</v>
      </c>
      <c r="N29" s="142">
        <f>IFERROR(__xludf.DUMMYFUNCTION("""COMPUTED_VALUE"""),1.0)</f>
        <v>1</v>
      </c>
      <c r="O29" s="142">
        <f>IFERROR(__xludf.DUMMYFUNCTION("""COMPUTED_VALUE"""),20.0)</f>
        <v>20</v>
      </c>
      <c r="P29" s="142">
        <f>IFERROR(__xludf.DUMMYFUNCTION("""COMPUTED_VALUE"""),20.0)</f>
        <v>20</v>
      </c>
      <c r="Q29" s="145">
        <f>IFERROR(__xludf.DUMMYFUNCTION("""COMPUTED_VALUE"""),46162.0)</f>
        <v>46162</v>
      </c>
      <c r="R29" s="2"/>
      <c r="S29" s="142" t="str">
        <f>IFERROR(__xludf.DUMMYFUNCTION("""COMPUTED_VALUE"""),"lấy chẳn thùng")</f>
        <v>lấy chẳn thùng</v>
      </c>
      <c r="T29" s="2"/>
      <c r="U29" s="2"/>
      <c r="V29" s="2"/>
      <c r="W29" s="2" t="str">
        <f>IFERROR(__xludf.DUMMYFUNCTION("""COMPUTED_VALUE"""),"AGRITECH - Giá bán 420.000,00 đ - Ngày dự kiến thu tiền:  - Dự kiến ngày ra hết hàng: ")</f>
        <v>AGRITECH - Giá bán 420.000,00 đ - Ngày dự kiến thu tiền:  - Dự kiến ngày ra hết hàng: </v>
      </c>
      <c r="X29" s="2"/>
      <c r="Y29" s="2" t="str">
        <f>IFERROR(__xludf.DUMMYFUNCTION("""COMPUTED_VALUE"""),"Dego Cần Thơ")</f>
        <v>Dego Cần Thơ</v>
      </c>
      <c r="Z29" s="2" t="str">
        <f>IFERROR(__xludf.DUMMYFUNCTION("""COMPUTED_VALUE"""),"Hàng sẵn kho")</f>
        <v>Hàng sẵn kho</v>
      </c>
      <c r="AA29" s="2"/>
      <c r="AB29" s="2" t="str">
        <f>IFERROR(__xludf.DUMMYFUNCTION("""COMPUTED_VALUE"""),"đã có hóa đơn 25/05 lấy hàng được")</f>
        <v>đã có hóa đơn 25/05 lấy hàng được</v>
      </c>
      <c r="AC29" s="2"/>
      <c r="AD29" s="2">
        <f>IFERROR(__xludf.DUMMYFUNCTION("""COMPUTED_VALUE"""),19.0)</f>
        <v>19</v>
      </c>
      <c r="AE29" s="2" t="str">
        <f>IFERROR(__xludf.DUMMYFUNCTION("""COMPUTED_VALUE"""),"đã bàn giao cho nhà máy 23/05")</f>
        <v>đã bàn giao cho nhà máy 23/05</v>
      </c>
      <c r="AF29" s="146" t="str">
        <f>IFERROR(__xludf.DUMMYFUNCTION("""COMPUTED_VALUE"""),"ATP12052601")</f>
        <v>ATP12052601</v>
      </c>
      <c r="AG29" s="143">
        <f>IFERROR(__xludf.DUMMYFUNCTION("""COMPUTED_VALUE"""),46163.0)</f>
        <v>46163</v>
      </c>
      <c r="AH29" s="2">
        <f>IFERROR(__xludf.DUMMYFUNCTION("""COMPUTED_VALUE"""),19.0)</f>
        <v>19</v>
      </c>
      <c r="AI29" s="2"/>
      <c r="AJ29" s="2"/>
      <c r="AK29" s="2"/>
      <c r="AL29" s="2"/>
      <c r="AM29" s="142">
        <f>IFERROR(__xludf.DUMMYFUNCTION("""COMPUTED_VALUE"""),19.0)</f>
        <v>19</v>
      </c>
      <c r="AN29" s="2"/>
      <c r="AO29" s="2"/>
      <c r="AP29" s="2"/>
      <c r="AQ29" s="2"/>
      <c r="AR29" s="2">
        <f>IFERROR(__xludf.DUMMYFUNCTION("""COMPUTED_VALUE"""),390526.0)</f>
        <v>390526</v>
      </c>
      <c r="AS29" s="143">
        <f>IFERROR(__xludf.DUMMYFUNCTION("""COMPUTED_VALUE"""),46163.0)</f>
        <v>46163</v>
      </c>
      <c r="AT29" s="2"/>
      <c r="AU29" s="2"/>
      <c r="AV29" s="2"/>
      <c r="AW29" s="2"/>
      <c r="AX29" s="2"/>
      <c r="AY29" s="2"/>
      <c r="AZ29" s="2" t="str">
        <f>IFERROR(__xludf.DUMMYFUNCTION("""COMPUTED_VALUE"""),"#REF!")</f>
        <v>#REF!</v>
      </c>
      <c r="BA29" s="2" t="str">
        <f>IFERROR(__xludf.DUMMYFUNCTION("""COMPUTED_VALUE"""),"Đủ điều kiện")</f>
        <v>Đủ điều kiện</v>
      </c>
      <c r="BB29" s="2" t="str">
        <f>IFERROR(__xludf.DUMMYFUNCTION("""COMPUTED_VALUE"""),"Duyệt")</f>
        <v>Duyệt</v>
      </c>
      <c r="BC29" s="148">
        <f>IFERROR(__xludf.DUMMYFUNCTION("""COMPUTED_VALUE"""),46156.0)</f>
        <v>46156</v>
      </c>
      <c r="BD29" s="2" t="str">
        <f>IFERROR(__xludf.DUMMYFUNCTION("""COMPUTED_VALUE"""),"Duyệt")</f>
        <v>Duyệt</v>
      </c>
      <c r="BE29" s="2" t="str">
        <f>IFERROR(__xludf.DUMMYFUNCTION("""COMPUTED_VALUE"""),"xlg 14/05")</f>
        <v>xlg 14/05</v>
      </c>
      <c r="BF29" s="2" t="str">
        <f>IFERROR(__xludf.DUMMYFUNCTION("""COMPUTED_VALUE"""),"Đã xử lí giá")</f>
        <v>Đã xử lí giá</v>
      </c>
      <c r="BG29" s="2" t="str">
        <f>IFERROR(__xludf.DUMMYFUNCTION("""COMPUTED_VALUE"""),"A05181225- 01 Nước nâu đen 420,000đ 12/5/2026")</f>
        <v>A05181225- 01 Nước nâu đen 420,000đ 12/5/2026</v>
      </c>
      <c r="BH29" s="2"/>
      <c r="BI29" s="2"/>
      <c r="BJ29" s="2"/>
      <c r="BK29" s="2"/>
      <c r="BL29" s="2"/>
      <c r="BM29" s="2"/>
      <c r="BN29" s="2"/>
      <c r="BO29" s="2"/>
      <c r="BP29" s="2"/>
      <c r="BQ29" s="2"/>
    </row>
    <row r="30">
      <c r="A30" s="2">
        <f>IFERROR(__xludf.DUMMYFUNCTION("""COMPUTED_VALUE"""),66.0)</f>
        <v>66</v>
      </c>
      <c r="B30" s="2" t="str">
        <f>IFERROR(__xludf.DUMMYFUNCTION("""COMPUTED_VALUE"""),"Dego Cần Thơ")</f>
        <v>Dego Cần Thơ</v>
      </c>
      <c r="C30" s="2" t="str">
        <f>IFERROR(__xludf.DUMMYFUNCTION("""COMPUTED_VALUE"""),"ATP12052603")</f>
        <v>ATP12052603</v>
      </c>
      <c r="D30" s="39">
        <f>IFERROR(__xludf.DUMMYFUNCTION("""COMPUTED_VALUE"""),46154.0)</f>
        <v>46154</v>
      </c>
      <c r="E30" s="2" t="str">
        <f>IFERROR(__xludf.DUMMYFUNCTION("""COMPUTED_VALUE"""),"Đã duyệt")</f>
        <v>Đã duyệt</v>
      </c>
      <c r="F30" s="2" t="str">
        <f>IFERROR(__xludf.DUMMYFUNCTION("""COMPUTED_VALUE"""),"ABA")</f>
        <v>ABA</v>
      </c>
      <c r="G30" s="2" t="str">
        <f>IFERROR(__xludf.DUMMYFUNCTION("""COMPUTED_VALUE"""),"HH4642")</f>
        <v>HH4642</v>
      </c>
      <c r="H30" s="2" t="str">
        <f>IFERROR(__xludf.DUMMYFUNCTION("""COMPUTED_VALUE"""),"GC - V - 4642 - CTY HÓA NÔNG ĐẤT VIỆT - ĐẤT VIỆT BIOGREEN (Nước nâu đen) - 20 lít - 1")</f>
        <v>GC - V - 4642 - CTY HÓA NÔNG ĐẤT VIỆT - ĐẤT VIỆT BIOGREEN (Nước nâu đen) - 20 lít - 1</v>
      </c>
      <c r="I30" s="2" t="str">
        <f>IFERROR(__xludf.DUMMYFUNCTION("""COMPUTED_VALUE"""),"Phân bón")</f>
        <v>Phân bón</v>
      </c>
      <c r="J30" s="142" t="str">
        <f>IFERROR(__xludf.DUMMYFUNCTION("""COMPUTED_VALUE"""),"Hữu Cơ Organic ĐGP 01")</f>
        <v>Hữu Cơ Organic ĐGP 01</v>
      </c>
      <c r="K30" s="2" t="str">
        <f>IFERROR(__xludf.DUMMYFUNCTION("""COMPUTED_VALUE"""),"A05181225- 01")</f>
        <v>A05181225- 01</v>
      </c>
      <c r="L30" s="2" t="str">
        <f>IFERROR(__xludf.DUMMYFUNCTION("""COMPUTED_VALUE"""),"Nước nâu đen")</f>
        <v>Nước nâu đen</v>
      </c>
      <c r="M30" s="2" t="str">
        <f>IFERROR(__xludf.DUMMYFUNCTION("""COMPUTED_VALUE"""),"Xô")</f>
        <v>Xô</v>
      </c>
      <c r="N30" s="142">
        <f>IFERROR(__xludf.DUMMYFUNCTION("""COMPUTED_VALUE"""),1.0)</f>
        <v>1</v>
      </c>
      <c r="O30" s="142">
        <f>IFERROR(__xludf.DUMMYFUNCTION("""COMPUTED_VALUE"""),50.0)</f>
        <v>50</v>
      </c>
      <c r="P30" s="142">
        <f>IFERROR(__xludf.DUMMYFUNCTION("""COMPUTED_VALUE"""),50.0)</f>
        <v>50</v>
      </c>
      <c r="Q30" s="145">
        <f>IFERROR(__xludf.DUMMYFUNCTION("""COMPUTED_VALUE"""),46161.0)</f>
        <v>46161</v>
      </c>
      <c r="R30" s="2"/>
      <c r="S30" s="142" t="str">
        <f>IFERROR(__xludf.DUMMYFUNCTION("""COMPUTED_VALUE"""),"lấy chẳn thùng")</f>
        <v>lấy chẳn thùng</v>
      </c>
      <c r="T30" s="2"/>
      <c r="U30" s="2"/>
      <c r="V30" s="2"/>
      <c r="W30" s="2" t="str">
        <f>IFERROR(__xludf.DUMMYFUNCTION("""COMPUTED_VALUE"""),"ĐẤT VIỆT - Giá bán 475.000,00 đ - Ngày dự kiến thu tiền:  - Dự kiến ngày ra hết hàng: ")</f>
        <v>ĐẤT VIỆT - Giá bán 475.000,00 đ - Ngày dự kiến thu tiền:  - Dự kiến ngày ra hết hàng: </v>
      </c>
      <c r="X30" s="2"/>
      <c r="Y30" s="2" t="str">
        <f>IFERROR(__xludf.DUMMYFUNCTION("""COMPUTED_VALUE"""),"Dego Cần Thơ")</f>
        <v>Dego Cần Thơ</v>
      </c>
      <c r="Z30" s="2" t="str">
        <f>IFERROR(__xludf.DUMMYFUNCTION("""COMPUTED_VALUE"""),"Hàng sẵn kho")</f>
        <v>Hàng sẵn kho</v>
      </c>
      <c r="AA30" s="2"/>
      <c r="AB30" s="2"/>
      <c r="AC30" s="2"/>
      <c r="AD30" s="2">
        <f>IFERROR(__xludf.DUMMYFUNCTION("""COMPUTED_VALUE"""),51.0)</f>
        <v>51</v>
      </c>
      <c r="AE30" s="2" t="str">
        <f>IFERROR(__xludf.DUMMYFUNCTION("""COMPUTED_VALUE"""),"đã bàn giao cho nhà máy 23/05")</f>
        <v>đã bàn giao cho nhà máy 23/05</v>
      </c>
      <c r="AF30" s="146" t="str">
        <f>IFERROR(__xludf.DUMMYFUNCTION("""COMPUTED_VALUE"""),"ATP12052603")</f>
        <v>ATP12052603</v>
      </c>
      <c r="AG30" s="143">
        <f>IFERROR(__xludf.DUMMYFUNCTION("""COMPUTED_VALUE"""),46160.0)</f>
        <v>46160</v>
      </c>
      <c r="AH30" s="2">
        <f>IFERROR(__xludf.DUMMYFUNCTION("""COMPUTED_VALUE"""),51.0)</f>
        <v>51</v>
      </c>
      <c r="AI30" s="2"/>
      <c r="AJ30" s="2"/>
      <c r="AK30" s="2"/>
      <c r="AL30" s="2"/>
      <c r="AM30" s="142">
        <f>IFERROR(__xludf.DUMMYFUNCTION("""COMPUTED_VALUE"""),51.0)</f>
        <v>51</v>
      </c>
      <c r="AN30" s="2"/>
      <c r="AO30" s="2"/>
      <c r="AP30" s="2"/>
      <c r="AQ30" s="2"/>
      <c r="AR30" s="2">
        <f>IFERROR(__xludf.DUMMYFUNCTION("""COMPUTED_VALUE"""),400526.0)</f>
        <v>400526</v>
      </c>
      <c r="AS30" s="143">
        <f>IFERROR(__xludf.DUMMYFUNCTION("""COMPUTED_VALUE"""),46160.0)</f>
        <v>46160</v>
      </c>
      <c r="AT30" s="2"/>
      <c r="AU30" s="2"/>
      <c r="AV30" s="2"/>
      <c r="AW30" s="2"/>
      <c r="AX30" s="2"/>
      <c r="AY30" s="2"/>
      <c r="AZ30" s="2" t="str">
        <f>IFERROR(__xludf.DUMMYFUNCTION("""COMPUTED_VALUE"""),"#REF!")</f>
        <v>#REF!</v>
      </c>
      <c r="BA30" s="2" t="str">
        <f>IFERROR(__xludf.DUMMYFUNCTION("""COMPUTED_VALUE"""),"Đủ điều kiện")</f>
        <v>Đủ điều kiện</v>
      </c>
      <c r="BB30" s="2" t="str">
        <f>IFERROR(__xludf.DUMMYFUNCTION("""COMPUTED_VALUE"""),"Duyệt")</f>
        <v>Duyệt</v>
      </c>
      <c r="BC30" s="148">
        <f>IFERROR(__xludf.DUMMYFUNCTION("""COMPUTED_VALUE"""),46156.0)</f>
        <v>46156</v>
      </c>
      <c r="BD30" s="2" t="str">
        <f>IFERROR(__xludf.DUMMYFUNCTION("""COMPUTED_VALUE"""),"Duyệt")</f>
        <v>Duyệt</v>
      </c>
      <c r="BE30" s="2" t="str">
        <f>IFERROR(__xludf.DUMMYFUNCTION("""COMPUTED_VALUE"""),"xlg 14/05")</f>
        <v>xlg 14/05</v>
      </c>
      <c r="BF30" s="2" t="str">
        <f>IFERROR(__xludf.DUMMYFUNCTION("""COMPUTED_VALUE"""),"Đã xử lí giá")</f>
        <v>Đã xử lí giá</v>
      </c>
      <c r="BG30" s="2" t="str">
        <f>IFERROR(__xludf.DUMMYFUNCTION("""COMPUTED_VALUE"""),"A05181225- 01 Nước nâu đen 420,000đ 12/5/2026")</f>
        <v>A05181225- 01 Nước nâu đen 420,000đ 12/5/2026</v>
      </c>
      <c r="BH30" s="2"/>
      <c r="BI30" s="2"/>
      <c r="BJ30" s="2"/>
      <c r="BK30" s="2"/>
      <c r="BL30" s="2"/>
      <c r="BM30" s="2"/>
      <c r="BN30" s="2"/>
      <c r="BO30" s="2"/>
      <c r="BP30" s="2"/>
      <c r="BQ30" s="2"/>
    </row>
    <row r="31">
      <c r="A31" s="2">
        <f>IFERROR(__xludf.DUMMYFUNCTION("""COMPUTED_VALUE"""),68.0)</f>
        <v>68</v>
      </c>
      <c r="B31" s="2" t="str">
        <f>IFERROR(__xludf.DUMMYFUNCTION("""COMPUTED_VALUE"""),"Dego Cần Thơ")</f>
        <v>Dego Cần Thơ</v>
      </c>
      <c r="C31" s="2" t="str">
        <f>IFERROR(__xludf.DUMMYFUNCTION("""COMPUTED_VALUE"""),"ATP13052602")</f>
        <v>ATP13052602</v>
      </c>
      <c r="D31" s="39">
        <f>IFERROR(__xludf.DUMMYFUNCTION("""COMPUTED_VALUE"""),46155.0)</f>
        <v>46155</v>
      </c>
      <c r="E31" s="2" t="str">
        <f>IFERROR(__xludf.DUMMYFUNCTION("""COMPUTED_VALUE"""),"Đã duyệt")</f>
        <v>Đã duyệt</v>
      </c>
      <c r="F31" s="2" t="str">
        <f>IFERROR(__xludf.DUMMYFUNCTION("""COMPUTED_VALUE"""),"ABA")</f>
        <v>ABA</v>
      </c>
      <c r="G31" s="2" t="str">
        <f>IFERROR(__xludf.DUMMYFUNCTION("""COMPUTED_VALUE"""),"HH5020")</f>
        <v>HH5020</v>
      </c>
      <c r="H31" s="2" t="str">
        <f>IFERROR(__xludf.DUMMYFUNCTION("""COMPUTED_VALUE"""),"GC - V - 5020 - Agritech - Bio Organo (Nước nâu đen) - 5L - 4")</f>
        <v>GC - V - 5020 - Agritech - Bio Organo (Nước nâu đen) - 5L - 4</v>
      </c>
      <c r="I31" s="2" t="str">
        <f>IFERROR(__xludf.DUMMYFUNCTION("""COMPUTED_VALUE"""),"Phân bón")</f>
        <v>Phân bón</v>
      </c>
      <c r="J31" s="142" t="str">
        <f>IFERROR(__xludf.DUMMYFUNCTION("""COMPUTED_VALUE"""),"Vi lượng Quantity New")</f>
        <v>Vi lượng Quantity New</v>
      </c>
      <c r="K31" s="2" t="str">
        <f>IFERROR(__xludf.DUMMYFUNCTION("""COMPUTED_VALUE"""),"Cùng ruột 2233")</f>
        <v>Cùng ruột 2233</v>
      </c>
      <c r="L31" s="2" t="str">
        <f>IFERROR(__xludf.DUMMYFUNCTION("""COMPUTED_VALUE"""),"Nước nâu đen")</f>
        <v>Nước nâu đen</v>
      </c>
      <c r="M31" s="2" t="str">
        <f>IFERROR(__xludf.DUMMYFUNCTION("""COMPUTED_VALUE"""),"Can")</f>
        <v>Can</v>
      </c>
      <c r="N31" s="142">
        <f>IFERROR(__xludf.DUMMYFUNCTION("""COMPUTED_VALUE"""),4.0)</f>
        <v>4</v>
      </c>
      <c r="O31" s="142">
        <f>IFERROR(__xludf.DUMMYFUNCTION("""COMPUTED_VALUE"""),10.0)</f>
        <v>10</v>
      </c>
      <c r="P31" s="142">
        <f>IFERROR(__xludf.DUMMYFUNCTION("""COMPUTED_VALUE"""),40.0)</f>
        <v>40</v>
      </c>
      <c r="Q31" s="145">
        <f>IFERROR(__xludf.DUMMYFUNCTION("""COMPUTED_VALUE"""),46165.0)</f>
        <v>46165</v>
      </c>
      <c r="R31" s="2"/>
      <c r="S31" s="142" t="str">
        <f>IFERROR(__xludf.DUMMYFUNCTION("""COMPUTED_VALUE"""),"lấy chẳn thùng")</f>
        <v>lấy chẳn thùng</v>
      </c>
      <c r="T31" s="2"/>
      <c r="U31" s="2"/>
      <c r="V31" s="2"/>
      <c r="W31" s="2" t="str">
        <f>IFERROR(__xludf.DUMMYFUNCTION("""COMPUTED_VALUE"""),"AGRITECH - Giá bán 393750 - Ngày dự kiến thu tiền:  - Dự kiến ngày ra hết hàng: ")</f>
        <v>AGRITECH - Giá bán 393750 - Ngày dự kiến thu tiền:  - Dự kiến ngày ra hết hàng: </v>
      </c>
      <c r="X31" s="2"/>
      <c r="Y31" s="2" t="str">
        <f>IFERROR(__xludf.DUMMYFUNCTION("""COMPUTED_VALUE"""),"Dego Cần Thơ")</f>
        <v>Dego Cần Thơ</v>
      </c>
      <c r="Z31" s="2" t="str">
        <f>IFERROR(__xludf.DUMMYFUNCTION("""COMPUTED_VALUE"""),"Chưa có lịch SX")</f>
        <v>Chưa có lịch SX</v>
      </c>
      <c r="AA31" s="2"/>
      <c r="AB31" s="2"/>
      <c r="AC31" s="146">
        <f>IFERROR(__xludf.DUMMYFUNCTION("""COMPUTED_VALUE"""),40.0)</f>
        <v>40</v>
      </c>
      <c r="AD31" s="2"/>
      <c r="AE31" s="2" t="str">
        <f>IFERROR(__xludf.DUMMYFUNCTION("""COMPUTED_VALUE"""),"đã bàn giao cho nhà máy 23/05")</f>
        <v>đã bàn giao cho nhà máy 23/05</v>
      </c>
      <c r="AF31" s="2"/>
      <c r="AG31" s="2"/>
      <c r="AH31" s="2"/>
      <c r="AI31" s="2"/>
      <c r="AJ31" s="2"/>
      <c r="AK31" s="2"/>
      <c r="AL31" s="2"/>
      <c r="AM31" s="2"/>
      <c r="AN31" s="2"/>
      <c r="AO31" s="2"/>
      <c r="AP31" s="2"/>
      <c r="AQ31" s="2"/>
      <c r="AR31" s="2"/>
      <c r="AS31" s="2"/>
      <c r="AT31" s="2"/>
      <c r="AU31" s="2"/>
      <c r="AV31" s="2"/>
      <c r="AW31" s="2"/>
      <c r="AX31" s="2"/>
      <c r="AY31" s="2"/>
      <c r="AZ31" s="2" t="str">
        <f>IFERROR(__xludf.DUMMYFUNCTION("""COMPUTED_VALUE"""),"#REF!")</f>
        <v>#REF!</v>
      </c>
      <c r="BA31" s="2" t="str">
        <f>IFERROR(__xludf.DUMMYFUNCTION("""COMPUTED_VALUE"""),"Đủ điều kiện")</f>
        <v>Đủ điều kiện</v>
      </c>
      <c r="BB31" s="2" t="str">
        <f>IFERROR(__xludf.DUMMYFUNCTION("""COMPUTED_VALUE"""),"Duyệt")</f>
        <v>Duyệt</v>
      </c>
      <c r="BC31" s="148">
        <f>IFERROR(__xludf.DUMMYFUNCTION("""COMPUTED_VALUE"""),46157.0)</f>
        <v>46157</v>
      </c>
      <c r="BD31" s="2" t="str">
        <f>IFERROR(__xludf.DUMMYFUNCTION("""COMPUTED_VALUE"""),"Duyệt")</f>
        <v>Duyệt</v>
      </c>
      <c r="BE31" s="2" t="str">
        <f>IFERROR(__xludf.DUMMYFUNCTION("""COMPUTED_VALUE"""),"xlg 19/05")</f>
        <v>xlg 19/05</v>
      </c>
      <c r="BF31" s="2" t="str">
        <f>IFERROR(__xludf.DUMMYFUNCTION("""COMPUTED_VALUE"""),"Đã xử lí giá")</f>
        <v>Đã xử lí giá</v>
      </c>
      <c r="BG31" s="2" t="str">
        <f>IFERROR(__xludf.DUMMYFUNCTION("""COMPUTED_VALUE"""),"Cùng ruột 2233 Nước nâu đen 393,750đ 14/5/2026")</f>
        <v>Cùng ruột 2233 Nước nâu đen 393,750đ 14/5/2026</v>
      </c>
      <c r="BH31" s="2"/>
      <c r="BI31" s="2"/>
      <c r="BJ31" s="2"/>
      <c r="BK31" s="2"/>
      <c r="BL31" s="2"/>
      <c r="BM31" s="2"/>
      <c r="BN31" s="2"/>
      <c r="BO31" s="2"/>
      <c r="BP31" s="2"/>
      <c r="BQ31" s="2"/>
    </row>
    <row r="32">
      <c r="A32" s="2">
        <f>IFERROR(__xludf.DUMMYFUNCTION("""COMPUTED_VALUE"""),69.0)</f>
        <v>69</v>
      </c>
      <c r="B32" s="2" t="str">
        <f>IFERROR(__xludf.DUMMYFUNCTION("""COMPUTED_VALUE"""),"Dego Cần Thơ")</f>
        <v>Dego Cần Thơ</v>
      </c>
      <c r="C32" s="2" t="str">
        <f>IFERROR(__xludf.DUMMYFUNCTION("""COMPUTED_VALUE"""),"ATP14052602")</f>
        <v>ATP14052602</v>
      </c>
      <c r="D32" s="39">
        <f>IFERROR(__xludf.DUMMYFUNCTION("""COMPUTED_VALUE"""),46156.0)</f>
        <v>46156</v>
      </c>
      <c r="E32" s="2" t="str">
        <f>IFERROR(__xludf.DUMMYFUNCTION("""COMPUTED_VALUE"""),"Đã duyệt")</f>
        <v>Đã duyệt</v>
      </c>
      <c r="F32" s="2" t="str">
        <f>IFERROR(__xludf.DUMMYFUNCTION("""COMPUTED_VALUE"""),"ABA")</f>
        <v>ABA</v>
      </c>
      <c r="G32" s="2" t="str">
        <f>IFERROR(__xludf.DUMMYFUNCTION("""COMPUTED_VALUE"""),"HH5023")</f>
        <v>HH5023</v>
      </c>
      <c r="H32" s="2" t="str">
        <f>IFERROR(__xludf.DUMMYFUNCTION("""COMPUTED_VALUE"""),"GC - V - 5023 - CTY DONA VINA - GEL CỨNG CÂY (Nước nâu đen) - 500ml - 40")</f>
        <v>GC - V - 5023 - CTY DONA VINA - GEL CỨNG CÂY (Nước nâu đen) - 500ml - 40</v>
      </c>
      <c r="I32" s="2" t="str">
        <f>IFERROR(__xludf.DUMMYFUNCTION("""COMPUTED_VALUE"""),"Phân bón")</f>
        <v>Phân bón</v>
      </c>
      <c r="J32" s="142" t="str">
        <f>IFERROR(__xludf.DUMMYFUNCTION("""COMPUTED_VALUE"""),"Hữu Cơ Crops Care")</f>
        <v>Hữu Cơ Crops Care</v>
      </c>
      <c r="K32" s="2" t="str">
        <f>IFERROR(__xludf.DUMMYFUNCTION("""COMPUTED_VALUE"""),"A05301025")</f>
        <v>A05301025</v>
      </c>
      <c r="L32" s="2" t="str">
        <f>IFERROR(__xludf.DUMMYFUNCTION("""COMPUTED_VALUE"""),"Nước nâu đen")</f>
        <v>Nước nâu đen</v>
      </c>
      <c r="M32" s="2" t="str">
        <f>IFERROR(__xludf.DUMMYFUNCTION("""COMPUTED_VALUE"""),"Chai")</f>
        <v>Chai</v>
      </c>
      <c r="N32" s="142">
        <f>IFERROR(__xludf.DUMMYFUNCTION("""COMPUTED_VALUE"""),40.0)</f>
        <v>40</v>
      </c>
      <c r="O32" s="142">
        <f>IFERROR(__xludf.DUMMYFUNCTION("""COMPUTED_VALUE"""),10.0)</f>
        <v>10</v>
      </c>
      <c r="P32" s="142">
        <f>IFERROR(__xludf.DUMMYFUNCTION("""COMPUTED_VALUE"""),400.0)</f>
        <v>400</v>
      </c>
      <c r="Q32" s="145">
        <f>IFERROR(__xludf.DUMMYFUNCTION("""COMPUTED_VALUE"""),46165.0)</f>
        <v>46165</v>
      </c>
      <c r="R32" s="2"/>
      <c r="S32" s="142" t="str">
        <f>IFERROR(__xludf.DUMMYFUNCTION("""COMPUTED_VALUE"""),"lấy chẳn thùng")</f>
        <v>lấy chẳn thùng</v>
      </c>
      <c r="T32" s="2"/>
      <c r="U32" s="2"/>
      <c r="V32" s="2"/>
      <c r="W32" s="2" t="str">
        <f>IFERROR(__xludf.DUMMYFUNCTION("""COMPUTED_VALUE"""),"DONA - Giá bán 43000 - Ngày dự kiến thu tiền:  - Dự kiến ngày ra hết hàng: ")</f>
        <v>DONA - Giá bán 43000 - Ngày dự kiến thu tiền:  - Dự kiến ngày ra hết hàng: </v>
      </c>
      <c r="X32" s="2"/>
      <c r="Y32" s="2" t="str">
        <f>IFERROR(__xludf.DUMMYFUNCTION("""COMPUTED_VALUE"""),"Dego Cần Thơ")</f>
        <v>Dego Cần Thơ</v>
      </c>
      <c r="Z32" s="2" t="str">
        <f>IFERROR(__xludf.DUMMYFUNCTION("""COMPUTED_VALUE"""),"Chờ lấy hoá đơn")</f>
        <v>Chờ lấy hoá đơn</v>
      </c>
      <c r="AA32" s="2"/>
      <c r="AB32" s="2" t="str">
        <f>IFERROR(__xludf.DUMMYFUNCTION("""COMPUTED_VALUE"""),"KD lấy chẵn thùng
chờ lấy hóa đơn
đã có hóa đơn 25/05")</f>
        <v>KD lấy chẵn thùng
chờ lấy hóa đơn
đã có hóa đơn 25/05</v>
      </c>
      <c r="AC32" s="2"/>
      <c r="AD32" s="146">
        <f>IFERROR(__xludf.DUMMYFUNCTION("""COMPUTED_VALUE"""),500.0)</f>
        <v>500</v>
      </c>
      <c r="AE32" s="2" t="str">
        <f>IFERROR(__xludf.DUMMYFUNCTION("""COMPUTED_VALUE"""),"đã bàn giao cho nhà máy 23/05")</f>
        <v>đã bàn giao cho nhà máy 23/05</v>
      </c>
      <c r="AF32" s="146" t="str">
        <f>IFERROR(__xludf.DUMMYFUNCTION("""COMPUTED_VALUE"""),"ATP14052602")</f>
        <v>ATP14052602</v>
      </c>
      <c r="AG32" s="143">
        <f>IFERROR(__xludf.DUMMYFUNCTION("""COMPUTED_VALUE"""),46165.0)</f>
        <v>46165</v>
      </c>
      <c r="AH32" s="146">
        <f>IFERROR(__xludf.DUMMYFUNCTION("""COMPUTED_VALUE"""),500.0)</f>
        <v>500</v>
      </c>
      <c r="AI32" s="2"/>
      <c r="AJ32" s="2"/>
      <c r="AK32" s="2"/>
      <c r="AL32" s="2"/>
      <c r="AM32" s="142">
        <f>IFERROR(__xludf.DUMMYFUNCTION("""COMPUTED_VALUE"""),498.0)</f>
        <v>498</v>
      </c>
      <c r="AN32" s="2"/>
      <c r="AO32" s="2"/>
      <c r="AP32" s="2"/>
      <c r="AQ32" s="2"/>
      <c r="AR32" s="2">
        <f>IFERROR(__xludf.DUMMYFUNCTION("""COMPUTED_VALUE"""),450526.0)</f>
        <v>450526</v>
      </c>
      <c r="AS32" s="39">
        <f>IFERROR(__xludf.DUMMYFUNCTION("""COMPUTED_VALUE"""),46164.0)</f>
        <v>46164</v>
      </c>
      <c r="AT32" s="2"/>
      <c r="AU32" s="2"/>
      <c r="AV32" s="2"/>
      <c r="AW32" s="2"/>
      <c r="AX32" s="2"/>
      <c r="AY32" s="2"/>
      <c r="AZ32" s="2" t="str">
        <f>IFERROR(__xludf.DUMMYFUNCTION("""COMPUTED_VALUE"""),"#REF!")</f>
        <v>#REF!</v>
      </c>
      <c r="BA32" s="2" t="str">
        <f>IFERROR(__xludf.DUMMYFUNCTION("""COMPUTED_VALUE"""),"Đủ điều kiện")</f>
        <v>Đủ điều kiện</v>
      </c>
      <c r="BB32" s="2" t="str">
        <f>IFERROR(__xludf.DUMMYFUNCTION("""COMPUTED_VALUE"""),"Duyệt")</f>
        <v>Duyệt</v>
      </c>
      <c r="BC32" s="149">
        <f>IFERROR(__xludf.DUMMYFUNCTION("""COMPUTED_VALUE"""),46157.0)</f>
        <v>46157</v>
      </c>
      <c r="BD32" s="2" t="str">
        <f>IFERROR(__xludf.DUMMYFUNCTION("""COMPUTED_VALUE"""),"Duyệt")</f>
        <v>Duyệt</v>
      </c>
      <c r="BE32" s="2" t="str">
        <f>IFERROR(__xludf.DUMMYFUNCTION("""COMPUTED_VALUE"""),"xlg 19/05
19/05")</f>
        <v>xlg 19/05
19/05</v>
      </c>
      <c r="BF32" s="2" t="str">
        <f>IFERROR(__xludf.DUMMYFUNCTION("""COMPUTED_VALUE"""),"Đã xử lí giá")</f>
        <v>Đã xử lí giá</v>
      </c>
      <c r="BG32" s="2" t="str">
        <f>IFERROR(__xludf.DUMMYFUNCTION("""COMPUTED_VALUE"""),"A05301025  Nước nâu đen 43,000đ 14/5/2026")</f>
        <v>A05301025  Nước nâu đen 43,000đ 14/5/2026</v>
      </c>
      <c r="BH32" s="2"/>
      <c r="BI32" s="2"/>
      <c r="BJ32" s="2"/>
      <c r="BK32" s="2"/>
      <c r="BL32" s="2"/>
      <c r="BM32" s="2"/>
      <c r="BN32" s="2"/>
      <c r="BO32" s="2"/>
      <c r="BP32" s="2"/>
      <c r="BQ32" s="2"/>
    </row>
    <row r="33">
      <c r="A33" s="2">
        <f>IFERROR(__xludf.DUMMYFUNCTION("""COMPUTED_VALUE"""),71.0)</f>
        <v>71</v>
      </c>
      <c r="B33" s="2" t="str">
        <f>IFERROR(__xludf.DUMMYFUNCTION("""COMPUTED_VALUE"""),"Dego Cần Thơ")</f>
        <v>Dego Cần Thơ</v>
      </c>
      <c r="C33" s="2" t="str">
        <f>IFERROR(__xludf.DUMMYFUNCTION("""COMPUTED_VALUE"""),"ATP16052601")</f>
        <v>ATP16052601</v>
      </c>
      <c r="D33" s="39">
        <f>IFERROR(__xludf.DUMMYFUNCTION("""COMPUTED_VALUE"""),46158.0)</f>
        <v>46158</v>
      </c>
      <c r="E33" s="2" t="str">
        <f>IFERROR(__xludf.DUMMYFUNCTION("""COMPUTED_VALUE"""),"Đã duyệt")</f>
        <v>Đã duyệt</v>
      </c>
      <c r="F33" s="2" t="str">
        <f>IFERROR(__xludf.DUMMYFUNCTION("""COMPUTED_VALUE"""),"ABA")</f>
        <v>ABA</v>
      </c>
      <c r="G33" s="2" t="str">
        <f>IFERROR(__xludf.DUMMYFUNCTION("""COMPUTED_VALUE"""),"HH4608")</f>
        <v>HH4608</v>
      </c>
      <c r="H33" s="2" t="str">
        <f>IFERROR(__xludf.DUMMYFUNCTION("""COMPUTED_VALUE"""),"GC - V - 4608 - CTY ASAHI NHẬT BẢN - RONBIN SAMURAI (Gel nâu đen) - 500ml - 40")</f>
        <v>GC - V - 4608 - CTY ASAHI NHẬT BẢN - RONBIN SAMURAI (Gel nâu đen) - 500ml - 40</v>
      </c>
      <c r="I33" s="2" t="str">
        <f>IFERROR(__xludf.DUMMYFUNCTION("""COMPUTED_VALUE"""),"Phân bón")</f>
        <v>Phân bón</v>
      </c>
      <c r="J33" s="142" t="str">
        <f>IFERROR(__xludf.DUMMYFUNCTION("""COMPUTED_VALUE"""),"Vi lượng Quantity New")</f>
        <v>Vi lượng Quantity New</v>
      </c>
      <c r="K33" s="2" t="str">
        <f>IFERROR(__xludf.DUMMYFUNCTION("""COMPUTED_VALUE"""),"A04270225")</f>
        <v>A04270225</v>
      </c>
      <c r="L33" s="2" t="str">
        <f>IFERROR(__xludf.DUMMYFUNCTION("""COMPUTED_VALUE"""),"Gel nâu đen")</f>
        <v>Gel nâu đen</v>
      </c>
      <c r="M33" s="2" t="str">
        <f>IFERROR(__xludf.DUMMYFUNCTION("""COMPUTED_VALUE"""),"Chai")</f>
        <v>Chai</v>
      </c>
      <c r="N33" s="142">
        <f>IFERROR(__xludf.DUMMYFUNCTION("""COMPUTED_VALUE"""),40.0)</f>
        <v>40</v>
      </c>
      <c r="O33" s="142">
        <f>IFERROR(__xludf.DUMMYFUNCTION("""COMPUTED_VALUE"""),20.0)</f>
        <v>20</v>
      </c>
      <c r="P33" s="142">
        <f>IFERROR(__xludf.DUMMYFUNCTION("""COMPUTED_VALUE"""),800.0)</f>
        <v>800</v>
      </c>
      <c r="Q33" s="145">
        <f>IFERROR(__xludf.DUMMYFUNCTION("""COMPUTED_VALUE"""),46167.0)</f>
        <v>46167</v>
      </c>
      <c r="R33" s="2"/>
      <c r="S33" s="142" t="str">
        <f>IFERROR(__xludf.DUMMYFUNCTION("""COMPUTED_VALUE"""),"lấy chẳn thùng")</f>
        <v>lấy chẳn thùng</v>
      </c>
      <c r="T33" s="2"/>
      <c r="U33" s="2"/>
      <c r="V33" s="2"/>
      <c r="W33" s="2" t="str">
        <f>IFERROR(__xludf.DUMMYFUNCTION("""COMPUTED_VALUE"""),"ASAHI - Giá bán 22500 - Ngày dự kiến thu tiền:  - Dự kiến ngày ra hết hàng: ")</f>
        <v>ASAHI - Giá bán 22500 - Ngày dự kiến thu tiền:  - Dự kiến ngày ra hết hàng: </v>
      </c>
      <c r="X33" s="2"/>
      <c r="Y33" s="2" t="str">
        <f>IFERROR(__xludf.DUMMYFUNCTION("""COMPUTED_VALUE"""),"Dego Cần Thơ")</f>
        <v>Dego Cần Thơ</v>
      </c>
      <c r="Z33" s="2" t="str">
        <f>IFERROR(__xludf.DUMMYFUNCTION("""COMPUTED_VALUE"""),"Chưa gửi đơn")</f>
        <v>Chưa gửi đơn</v>
      </c>
      <c r="AA33" s="2"/>
      <c r="AB33" s="2" t="str">
        <f>IFERROR(__xludf.DUMMYFUNCTION("""COMPUTED_VALUE"""),"chưa đủ dk do chưa duyệt pháp lý 22/05")</f>
        <v>chưa đủ dk do chưa duyệt pháp lý 22/05</v>
      </c>
      <c r="AC33" s="146">
        <f>IFERROR(__xludf.DUMMYFUNCTION("""COMPUTED_VALUE"""),800.0)</f>
        <v>800</v>
      </c>
      <c r="AD33" s="2"/>
      <c r="AE33" s="2" t="str">
        <f>IFERROR(__xludf.DUMMYFUNCTION("""COMPUTED_VALUE"""),"đã bàn giao cho nhà máy 23/05")</f>
        <v>đã bàn giao cho nhà máy 23/05</v>
      </c>
      <c r="AF33" s="2"/>
      <c r="AG33" s="2"/>
      <c r="AH33" s="2"/>
      <c r="AI33" s="2"/>
      <c r="AJ33" s="2"/>
      <c r="AK33" s="2"/>
      <c r="AL33" s="2"/>
      <c r="AM33" s="2"/>
      <c r="AN33" s="2"/>
      <c r="AO33" s="2"/>
      <c r="AP33" s="2"/>
      <c r="AQ33" s="2"/>
      <c r="AR33" s="2"/>
      <c r="AS33" s="2"/>
      <c r="AT33" s="2"/>
      <c r="AU33" s="2"/>
      <c r="AV33" s="2"/>
      <c r="AW33" s="2"/>
      <c r="AX33" s="2"/>
      <c r="AY33" s="2"/>
      <c r="AZ33" s="2" t="str">
        <f>IFERROR(__xludf.DUMMYFUNCTION("""COMPUTED_VALUE"""),"#REF!")</f>
        <v>#REF!</v>
      </c>
      <c r="BA33" s="2" t="str">
        <f>IFERROR(__xludf.DUMMYFUNCTION("""COMPUTED_VALUE"""),"Không đủ điều kiện")</f>
        <v>Không đủ điều kiện</v>
      </c>
      <c r="BB33" s="2" t="str">
        <f>IFERROR(__xludf.DUMMYFUNCTION("""COMPUTED_VALUE"""),"Duyệt")</f>
        <v>Duyệt</v>
      </c>
      <c r="BC33" s="148">
        <f>IFERROR(__xludf.DUMMYFUNCTION("""COMPUTED_VALUE"""),46161.0)</f>
        <v>46161</v>
      </c>
      <c r="BD33" s="2" t="str">
        <f>IFERROR(__xludf.DUMMYFUNCTION("""COMPUTED_VALUE"""),"Duyệt")</f>
        <v>Duyệt</v>
      </c>
      <c r="BE33" s="2" t="str">
        <f>IFERROR(__xludf.DUMMYFUNCTION("""COMPUTED_VALUE"""),"xlg 19/05
19/05")</f>
        <v>xlg 19/05
19/05</v>
      </c>
      <c r="BF33" s="2" t="str">
        <f>IFERROR(__xludf.DUMMYFUNCTION("""COMPUTED_VALUE"""),"Đã xử lí giá")</f>
        <v>Đã xử lí giá</v>
      </c>
      <c r="BG33" s="2" t="str">
        <f>IFERROR(__xludf.DUMMYFUNCTION("""COMPUTED_VALUE"""),"A04270225 Gel nâu đen 22,500đ 18/5/2026")</f>
        <v>A04270225 Gel nâu đen 22,500đ 18/5/2026</v>
      </c>
      <c r="BH33" s="2"/>
      <c r="BI33" s="2"/>
      <c r="BJ33" s="2"/>
      <c r="BK33" s="2"/>
      <c r="BL33" s="2"/>
      <c r="BM33" s="2"/>
      <c r="BN33" s="2"/>
      <c r="BO33" s="2"/>
      <c r="BP33" s="2"/>
      <c r="BQ33" s="2"/>
    </row>
    <row r="34">
      <c r="A34" s="2">
        <f>IFERROR(__xludf.DUMMYFUNCTION("""COMPUTED_VALUE"""),73.0)</f>
        <v>73</v>
      </c>
      <c r="B34" s="2" t="str">
        <f>IFERROR(__xludf.DUMMYFUNCTION("""COMPUTED_VALUE"""),"Dego Cần Thơ")</f>
        <v>Dego Cần Thơ</v>
      </c>
      <c r="C34" s="2" t="str">
        <f>IFERROR(__xludf.DUMMYFUNCTION("""COMPUTED_VALUE"""),"ATP16052604")</f>
        <v>ATP16052604</v>
      </c>
      <c r="D34" s="39">
        <f>IFERROR(__xludf.DUMMYFUNCTION("""COMPUTED_VALUE"""),46158.0)</f>
        <v>46158</v>
      </c>
      <c r="E34" s="2" t="str">
        <f>IFERROR(__xludf.DUMMYFUNCTION("""COMPUTED_VALUE"""),"Đã duyệt")</f>
        <v>Đã duyệt</v>
      </c>
      <c r="F34" s="2" t="str">
        <f>IFERROR(__xludf.DUMMYFUNCTION("""COMPUTED_VALUE"""),"ABA")</f>
        <v>ABA</v>
      </c>
      <c r="G34" s="2" t="str">
        <f>IFERROR(__xludf.DUMMYFUNCTION("""COMPUTED_VALUE"""),"HH4735")</f>
        <v>HH4735</v>
      </c>
      <c r="H34" s="2" t="str">
        <f>IFERROR(__xludf.DUMMYFUNCTION("""COMPUTED_VALUE"""),"GC - V - 4735 - CTY LÂM THÀNH - ZINC SC NANO (Nước xanh lá sữa) - 500ml - 40")</f>
        <v>GC - V - 4735 - CTY LÂM THÀNH - ZINC SC NANO (Nước xanh lá sữa) - 500ml - 40</v>
      </c>
      <c r="I34" s="2" t="str">
        <f>IFERROR(__xludf.DUMMYFUNCTION("""COMPUTED_VALUE"""),"Phân bón")</f>
        <v>Phân bón</v>
      </c>
      <c r="J34" s="142" t="str">
        <f>IFERROR(__xludf.DUMMYFUNCTION("""COMPUTED_VALUE"""),"Vi lượng MICKEY")</f>
        <v>Vi lượng MICKEY</v>
      </c>
      <c r="K34" s="2" t="str">
        <f>IFERROR(__xludf.DUMMYFUNCTION("""COMPUTED_VALUE"""),"A01181225")</f>
        <v>A01181225</v>
      </c>
      <c r="L34" s="2" t="str">
        <f>IFERROR(__xludf.DUMMYFUNCTION("""COMPUTED_VALUE"""),"Nước xanh lá sữa")</f>
        <v>Nước xanh lá sữa</v>
      </c>
      <c r="M34" s="2" t="str">
        <f>IFERROR(__xludf.DUMMYFUNCTION("""COMPUTED_VALUE"""),"Chai")</f>
        <v>Chai</v>
      </c>
      <c r="N34" s="142">
        <f>IFERROR(__xludf.DUMMYFUNCTION("""COMPUTED_VALUE"""),40.0)</f>
        <v>40</v>
      </c>
      <c r="O34" s="142">
        <f>IFERROR(__xludf.DUMMYFUNCTION("""COMPUTED_VALUE"""),10.0)</f>
        <v>10</v>
      </c>
      <c r="P34" s="142">
        <f>IFERROR(__xludf.DUMMYFUNCTION("""COMPUTED_VALUE"""),400.0)</f>
        <v>400</v>
      </c>
      <c r="Q34" s="145">
        <f>IFERROR(__xludf.DUMMYFUNCTION("""COMPUTED_VALUE"""),46167.0)</f>
        <v>46167</v>
      </c>
      <c r="R34" s="2"/>
      <c r="S34" s="142" t="str">
        <f>IFERROR(__xludf.DUMMYFUNCTION("""COMPUTED_VALUE"""),"lấy chẳn thùng")</f>
        <v>lấy chẳn thùng</v>
      </c>
      <c r="T34" s="2"/>
      <c r="U34" s="2"/>
      <c r="V34" s="2"/>
      <c r="W34" s="2" t="str">
        <f>IFERROR(__xludf.DUMMYFUNCTION("""COMPUTED_VALUE"""),"LÂM THÀNH - Giá bán 32000 - Ngày dự kiến thu tiền:  - Dự kiến ngày ra hết hàng: ")</f>
        <v>LÂM THÀNH - Giá bán 32000 - Ngày dự kiến thu tiền:  - Dự kiến ngày ra hết hàng: </v>
      </c>
      <c r="X34" s="2"/>
      <c r="Y34" s="2" t="str">
        <f>IFERROR(__xludf.DUMMYFUNCTION("""COMPUTED_VALUE"""),"Dego Cần Thơ")</f>
        <v>Dego Cần Thơ</v>
      </c>
      <c r="Z34" s="2" t="str">
        <f>IFERROR(__xludf.DUMMYFUNCTION("""COMPUTED_VALUE"""),"Đã có lịch SX")</f>
        <v>Đã có lịch SX</v>
      </c>
      <c r="AA34" s="2"/>
      <c r="AB34" s="2"/>
      <c r="AC34" s="146">
        <f>IFERROR(__xludf.DUMMYFUNCTION("""COMPUTED_VALUE"""),400.0)</f>
        <v>400</v>
      </c>
      <c r="AD34" s="2"/>
      <c r="AE34" s="2" t="str">
        <f>IFERROR(__xludf.DUMMYFUNCTION("""COMPUTED_VALUE"""),"đã bàn giao cho nhà máy 23/05")</f>
        <v>đã bàn giao cho nhà máy 23/05</v>
      </c>
      <c r="AF34" s="2"/>
      <c r="AG34" s="2"/>
      <c r="AH34" s="2"/>
      <c r="AI34" s="2"/>
      <c r="AJ34" s="2"/>
      <c r="AK34" s="2"/>
      <c r="AL34" s="2"/>
      <c r="AM34" s="2"/>
      <c r="AN34" s="2"/>
      <c r="AO34" s="2"/>
      <c r="AP34" s="2"/>
      <c r="AQ34" s="2"/>
      <c r="AR34" s="2"/>
      <c r="AS34" s="2"/>
      <c r="AT34" s="2"/>
      <c r="AU34" s="2"/>
      <c r="AV34" s="2"/>
      <c r="AW34" s="2"/>
      <c r="AX34" s="2"/>
      <c r="AY34" s="2"/>
      <c r="AZ34" s="2" t="str">
        <f>IFERROR(__xludf.DUMMYFUNCTION("""COMPUTED_VALUE"""),"#REF!")</f>
        <v>#REF!</v>
      </c>
      <c r="BA34" s="2" t="str">
        <f>IFERROR(__xludf.DUMMYFUNCTION("""COMPUTED_VALUE"""),"Đủ điều kiện")</f>
        <v>Đủ điều kiện</v>
      </c>
      <c r="BB34" s="2" t="str">
        <f>IFERROR(__xludf.DUMMYFUNCTION("""COMPUTED_VALUE"""),"Duyệt")</f>
        <v>Duyệt</v>
      </c>
      <c r="BC34" s="148">
        <f>IFERROR(__xludf.DUMMYFUNCTION("""COMPUTED_VALUE"""),46161.0)</f>
        <v>46161</v>
      </c>
      <c r="BD34" s="2" t="str">
        <f>IFERROR(__xludf.DUMMYFUNCTION("""COMPUTED_VALUE"""),"Duyệt")</f>
        <v>Duyệt</v>
      </c>
      <c r="BE34" s="2" t="str">
        <f>IFERROR(__xludf.DUMMYFUNCTION("""COMPUTED_VALUE"""),"xlg 19/05
19/05")</f>
        <v>xlg 19/05
19/05</v>
      </c>
      <c r="BF34" s="2" t="str">
        <f>IFERROR(__xludf.DUMMYFUNCTION("""COMPUTED_VALUE"""),"Đã xử lí giá")</f>
        <v>Đã xử lí giá</v>
      </c>
      <c r="BG34" s="2" t="str">
        <f>IFERROR(__xludf.DUMMYFUNCTION("""COMPUTED_VALUE"""),"A01181225 Nước xanh lá sữa 32,000đ 18/5/2026")</f>
        <v>A01181225 Nước xanh lá sữa 32,000đ 18/5/2026</v>
      </c>
      <c r="BH34" s="2"/>
      <c r="BI34" s="2"/>
      <c r="BJ34" s="2"/>
      <c r="BK34" s="2"/>
      <c r="BL34" s="2"/>
      <c r="BM34" s="2"/>
      <c r="BN34" s="2"/>
      <c r="BO34" s="2"/>
      <c r="BP34" s="2"/>
      <c r="BQ34" s="2"/>
    </row>
    <row r="35">
      <c r="A35" s="2">
        <f>IFERROR(__xludf.DUMMYFUNCTION("""COMPUTED_VALUE"""),74.0)</f>
        <v>74</v>
      </c>
      <c r="B35" s="2" t="str">
        <f>IFERROR(__xludf.DUMMYFUNCTION("""COMPUTED_VALUE"""),"Dego Cần Thơ")</f>
        <v>Dego Cần Thơ</v>
      </c>
      <c r="C35" s="2" t="str">
        <f>IFERROR(__xludf.DUMMYFUNCTION("""COMPUTED_VALUE"""),"ATP16052606")</f>
        <v>ATP16052606</v>
      </c>
      <c r="D35" s="39">
        <f>IFERROR(__xludf.DUMMYFUNCTION("""COMPUTED_VALUE"""),46158.0)</f>
        <v>46158</v>
      </c>
      <c r="E35" s="2" t="str">
        <f>IFERROR(__xludf.DUMMYFUNCTION("""COMPUTED_VALUE"""),"Đã duyệt")</f>
        <v>Đã duyệt</v>
      </c>
      <c r="F35" s="2" t="str">
        <f>IFERROR(__xludf.DUMMYFUNCTION("""COMPUTED_VALUE"""),"ABA")</f>
        <v>ABA</v>
      </c>
      <c r="G35" s="2" t="str">
        <f>IFERROR(__xludf.DUMMYFUNCTION("""COMPUTED_VALUE"""),"HH5027")</f>
        <v>HH5027</v>
      </c>
      <c r="H35" s="2" t="str">
        <f>IFERROR(__xludf.DUMMYFUNCTION("""COMPUTED_VALUE"""),"GC - V - 5027 - HÓA NÔNG SHINO - ROOTS (Nước nâu đen) - 500ml - 40")</f>
        <v>GC - V - 5027 - HÓA NÔNG SHINO - ROOTS (Nước nâu đen) - 500ml - 40</v>
      </c>
      <c r="I35" s="2" t="str">
        <f>IFERROR(__xludf.DUMMYFUNCTION("""COMPUTED_VALUE"""),"Phân bón")</f>
        <v>Phân bón</v>
      </c>
      <c r="J35" s="142" t="str">
        <f>IFERROR(__xludf.DUMMYFUNCTION("""COMPUTED_VALUE"""),"Vi lượng Quantity New")</f>
        <v>Vi lượng Quantity New</v>
      </c>
      <c r="K35" s="2" t="str">
        <f>IFERROR(__xludf.DUMMYFUNCTION("""COMPUTED_VALUE"""),"A06270225")</f>
        <v>A06270225</v>
      </c>
      <c r="L35" s="2" t="str">
        <f>IFERROR(__xludf.DUMMYFUNCTION("""COMPUTED_VALUE"""),"Nước nâu đen")</f>
        <v>Nước nâu đen</v>
      </c>
      <c r="M35" s="2" t="str">
        <f>IFERROR(__xludf.DUMMYFUNCTION("""COMPUTED_VALUE"""),"Chai")</f>
        <v>Chai</v>
      </c>
      <c r="N35" s="142">
        <f>IFERROR(__xludf.DUMMYFUNCTION("""COMPUTED_VALUE"""),40.0)</f>
        <v>40</v>
      </c>
      <c r="O35" s="142">
        <f>IFERROR(__xludf.DUMMYFUNCTION("""COMPUTED_VALUE"""),10.0)</f>
        <v>10</v>
      </c>
      <c r="P35" s="142">
        <f>IFERROR(__xludf.DUMMYFUNCTION("""COMPUTED_VALUE"""),400.0)</f>
        <v>400</v>
      </c>
      <c r="Q35" s="145">
        <f>IFERROR(__xludf.DUMMYFUNCTION("""COMPUTED_VALUE"""),46168.0)</f>
        <v>46168</v>
      </c>
      <c r="R35" s="2"/>
      <c r="S35" s="142" t="str">
        <f>IFERROR(__xludf.DUMMYFUNCTION("""COMPUTED_VALUE"""),"lấy chẳn thùng")</f>
        <v>lấy chẳn thùng</v>
      </c>
      <c r="T35" s="2"/>
      <c r="U35" s="2"/>
      <c r="V35" s="2"/>
      <c r="W35" s="2" t="str">
        <f>IFERROR(__xludf.DUMMYFUNCTION("""COMPUTED_VALUE"""),"SHINO - Giá bán 23000 - Ngày dự kiến thu tiền:  - Dự kiến ngày ra hết hàng: ")</f>
        <v>SHINO - Giá bán 23000 - Ngày dự kiến thu tiền:  - Dự kiến ngày ra hết hàng: </v>
      </c>
      <c r="X35" s="2"/>
      <c r="Y35" s="2" t="str">
        <f>IFERROR(__xludf.DUMMYFUNCTION("""COMPUTED_VALUE"""),"Dego Cần Thơ")</f>
        <v>Dego Cần Thơ</v>
      </c>
      <c r="Z35" s="2" t="str">
        <f>IFERROR(__xludf.DUMMYFUNCTION("""COMPUTED_VALUE"""),"Đã có lịch SX")</f>
        <v>Đã có lịch SX</v>
      </c>
      <c r="AA35" s="2"/>
      <c r="AB35" s="2"/>
      <c r="AC35" s="146">
        <f>IFERROR(__xludf.DUMMYFUNCTION("""COMPUTED_VALUE"""),400.0)</f>
        <v>400</v>
      </c>
      <c r="AD35" s="2"/>
      <c r="AE35" s="2" t="str">
        <f>IFERROR(__xludf.DUMMYFUNCTION("""COMPUTED_VALUE"""),"đã bàn giao cho nhà máy 23/05")</f>
        <v>đã bàn giao cho nhà máy 23/05</v>
      </c>
      <c r="AF35" s="2"/>
      <c r="AG35" s="2"/>
      <c r="AH35" s="2"/>
      <c r="AI35" s="2"/>
      <c r="AJ35" s="2"/>
      <c r="AK35" s="2"/>
      <c r="AL35" s="2"/>
      <c r="AM35" s="2"/>
      <c r="AN35" s="2"/>
      <c r="AO35" s="2"/>
      <c r="AP35" s="2"/>
      <c r="AQ35" s="2"/>
      <c r="AR35" s="2"/>
      <c r="AS35" s="2"/>
      <c r="AT35" s="2"/>
      <c r="AU35" s="2"/>
      <c r="AV35" s="2"/>
      <c r="AW35" s="2"/>
      <c r="AX35" s="2"/>
      <c r="AY35" s="2"/>
      <c r="AZ35" s="2" t="str">
        <f>IFERROR(__xludf.DUMMYFUNCTION("""COMPUTED_VALUE"""),"#REF!")</f>
        <v>#REF!</v>
      </c>
      <c r="BA35" s="2" t="str">
        <f>IFERROR(__xludf.DUMMYFUNCTION("""COMPUTED_VALUE"""),"Đủ điều kiện")</f>
        <v>Đủ điều kiện</v>
      </c>
      <c r="BB35" s="2" t="str">
        <f>IFERROR(__xludf.DUMMYFUNCTION("""COMPUTED_VALUE"""),"Duyệt")</f>
        <v>Duyệt</v>
      </c>
      <c r="BC35" s="148">
        <f>IFERROR(__xludf.DUMMYFUNCTION("""COMPUTED_VALUE"""),46161.0)</f>
        <v>46161</v>
      </c>
      <c r="BD35" s="2" t="str">
        <f>IFERROR(__xludf.DUMMYFUNCTION("""COMPUTED_VALUE"""),"Duyệt")</f>
        <v>Duyệt</v>
      </c>
      <c r="BE35" s="2" t="str">
        <f>IFERROR(__xludf.DUMMYFUNCTION("""COMPUTED_VALUE"""),"xlg 19/05
22/05")</f>
        <v>xlg 19/05
22/05</v>
      </c>
      <c r="BF35" s="2" t="str">
        <f>IFERROR(__xludf.DUMMYFUNCTION("""COMPUTED_VALUE"""),"Đã xử lí giá")</f>
        <v>Đã xử lí giá</v>
      </c>
      <c r="BG35" s="2" t="str">
        <f>IFERROR(__xludf.DUMMYFUNCTION("""COMPUTED_VALUE"""),"A06270225 Nước nâu đen 23,000đ 18/5/2026")</f>
        <v>A06270225 Nước nâu đen 23,000đ 18/5/2026</v>
      </c>
      <c r="BH35" s="2"/>
      <c r="BI35" s="2"/>
      <c r="BJ35" s="2"/>
      <c r="BK35" s="2"/>
      <c r="BL35" s="2"/>
      <c r="BM35" s="2"/>
      <c r="BN35" s="2"/>
      <c r="BO35" s="2"/>
      <c r="BP35" s="2"/>
      <c r="BQ35" s="2"/>
    </row>
    <row r="36">
      <c r="A36" s="2">
        <f>IFERROR(__xludf.DUMMYFUNCTION("""COMPUTED_VALUE"""),76.0)</f>
        <v>76</v>
      </c>
      <c r="B36" s="2" t="str">
        <f>IFERROR(__xludf.DUMMYFUNCTION("""COMPUTED_VALUE"""),"Dego Cần Thơ")</f>
        <v>Dego Cần Thơ</v>
      </c>
      <c r="C36" s="2" t="str">
        <f>IFERROR(__xludf.DUMMYFUNCTION("""COMPUTED_VALUE"""),"ATP18052601")</f>
        <v>ATP18052601</v>
      </c>
      <c r="D36" s="39">
        <f>IFERROR(__xludf.DUMMYFUNCTION("""COMPUTED_VALUE"""),46160.0)</f>
        <v>46160</v>
      </c>
      <c r="E36" s="2" t="str">
        <f>IFERROR(__xludf.DUMMYFUNCTION("""COMPUTED_VALUE"""),"Đã duyệt")</f>
        <v>Đã duyệt</v>
      </c>
      <c r="F36" s="2" t="str">
        <f>IFERROR(__xludf.DUMMYFUNCTION("""COMPUTED_VALUE"""),"ABA")</f>
        <v>ABA</v>
      </c>
      <c r="G36" s="2" t="str">
        <f>IFERROR(__xludf.DUMMYFUNCTION("""COMPUTED_VALUE"""),"HH4160")</f>
        <v>HH4160</v>
      </c>
      <c r="H36" s="2" t="str">
        <f>IFERROR(__xludf.DUMMYFUNCTION("""COMPUTED_VALUE"""),"GC - IV - 4160 - Japan Crop Science - Sumo Siêu Cứng (gel nâu đen) - 500ml - 30")</f>
        <v>GC - IV - 4160 - Japan Crop Science - Sumo Siêu Cứng (gel nâu đen) - 500ml - 30</v>
      </c>
      <c r="I36" s="2" t="str">
        <f>IFERROR(__xludf.DUMMYFUNCTION("""COMPUTED_VALUE"""),"Phân bón")</f>
        <v>Phân bón</v>
      </c>
      <c r="J36" s="142" t="str">
        <f>IFERROR(__xludf.DUMMYFUNCTION("""COMPUTED_VALUE"""),"Vi lượng Quantity New")</f>
        <v>Vi lượng Quantity New</v>
      </c>
      <c r="K36" s="2" t="str">
        <f>IFERROR(__xludf.DUMMYFUNCTION("""COMPUTED_VALUE"""),"Cùng ruột 1570")</f>
        <v>Cùng ruột 1570</v>
      </c>
      <c r="L36" s="2" t="str">
        <f>IFERROR(__xludf.DUMMYFUNCTION("""COMPUTED_VALUE"""),"Gel nâu đen")</f>
        <v>Gel nâu đen</v>
      </c>
      <c r="M36" s="2" t="str">
        <f>IFERROR(__xludf.DUMMYFUNCTION("""COMPUTED_VALUE"""),"Chai")</f>
        <v>Chai</v>
      </c>
      <c r="N36" s="142">
        <f>IFERROR(__xludf.DUMMYFUNCTION("""COMPUTED_VALUE"""),30.0)</f>
        <v>30</v>
      </c>
      <c r="O36" s="142">
        <f>IFERROR(__xludf.DUMMYFUNCTION("""COMPUTED_VALUE"""),20.0)</f>
        <v>20</v>
      </c>
      <c r="P36" s="142">
        <f>IFERROR(__xludf.DUMMYFUNCTION("""COMPUTED_VALUE"""),600.0)</f>
        <v>600</v>
      </c>
      <c r="Q36" s="145">
        <f>IFERROR(__xludf.DUMMYFUNCTION("""COMPUTED_VALUE"""),46169.0)</f>
        <v>46169</v>
      </c>
      <c r="R36" s="2"/>
      <c r="S36" s="142" t="str">
        <f>IFERROR(__xludf.DUMMYFUNCTION("""COMPUTED_VALUE"""),"lấy chẳn thùng")</f>
        <v>lấy chẳn thùng</v>
      </c>
      <c r="T36" s="2"/>
      <c r="U36" s="2"/>
      <c r="V36" s="2"/>
      <c r="W36" s="2" t="str">
        <f>IFERROR(__xludf.DUMMYFUNCTION("""COMPUTED_VALUE"""),"JAPAN - Giá bán 50500 - Ngày dự kiến thu tiền:  - Dự kiến ngày ra hết hàng: ")</f>
        <v>JAPAN - Giá bán 50500 - Ngày dự kiến thu tiền:  - Dự kiến ngày ra hết hàng: </v>
      </c>
      <c r="X36" s="2"/>
      <c r="Y36" s="2" t="str">
        <f>IFERROR(__xludf.DUMMYFUNCTION("""COMPUTED_VALUE"""),"Dego Cần Thơ")</f>
        <v>Dego Cần Thơ</v>
      </c>
      <c r="Z36" s="2" t="str">
        <f>IFERROR(__xludf.DUMMYFUNCTION("""COMPUTED_VALUE"""),"Chưa có lịch SX")</f>
        <v>Chưa có lịch SX</v>
      </c>
      <c r="AA36" s="2"/>
      <c r="AB36" s="2" t="str">
        <f>IFERROR(__xludf.DUMMYFUNCTION("""COMPUTED_VALUE"""),"tag treo gửi khi giao hàng, để khách treo")</f>
        <v>tag treo gửi khi giao hàng, để khách treo</v>
      </c>
      <c r="AC36" s="146">
        <f>IFERROR(__xludf.DUMMYFUNCTION("""COMPUTED_VALUE"""),600.0)</f>
        <v>600</v>
      </c>
      <c r="AD36" s="2"/>
      <c r="AE36" s="2" t="str">
        <f>IFERROR(__xludf.DUMMYFUNCTION("""COMPUTED_VALUE"""),"đã bàn giao cho nhà máy 23/05")</f>
        <v>đã bàn giao cho nhà máy 23/05</v>
      </c>
      <c r="AF36" s="2"/>
      <c r="AG36" s="2"/>
      <c r="AH36" s="2"/>
      <c r="AI36" s="2"/>
      <c r="AJ36" s="2"/>
      <c r="AK36" s="2"/>
      <c r="AL36" s="2"/>
      <c r="AM36" s="2"/>
      <c r="AN36" s="2"/>
      <c r="AO36" s="2"/>
      <c r="AP36" s="2"/>
      <c r="AQ36" s="2"/>
      <c r="AR36" s="2"/>
      <c r="AS36" s="2"/>
      <c r="AT36" s="2"/>
      <c r="AU36" s="2"/>
      <c r="AV36" s="2"/>
      <c r="AW36" s="2"/>
      <c r="AX36" s="2"/>
      <c r="AY36" s="2"/>
      <c r="AZ36" s="2" t="str">
        <f>IFERROR(__xludf.DUMMYFUNCTION("""COMPUTED_VALUE"""),"#REF!")</f>
        <v>#REF!</v>
      </c>
      <c r="BA36" s="2" t="str">
        <f>IFERROR(__xludf.DUMMYFUNCTION("""COMPUTED_VALUE"""),"Đủ điều kiện")</f>
        <v>Đủ điều kiện</v>
      </c>
      <c r="BB36" s="2" t="str">
        <f>IFERROR(__xludf.DUMMYFUNCTION("""COMPUTED_VALUE"""),"Duyệt")</f>
        <v>Duyệt</v>
      </c>
      <c r="BC36" s="148">
        <f>IFERROR(__xludf.DUMMYFUNCTION("""COMPUTED_VALUE"""),46161.0)</f>
        <v>46161</v>
      </c>
      <c r="BD36" s="2" t="str">
        <f>IFERROR(__xludf.DUMMYFUNCTION("""COMPUTED_VALUE"""),"Duyệt")</f>
        <v>Duyệt</v>
      </c>
      <c r="BE36" s="2" t="str">
        <f>IFERROR(__xludf.DUMMYFUNCTION("""COMPUTED_VALUE"""),"xlg 20/05")</f>
        <v>xlg 20/05</v>
      </c>
      <c r="BF36" s="2" t="str">
        <f>IFERROR(__xludf.DUMMYFUNCTION("""COMPUTED_VALUE"""),"Đã xử lí giá")</f>
        <v>Đã xử lí giá</v>
      </c>
      <c r="BG36" s="2" t="str">
        <f>IFERROR(__xludf.DUMMYFUNCTION("""COMPUTED_VALUE"""),"Cùng ruột 1570 Gel nâu đen 50,500đ 18/5/2026")</f>
        <v>Cùng ruột 1570 Gel nâu đen 50,500đ 18/5/2026</v>
      </c>
      <c r="BH36" s="2"/>
      <c r="BI36" s="2"/>
      <c r="BJ36" s="2"/>
      <c r="BK36" s="2"/>
      <c r="BL36" s="2"/>
      <c r="BM36" s="2"/>
      <c r="BN36" s="2"/>
      <c r="BO36" s="2"/>
      <c r="BP36" s="2"/>
      <c r="BQ36" s="2"/>
    </row>
    <row r="37">
      <c r="A37" s="2">
        <f>IFERROR(__xludf.DUMMYFUNCTION("""COMPUTED_VALUE"""),77.0)</f>
        <v>77</v>
      </c>
      <c r="B37" s="2" t="str">
        <f>IFERROR(__xludf.DUMMYFUNCTION("""COMPUTED_VALUE"""),"Dego Cần Thơ")</f>
        <v>Dego Cần Thơ</v>
      </c>
      <c r="C37" s="2" t="str">
        <f>IFERROR(__xludf.DUMMYFUNCTION("""COMPUTED_VALUE"""),"AYC18052601")</f>
        <v>AYC18052601</v>
      </c>
      <c r="D37" s="39">
        <f>IFERROR(__xludf.DUMMYFUNCTION("""COMPUTED_VALUE"""),46160.0)</f>
        <v>46160</v>
      </c>
      <c r="E37" s="2" t="str">
        <f>IFERROR(__xludf.DUMMYFUNCTION("""COMPUTED_VALUE"""),"Đã duyệt")</f>
        <v>Đã duyệt</v>
      </c>
      <c r="F37" s="2" t="str">
        <f>IFERROR(__xludf.DUMMYFUNCTION("""COMPUTED_VALUE"""),"ABA")</f>
        <v>ABA</v>
      </c>
      <c r="G37" s="2" t="str">
        <f>IFERROR(__xludf.DUMMYFUNCTION("""COMPUTED_VALUE"""),"HH5004")</f>
        <v>HH5004</v>
      </c>
      <c r="H37" s="2" t="str">
        <f>IFERROR(__xludf.DUMMYFUNCTION("""COMPUTED_VALUE"""),"GC - V - 5004 - CTY AN LẠC - TĂNG TRƯỞNG (Nước nâu đen) - 500ml - 40")</f>
        <v>GC - V - 5004 - CTY AN LẠC - TĂNG TRƯỞNG (Nước nâu đen) - 500ml - 40</v>
      </c>
      <c r="I37" s="2" t="str">
        <f>IFERROR(__xludf.DUMMYFUNCTION("""COMPUTED_VALUE"""),"Phân bón")</f>
        <v>Phân bón</v>
      </c>
      <c r="J37" s="142" t="str">
        <f>IFERROR(__xludf.DUMMYFUNCTION("""COMPUTED_VALUE"""),"Hỗn Hợp NP AGAMA-AP")</f>
        <v>Hỗn Hợp NP AGAMA-AP</v>
      </c>
      <c r="K37" s="2" t="str">
        <f>IFERROR(__xludf.DUMMYFUNCTION("""COMPUTED_VALUE"""),"A20280225")</f>
        <v>A20280225</v>
      </c>
      <c r="L37" s="2" t="str">
        <f>IFERROR(__xludf.DUMMYFUNCTION("""COMPUTED_VALUE"""),"Nước nâu đen")</f>
        <v>Nước nâu đen</v>
      </c>
      <c r="M37" s="2" t="str">
        <f>IFERROR(__xludf.DUMMYFUNCTION("""COMPUTED_VALUE"""),"Chai")</f>
        <v>Chai</v>
      </c>
      <c r="N37" s="142">
        <f>IFERROR(__xludf.DUMMYFUNCTION("""COMPUTED_VALUE"""),40.0)</f>
        <v>40</v>
      </c>
      <c r="O37" s="142">
        <f>IFERROR(__xludf.DUMMYFUNCTION("""COMPUTED_VALUE"""),11.0)</f>
        <v>11</v>
      </c>
      <c r="P37" s="142">
        <f>IFERROR(__xludf.DUMMYFUNCTION("""COMPUTED_VALUE"""),440.0)</f>
        <v>440</v>
      </c>
      <c r="Q37" s="145">
        <f>IFERROR(__xludf.DUMMYFUNCTION("""COMPUTED_VALUE"""),46170.0)</f>
        <v>46170</v>
      </c>
      <c r="R37" s="2"/>
      <c r="S37" s="142" t="str">
        <f>IFERROR(__xludf.DUMMYFUNCTION("""COMPUTED_VALUE"""),"Xử lý dán  nhãn 5004 qua 4960")</f>
        <v>Xử lý dán  nhãn 5004 qua 4960</v>
      </c>
      <c r="T37" s="2"/>
      <c r="U37" s="2"/>
      <c r="V37" s="2"/>
      <c r="W37" s="2" t="str">
        <f>IFERROR(__xludf.DUMMYFUNCTION("""COMPUTED_VALUE"""),"AN LẠC - Giá bán 28000 - Ngày dự kiến thu tiền:  - Dự kiến ngày ra hết hàng: ")</f>
        <v>AN LẠC - Giá bán 28000 - Ngày dự kiến thu tiền:  - Dự kiến ngày ra hết hàng: </v>
      </c>
      <c r="X37" s="2"/>
      <c r="Y37" s="2" t="str">
        <f>IFERROR(__xludf.DUMMYFUNCTION("""COMPUTED_VALUE"""),"Dego Cần Thơ")</f>
        <v>Dego Cần Thơ</v>
      </c>
      <c r="Z37" s="2" t="str">
        <f>IFERROR(__xludf.DUMMYFUNCTION("""COMPUTED_VALUE"""),"Chưa gửi đơn")</f>
        <v>Chưa gửi đơn</v>
      </c>
      <c r="AA37" s="2"/>
      <c r="AB37" s="2" t="str">
        <f>IFERROR(__xludf.DUMMYFUNCTION("""COMPUTED_VALUE"""),"chưa đủ dk, chưa có ct trên sheet DS btp phối nên chưa làm được BDM 22-23/05 ")</f>
        <v>chưa đủ dk, chưa có ct trên sheet DS btp phối nên chưa làm được BDM 22-23/05 </v>
      </c>
      <c r="AC37" s="146">
        <f>IFERROR(__xludf.DUMMYFUNCTION("""COMPUTED_VALUE"""),440.0)</f>
        <v>440</v>
      </c>
      <c r="AD37" s="2"/>
      <c r="AE37" s="2" t="str">
        <f>IFERROR(__xludf.DUMMYFUNCTION("""COMPUTED_VALUE"""),"đã bàn giao cho nhà máy 23/05")</f>
        <v>đã bàn giao cho nhà máy 23/05</v>
      </c>
      <c r="AF37" s="2"/>
      <c r="AG37" s="2"/>
      <c r="AH37" s="2"/>
      <c r="AI37" s="2"/>
      <c r="AJ37" s="2"/>
      <c r="AK37" s="2"/>
      <c r="AL37" s="2"/>
      <c r="AM37" s="2"/>
      <c r="AN37" s="2"/>
      <c r="AO37" s="2"/>
      <c r="AP37" s="2"/>
      <c r="AQ37" s="2"/>
      <c r="AR37" s="2"/>
      <c r="AS37" s="2"/>
      <c r="AT37" s="2"/>
      <c r="AU37" s="2"/>
      <c r="AV37" s="2"/>
      <c r="AW37" s="2"/>
      <c r="AX37" s="2"/>
      <c r="AY37" s="2"/>
      <c r="AZ37" s="2" t="str">
        <f>IFERROR(__xludf.DUMMYFUNCTION("""COMPUTED_VALUE"""),"#REF!")</f>
        <v>#REF!</v>
      </c>
      <c r="BA37" s="2" t="str">
        <f>IFERROR(__xludf.DUMMYFUNCTION("""COMPUTED_VALUE"""),"Không đủ điều kiện")</f>
        <v>Không đủ điều kiện</v>
      </c>
      <c r="BB37" s="2" t="str">
        <f>IFERROR(__xludf.DUMMYFUNCTION("""COMPUTED_VALUE"""),"Duyệt")</f>
        <v>Duyệt</v>
      </c>
      <c r="BC37" s="148">
        <f>IFERROR(__xludf.DUMMYFUNCTION("""COMPUTED_VALUE"""),46161.0)</f>
        <v>46161</v>
      </c>
      <c r="BD37" s="2" t="str">
        <f>IFERROR(__xludf.DUMMYFUNCTION("""COMPUTED_VALUE"""),"Chờ duyệt")</f>
        <v>Chờ duyệt</v>
      </c>
      <c r="BE37" s="2" t="str">
        <f>IFERROR(__xludf.DUMMYFUNCTION("""COMPUTED_VALUE"""),"xlg 18/05")</f>
        <v>xlg 18/05</v>
      </c>
      <c r="BF37" s="2" t="str">
        <f>IFERROR(__xludf.DUMMYFUNCTION("""COMPUTED_VALUE"""),"Hàng xử lý lại")</f>
        <v>Hàng xử lý lại</v>
      </c>
      <c r="BG37" s="2" t="str">
        <f>IFERROR(__xludf.DUMMYFUNCTION("""COMPUTED_VALUE"""),"A20280225 Nước nâu đen 28,000đ 18/5/2026 AYC18052601")</f>
        <v>A20280225 Nước nâu đen 28,000đ 18/5/2026 AYC18052601</v>
      </c>
      <c r="BH37" s="2"/>
      <c r="BI37" s="2"/>
      <c r="BJ37" s="2"/>
      <c r="BK37" s="2"/>
      <c r="BL37" s="2"/>
      <c r="BM37" s="2"/>
      <c r="BN37" s="2"/>
      <c r="BO37" s="2"/>
      <c r="BP37" s="2"/>
      <c r="BQ37" s="2"/>
    </row>
    <row r="38">
      <c r="A38" s="2">
        <f>IFERROR(__xludf.DUMMYFUNCTION("""COMPUTED_VALUE"""),79.0)</f>
        <v>79</v>
      </c>
      <c r="B38" s="2" t="str">
        <f>IFERROR(__xludf.DUMMYFUNCTION("""COMPUTED_VALUE"""),"Dego Cần Thơ")</f>
        <v>Dego Cần Thơ</v>
      </c>
      <c r="C38" s="2" t="str">
        <f>IFERROR(__xludf.DUMMYFUNCTION("""COMPUTED_VALUE"""),"ATP18052603")</f>
        <v>ATP18052603</v>
      </c>
      <c r="D38" s="39">
        <f>IFERROR(__xludf.DUMMYFUNCTION("""COMPUTED_VALUE"""),46160.0)</f>
        <v>46160</v>
      </c>
      <c r="E38" s="2" t="str">
        <f>IFERROR(__xludf.DUMMYFUNCTION("""COMPUTED_VALUE"""),"Đã duyệt")</f>
        <v>Đã duyệt</v>
      </c>
      <c r="F38" s="2" t="str">
        <f>IFERROR(__xludf.DUMMYFUNCTION("""COMPUTED_VALUE"""),"ABA")</f>
        <v>ABA</v>
      </c>
      <c r="G38" s="2" t="str">
        <f>IFERROR(__xludf.DUMMYFUNCTION("""COMPUTED_VALUE"""),"HH5026")</f>
        <v>HH5026</v>
      </c>
      <c r="H38" s="2" t="str">
        <f>IFERROR(__xludf.DUMMYFUNCTION("""COMPUTED_VALUE"""),"GC - V - 5026 - CTY LUTA - 10-60-10 (Bột màu trắng) - 1kg - 25")</f>
        <v>GC - V - 5026 - CTY LUTA - 10-60-10 (Bột màu trắng) - 1kg - 25</v>
      </c>
      <c r="I38" s="2" t="str">
        <f>IFERROR(__xludf.DUMMYFUNCTION("""COMPUTED_VALUE"""),"Phân bón")</f>
        <v>Phân bón</v>
      </c>
      <c r="J38" s="142" t="str">
        <f>IFERROR(__xludf.DUMMYFUNCTION("""COMPUTED_VALUE"""),"Hỗn Hợp NPK NPK 10-60-10 NNV")</f>
        <v>Hỗn Hợp NPK NPK 10-60-10 NNV</v>
      </c>
      <c r="K38" s="2" t="str">
        <f>IFERROR(__xludf.DUMMYFUNCTION("""COMPUTED_VALUE"""),"A01160326")</f>
        <v>A01160326</v>
      </c>
      <c r="L38" s="2" t="str">
        <f>IFERROR(__xludf.DUMMYFUNCTION("""COMPUTED_VALUE"""),"Bột trắng")</f>
        <v>Bột trắng</v>
      </c>
      <c r="M38" s="2" t="str">
        <f>IFERROR(__xludf.DUMMYFUNCTION("""COMPUTED_VALUE"""),"Túi/Gói")</f>
        <v>Túi/Gói</v>
      </c>
      <c r="N38" s="142">
        <f>IFERROR(__xludf.DUMMYFUNCTION("""COMPUTED_VALUE"""),25.0)</f>
        <v>25</v>
      </c>
      <c r="O38" s="142">
        <f>IFERROR(__xludf.DUMMYFUNCTION("""COMPUTED_VALUE"""),20.0)</f>
        <v>20</v>
      </c>
      <c r="P38" s="142">
        <f>IFERROR(__xludf.DUMMYFUNCTION("""COMPUTED_VALUE"""),500.0)</f>
        <v>500</v>
      </c>
      <c r="Q38" s="145">
        <f>IFERROR(__xludf.DUMMYFUNCTION("""COMPUTED_VALUE"""),46175.0)</f>
        <v>46175</v>
      </c>
      <c r="R38" s="2"/>
      <c r="S38" s="142" t="str">
        <f>IFERROR(__xludf.DUMMYFUNCTION("""COMPUTED_VALUE"""),"lấy chẳn thùng")</f>
        <v>lấy chẳn thùng</v>
      </c>
      <c r="T38" s="2"/>
      <c r="U38" s="2"/>
      <c r="V38" s="2"/>
      <c r="W38" s="2" t="str">
        <f>IFERROR(__xludf.DUMMYFUNCTION("""COMPUTED_VALUE"""),"LUTA - Giá bán 63000 - Ngày dự kiến thu tiền:  - Dự kiến ngày ra hết hàng: ")</f>
        <v>LUTA - Giá bán 63000 - Ngày dự kiến thu tiền:  - Dự kiến ngày ra hết hàng: </v>
      </c>
      <c r="X38" s="2"/>
      <c r="Y38" s="2" t="str">
        <f>IFERROR(__xludf.DUMMYFUNCTION("""COMPUTED_VALUE"""),"Dego Cần Thơ")</f>
        <v>Dego Cần Thơ</v>
      </c>
      <c r="Z38" s="2" t="str">
        <f>IFERROR(__xludf.DUMMYFUNCTION("""COMPUTED_VALUE"""),"Chưa có lịch SX")</f>
        <v>Chưa có lịch SX</v>
      </c>
      <c r="AA38" s="2"/>
      <c r="AB38" s="2"/>
      <c r="AC38" s="146">
        <f>IFERROR(__xludf.DUMMYFUNCTION("""COMPUTED_VALUE"""),500.0)</f>
        <v>500</v>
      </c>
      <c r="AD38" s="2"/>
      <c r="AE38" s="2" t="str">
        <f>IFERROR(__xludf.DUMMYFUNCTION("""COMPUTED_VALUE"""),"đã bàn giao cho nhà máy 23/05")</f>
        <v>đã bàn giao cho nhà máy 23/05</v>
      </c>
      <c r="AF38" s="2"/>
      <c r="AG38" s="2"/>
      <c r="AH38" s="2"/>
      <c r="AI38" s="2"/>
      <c r="AJ38" s="2"/>
      <c r="AK38" s="2"/>
      <c r="AL38" s="2"/>
      <c r="AM38" s="2"/>
      <c r="AN38" s="2"/>
      <c r="AO38" s="2"/>
      <c r="AP38" s="2"/>
      <c r="AQ38" s="2"/>
      <c r="AR38" s="2"/>
      <c r="AS38" s="2"/>
      <c r="AT38" s="2"/>
      <c r="AU38" s="2"/>
      <c r="AV38" s="2"/>
      <c r="AW38" s="2"/>
      <c r="AX38" s="2"/>
      <c r="AY38" s="2"/>
      <c r="AZ38" s="2" t="str">
        <f>IFERROR(__xludf.DUMMYFUNCTION("""COMPUTED_VALUE"""),"#REF!")</f>
        <v>#REF!</v>
      </c>
      <c r="BA38" s="2" t="str">
        <f>IFERROR(__xludf.DUMMYFUNCTION("""COMPUTED_VALUE"""),"Đủ điều kiện")</f>
        <v>Đủ điều kiện</v>
      </c>
      <c r="BB38" s="2" t="str">
        <f>IFERROR(__xludf.DUMMYFUNCTION("""COMPUTED_VALUE"""),"Duyệt")</f>
        <v>Duyệt</v>
      </c>
      <c r="BC38" s="148">
        <f>IFERROR(__xludf.DUMMYFUNCTION("""COMPUTED_VALUE"""),46161.0)</f>
        <v>46161</v>
      </c>
      <c r="BD38" s="2" t="str">
        <f>IFERROR(__xludf.DUMMYFUNCTION("""COMPUTED_VALUE"""),"Duyệt")</f>
        <v>Duyệt</v>
      </c>
      <c r="BE38" s="2" t="str">
        <f>IFERROR(__xludf.DUMMYFUNCTION("""COMPUTED_VALUE"""),"xlg 19/05
20/05")</f>
        <v>xlg 19/05
20/05</v>
      </c>
      <c r="BF38" s="2" t="str">
        <f>IFERROR(__xludf.DUMMYFUNCTION("""COMPUTED_VALUE"""),"Đã xử lí giá")</f>
        <v>Đã xử lí giá</v>
      </c>
      <c r="BG38" s="2" t="str">
        <f>IFERROR(__xludf.DUMMYFUNCTION("""COMPUTED_VALUE"""),"A01160326 Bột trắng 63,000đ 18/5/2026")</f>
        <v>A01160326 Bột trắng 63,000đ 18/5/2026</v>
      </c>
      <c r="BH38" s="2"/>
      <c r="BI38" s="2"/>
      <c r="BJ38" s="2"/>
      <c r="BK38" s="2"/>
      <c r="BL38" s="2"/>
      <c r="BM38" s="2"/>
      <c r="BN38" s="2"/>
      <c r="BO38" s="2"/>
      <c r="BP38" s="2"/>
      <c r="BQ38" s="2"/>
    </row>
    <row r="39">
      <c r="A39" s="2">
        <f>IFERROR(__xludf.DUMMYFUNCTION("""COMPUTED_VALUE"""),81.0)</f>
        <v>81</v>
      </c>
      <c r="B39" s="2" t="str">
        <f>IFERROR(__xludf.DUMMYFUNCTION("""COMPUTED_VALUE"""),"Dego Cần Thơ")</f>
        <v>Dego Cần Thơ</v>
      </c>
      <c r="C39" s="2" t="str">
        <f>IFERROR(__xludf.DUMMYFUNCTION("""COMPUTED_VALUE"""),"ATP18052605")</f>
        <v>ATP18052605</v>
      </c>
      <c r="D39" s="39">
        <f>IFERROR(__xludf.DUMMYFUNCTION("""COMPUTED_VALUE"""),46160.0)</f>
        <v>46160</v>
      </c>
      <c r="E39" s="2" t="str">
        <f>IFERROR(__xludf.DUMMYFUNCTION("""COMPUTED_VALUE"""),"Đã duyệt")</f>
        <v>Đã duyệt</v>
      </c>
      <c r="F39" s="2" t="str">
        <f>IFERROR(__xludf.DUMMYFUNCTION("""COMPUTED_VALUE"""),"ABA")</f>
        <v>ABA</v>
      </c>
      <c r="G39" s="2" t="str">
        <f>IFERROR(__xludf.DUMMYFUNCTION("""COMPUTED_VALUE"""),"HH4978")</f>
        <v>HH4978</v>
      </c>
      <c r="H39" s="2" t="str">
        <f>IFERROR(__xludf.DUMMYFUNCTION("""COMPUTED_VALUE"""),"GC - V - 4978 - CTY QUANG ĐĂNG AGRICULTURE - ORGA GROWING QĐ.FRUIT (Nước nâu đen) - 10L - 2")</f>
        <v>GC - V - 4978 - CTY QUANG ĐĂNG AGRICULTURE - ORGA GROWING QĐ.FRUIT (Nước nâu đen) - 10L - 2</v>
      </c>
      <c r="I39" s="2" t="str">
        <f>IFERROR(__xludf.DUMMYFUNCTION("""COMPUTED_VALUE"""),"Phân bón")</f>
        <v>Phân bón</v>
      </c>
      <c r="J39" s="142" t="str">
        <f>IFERROR(__xludf.DUMMYFUNCTION("""COMPUTED_VALUE"""),"HỖN HỢP NPK AGAMA-SRH")</f>
        <v>HỖN HỢP NPK AGAMA-SRH</v>
      </c>
      <c r="K39" s="2" t="str">
        <f>IFERROR(__xludf.DUMMYFUNCTION("""COMPUTED_VALUE"""),"A02070526")</f>
        <v>A02070526</v>
      </c>
      <c r="L39" s="2" t="str">
        <f>IFERROR(__xludf.DUMMYFUNCTION("""COMPUTED_VALUE"""),"Nước nâu đen")</f>
        <v>Nước nâu đen</v>
      </c>
      <c r="M39" s="2" t="str">
        <f>IFERROR(__xludf.DUMMYFUNCTION("""COMPUTED_VALUE"""),"Can")</f>
        <v>Can</v>
      </c>
      <c r="N39" s="142">
        <f>IFERROR(__xludf.DUMMYFUNCTION("""COMPUTED_VALUE"""),2.0)</f>
        <v>2</v>
      </c>
      <c r="O39" s="142">
        <f>IFERROR(__xludf.DUMMYFUNCTION("""COMPUTED_VALUE"""),10.0)</f>
        <v>10</v>
      </c>
      <c r="P39" s="142">
        <f>IFERROR(__xludf.DUMMYFUNCTION("""COMPUTED_VALUE"""),20.0)</f>
        <v>20</v>
      </c>
      <c r="Q39" s="145">
        <f>IFERROR(__xludf.DUMMYFUNCTION("""COMPUTED_VALUE"""),46170.0)</f>
        <v>46170</v>
      </c>
      <c r="R39" s="2"/>
      <c r="S39" s="142" t="str">
        <f>IFERROR(__xludf.DUMMYFUNCTION("""COMPUTED_VALUE"""),"lấy chẳn thùng")</f>
        <v>lấy chẳn thùng</v>
      </c>
      <c r="T39" s="2"/>
      <c r="U39" s="2"/>
      <c r="V39" s="2"/>
      <c r="W39" s="2" t="str">
        <f>IFERROR(__xludf.DUMMYFUNCTION("""COMPUTED_VALUE"""),"QUANG ĐĂNG - Giá bán 450000 - Ngày dự kiến thu tiền:  - Dự kiến ngày ra hết hàng: ")</f>
        <v>QUANG ĐĂNG - Giá bán 450000 - Ngày dự kiến thu tiền:  - Dự kiến ngày ra hết hàng: </v>
      </c>
      <c r="X39" s="2"/>
      <c r="Y39" s="2" t="str">
        <f>IFERROR(__xludf.DUMMYFUNCTION("""COMPUTED_VALUE"""),"Dego Cần Thơ")</f>
        <v>Dego Cần Thơ</v>
      </c>
      <c r="Z39" s="2" t="str">
        <f>IFERROR(__xludf.DUMMYFUNCTION("""COMPUTED_VALUE"""),"Chưa có lịch SX")</f>
        <v>Chưa có lịch SX</v>
      </c>
      <c r="AA39" s="2"/>
      <c r="AB39" s="2"/>
      <c r="AC39" s="146">
        <f>IFERROR(__xludf.DUMMYFUNCTION("""COMPUTED_VALUE"""),20.0)</f>
        <v>20</v>
      </c>
      <c r="AD39" s="2"/>
      <c r="AE39" s="2" t="str">
        <f>IFERROR(__xludf.DUMMYFUNCTION("""COMPUTED_VALUE"""),"đã bàn giao cho nhà máy 23/05")</f>
        <v>đã bàn giao cho nhà máy 23/05</v>
      </c>
      <c r="AF39" s="2"/>
      <c r="AG39" s="2"/>
      <c r="AH39" s="2"/>
      <c r="AI39" s="2"/>
      <c r="AJ39" s="2"/>
      <c r="AK39" s="2"/>
      <c r="AL39" s="2"/>
      <c r="AM39" s="2"/>
      <c r="AN39" s="2"/>
      <c r="AO39" s="2"/>
      <c r="AP39" s="2"/>
      <c r="AQ39" s="2"/>
      <c r="AR39" s="2"/>
      <c r="AS39" s="2"/>
      <c r="AT39" s="2"/>
      <c r="AU39" s="2"/>
      <c r="AV39" s="2"/>
      <c r="AW39" s="2"/>
      <c r="AX39" s="2"/>
      <c r="AY39" s="2"/>
      <c r="AZ39" s="2" t="str">
        <f>IFERROR(__xludf.DUMMYFUNCTION("""COMPUTED_VALUE"""),"#REF!")</f>
        <v>#REF!</v>
      </c>
      <c r="BA39" s="2" t="str">
        <f>IFERROR(__xludf.DUMMYFUNCTION("""COMPUTED_VALUE"""),"Đủ điều kiện")</f>
        <v>Đủ điều kiện</v>
      </c>
      <c r="BB39" s="2" t="str">
        <f>IFERROR(__xludf.DUMMYFUNCTION("""COMPUTED_VALUE"""),"Duyệt")</f>
        <v>Duyệt</v>
      </c>
      <c r="BC39" s="148">
        <f>IFERROR(__xludf.DUMMYFUNCTION("""COMPUTED_VALUE"""),46161.0)</f>
        <v>46161</v>
      </c>
      <c r="BD39" s="2" t="str">
        <f>IFERROR(__xludf.DUMMYFUNCTION("""COMPUTED_VALUE"""),"Duyệt")</f>
        <v>Duyệt</v>
      </c>
      <c r="BE39" s="2" t="str">
        <f>IFERROR(__xludf.DUMMYFUNCTION("""COMPUTED_VALUE"""),"xlg 23/05
23/05")</f>
        <v>xlg 23/05
23/05</v>
      </c>
      <c r="BF39" s="2" t="str">
        <f>IFERROR(__xludf.DUMMYFUNCTION("""COMPUTED_VALUE"""),"Đã xử lí giá")</f>
        <v>Đã xử lí giá</v>
      </c>
      <c r="BG39" s="2" t="str">
        <f>IFERROR(__xludf.DUMMYFUNCTION("""COMPUTED_VALUE"""),"A02070526 Nước nâu đen 450,000đ 18/5/2026")</f>
        <v>A02070526 Nước nâu đen 450,000đ 18/5/2026</v>
      </c>
      <c r="BH39" s="2"/>
      <c r="BI39" s="2"/>
      <c r="BJ39" s="2"/>
      <c r="BK39" s="2"/>
      <c r="BL39" s="2"/>
      <c r="BM39" s="2"/>
      <c r="BN39" s="2"/>
      <c r="BO39" s="2"/>
      <c r="BP39" s="2"/>
      <c r="BQ39" s="2"/>
    </row>
    <row r="40">
      <c r="A40" s="2">
        <f>IFERROR(__xludf.DUMMYFUNCTION("""COMPUTED_VALUE"""),82.0)</f>
        <v>82</v>
      </c>
      <c r="B40" s="2" t="str">
        <f>IFERROR(__xludf.DUMMYFUNCTION("""COMPUTED_VALUE"""),"Dego Cần Thơ")</f>
        <v>Dego Cần Thơ</v>
      </c>
      <c r="C40" s="2" t="str">
        <f>IFERROR(__xludf.DUMMYFUNCTION("""COMPUTED_VALUE"""),"ATP18052607")</f>
        <v>ATP18052607</v>
      </c>
      <c r="D40" s="39">
        <f>IFERROR(__xludf.DUMMYFUNCTION("""COMPUTED_VALUE"""),46160.0)</f>
        <v>46160</v>
      </c>
      <c r="E40" s="2" t="str">
        <f>IFERROR(__xludf.DUMMYFUNCTION("""COMPUTED_VALUE"""),"Đã duyệt")</f>
        <v>Đã duyệt</v>
      </c>
      <c r="F40" s="2" t="str">
        <f>IFERROR(__xludf.DUMMYFUNCTION("""COMPUTED_VALUE"""),"ABA")</f>
        <v>ABA</v>
      </c>
      <c r="G40" s="2" t="str">
        <f>IFERROR(__xludf.DUMMYFUNCTION("""COMPUTED_VALUE"""),"HH5030")</f>
        <v>HH5030</v>
      </c>
      <c r="H40" s="2" t="str">
        <f>IFERROR(__xludf.DUMMYFUNCTION("""COMPUTED_VALUE"""),"GC - V - 5030 - AGRITECH - AGRI STOP (Nước nâu đen) - 1L - 20")</f>
        <v>GC - V - 5030 - AGRITECH - AGRI STOP (Nước nâu đen) - 1L - 20</v>
      </c>
      <c r="I40" s="2" t="str">
        <f>IFERROR(__xludf.DUMMYFUNCTION("""COMPUTED_VALUE"""),"Phân bón")</f>
        <v>Phân bón</v>
      </c>
      <c r="J40" s="142" t="str">
        <f>IFERROR(__xludf.DUMMYFUNCTION("""COMPUTED_VALUE"""),"Vi lượng Quantity New")</f>
        <v>Vi lượng Quantity New</v>
      </c>
      <c r="K40" s="2" t="str">
        <f>IFERROR(__xludf.DUMMYFUNCTION("""COMPUTED_VALUE"""),"Chặn đọt dòng V2")</f>
        <v>Chặn đọt dòng V2</v>
      </c>
      <c r="L40" s="2" t="str">
        <f>IFERROR(__xludf.DUMMYFUNCTION("""COMPUTED_VALUE"""),"Nước nâu đen")</f>
        <v>Nước nâu đen</v>
      </c>
      <c r="M40" s="2" t="str">
        <f>IFERROR(__xludf.DUMMYFUNCTION("""COMPUTED_VALUE"""),"Chai")</f>
        <v>Chai</v>
      </c>
      <c r="N40" s="142">
        <f>IFERROR(__xludf.DUMMYFUNCTION("""COMPUTED_VALUE"""),20.0)</f>
        <v>20</v>
      </c>
      <c r="O40" s="142">
        <f>IFERROR(__xludf.DUMMYFUNCTION("""COMPUTED_VALUE"""),10.0)</f>
        <v>10</v>
      </c>
      <c r="P40" s="142">
        <f>IFERROR(__xludf.DUMMYFUNCTION("""COMPUTED_VALUE"""),200.0)</f>
        <v>200</v>
      </c>
      <c r="Q40" s="145">
        <f>IFERROR(__xludf.DUMMYFUNCTION("""COMPUTED_VALUE"""),46167.0)</f>
        <v>46167</v>
      </c>
      <c r="R40" s="2"/>
      <c r="S40" s="142" t="str">
        <f>IFERROR(__xludf.DUMMYFUNCTION("""COMPUTED_VALUE"""),"lấy chẳn thùng
200 chai đã chiết rồi")</f>
        <v>lấy chẳn thùng
200 chai đã chiết rồi</v>
      </c>
      <c r="T40" s="2"/>
      <c r="U40" s="2"/>
      <c r="V40" s="2"/>
      <c r="W40" s="2" t="str">
        <f>IFERROR(__xludf.DUMMYFUNCTION("""COMPUTED_VALUE"""),"AGRITECH - Giá bán 115500 - Ngày dự kiến thu tiền:  - Dự kiến ngày ra hết hàng: ")</f>
        <v>AGRITECH - Giá bán 115500 - Ngày dự kiến thu tiền:  - Dự kiến ngày ra hết hàng: </v>
      </c>
      <c r="X40" s="2"/>
      <c r="Y40" s="2" t="str">
        <f>IFERROR(__xludf.DUMMYFUNCTION("""COMPUTED_VALUE"""),"Dego Cần Thơ")</f>
        <v>Dego Cần Thơ</v>
      </c>
      <c r="Z40" s="2" t="str">
        <f>IFERROR(__xludf.DUMMYFUNCTION("""COMPUTED_VALUE"""),"Chưa gửi đơn")</f>
        <v>Chưa gửi đơn</v>
      </c>
      <c r="AA40" s="2"/>
      <c r="AB40" s="2" t="str">
        <f>IFERROR(__xludf.DUMMYFUNCTION("""COMPUTED_VALUE"""),"chưa đủ dk do chưa duyệt pháp lý, chưa làm bdm được 22/05")</f>
        <v>chưa đủ dk do chưa duyệt pháp lý, chưa làm bdm được 22/05</v>
      </c>
      <c r="AC40" s="146">
        <f>IFERROR(__xludf.DUMMYFUNCTION("""COMPUTED_VALUE"""),200.0)</f>
        <v>200</v>
      </c>
      <c r="AD40" s="2"/>
      <c r="AE40" s="2" t="str">
        <f>IFERROR(__xludf.DUMMYFUNCTION("""COMPUTED_VALUE"""),"đã bàn giao cho nhà máy 23/05")</f>
        <v>đã bàn giao cho nhà máy 23/05</v>
      </c>
      <c r="AF40" s="2"/>
      <c r="AG40" s="2"/>
      <c r="AH40" s="2"/>
      <c r="AI40" s="2"/>
      <c r="AJ40" s="2"/>
      <c r="AK40" s="2"/>
      <c r="AL40" s="2"/>
      <c r="AM40" s="2"/>
      <c r="AN40" s="2"/>
      <c r="AO40" s="2"/>
      <c r="AP40" s="2"/>
      <c r="AQ40" s="2"/>
      <c r="AR40" s="2"/>
      <c r="AS40" s="2"/>
      <c r="AT40" s="2"/>
      <c r="AU40" s="2"/>
      <c r="AV40" s="2"/>
      <c r="AW40" s="2"/>
      <c r="AX40" s="2"/>
      <c r="AY40" s="2"/>
      <c r="AZ40" s="2" t="str">
        <f>IFERROR(__xludf.DUMMYFUNCTION("""COMPUTED_VALUE"""),"#REF!")</f>
        <v>#REF!</v>
      </c>
      <c r="BA40" s="2" t="str">
        <f>IFERROR(__xludf.DUMMYFUNCTION("""COMPUTED_VALUE"""),"Không đủ điều kiện")</f>
        <v>Không đủ điều kiện</v>
      </c>
      <c r="BB40" s="2" t="str">
        <f>IFERROR(__xludf.DUMMYFUNCTION("""COMPUTED_VALUE"""),"Duyệt")</f>
        <v>Duyệt</v>
      </c>
      <c r="BC40" s="148">
        <f>IFERROR(__xludf.DUMMYFUNCTION("""COMPUTED_VALUE"""),46162.0)</f>
        <v>46162</v>
      </c>
      <c r="BD40" s="2" t="str">
        <f>IFERROR(__xludf.DUMMYFUNCTION("""COMPUTED_VALUE"""),"Chờ duyệt")</f>
        <v>Chờ duyệt</v>
      </c>
      <c r="BE40" s="2" t="str">
        <f>IFERROR(__xludf.DUMMYFUNCTION("""COMPUTED_VALUE"""),"xlg 19/05")</f>
        <v>xlg 19/05</v>
      </c>
      <c r="BF40" s="2" t="str">
        <f>IFERROR(__xludf.DUMMYFUNCTION("""COMPUTED_VALUE"""),"Đã xử lí giá")</f>
        <v>Đã xử lí giá</v>
      </c>
      <c r="BG40" s="2" t="str">
        <f>IFERROR(__xludf.DUMMYFUNCTION("""COMPUTED_VALUE"""),"Chặn đọt dòng V2 Nước nâu đen 115,500đ 18/5/2026")</f>
        <v>Chặn đọt dòng V2 Nước nâu đen 115,500đ 18/5/2026</v>
      </c>
      <c r="BH40" s="2"/>
      <c r="BI40" s="2"/>
      <c r="BJ40" s="2"/>
      <c r="BK40" s="2"/>
      <c r="BL40" s="2"/>
      <c r="BM40" s="2"/>
      <c r="BN40" s="2"/>
      <c r="BO40" s="2"/>
      <c r="BP40" s="2"/>
      <c r="BQ40" s="2"/>
    </row>
    <row r="41">
      <c r="A41" s="2">
        <f>IFERROR(__xludf.DUMMYFUNCTION("""COMPUTED_VALUE"""),83.0)</f>
        <v>83</v>
      </c>
      <c r="B41" s="2" t="str">
        <f>IFERROR(__xludf.DUMMYFUNCTION("""COMPUTED_VALUE"""),"Dego Cần Thơ")</f>
        <v>Dego Cần Thơ</v>
      </c>
      <c r="C41" s="2" t="str">
        <f>IFERROR(__xludf.DUMMYFUNCTION("""COMPUTED_VALUE"""),"ATP19052601")</f>
        <v>ATP19052601</v>
      </c>
      <c r="D41" s="39">
        <f>IFERROR(__xludf.DUMMYFUNCTION("""COMPUTED_VALUE"""),46161.0)</f>
        <v>46161</v>
      </c>
      <c r="E41" s="2" t="str">
        <f>IFERROR(__xludf.DUMMYFUNCTION("""COMPUTED_VALUE"""),"Đã duyệt")</f>
        <v>Đã duyệt</v>
      </c>
      <c r="F41" s="2" t="str">
        <f>IFERROR(__xludf.DUMMYFUNCTION("""COMPUTED_VALUE"""),"ABA")</f>
        <v>ABA</v>
      </c>
      <c r="G41" s="2" t="str">
        <f>IFERROR(__xludf.DUMMYFUNCTION("""COMPUTED_VALUE"""),"HH5015")</f>
        <v>HH5015</v>
      </c>
      <c r="H41" s="2" t="str">
        <f>IFERROR(__xludf.DUMMYFUNCTION("""COMPUTED_VALUE"""),"GC - V - 5015 - CTY LUTA - RA RỄ - BUNG CHỒI (Nước nâu đen) - 10L - 1")</f>
        <v>GC - V - 5015 - CTY LUTA - RA RỄ - BUNG CHỒI (Nước nâu đen) - 10L - 1</v>
      </c>
      <c r="I41" s="2" t="str">
        <f>IFERROR(__xludf.DUMMYFUNCTION("""COMPUTED_VALUE"""),"Phân bón")</f>
        <v>Phân bón</v>
      </c>
      <c r="J41" s="142" t="str">
        <f>IFERROR(__xludf.DUMMYFUNCTION("""COMPUTED_VALUE"""),"Hữu Cơ Organic ĐGP 01")</f>
        <v>Hữu Cơ Organic ĐGP 01</v>
      </c>
      <c r="K41" s="2" t="str">
        <f>IFERROR(__xludf.DUMMYFUNCTION("""COMPUTED_VALUE"""),"A05181225- 01")</f>
        <v>A05181225- 01</v>
      </c>
      <c r="L41" s="2" t="str">
        <f>IFERROR(__xludf.DUMMYFUNCTION("""COMPUTED_VALUE"""),"Nước nâu đen")</f>
        <v>Nước nâu đen</v>
      </c>
      <c r="M41" s="2" t="str">
        <f>IFERROR(__xludf.DUMMYFUNCTION("""COMPUTED_VALUE"""),"Xô")</f>
        <v>Xô</v>
      </c>
      <c r="N41" s="142">
        <f>IFERROR(__xludf.DUMMYFUNCTION("""COMPUTED_VALUE"""),1.0)</f>
        <v>1</v>
      </c>
      <c r="O41" s="142">
        <f>IFERROR(__xludf.DUMMYFUNCTION("""COMPUTED_VALUE"""),50.0)</f>
        <v>50</v>
      </c>
      <c r="P41" s="142">
        <f>IFERROR(__xludf.DUMMYFUNCTION("""COMPUTED_VALUE"""),50.0)</f>
        <v>50</v>
      </c>
      <c r="Q41" s="143">
        <f>IFERROR(__xludf.DUMMYFUNCTION("""COMPUTED_VALUE"""),46170.0)</f>
        <v>46170</v>
      </c>
      <c r="R41" s="2"/>
      <c r="S41" s="142" t="str">
        <f>IFERROR(__xludf.DUMMYFUNCTION("""COMPUTED_VALUE"""),"lấy chẳn thùng")</f>
        <v>lấy chẳn thùng</v>
      </c>
      <c r="T41" s="2"/>
      <c r="U41" s="2"/>
      <c r="V41" s="2"/>
      <c r="W41" s="2" t="str">
        <f>IFERROR(__xludf.DUMMYFUNCTION("""COMPUTED_VALUE"""),"LUTA - Giá bán 210000 - Ngày dự kiến thu tiền:  - Dự kiến ngày ra hết hàng: ")</f>
        <v>LUTA - Giá bán 210000 - Ngày dự kiến thu tiền:  - Dự kiến ngày ra hết hàng: </v>
      </c>
      <c r="X41" s="2"/>
      <c r="Y41" s="2" t="str">
        <f>IFERROR(__xludf.DUMMYFUNCTION("""COMPUTED_VALUE"""),"Dego Cần Thơ")</f>
        <v>Dego Cần Thơ</v>
      </c>
      <c r="Z41" s="2" t="str">
        <f>IFERROR(__xludf.DUMMYFUNCTION("""COMPUTED_VALUE"""),"Chưa gửi đơn")</f>
        <v>Chưa gửi đơn</v>
      </c>
      <c r="AA41" s="2"/>
      <c r="AB41" s="2" t="str">
        <f>IFERROR(__xludf.DUMMYFUNCTION("""COMPUTED_VALUE"""),"chưa đủ dk do chưa duyệt pháp lý, chưa làm bdm được 22/05")</f>
        <v>chưa đủ dk do chưa duyệt pháp lý, chưa làm bdm được 22/05</v>
      </c>
      <c r="AC41" s="146">
        <f>IFERROR(__xludf.DUMMYFUNCTION("""COMPUTED_VALUE"""),50.0)</f>
        <v>50</v>
      </c>
      <c r="AD41" s="2"/>
      <c r="AE41" s="2" t="str">
        <f>IFERROR(__xludf.DUMMYFUNCTION("""COMPUTED_VALUE"""),"đã bàn giao cho nhà máy 23/05")</f>
        <v>đã bàn giao cho nhà máy 23/05</v>
      </c>
      <c r="AF41" s="2"/>
      <c r="AG41" s="2"/>
      <c r="AH41" s="2"/>
      <c r="AI41" s="2"/>
      <c r="AJ41" s="2"/>
      <c r="AK41" s="2"/>
      <c r="AL41" s="2"/>
      <c r="AM41" s="2"/>
      <c r="AN41" s="2"/>
      <c r="AO41" s="2"/>
      <c r="AP41" s="2"/>
      <c r="AQ41" s="2"/>
      <c r="AR41" s="2"/>
      <c r="AS41" s="2"/>
      <c r="AT41" s="2"/>
      <c r="AU41" s="2"/>
      <c r="AV41" s="2"/>
      <c r="AW41" s="2"/>
      <c r="AX41" s="2"/>
      <c r="AY41" s="2"/>
      <c r="AZ41" s="2" t="str">
        <f>IFERROR(__xludf.DUMMYFUNCTION("""COMPUTED_VALUE"""),"#REF!")</f>
        <v>#REF!</v>
      </c>
      <c r="BA41" s="2" t="str">
        <f>IFERROR(__xludf.DUMMYFUNCTION("""COMPUTED_VALUE"""),"Không đủ điều kiện")</f>
        <v>Không đủ điều kiện</v>
      </c>
      <c r="BB41" s="2" t="str">
        <f>IFERROR(__xludf.DUMMYFUNCTION("""COMPUTED_VALUE"""),"Duyệt")</f>
        <v>Duyệt</v>
      </c>
      <c r="BC41" s="148">
        <f>IFERROR(__xludf.DUMMYFUNCTION("""COMPUTED_VALUE"""),46162.0)</f>
        <v>46162</v>
      </c>
      <c r="BD41" s="2" t="str">
        <f>IFERROR(__xludf.DUMMYFUNCTION("""COMPUTED_VALUE"""),"Chờ duyệt")</f>
        <v>Chờ duyệt</v>
      </c>
      <c r="BE41" s="2" t="str">
        <f>IFERROR(__xludf.DUMMYFUNCTION("""COMPUTED_VALUE"""),"xlg 20/05")</f>
        <v>xlg 20/05</v>
      </c>
      <c r="BF41" s="2" t="str">
        <f>IFERROR(__xludf.DUMMYFUNCTION("""COMPUTED_VALUE"""),"Đã xử lí giá")</f>
        <v>Đã xử lí giá</v>
      </c>
      <c r="BG41" s="2" t="str">
        <f>IFERROR(__xludf.DUMMYFUNCTION("""COMPUTED_VALUE"""),"A05181225- 01 Nước nâu đen 210,000đ 19/5/2026")</f>
        <v>A05181225- 01 Nước nâu đen 210,000đ 19/5/2026</v>
      </c>
      <c r="BH41" s="2"/>
      <c r="BI41" s="2"/>
      <c r="BJ41" s="2"/>
      <c r="BK41" s="2"/>
      <c r="BL41" s="2"/>
      <c r="BM41" s="2"/>
      <c r="BN41" s="2"/>
      <c r="BO41" s="2"/>
      <c r="BP41" s="2"/>
      <c r="BQ41" s="2"/>
    </row>
    <row r="42">
      <c r="A42" s="2">
        <f>IFERROR(__xludf.DUMMYFUNCTION("""COMPUTED_VALUE"""),85.0)</f>
        <v>85</v>
      </c>
      <c r="B42" s="2" t="str">
        <f>IFERROR(__xludf.DUMMYFUNCTION("""COMPUTED_VALUE"""),"Dego Cần Thơ")</f>
        <v>Dego Cần Thơ</v>
      </c>
      <c r="C42" s="2" t="str">
        <f>IFERROR(__xludf.DUMMYFUNCTION("""COMPUTED_VALUE"""),"ATP19052604")</f>
        <v>ATP19052604</v>
      </c>
      <c r="D42" s="39">
        <f>IFERROR(__xludf.DUMMYFUNCTION("""COMPUTED_VALUE"""),46161.0)</f>
        <v>46161</v>
      </c>
      <c r="E42" s="2" t="str">
        <f>IFERROR(__xludf.DUMMYFUNCTION("""COMPUTED_VALUE"""),"Đã duyệt")</f>
        <v>Đã duyệt</v>
      </c>
      <c r="F42" s="2" t="str">
        <f>IFERROR(__xludf.DUMMYFUNCTION("""COMPUTED_VALUE"""),"ABA")</f>
        <v>ABA</v>
      </c>
      <c r="G42" s="2" t="str">
        <f>IFERROR(__xludf.DUMMYFUNCTION("""COMPUTED_VALUE"""),"HH5016")</f>
        <v>HH5016</v>
      </c>
      <c r="H42" s="2" t="str">
        <f>IFERROR(__xludf.DUMMYFUNCTION("""COMPUTED_VALUE"""),"GC - V - 5016 - CTY LUTA - LỚN TRÁI CAM - CHANH (Nước nâu đen) - 1L - 20")</f>
        <v>GC - V - 5016 - CTY LUTA - LỚN TRÁI CAM - CHANH (Nước nâu đen) - 1L - 20</v>
      </c>
      <c r="I42" s="2" t="str">
        <f>IFERROR(__xludf.DUMMYFUNCTION("""COMPUTED_VALUE"""),"Phân bón")</f>
        <v>Phân bón</v>
      </c>
      <c r="J42" s="142" t="str">
        <f>IFERROR(__xludf.DUMMYFUNCTION("""COMPUTED_VALUE"""),"Hữu Cơ Organic ĐGP 01")</f>
        <v>Hữu Cơ Organic ĐGP 01</v>
      </c>
      <c r="K42" s="2" t="str">
        <f>IFERROR(__xludf.DUMMYFUNCTION("""COMPUTED_VALUE"""),"A05181225- 01")</f>
        <v>A05181225- 01</v>
      </c>
      <c r="L42" s="2" t="str">
        <f>IFERROR(__xludf.DUMMYFUNCTION("""COMPUTED_VALUE"""),"Nước nâu đen")</f>
        <v>Nước nâu đen</v>
      </c>
      <c r="M42" s="2" t="str">
        <f>IFERROR(__xludf.DUMMYFUNCTION("""COMPUTED_VALUE"""),"Chai")</f>
        <v>Chai</v>
      </c>
      <c r="N42" s="142">
        <f>IFERROR(__xludf.DUMMYFUNCTION("""COMPUTED_VALUE"""),20.0)</f>
        <v>20</v>
      </c>
      <c r="O42" s="142">
        <f>IFERROR(__xludf.DUMMYFUNCTION("""COMPUTED_VALUE"""),10.0)</f>
        <v>10</v>
      </c>
      <c r="P42" s="142">
        <f>IFERROR(__xludf.DUMMYFUNCTION("""COMPUTED_VALUE"""),200.0)</f>
        <v>200</v>
      </c>
      <c r="Q42" s="145">
        <f>IFERROR(__xludf.DUMMYFUNCTION("""COMPUTED_VALUE"""),46171.0)</f>
        <v>46171</v>
      </c>
      <c r="R42" s="2"/>
      <c r="S42" s="142" t="str">
        <f>IFERROR(__xludf.DUMMYFUNCTION("""COMPUTED_VALUE"""),"lấy chẳn thùng")</f>
        <v>lấy chẳn thùng</v>
      </c>
      <c r="T42" s="2"/>
      <c r="U42" s="2"/>
      <c r="V42" s="2"/>
      <c r="W42" s="2" t="str">
        <f>IFERROR(__xludf.DUMMYFUNCTION("""COMPUTED_VALUE"""),"LUTA - Giá bán 32500 - Ngày dự kiến thu tiền:  - Dự kiến ngày ra hết hàng: ")</f>
        <v>LUTA - Giá bán 32500 - Ngày dự kiến thu tiền:  - Dự kiến ngày ra hết hàng: </v>
      </c>
      <c r="X42" s="2"/>
      <c r="Y42" s="2" t="str">
        <f>IFERROR(__xludf.DUMMYFUNCTION("""COMPUTED_VALUE"""),"Dego Cần Thơ")</f>
        <v>Dego Cần Thơ</v>
      </c>
      <c r="Z42" s="2" t="str">
        <f>IFERROR(__xludf.DUMMYFUNCTION("""COMPUTED_VALUE"""),"Chưa gửi đơn")</f>
        <v>Chưa gửi đơn</v>
      </c>
      <c r="AA42" s="2"/>
      <c r="AB42" s="2" t="str">
        <f>IFERROR(__xludf.DUMMYFUNCTION("""COMPUTED_VALUE"""),"chưa đủ dk do chưa duyệt pháp lý, chưa làm bdm được 22/05")</f>
        <v>chưa đủ dk do chưa duyệt pháp lý, chưa làm bdm được 22/05</v>
      </c>
      <c r="AC42" s="146">
        <f>IFERROR(__xludf.DUMMYFUNCTION("""COMPUTED_VALUE"""),200.0)</f>
        <v>200</v>
      </c>
      <c r="AD42" s="2"/>
      <c r="AE42" s="2" t="str">
        <f>IFERROR(__xludf.DUMMYFUNCTION("""COMPUTED_VALUE"""),"đã bàn giao cho nhà máy 23/05")</f>
        <v>đã bàn giao cho nhà máy 23/05</v>
      </c>
      <c r="AF42" s="2"/>
      <c r="AG42" s="2"/>
      <c r="AH42" s="2"/>
      <c r="AI42" s="2"/>
      <c r="AJ42" s="2"/>
      <c r="AK42" s="2"/>
      <c r="AL42" s="2"/>
      <c r="AM42" s="2"/>
      <c r="AN42" s="2"/>
      <c r="AO42" s="2"/>
      <c r="AP42" s="2"/>
      <c r="AQ42" s="2"/>
      <c r="AR42" s="2"/>
      <c r="AS42" s="2"/>
      <c r="AT42" s="2"/>
      <c r="AU42" s="2"/>
      <c r="AV42" s="2"/>
      <c r="AW42" s="2"/>
      <c r="AX42" s="2"/>
      <c r="AY42" s="2"/>
      <c r="AZ42" s="2" t="str">
        <f>IFERROR(__xludf.DUMMYFUNCTION("""COMPUTED_VALUE"""),"#REF!")</f>
        <v>#REF!</v>
      </c>
      <c r="BA42" s="2" t="str">
        <f>IFERROR(__xludf.DUMMYFUNCTION("""COMPUTED_VALUE"""),"Không đủ điều kiện")</f>
        <v>Không đủ điều kiện</v>
      </c>
      <c r="BB42" s="2" t="str">
        <f>IFERROR(__xludf.DUMMYFUNCTION("""COMPUTED_VALUE"""),"Duyệt")</f>
        <v>Duyệt</v>
      </c>
      <c r="BC42" s="148">
        <f>IFERROR(__xludf.DUMMYFUNCTION("""COMPUTED_VALUE"""),46162.0)</f>
        <v>46162</v>
      </c>
      <c r="BD42" s="2" t="str">
        <f>IFERROR(__xludf.DUMMYFUNCTION("""COMPUTED_VALUE"""),"Chờ duyệt")</f>
        <v>Chờ duyệt</v>
      </c>
      <c r="BE42" s="2" t="str">
        <f>IFERROR(__xludf.DUMMYFUNCTION("""COMPUTED_VALUE"""),"xlg 20/05")</f>
        <v>xlg 20/05</v>
      </c>
      <c r="BF42" s="2" t="str">
        <f>IFERROR(__xludf.DUMMYFUNCTION("""COMPUTED_VALUE"""),"Đã xử lí giá")</f>
        <v>Đã xử lí giá</v>
      </c>
      <c r="BG42" s="2" t="str">
        <f>IFERROR(__xludf.DUMMYFUNCTION("""COMPUTED_VALUE"""),"A05181225- 01 Nước nâu đen 32,500đ 19/5/2026")</f>
        <v>A05181225- 01 Nước nâu đen 32,500đ 19/5/2026</v>
      </c>
      <c r="BH42" s="2"/>
      <c r="BI42" s="2"/>
      <c r="BJ42" s="2"/>
      <c r="BK42" s="2"/>
      <c r="BL42" s="2"/>
      <c r="BM42" s="2"/>
      <c r="BN42" s="2"/>
      <c r="BO42" s="2"/>
      <c r="BP42" s="2"/>
      <c r="BQ42" s="2"/>
    </row>
    <row r="43">
      <c r="A43" s="2">
        <f>IFERROR(__xludf.DUMMYFUNCTION("""COMPUTED_VALUE"""),86.0)</f>
        <v>86</v>
      </c>
      <c r="B43" s="2" t="str">
        <f>IFERROR(__xludf.DUMMYFUNCTION("""COMPUTED_VALUE"""),"Dego Cần Thơ")</f>
        <v>Dego Cần Thơ</v>
      </c>
      <c r="C43" s="2" t="str">
        <f>IFERROR(__xludf.DUMMYFUNCTION("""COMPUTED_VALUE"""),"ATP20052601")</f>
        <v>ATP20052601</v>
      </c>
      <c r="D43" s="39">
        <f>IFERROR(__xludf.DUMMYFUNCTION("""COMPUTED_VALUE"""),46162.0)</f>
        <v>46162</v>
      </c>
      <c r="E43" s="2" t="str">
        <f>IFERROR(__xludf.DUMMYFUNCTION("""COMPUTED_VALUE"""),"Đã duyệt")</f>
        <v>Đã duyệt</v>
      </c>
      <c r="F43" s="2" t="str">
        <f>IFERROR(__xludf.DUMMYFUNCTION("""COMPUTED_VALUE"""),"ABA")</f>
        <v>ABA</v>
      </c>
      <c r="G43" s="2" t="str">
        <f>IFERROR(__xludf.DUMMYFUNCTION("""COMPUTED_VALUE"""),"HH4659")</f>
        <v>HH4659</v>
      </c>
      <c r="H43" s="2" t="str">
        <f>IFERROR(__xludf.DUMMYFUNCTION("""COMPUTED_VALUE"""),"GC - V - 4659 - CTY HÓA NÔNG CON ONG VÀNG - CỨNG CÂY ONG VÀNG (Nước nâu đen) - 500ml - 40")</f>
        <v>GC - V - 4659 - CTY HÓA NÔNG CON ONG VÀNG - CỨNG CÂY ONG VÀNG (Nước nâu đen) - 500ml - 40</v>
      </c>
      <c r="I43" s="2" t="str">
        <f>IFERROR(__xludf.DUMMYFUNCTION("""COMPUTED_VALUE"""),"Phân bón")</f>
        <v>Phân bón</v>
      </c>
      <c r="J43" s="142" t="str">
        <f>IFERROR(__xludf.DUMMYFUNCTION("""COMPUTED_VALUE"""),"Vi Lượng G.A 05")</f>
        <v>Vi Lượng G.A 05</v>
      </c>
      <c r="K43" s="2" t="str">
        <f>IFERROR(__xludf.DUMMYFUNCTION("""COMPUTED_VALUE"""),"A02200825 - 01")</f>
        <v>A02200825 - 01</v>
      </c>
      <c r="L43" s="2" t="str">
        <f>IFERROR(__xludf.DUMMYFUNCTION("""COMPUTED_VALUE"""),"SC nâu vàng")</f>
        <v>SC nâu vàng</v>
      </c>
      <c r="M43" s="2" t="str">
        <f>IFERROR(__xludf.DUMMYFUNCTION("""COMPUTED_VALUE"""),"Chai")</f>
        <v>Chai</v>
      </c>
      <c r="N43" s="142">
        <f>IFERROR(__xludf.DUMMYFUNCTION("""COMPUTED_VALUE"""),40.0)</f>
        <v>40</v>
      </c>
      <c r="O43" s="142">
        <f>IFERROR(__xludf.DUMMYFUNCTION("""COMPUTED_VALUE"""),15.0)</f>
        <v>15</v>
      </c>
      <c r="P43" s="142">
        <f>IFERROR(__xludf.DUMMYFUNCTION("""COMPUTED_VALUE"""),600.0)</f>
        <v>600</v>
      </c>
      <c r="Q43" s="145">
        <f>IFERROR(__xludf.DUMMYFUNCTION("""COMPUTED_VALUE"""),46172.0)</f>
        <v>46172</v>
      </c>
      <c r="R43" s="2"/>
      <c r="S43" s="142" t="str">
        <f>IFERROR(__xludf.DUMMYFUNCTION("""COMPUTED_VALUE"""),"lấy chẳn thùng
đóng hết nhàn tròn thùng")</f>
        <v>lấy chẳn thùng
đóng hết nhàn tròn thùng</v>
      </c>
      <c r="T43" s="2"/>
      <c r="U43" s="2"/>
      <c r="V43" s="2"/>
      <c r="W43" s="2" t="str">
        <f>IFERROR(__xludf.DUMMYFUNCTION("""COMPUTED_VALUE"""),"ONG VÀNG - Giá bán 65.500,00 đ - Ngày dự kiến thu tiền:  - Dự kiến ngày ra hết hàng: ")</f>
        <v>ONG VÀNG - Giá bán 65.500,00 đ - Ngày dự kiến thu tiền:  - Dự kiến ngày ra hết hàng: </v>
      </c>
      <c r="X43" s="2"/>
      <c r="Y43" s="2" t="str">
        <f>IFERROR(__xludf.DUMMYFUNCTION("""COMPUTED_VALUE"""),"Dego Cần Thơ")</f>
        <v>Dego Cần Thơ</v>
      </c>
      <c r="Z43" s="2" t="str">
        <f>IFERROR(__xludf.DUMMYFUNCTION("""COMPUTED_VALUE"""),"Chưa gửi đơn")</f>
        <v>Chưa gửi đơn</v>
      </c>
      <c r="AA43" s="2"/>
      <c r="AB43" s="2" t="str">
        <f>IFERROR(__xludf.DUMMYFUNCTION("""COMPUTED_VALUE"""),"chưa đủ dk do chưa duyệt pháp lý, chưa duyệt giá xong 22/05")</f>
        <v>chưa đủ dk do chưa duyệt pháp lý, chưa duyệt giá xong 22/05</v>
      </c>
      <c r="AC43" s="146">
        <f>IFERROR(__xludf.DUMMYFUNCTION("""COMPUTED_VALUE"""),600.0)</f>
        <v>600</v>
      </c>
      <c r="AD43" s="2"/>
      <c r="AE43" s="2" t="str">
        <f>IFERROR(__xludf.DUMMYFUNCTION("""COMPUTED_VALUE"""),"đã bàn giao cho nhà máy 23/05")</f>
        <v>đã bàn giao cho nhà máy 23/05</v>
      </c>
      <c r="AF43" s="2"/>
      <c r="AG43" s="2"/>
      <c r="AH43" s="2"/>
      <c r="AI43" s="2"/>
      <c r="AJ43" s="2"/>
      <c r="AK43" s="2"/>
      <c r="AL43" s="2"/>
      <c r="AM43" s="2"/>
      <c r="AN43" s="2"/>
      <c r="AO43" s="2"/>
      <c r="AP43" s="2"/>
      <c r="AQ43" s="2"/>
      <c r="AR43" s="2"/>
      <c r="AS43" s="2"/>
      <c r="AT43" s="2"/>
      <c r="AU43" s="2"/>
      <c r="AV43" s="2"/>
      <c r="AW43" s="2"/>
      <c r="AX43" s="2"/>
      <c r="AY43" s="2"/>
      <c r="AZ43" s="2" t="str">
        <f>IFERROR(__xludf.DUMMYFUNCTION("""COMPUTED_VALUE"""),"#REF!")</f>
        <v>#REF!</v>
      </c>
      <c r="BA43" s="2" t="str">
        <f>IFERROR(__xludf.DUMMYFUNCTION("""COMPUTED_VALUE"""),"Không đủ điều kiện")</f>
        <v>Không đủ điều kiện</v>
      </c>
      <c r="BB43" s="2" t="str">
        <f>IFERROR(__xludf.DUMMYFUNCTION("""COMPUTED_VALUE"""),"Duyệt")</f>
        <v>Duyệt</v>
      </c>
      <c r="BC43" s="148">
        <f>IFERROR(__xludf.DUMMYFUNCTION("""COMPUTED_VALUE"""),46162.0)</f>
        <v>46162</v>
      </c>
      <c r="BD43" s="2" t="str">
        <f>IFERROR(__xludf.DUMMYFUNCTION("""COMPUTED_VALUE"""),"Chờ duyệt")</f>
        <v>Chờ duyệt</v>
      </c>
      <c r="BE43" s="2" t="str">
        <f>IFERROR(__xludf.DUMMYFUNCTION("""COMPUTED_VALUE"""),"xlg 22/05")</f>
        <v>xlg 22/05</v>
      </c>
      <c r="BF43" s="2" t="str">
        <f>IFERROR(__xludf.DUMMYFUNCTION("""COMPUTED_VALUE"""),"Đã xử lí giá")</f>
        <v>Đã xử lí giá</v>
      </c>
      <c r="BG43" s="2" t="str">
        <f>IFERROR(__xludf.DUMMYFUNCTION("""COMPUTED_VALUE"""),"A02200825 - 01 SC nâu vàng 65,500đ 20/5/2026")</f>
        <v>A02200825 - 01 SC nâu vàng 65,500đ 20/5/2026</v>
      </c>
      <c r="BH43" s="2"/>
      <c r="BI43" s="2"/>
      <c r="BJ43" s="2"/>
      <c r="BK43" s="2"/>
      <c r="BL43" s="2"/>
      <c r="BM43" s="2"/>
      <c r="BN43" s="2"/>
      <c r="BO43" s="2"/>
      <c r="BP43" s="2"/>
      <c r="BQ43" s="2"/>
    </row>
    <row r="44">
      <c r="A44" s="2">
        <f>IFERROR(__xludf.DUMMYFUNCTION("""COMPUTED_VALUE"""),87.0)</f>
        <v>87</v>
      </c>
      <c r="B44" s="2" t="str">
        <f>IFERROR(__xludf.DUMMYFUNCTION("""COMPUTED_VALUE"""),"Dego Cần Thơ")</f>
        <v>Dego Cần Thơ</v>
      </c>
      <c r="C44" s="2" t="str">
        <f>IFERROR(__xludf.DUMMYFUNCTION("""COMPUTED_VALUE"""),"ITP19052601")</f>
        <v>ITP19052601</v>
      </c>
      <c r="D44" s="39">
        <f>IFERROR(__xludf.DUMMYFUNCTION("""COMPUTED_VALUE"""),46161.0)</f>
        <v>46161</v>
      </c>
      <c r="E44" s="2"/>
      <c r="F44" s="2" t="str">
        <f>IFERROR(__xludf.DUMMYFUNCTION("""COMPUTED_VALUE"""),"BAMBOO")</f>
        <v>BAMBOO</v>
      </c>
      <c r="G44" s="2" t="str">
        <f>IFERROR(__xludf.DUMMYFUNCTION("""COMPUTED_VALUE"""),"HH4680")</f>
        <v>HH4680</v>
      </c>
      <c r="H44" s="2" t="str">
        <f>IFERROR(__xludf.DUMMYFUNCTION("""COMPUTED_VALUE"""),"LOTUS AGROCHEM - VI - 4680 - LOTUS KÍCH RỄ - BUNG CHỒI (Nước nâu đen) - 250ml - 40")</f>
        <v>LOTUS AGROCHEM - VI - 4680 - LOTUS KÍCH RỄ - BUNG CHỒI (Nước nâu đen) - 250ml - 40</v>
      </c>
      <c r="I44" s="2" t="str">
        <f>IFERROR(__xludf.DUMMYFUNCTION("""COMPUTED_VALUE"""),"Phân bón")</f>
        <v>Phân bón</v>
      </c>
      <c r="J44" s="142" t="str">
        <f>IFERROR(__xludf.DUMMYFUNCTION("""COMPUTED_VALUE"""),"Hữu cơ FUSEMIN COMBI+")</f>
        <v>Hữu cơ FUSEMIN COMBI+</v>
      </c>
      <c r="K44" s="2" t="str">
        <f>IFERROR(__xludf.DUMMYFUNCTION("""COMPUTED_VALUE"""),"Đóng theo đơn gần nhất")</f>
        <v>Đóng theo đơn gần nhất</v>
      </c>
      <c r="L44" s="2" t="str">
        <f>IFERROR(__xludf.DUMMYFUNCTION("""COMPUTED_VALUE"""),"Nước nâu đen")</f>
        <v>Nước nâu đen</v>
      </c>
      <c r="M44" s="2" t="str">
        <f>IFERROR(__xludf.DUMMYFUNCTION("""COMPUTED_VALUE"""),"Chai")</f>
        <v>Chai</v>
      </c>
      <c r="N44" s="142">
        <f>IFERROR(__xludf.DUMMYFUNCTION("""COMPUTED_VALUE"""),40.0)</f>
        <v>40</v>
      </c>
      <c r="O44" s="142">
        <f>IFERROR(__xludf.DUMMYFUNCTION("""COMPUTED_VALUE"""),30.0)</f>
        <v>30</v>
      </c>
      <c r="P44" s="142">
        <f>IFERROR(__xludf.DUMMYFUNCTION("""COMPUTED_VALUE"""),1200.0)</f>
        <v>1200</v>
      </c>
      <c r="Q44" s="145">
        <f>IFERROR(__xludf.DUMMYFUNCTION("""COMPUTED_VALUE"""),46167.0)</f>
        <v>46167</v>
      </c>
      <c r="R44" s="2" t="str">
        <f>IFERROR(__xludf.DUMMYFUNCTION("""COMPUTED_VALUE"""),"x")</f>
        <v>x</v>
      </c>
      <c r="S44" s="142" t="str">
        <f>IFERROR(__xludf.DUMMYFUNCTION("""COMPUTED_VALUE"""),"x")</f>
        <v>x</v>
      </c>
      <c r="T44" s="142" t="str">
        <f>IFERROR(__xludf.DUMMYFUNCTION("""COMPUTED_VALUE"""),"x")</f>
        <v>x</v>
      </c>
      <c r="U44" s="142" t="str">
        <f>IFERROR(__xludf.DUMMYFUNCTION("""COMPUTED_VALUE"""),"x")</f>
        <v>x</v>
      </c>
      <c r="V44" s="142">
        <f>IFERROR(__xludf.DUMMYFUNCTION("""COMPUTED_VALUE"""),6.0)</f>
        <v>6</v>
      </c>
      <c r="W44" s="2" t="str">
        <f>IFERROR(__xludf.DUMMYFUNCTION("""COMPUTED_VALUE"""),"x - Giá bán 100000 - Ngày dự kiến thu tiền: x - Dự kiến ngày ra hết hàng: 30 ngày")</f>
        <v>x - Giá bán 100000 - Ngày dự kiến thu tiền: x - Dự kiến ngày ra hết hàng: 30 ngày</v>
      </c>
      <c r="X44" s="2"/>
      <c r="Y44" s="2" t="str">
        <f>IFERROR(__xludf.DUMMYFUNCTION("""COMPUTED_VALUE"""),"Dego Cần Thơ")</f>
        <v>Dego Cần Thơ</v>
      </c>
      <c r="Z44" s="2" t="str">
        <f>IFERROR(__xludf.DUMMYFUNCTION("""COMPUTED_VALUE"""),"Chưa gửi đơn")</f>
        <v>Chưa gửi đơn</v>
      </c>
      <c r="AA44" s="2"/>
      <c r="AB44" s="2" t="str">
        <f>IFERROR(__xludf.DUMMYFUNCTION("""COMPUTED_VALUE"""),"chưa đủ dk do chưa duyệt pháp lý, chưa duyệt giá xong 22/05")</f>
        <v>chưa đủ dk do chưa duyệt pháp lý, chưa duyệt giá xong 22/05</v>
      </c>
      <c r="AC44" s="146">
        <f>IFERROR(__xludf.DUMMYFUNCTION("""COMPUTED_VALUE"""),1200.0)</f>
        <v>1200</v>
      </c>
      <c r="AD44" s="2"/>
      <c r="AE44" s="2" t="str">
        <f>IFERROR(__xludf.DUMMYFUNCTION("""COMPUTED_VALUE"""),"đã bàn giao cho nhà máy 23/05")</f>
        <v>đã bàn giao cho nhà máy 23/05</v>
      </c>
      <c r="AF44" s="2"/>
      <c r="AG44" s="2"/>
      <c r="AH44" s="2"/>
      <c r="AI44" s="2"/>
      <c r="AJ44" s="2"/>
      <c r="AK44" s="2"/>
      <c r="AL44" s="2"/>
      <c r="AM44" s="2"/>
      <c r="AN44" s="2"/>
      <c r="AO44" s="2"/>
      <c r="AP44" s="2"/>
      <c r="AQ44" s="2"/>
      <c r="AR44" s="2"/>
      <c r="AS44" s="2"/>
      <c r="AT44" s="2"/>
      <c r="AU44" s="2"/>
      <c r="AV44" s="2"/>
      <c r="AW44" s="2"/>
      <c r="AX44" s="2"/>
      <c r="AY44" s="2"/>
      <c r="AZ44" s="2" t="str">
        <f>IFERROR(__xludf.DUMMYFUNCTION("""COMPUTED_VALUE"""),"#REF!")</f>
        <v>#REF!</v>
      </c>
      <c r="BA44" s="2" t="str">
        <f>IFERROR(__xludf.DUMMYFUNCTION("""COMPUTED_VALUE"""),"Không đủ điều kiện")</f>
        <v>Không đủ điều kiện</v>
      </c>
      <c r="BB44" s="2" t="str">
        <f>IFERROR(__xludf.DUMMYFUNCTION("""COMPUTED_VALUE"""),"Duyệt")</f>
        <v>Duyệt</v>
      </c>
      <c r="BC44" s="148">
        <f>IFERROR(__xludf.DUMMYFUNCTION("""COMPUTED_VALUE"""),46162.0)</f>
        <v>46162</v>
      </c>
      <c r="BD44" s="2" t="str">
        <f>IFERROR(__xludf.DUMMYFUNCTION("""COMPUTED_VALUE"""),"Chờ duyệt")</f>
        <v>Chờ duyệt</v>
      </c>
      <c r="BE44" s="2" t="str">
        <f>IFERROR(__xludf.DUMMYFUNCTION("""COMPUTED_VALUE"""),"xlg 22/05")</f>
        <v>xlg 22/05</v>
      </c>
      <c r="BF44" s="2" t="str">
        <f>IFERROR(__xludf.DUMMYFUNCTION("""COMPUTED_VALUE"""),"Đã xử lí giá")</f>
        <v>Đã xử lí giá</v>
      </c>
      <c r="BG44" s="2" t="str">
        <f>IFERROR(__xludf.DUMMYFUNCTION("""COMPUTED_VALUE"""),"Đóng theo đơn gần nhất Nước nâu đen 100,000đ 20/5/2026")</f>
        <v>Đóng theo đơn gần nhất Nước nâu đen 100,000đ 20/5/2026</v>
      </c>
      <c r="BH44" s="2"/>
      <c r="BI44" s="2"/>
      <c r="BJ44" s="2"/>
      <c r="BK44" s="2"/>
      <c r="BL44" s="2"/>
      <c r="BM44" s="2"/>
      <c r="BN44" s="2"/>
      <c r="BO44" s="2"/>
      <c r="BP44" s="2"/>
      <c r="BQ44" s="2"/>
    </row>
    <row r="45">
      <c r="A45" s="2">
        <f>IFERROR(__xludf.DUMMYFUNCTION("""COMPUTED_VALUE"""),90.0)</f>
        <v>90</v>
      </c>
      <c r="B45" s="2" t="str">
        <f>IFERROR(__xludf.DUMMYFUNCTION("""COMPUTED_VALUE"""),"Dego Cần Thơ")</f>
        <v>Dego Cần Thơ</v>
      </c>
      <c r="C45" s="2" t="str">
        <f>IFERROR(__xludf.DUMMYFUNCTION("""COMPUTED_VALUE"""),"ATP22052601")</f>
        <v>ATP22052601</v>
      </c>
      <c r="D45" s="39">
        <f>IFERROR(__xludf.DUMMYFUNCTION("""COMPUTED_VALUE"""),46164.0)</f>
        <v>46164</v>
      </c>
      <c r="E45" s="2" t="str">
        <f>IFERROR(__xludf.DUMMYFUNCTION("""COMPUTED_VALUE"""),"Đã duyệt")</f>
        <v>Đã duyệt</v>
      </c>
      <c r="F45" s="2" t="str">
        <f>IFERROR(__xludf.DUMMYFUNCTION("""COMPUTED_VALUE"""),"ABA")</f>
        <v>ABA</v>
      </c>
      <c r="G45" s="2" t="str">
        <f>IFERROR(__xludf.DUMMYFUNCTION("""COMPUTED_VALUE"""),"HH4751")</f>
        <v>HH4751</v>
      </c>
      <c r="H45" s="2" t="str">
        <f>IFERROR(__xludf.DUMMYFUNCTION("""COMPUTED_VALUE"""),"GC - IV - 4751 - Cty Master Win - CANXI-BO (Nước xanh lá) - 500ml - 40")</f>
        <v>GC - IV - 4751 - Cty Master Win - CANXI-BO (Nước xanh lá) - 500ml - 40</v>
      </c>
      <c r="I45" s="2" t="str">
        <f>IFERROR(__xludf.DUMMYFUNCTION("""COMPUTED_VALUE"""),"Phân bón")</f>
        <v>Phân bón</v>
      </c>
      <c r="J45" s="142" t="str">
        <f>IFERROR(__xludf.DUMMYFUNCTION("""COMPUTED_VALUE"""),"Hữu Cơ Crops Care")</f>
        <v>Hữu Cơ Crops Care</v>
      </c>
      <c r="K45" s="2" t="str">
        <f>IFERROR(__xludf.DUMMYFUNCTION("""COMPUTED_VALUE"""),"A05040226 
cải tiến
Canxibo 02")</f>
        <v>A05040226 
cải tiến
Canxibo 02</v>
      </c>
      <c r="L45" s="2" t="str">
        <f>IFERROR(__xludf.DUMMYFUNCTION("""COMPUTED_VALUE"""),"Nước xanh lá")</f>
        <v>Nước xanh lá</v>
      </c>
      <c r="M45" s="2" t="str">
        <f>IFERROR(__xludf.DUMMYFUNCTION("""COMPUTED_VALUE"""),"Chai")</f>
        <v>Chai</v>
      </c>
      <c r="N45" s="142">
        <f>IFERROR(__xludf.DUMMYFUNCTION("""COMPUTED_VALUE"""),40.0)</f>
        <v>40</v>
      </c>
      <c r="O45" s="142">
        <f>IFERROR(__xludf.DUMMYFUNCTION("""COMPUTED_VALUE"""),10.0)</f>
        <v>10</v>
      </c>
      <c r="P45" s="142">
        <f>IFERROR(__xludf.DUMMYFUNCTION("""COMPUTED_VALUE"""),400.0)</f>
        <v>400</v>
      </c>
      <c r="Q45" s="145">
        <f>IFERROR(__xludf.DUMMYFUNCTION("""COMPUTED_VALUE"""),46172.0)</f>
        <v>46172</v>
      </c>
      <c r="R45" s="2"/>
      <c r="S45" s="142" t="str">
        <f>IFERROR(__xludf.DUMMYFUNCTION("""COMPUTED_VALUE"""),"lấy chẳn thùng")</f>
        <v>lấy chẳn thùng</v>
      </c>
      <c r="T45" s="2"/>
      <c r="U45" s="2"/>
      <c r="V45" s="2"/>
      <c r="W45" s="2" t="str">
        <f>IFERROR(__xludf.DUMMYFUNCTION("""COMPUTED_VALUE"""),"MASTER WIN - Giá bán 42857 - Ngày dự kiến thu tiền:  - Dự kiến ngày ra hết hàng: ")</f>
        <v>MASTER WIN - Giá bán 42857 - Ngày dự kiến thu tiền:  - Dự kiến ngày ra hết hàng: </v>
      </c>
      <c r="X45" s="2"/>
      <c r="Y45" s="2" t="str">
        <f>IFERROR(__xludf.DUMMYFUNCTION("""COMPUTED_VALUE"""),"Dego Cần Thơ")</f>
        <v>Dego Cần Thơ</v>
      </c>
      <c r="Z45" s="2" t="str">
        <f>IFERROR(__xludf.DUMMYFUNCTION("""COMPUTED_VALUE"""),"Chưa gửi đơn")</f>
        <v>Chưa gửi đơn</v>
      </c>
      <c r="AA45" s="2"/>
      <c r="AB45" s="2" t="str">
        <f>IFERROR(__xludf.DUMMYFUNCTION("""COMPUTED_VALUE"""),"chưa đủ dk do chưa duyệt pháp lý")</f>
        <v>chưa đủ dk do chưa duyệt pháp lý</v>
      </c>
      <c r="AC45" s="146">
        <f>IFERROR(__xludf.DUMMYFUNCTION("""COMPUTED_VALUE"""),400.0)</f>
        <v>400</v>
      </c>
      <c r="AD45" s="2"/>
      <c r="AE45" s="2" t="str">
        <f>IFERROR(__xludf.DUMMYFUNCTION("""COMPUTED_VALUE"""),"đã bàn giao cho nhà máy 23/05")</f>
        <v>đã bàn giao cho nhà máy 23/05</v>
      </c>
      <c r="AF45" s="2"/>
      <c r="AG45" s="2"/>
      <c r="AH45" s="2"/>
      <c r="AI45" s="2"/>
      <c r="AJ45" s="2"/>
      <c r="AK45" s="2"/>
      <c r="AL45" s="2"/>
      <c r="AM45" s="2"/>
      <c r="AN45" s="2"/>
      <c r="AO45" s="2"/>
      <c r="AP45" s="2"/>
      <c r="AQ45" s="2"/>
      <c r="AR45" s="2"/>
      <c r="AS45" s="2"/>
      <c r="AT45" s="2"/>
      <c r="AU45" s="2"/>
      <c r="AV45" s="2"/>
      <c r="AW45" s="2"/>
      <c r="AX45" s="2"/>
      <c r="AY45" s="2"/>
      <c r="AZ45" s="2" t="str">
        <f>IFERROR(__xludf.DUMMYFUNCTION("""COMPUTED_VALUE"""),"#REF!")</f>
        <v>#REF!</v>
      </c>
      <c r="BA45" s="2" t="str">
        <f>IFERROR(__xludf.DUMMYFUNCTION("""COMPUTED_VALUE"""),"Đủ điều kiện")</f>
        <v>Đủ điều kiện</v>
      </c>
      <c r="BB45" s="2" t="str">
        <f>IFERROR(__xludf.DUMMYFUNCTION("""COMPUTED_VALUE"""),"Duyệt")</f>
        <v>Duyệt</v>
      </c>
      <c r="BC45" s="148">
        <f>IFERROR(__xludf.DUMMYFUNCTION("""COMPUTED_VALUE"""),46165.0)</f>
        <v>46165</v>
      </c>
      <c r="BD45" s="2" t="str">
        <f>IFERROR(__xludf.DUMMYFUNCTION("""COMPUTED_VALUE"""),"Duyệt")</f>
        <v>Duyệt</v>
      </c>
      <c r="BE45" s="2" t="str">
        <f>IFERROR(__xludf.DUMMYFUNCTION("""COMPUTED_VALUE"""),"xlg 23/05
23/05")</f>
        <v>xlg 23/05
23/05</v>
      </c>
      <c r="BF45" s="2" t="str">
        <f>IFERROR(__xludf.DUMMYFUNCTION("""COMPUTED_VALUE"""),"Đã xử lí giá")</f>
        <v>Đã xử lí giá</v>
      </c>
      <c r="BG45" s="2" t="str">
        <f>IFERROR(__xludf.DUMMYFUNCTION("""COMPUTED_VALUE"""),"A05040226 
cải tiến
Canxibo 02 Nước xanh lá 42,857đ 22/5/2026")</f>
        <v>A05040226 
cải tiến
Canxibo 02 Nước xanh lá 42,857đ 22/5/2026</v>
      </c>
      <c r="BH45" s="2"/>
      <c r="BI45" s="2"/>
      <c r="BJ45" s="2"/>
      <c r="BK45" s="2"/>
      <c r="BL45" s="2"/>
      <c r="BM45" s="2"/>
      <c r="BN45" s="2"/>
      <c r="BO45" s="2"/>
      <c r="BP45" s="2"/>
      <c r="BQ45" s="2"/>
    </row>
    <row r="46">
      <c r="A46" s="2">
        <f>IFERROR(__xludf.DUMMYFUNCTION("""COMPUTED_VALUE"""),91.0)</f>
        <v>91</v>
      </c>
      <c r="B46" s="2" t="str">
        <f>IFERROR(__xludf.DUMMYFUNCTION("""COMPUTED_VALUE"""),"Dego Cần Thơ")</f>
        <v>Dego Cần Thơ</v>
      </c>
      <c r="C46" s="2" t="str">
        <f>IFERROR(__xludf.DUMMYFUNCTION("""COMPUTED_VALUE"""),"STP22052601")</f>
        <v>STP22052601</v>
      </c>
      <c r="D46" s="39">
        <f>IFERROR(__xludf.DUMMYFUNCTION("""COMPUTED_VALUE"""),46164.0)</f>
        <v>46164</v>
      </c>
      <c r="E46" s="2"/>
      <c r="F46" s="2" t="str">
        <f>IFERROR(__xludf.DUMMYFUNCTION("""COMPUTED_VALUE"""),"N2SBIO")</f>
        <v>N2SBIO</v>
      </c>
      <c r="G46" s="2" t="str">
        <f>IFERROR(__xludf.DUMMYFUNCTION("""COMPUTED_VALUE"""),"HH4187")</f>
        <v>HH4187</v>
      </c>
      <c r="H46" s="2" t="str">
        <f>IFERROR(__xludf.DUMMYFUNCTION("""COMPUTED_VALUE"""),"GC - IX - 4187 - N2SBIO - N2 ULTRA LOCK (Dạng SC - Trắng sữa) - 500ml - 40")</f>
        <v>GC - IX - 4187 - N2SBIO - N2 ULTRA LOCK (Dạng SC - Trắng sữa) - 500ml - 40</v>
      </c>
      <c r="I46" s="2" t="str">
        <f>IFERROR(__xludf.DUMMYFUNCTION("""COMPUTED_VALUE"""),"Phân bón")</f>
        <v>Phân bón</v>
      </c>
      <c r="J46" s="142" t="str">
        <f>IFERROR(__xludf.DUMMYFUNCTION("""COMPUTED_VALUE"""),"Lá PK-Trung Lượng NBC-Photphonate")</f>
        <v>Lá PK-Trung Lượng NBC-Photphonate</v>
      </c>
      <c r="K46" s="2" t="str">
        <f>IFERROR(__xludf.DUMMYFUNCTION("""COMPUTED_VALUE"""),"N04290725")</f>
        <v>N04290725</v>
      </c>
      <c r="L46" s="2" t="str">
        <f>IFERROR(__xludf.DUMMYFUNCTION("""COMPUTED_VALUE"""),"Dạng SC - Trắng sữa")</f>
        <v>Dạng SC - Trắng sữa</v>
      </c>
      <c r="M46" s="2" t="str">
        <f>IFERROR(__xludf.DUMMYFUNCTION("""COMPUTED_VALUE"""),"Chai")</f>
        <v>Chai</v>
      </c>
      <c r="N46" s="142">
        <f>IFERROR(__xludf.DUMMYFUNCTION("""COMPUTED_VALUE"""),40.0)</f>
        <v>40</v>
      </c>
      <c r="O46" s="142">
        <f>IFERROR(__xludf.DUMMYFUNCTION("""COMPUTED_VALUE"""),100.0)</f>
        <v>100</v>
      </c>
      <c r="P46" s="142">
        <f>IFERROR(__xludf.DUMMYFUNCTION("""COMPUTED_VALUE"""),4000.0)</f>
        <v>4000</v>
      </c>
      <c r="Q46" s="145">
        <f>IFERROR(__xludf.DUMMYFUNCTION("""COMPUTED_VALUE"""),46172.0)</f>
        <v>46172</v>
      </c>
      <c r="R46" s="2" t="str">
        <f>IFERROR(__xludf.DUMMYFUNCTION("""COMPUTED_VALUE"""),"x")</f>
        <v>x</v>
      </c>
      <c r="S46" s="142" t="str">
        <f>IFERROR(__xludf.DUMMYFUNCTION("""COMPUTED_VALUE"""),"x")</f>
        <v>x</v>
      </c>
      <c r="T46" s="142" t="str">
        <f>IFERROR(__xludf.DUMMYFUNCTION("""COMPUTED_VALUE"""),"x")</f>
        <v>x</v>
      </c>
      <c r="U46" s="142" t="str">
        <f>IFERROR(__xludf.DUMMYFUNCTION("""COMPUTED_VALUE"""),"x")</f>
        <v>x</v>
      </c>
      <c r="V46" s="142">
        <f>IFERROR(__xludf.DUMMYFUNCTION("""COMPUTED_VALUE"""),8.0)</f>
        <v>8</v>
      </c>
      <c r="W46" s="2" t="str">
        <f>IFERROR(__xludf.DUMMYFUNCTION("""COMPUTED_VALUE""")," - Giá bán 280.000 đ - Ngày dự kiến thu tiền:  - Dự kiến ngày ra hết hàng: ")</f>
        <v> - Giá bán 280.000 đ - Ngày dự kiến thu tiền:  - Dự kiến ngày ra hết hàng: </v>
      </c>
      <c r="X46" s="2"/>
      <c r="Y46" s="2" t="str">
        <f>IFERROR(__xludf.DUMMYFUNCTION("""COMPUTED_VALUE"""),"Dego Cần Thơ")</f>
        <v>Dego Cần Thơ</v>
      </c>
      <c r="Z46" s="2" t="str">
        <f>IFERROR(__xludf.DUMMYFUNCTION("""COMPUTED_VALUE"""),"Chưa gửi đơn")</f>
        <v>Chưa gửi đơn</v>
      </c>
      <c r="AA46" s="2"/>
      <c r="AB46" s="2" t="str">
        <f>IFERROR(__xludf.DUMMYFUNCTION("""COMPUTED_VALUE"""),"chưa đủ dk do chưa duyệt pháp lý, chưa duyệt giá")</f>
        <v>chưa đủ dk do chưa duyệt pháp lý, chưa duyệt giá</v>
      </c>
      <c r="AC46" s="146">
        <f>IFERROR(__xludf.DUMMYFUNCTION("""COMPUTED_VALUE"""),4000.0)</f>
        <v>4000</v>
      </c>
      <c r="AD46" s="2"/>
      <c r="AE46" s="2" t="str">
        <f>IFERROR(__xludf.DUMMYFUNCTION("""COMPUTED_VALUE"""),"đã bàn giao cho nhà máy 23/05")</f>
        <v>đã bàn giao cho nhà máy 23/05</v>
      </c>
      <c r="AF46" s="2"/>
      <c r="AG46" s="2"/>
      <c r="AH46" s="2"/>
      <c r="AI46" s="2"/>
      <c r="AJ46" s="2"/>
      <c r="AK46" s="2"/>
      <c r="AL46" s="2"/>
      <c r="AM46" s="2"/>
      <c r="AN46" s="2"/>
      <c r="AO46" s="2"/>
      <c r="AP46" s="2"/>
      <c r="AQ46" s="2"/>
      <c r="AR46" s="2"/>
      <c r="AS46" s="2"/>
      <c r="AT46" s="2"/>
      <c r="AU46" s="2"/>
      <c r="AV46" s="2"/>
      <c r="AW46" s="2"/>
      <c r="AX46" s="2"/>
      <c r="AY46" s="2"/>
      <c r="AZ46" s="2" t="str">
        <f>IFERROR(__xludf.DUMMYFUNCTION("""COMPUTED_VALUE"""),"#REF!")</f>
        <v>#REF!</v>
      </c>
      <c r="BA46" s="2" t="str">
        <f>IFERROR(__xludf.DUMMYFUNCTION("""COMPUTED_VALUE"""),"Không đủ điều kiện")</f>
        <v>Không đủ điều kiện</v>
      </c>
      <c r="BB46" s="2" t="str">
        <f>IFERROR(__xludf.DUMMYFUNCTION("""COMPUTED_VALUE"""),"Duyệt")</f>
        <v>Duyệt</v>
      </c>
      <c r="BC46" s="148">
        <f>IFERROR(__xludf.DUMMYFUNCTION("""COMPUTED_VALUE"""),46165.0)</f>
        <v>46165</v>
      </c>
      <c r="BD46" s="2" t="str">
        <f>IFERROR(__xludf.DUMMYFUNCTION("""COMPUTED_VALUE"""),"Chưa đủ TT duyệt")</f>
        <v>Chưa đủ TT duyệt</v>
      </c>
      <c r="BE46" s="2"/>
      <c r="BF46" s="2" t="str">
        <f>IFERROR(__xludf.DUMMYFUNCTION("""COMPUTED_VALUE"""),"Đã xử lí giá")</f>
        <v>Đã xử lí giá</v>
      </c>
      <c r="BG46" s="2" t="str">
        <f>IFERROR(__xludf.DUMMYFUNCTION("""COMPUTED_VALUE"""),"N04290725 Dạng SC - Trắng sữa 280,000đ 22/5/2026")</f>
        <v>N04290725 Dạng SC - Trắng sữa 280,000đ 22/5/2026</v>
      </c>
      <c r="BH46" s="2"/>
      <c r="BI46" s="2"/>
      <c r="BJ46" s="2"/>
      <c r="BK46" s="2"/>
      <c r="BL46" s="2"/>
      <c r="BM46" s="2"/>
      <c r="BN46" s="2"/>
      <c r="BO46" s="2"/>
      <c r="BP46" s="2"/>
      <c r="BQ46" s="2"/>
    </row>
    <row r="47">
      <c r="A47" s="2">
        <f>IFERROR(__xludf.DUMMYFUNCTION("""COMPUTED_VALUE"""),92.0)</f>
        <v>92</v>
      </c>
      <c r="B47" s="2" t="str">
        <f>IFERROR(__xludf.DUMMYFUNCTION("""COMPUTED_VALUE"""),"Dego Cần Thơ")</f>
        <v>Dego Cần Thơ</v>
      </c>
      <c r="C47" s="2" t="str">
        <f>IFERROR(__xludf.DUMMYFUNCTION("""COMPUTED_VALUE"""),"ATP22052603")</f>
        <v>ATP22052603</v>
      </c>
      <c r="D47" s="39">
        <f>IFERROR(__xludf.DUMMYFUNCTION("""COMPUTED_VALUE"""),46164.0)</f>
        <v>46164</v>
      </c>
      <c r="E47" s="2" t="str">
        <f>IFERROR(__xludf.DUMMYFUNCTION("""COMPUTED_VALUE"""),"Đã duyệt")</f>
        <v>Đã duyệt</v>
      </c>
      <c r="F47" s="2" t="str">
        <f>IFERROR(__xludf.DUMMYFUNCTION("""COMPUTED_VALUE"""),"ABA")</f>
        <v>ABA</v>
      </c>
      <c r="G47" s="2" t="str">
        <f>IFERROR(__xludf.DUMMYFUNCTION("""COMPUTED_VALUE"""),"HH5028")</f>
        <v>HH5028</v>
      </c>
      <c r="H47" s="2" t="str">
        <f>IFERROR(__xludf.DUMMYFUNCTION("""COMPUTED_VALUE"""),"GC - X - 5028 - CSSX An Khang - TAK03 (Nước nâu đen) - 250ml - 40")</f>
        <v>GC - X - 5028 - CSSX An Khang - TAK03 (Nước nâu đen) - 250ml - 40</v>
      </c>
      <c r="I47" s="2" t="str">
        <f>IFERROR(__xludf.DUMMYFUNCTION("""COMPUTED_VALUE"""),"Phân bón")</f>
        <v>Phân bón</v>
      </c>
      <c r="J47" s="142" t="str">
        <f>IFERROR(__xludf.DUMMYFUNCTION("""COMPUTED_VALUE"""),"Vi lượng Quantity New")</f>
        <v>Vi lượng Quantity New</v>
      </c>
      <c r="K47" s="2" t="str">
        <f>IFERROR(__xludf.DUMMYFUNCTION("""COMPUTED_VALUE"""),"A01130526")</f>
        <v>A01130526</v>
      </c>
      <c r="L47" s="2" t="str">
        <f>IFERROR(__xludf.DUMMYFUNCTION("""COMPUTED_VALUE"""),"Nước nâu đen")</f>
        <v>Nước nâu đen</v>
      </c>
      <c r="M47" s="2" t="str">
        <f>IFERROR(__xludf.DUMMYFUNCTION("""COMPUTED_VALUE"""),"Chai")</f>
        <v>Chai</v>
      </c>
      <c r="N47" s="142">
        <f>IFERROR(__xludf.DUMMYFUNCTION("""COMPUTED_VALUE"""),40.0)</f>
        <v>40</v>
      </c>
      <c r="O47" s="142">
        <f>IFERROR(__xludf.DUMMYFUNCTION("""COMPUTED_VALUE"""),10.0)</f>
        <v>10</v>
      </c>
      <c r="P47" s="142">
        <f>IFERROR(__xludf.DUMMYFUNCTION("""COMPUTED_VALUE"""),400.0)</f>
        <v>400</v>
      </c>
      <c r="Q47" s="145">
        <f>IFERROR(__xludf.DUMMYFUNCTION("""COMPUTED_VALUE"""),46177.0)</f>
        <v>46177</v>
      </c>
      <c r="R47" s="2"/>
      <c r="S47" s="142" t="str">
        <f>IFERROR(__xludf.DUMMYFUNCTION("""COMPUTED_VALUE"""),"lấy chẳn thùng")</f>
        <v>lấy chẳn thùng</v>
      </c>
      <c r="T47" s="2"/>
      <c r="U47" s="2"/>
      <c r="V47" s="2"/>
      <c r="W47" s="2" t="str">
        <f>IFERROR(__xludf.DUMMYFUNCTION("""COMPUTED_VALUE"""),"ĐINH CÔNG DINH - Giá bán Chờ giá - Ngày dự kiến thu tiền:  - Dự kiến ngày ra hết hàng: ")</f>
        <v>ĐINH CÔNG DINH - Giá bán Chờ giá - Ngày dự kiến thu tiền:  - Dự kiến ngày ra hết hàng: </v>
      </c>
      <c r="X47" s="2"/>
      <c r="Y47" s="2" t="str">
        <f>IFERROR(__xludf.DUMMYFUNCTION("""COMPUTED_VALUE"""),"Dego Cần Thơ")</f>
        <v>Dego Cần Thơ</v>
      </c>
      <c r="Z47" s="2" t="str">
        <f>IFERROR(__xludf.DUMMYFUNCTION("""COMPUTED_VALUE"""),"Chưa gửi đơn")</f>
        <v>Chưa gửi đơn</v>
      </c>
      <c r="AA47" s="2"/>
      <c r="AB47" s="2" t="str">
        <f>IFERROR(__xludf.DUMMYFUNCTION("""COMPUTED_VALUE"""),"chưa đủ dk do chưa duyệt pháp lý, chưa duyệt giá")</f>
        <v>chưa đủ dk do chưa duyệt pháp lý, chưa duyệt giá</v>
      </c>
      <c r="AC47" s="146">
        <f>IFERROR(__xludf.DUMMYFUNCTION("""COMPUTED_VALUE"""),400.0)</f>
        <v>400</v>
      </c>
      <c r="AD47" s="2"/>
      <c r="AE47" s="2" t="str">
        <f>IFERROR(__xludf.DUMMYFUNCTION("""COMPUTED_VALUE"""),"đã bàn giao cho nhà máy 23/05")</f>
        <v>đã bàn giao cho nhà máy 23/05</v>
      </c>
      <c r="AF47" s="2"/>
      <c r="AG47" s="2"/>
      <c r="AH47" s="2"/>
      <c r="AI47" s="2"/>
      <c r="AJ47" s="2"/>
      <c r="AK47" s="2"/>
      <c r="AL47" s="2"/>
      <c r="AM47" s="2"/>
      <c r="AN47" s="2"/>
      <c r="AO47" s="2"/>
      <c r="AP47" s="2"/>
      <c r="AQ47" s="2"/>
      <c r="AR47" s="2"/>
      <c r="AS47" s="2"/>
      <c r="AT47" s="2"/>
      <c r="AU47" s="2"/>
      <c r="AV47" s="2"/>
      <c r="AW47" s="2"/>
      <c r="AX47" s="2"/>
      <c r="AY47" s="2"/>
      <c r="AZ47" s="2" t="str">
        <f>IFERROR(__xludf.DUMMYFUNCTION("""COMPUTED_VALUE"""),"#REF!")</f>
        <v>#REF!</v>
      </c>
      <c r="BA47" s="2" t="str">
        <f>IFERROR(__xludf.DUMMYFUNCTION("""COMPUTED_VALUE"""),"Không đủ điều kiện")</f>
        <v>Không đủ điều kiện</v>
      </c>
      <c r="BB47" s="2" t="str">
        <f>IFERROR(__xludf.DUMMYFUNCTION("""COMPUTED_VALUE"""),"Duyệt")</f>
        <v>Duyệt</v>
      </c>
      <c r="BC47" s="148">
        <f>IFERROR(__xludf.DUMMYFUNCTION("""COMPUTED_VALUE"""),46165.0)</f>
        <v>46165</v>
      </c>
      <c r="BD47" s="2" t="str">
        <f>IFERROR(__xludf.DUMMYFUNCTION("""COMPUTED_VALUE"""),"Chưa đủ TT duyệt")</f>
        <v>Chưa đủ TT duyệt</v>
      </c>
      <c r="BE47" s="2"/>
      <c r="BF47" s="2" t="str">
        <f>IFERROR(__xludf.DUMMYFUNCTION("""COMPUTED_VALUE"""),"Đã xử lí giá")</f>
        <v>Đã xử lí giá</v>
      </c>
      <c r="BG47" s="2" t="str">
        <f>IFERROR(__xludf.DUMMYFUNCTION("""COMPUTED_VALUE"""),"A01130526 Nước nâu đen Chưa có giá bán 22/5/2026")</f>
        <v>A01130526 Nước nâu đen Chưa có giá bán 22/5/2026</v>
      </c>
      <c r="BH47" s="2"/>
      <c r="BI47" s="2"/>
      <c r="BJ47" s="2"/>
      <c r="BK47" s="2"/>
      <c r="BL47" s="2"/>
      <c r="BM47" s="2"/>
      <c r="BN47" s="2"/>
      <c r="BO47" s="2"/>
      <c r="BP47" s="2"/>
      <c r="BQ47" s="2"/>
    </row>
    <row r="48">
      <c r="A48" s="2">
        <f>IFERROR(__xludf.DUMMYFUNCTION("""COMPUTED_VALUE"""),96.0)</f>
        <v>96</v>
      </c>
      <c r="B48" s="2" t="str">
        <f>IFERROR(__xludf.DUMMYFUNCTION("""COMPUTED_VALUE"""),"Dego Cần Thơ")</f>
        <v>Dego Cần Thơ</v>
      </c>
      <c r="C48" s="2" t="str">
        <f>IFERROR(__xludf.DUMMYFUNCTION("""COMPUTED_VALUE"""),"ATP23052606")</f>
        <v>ATP23052606</v>
      </c>
      <c r="D48" s="39">
        <f>IFERROR(__xludf.DUMMYFUNCTION("""COMPUTED_VALUE"""),46165.0)</f>
        <v>46165</v>
      </c>
      <c r="E48" s="2" t="str">
        <f>IFERROR(__xludf.DUMMYFUNCTION("""COMPUTED_VALUE"""),"Đã duyệt ")</f>
        <v>Đã duyệt </v>
      </c>
      <c r="F48" s="2" t="str">
        <f>IFERROR(__xludf.DUMMYFUNCTION("""COMPUTED_VALUE"""),"ABA")</f>
        <v>ABA</v>
      </c>
      <c r="G48" s="2" t="str">
        <f>IFERROR(__xludf.DUMMYFUNCTION("""COMPUTED_VALUE"""),"HH4794")</f>
        <v>HH4794</v>
      </c>
      <c r="H48" s="2" t="str">
        <f>IFERROR(__xludf.DUMMYFUNCTION("""COMPUTED_VALUE"""),"GC - V - 4794 - NHP Group - BUD P02 (Gel màu tím) - 500ml - 40")</f>
        <v>GC - V - 4794 - NHP Group - BUD P02 (Gel màu tím) - 500ml - 40</v>
      </c>
      <c r="I48" s="2" t="str">
        <f>IFERROR(__xludf.DUMMYFUNCTION("""COMPUTED_VALUE"""),"Phân bón")</f>
        <v>Phân bón</v>
      </c>
      <c r="J48" s="142" t="str">
        <f>IFERROR(__xludf.DUMMYFUNCTION("""COMPUTED_VALUE"""),"Hỗn Hợp NP AGAMA-AP")</f>
        <v>Hỗn Hợp NP AGAMA-AP</v>
      </c>
      <c r="K48" s="143" t="str">
        <f>IFERROR(__xludf.DUMMYFUNCTION("""COMPUTED_VALUE"""),"Cùng ruột HH3160, 4179")</f>
        <v>Cùng ruột HH3160, 4179</v>
      </c>
      <c r="L48" s="2" t="str">
        <f>IFERROR(__xludf.DUMMYFUNCTION("""COMPUTED_VALUE"""),"Gel màu tím")</f>
        <v>Gel màu tím</v>
      </c>
      <c r="M48" s="2" t="str">
        <f>IFERROR(__xludf.DUMMYFUNCTION("""COMPUTED_VALUE"""),"Chai")</f>
        <v>Chai</v>
      </c>
      <c r="N48" s="142">
        <f>IFERROR(__xludf.DUMMYFUNCTION("""COMPUTED_VALUE"""),40.0)</f>
        <v>40</v>
      </c>
      <c r="O48" s="142">
        <f>IFERROR(__xludf.DUMMYFUNCTION("""COMPUTED_VALUE"""),10.0)</f>
        <v>10</v>
      </c>
      <c r="P48" s="142">
        <f>IFERROR(__xludf.DUMMYFUNCTION("""COMPUTED_VALUE"""),400.0)</f>
        <v>400</v>
      </c>
      <c r="Q48" s="145">
        <f>IFERROR(__xludf.DUMMYFUNCTION("""COMPUTED_VALUE"""),46175.0)</f>
        <v>46175</v>
      </c>
      <c r="R48" s="2"/>
      <c r="S48" s="142" t="str">
        <f>IFERROR(__xludf.DUMMYFUNCTION("""COMPUTED_VALUE"""),"lấy chẳn thùng
có sự cố phình chai  4338 đã báo sự cố nhờ Lab khắc phục")</f>
        <v>lấy chẳn thùng
có sự cố phình chai  4338 đã báo sự cố nhờ Lab khắc phục</v>
      </c>
      <c r="T48" s="2"/>
      <c r="U48" s="2"/>
      <c r="V48" s="2"/>
      <c r="W48" s="2" t="str">
        <f>IFERROR(__xludf.DUMMYFUNCTION("""COMPUTED_VALUE"""),"NHP GROUP - Giá bán 45000 - Ngày dự kiến thu tiền:  - Dự kiến ngày ra hết hàng: ")</f>
        <v>NHP GROUP - Giá bán 45000 - Ngày dự kiến thu tiền:  - Dự kiến ngày ra hết hàng: </v>
      </c>
      <c r="X48" s="2"/>
      <c r="Y48" s="2" t="str">
        <f>IFERROR(__xludf.DUMMYFUNCTION("""COMPUTED_VALUE"""),"Dego Cần Thơ")</f>
        <v>Dego Cần Thơ</v>
      </c>
      <c r="Z48" s="2" t="str">
        <f>IFERROR(__xludf.DUMMYFUNCTION("""COMPUTED_VALUE"""),"Chưa gửi đơn")</f>
        <v>Chưa gửi đơn</v>
      </c>
      <c r="AA48" s="2"/>
      <c r="AB48" s="2" t="str">
        <f>IFERROR(__xludf.DUMMYFUNCTION("""COMPUTED_VALUE"""),"chưa đủ dk do chưa duyệt pháp lý, chưa duyệt giá")</f>
        <v>chưa đủ dk do chưa duyệt pháp lý, chưa duyệt giá</v>
      </c>
      <c r="AC48" s="146">
        <f>IFERROR(__xludf.DUMMYFUNCTION("""COMPUTED_VALUE"""),400.0)</f>
        <v>400</v>
      </c>
      <c r="AD48" s="2"/>
      <c r="AE48" s="2" t="str">
        <f>IFERROR(__xludf.DUMMYFUNCTION("""COMPUTED_VALUE"""),"đã bàn giao cho nhà máy 23/05")</f>
        <v>đã bàn giao cho nhà máy 23/05</v>
      </c>
      <c r="AF48" s="2"/>
      <c r="AG48" s="2"/>
      <c r="AH48" s="2"/>
      <c r="AI48" s="2"/>
      <c r="AJ48" s="2"/>
      <c r="AK48" s="2"/>
      <c r="AL48" s="2"/>
      <c r="AM48" s="2"/>
      <c r="AN48" s="2"/>
      <c r="AO48" s="2"/>
      <c r="AP48" s="2"/>
      <c r="AQ48" s="2"/>
      <c r="AR48" s="2"/>
      <c r="AS48" s="2"/>
      <c r="AT48" s="2"/>
      <c r="AU48" s="2"/>
      <c r="AV48" s="2"/>
      <c r="AW48" s="2"/>
      <c r="AX48" s="2"/>
      <c r="AY48" s="2"/>
      <c r="AZ48" s="2" t="str">
        <f>IFERROR(__xludf.DUMMYFUNCTION("""COMPUTED_VALUE"""),"#REF!")</f>
        <v>#REF!</v>
      </c>
      <c r="BA48" s="2" t="str">
        <f>IFERROR(__xludf.DUMMYFUNCTION("""COMPUTED_VALUE"""),"Không đủ điều kiện")</f>
        <v>Không đủ điều kiện</v>
      </c>
      <c r="BB48" s="2" t="str">
        <f>IFERROR(__xludf.DUMMYFUNCTION("""COMPUTED_VALUE"""),"Duyệt")</f>
        <v>Duyệt</v>
      </c>
      <c r="BC48" s="148">
        <f>IFERROR(__xludf.DUMMYFUNCTION("""COMPUTED_VALUE"""),46165.0)</f>
        <v>46165</v>
      </c>
      <c r="BD48" s="2" t="str">
        <f>IFERROR(__xludf.DUMMYFUNCTION("""COMPUTED_VALUE"""),"Chưa đủ TT duyệt")</f>
        <v>Chưa đủ TT duyệt</v>
      </c>
      <c r="BE48" s="2"/>
      <c r="BF48" s="2" t="str">
        <f>IFERROR(__xludf.DUMMYFUNCTION("""COMPUTED_VALUE"""),"Đã xử lí giá")</f>
        <v>Đã xử lí giá</v>
      </c>
      <c r="BG48" s="2" t="str">
        <f>IFERROR(__xludf.DUMMYFUNCTION("""COMPUTED_VALUE"""),"Cùng ruột HH3160, 4179 Gel màu tím 45,000đ 23/5/2026")</f>
        <v>Cùng ruột HH3160, 4179 Gel màu tím 45,000đ 23/5/2026</v>
      </c>
      <c r="BH48" s="2"/>
      <c r="BI48" s="2"/>
      <c r="BJ48" s="2"/>
      <c r="BK48" s="2"/>
      <c r="BL48" s="2"/>
      <c r="BM48" s="2"/>
      <c r="BN48" s="2"/>
      <c r="BO48" s="2"/>
      <c r="BP48" s="2"/>
      <c r="BQ48" s="2"/>
    </row>
    <row r="49">
      <c r="A49" s="2">
        <f>IFERROR(__xludf.DUMMYFUNCTION("""COMPUTED_VALUE"""),97.0)</f>
        <v>97</v>
      </c>
      <c r="B49" s="2" t="str">
        <f>IFERROR(__xludf.DUMMYFUNCTION("""COMPUTED_VALUE"""),"Dego Cần Thơ")</f>
        <v>Dego Cần Thơ</v>
      </c>
      <c r="C49" s="2" t="str">
        <f>IFERROR(__xludf.DUMMYFUNCTION("""COMPUTED_VALUE"""),"ATP23052607")</f>
        <v>ATP23052607</v>
      </c>
      <c r="D49" s="39">
        <f>IFERROR(__xludf.DUMMYFUNCTION("""COMPUTED_VALUE"""),46165.0)</f>
        <v>46165</v>
      </c>
      <c r="E49" s="2" t="str">
        <f>IFERROR(__xludf.DUMMYFUNCTION("""COMPUTED_VALUE"""),"Đã duyệt ")</f>
        <v>Đã duyệt </v>
      </c>
      <c r="F49" s="2" t="str">
        <f>IFERROR(__xludf.DUMMYFUNCTION("""COMPUTED_VALUE"""),"ABA")</f>
        <v>ABA</v>
      </c>
      <c r="G49" s="2" t="str">
        <f>IFERROR(__xludf.DUMMYFUNCTION("""COMPUTED_VALUE"""),"HH4784")</f>
        <v>HH4784</v>
      </c>
      <c r="H49" s="2" t="str">
        <f>IFERROR(__xludf.DUMMYFUNCTION("""COMPUTED_VALUE"""),"GC - V - 4784 - NHP GROUP - MAGIE KẼM (Dạng SC Xanh lá) - 500ml - 40")</f>
        <v>GC - V - 4784 - NHP GROUP - MAGIE KẼM (Dạng SC Xanh lá) - 500ml - 40</v>
      </c>
      <c r="I49" s="2" t="str">
        <f>IFERROR(__xludf.DUMMYFUNCTION("""COMPUTED_VALUE"""),"Phân bón")</f>
        <v>Phân bón</v>
      </c>
      <c r="J49" s="142" t="str">
        <f>IFERROR(__xludf.DUMMYFUNCTION("""COMPUTED_VALUE"""),"vi lượng Phú Sĩ FJ-09 Kẽm Mg")</f>
        <v>vi lượng Phú Sĩ FJ-09 Kẽm Mg</v>
      </c>
      <c r="K49" s="143" t="str">
        <f>IFERROR(__xludf.DUMMYFUNCTION("""COMPUTED_VALUE"""),"A05200825-01")</f>
        <v>A05200825-01</v>
      </c>
      <c r="L49" s="2" t="str">
        <f>IFERROR(__xludf.DUMMYFUNCTION("""COMPUTED_VALUE"""),"Dạng SC - Xanh lá ")</f>
        <v>Dạng SC - Xanh lá </v>
      </c>
      <c r="M49" s="2" t="str">
        <f>IFERROR(__xludf.DUMMYFUNCTION("""COMPUTED_VALUE"""),"Chai")</f>
        <v>Chai</v>
      </c>
      <c r="N49" s="142">
        <f>IFERROR(__xludf.DUMMYFUNCTION("""COMPUTED_VALUE"""),40.0)</f>
        <v>40</v>
      </c>
      <c r="O49" s="142">
        <f>IFERROR(__xludf.DUMMYFUNCTION("""COMPUTED_VALUE"""),10.0)</f>
        <v>10</v>
      </c>
      <c r="P49" s="142">
        <f>IFERROR(__xludf.DUMMYFUNCTION("""COMPUTED_VALUE"""),400.0)</f>
        <v>400</v>
      </c>
      <c r="Q49" s="143">
        <f>IFERROR(__xludf.DUMMYFUNCTION("""COMPUTED_VALUE"""),46175.0)</f>
        <v>46175</v>
      </c>
      <c r="R49" s="2"/>
      <c r="S49" s="142" t="str">
        <f>IFERROR(__xludf.DUMMYFUNCTION("""COMPUTED_VALUE"""),"lấy chẳn thùng")</f>
        <v>lấy chẳn thùng</v>
      </c>
      <c r="T49" s="2"/>
      <c r="U49" s="2"/>
      <c r="V49" s="2"/>
      <c r="W49" s="2" t="str">
        <f>IFERROR(__xludf.DUMMYFUNCTION("""COMPUTED_VALUE"""),"NHP GROUP - Giá bán 48000 - Ngày dự kiến thu tiền:  - Dự kiến ngày ra hết hàng: ")</f>
        <v>NHP GROUP - Giá bán 48000 - Ngày dự kiến thu tiền:  - Dự kiến ngày ra hết hàng: </v>
      </c>
      <c r="X49" s="2"/>
      <c r="Y49" s="2" t="str">
        <f>IFERROR(__xludf.DUMMYFUNCTION("""COMPUTED_VALUE"""),"Dego Cần Thơ")</f>
        <v>Dego Cần Thơ</v>
      </c>
      <c r="Z49" s="2" t="str">
        <f>IFERROR(__xludf.DUMMYFUNCTION("""COMPUTED_VALUE"""),"Chưa gửi đơn")</f>
        <v>Chưa gửi đơn</v>
      </c>
      <c r="AA49" s="2"/>
      <c r="AB49" s="2" t="str">
        <f>IFERROR(__xludf.DUMMYFUNCTION("""COMPUTED_VALUE"""),"chưa đủ dk do chưa duyệt pháp lý, chưa duyệt giá")</f>
        <v>chưa đủ dk do chưa duyệt pháp lý, chưa duyệt giá</v>
      </c>
      <c r="AC49" s="146">
        <f>IFERROR(__xludf.DUMMYFUNCTION("""COMPUTED_VALUE"""),400.0)</f>
        <v>400</v>
      </c>
      <c r="AD49" s="2"/>
      <c r="AE49" s="2" t="str">
        <f>IFERROR(__xludf.DUMMYFUNCTION("""COMPUTED_VALUE"""),"đã bàn giao cho nhà máy 23/05")</f>
        <v>đã bàn giao cho nhà máy 23/05</v>
      </c>
      <c r="AF49" s="2"/>
      <c r="AG49" s="2"/>
      <c r="AH49" s="2"/>
      <c r="AI49" s="2"/>
      <c r="AJ49" s="2"/>
      <c r="AK49" s="2"/>
      <c r="AL49" s="2"/>
      <c r="AM49" s="2"/>
      <c r="AN49" s="2"/>
      <c r="AO49" s="2"/>
      <c r="AP49" s="2"/>
      <c r="AQ49" s="2"/>
      <c r="AR49" s="2"/>
      <c r="AS49" s="2"/>
      <c r="AT49" s="2"/>
      <c r="AU49" s="2"/>
      <c r="AV49" s="2"/>
      <c r="AW49" s="2"/>
      <c r="AX49" s="2"/>
      <c r="AY49" s="2"/>
      <c r="AZ49" s="2" t="str">
        <f>IFERROR(__xludf.DUMMYFUNCTION("""COMPUTED_VALUE"""),"#REF!")</f>
        <v>#REF!</v>
      </c>
      <c r="BA49" s="2" t="str">
        <f>IFERROR(__xludf.DUMMYFUNCTION("""COMPUTED_VALUE"""),"Không đủ điều kiện")</f>
        <v>Không đủ điều kiện</v>
      </c>
      <c r="BB49" s="2" t="str">
        <f>IFERROR(__xludf.DUMMYFUNCTION("""COMPUTED_VALUE"""),"Duyệt")</f>
        <v>Duyệt</v>
      </c>
      <c r="BC49" s="148">
        <f>IFERROR(__xludf.DUMMYFUNCTION("""COMPUTED_VALUE"""),46165.0)</f>
        <v>46165</v>
      </c>
      <c r="BD49" s="2" t="str">
        <f>IFERROR(__xludf.DUMMYFUNCTION("""COMPUTED_VALUE"""),"Chưa đủ TT duyệt")</f>
        <v>Chưa đủ TT duyệt</v>
      </c>
      <c r="BE49" s="2"/>
      <c r="BF49" s="2" t="str">
        <f>IFERROR(__xludf.DUMMYFUNCTION("""COMPUTED_VALUE"""),"Đã xử lí giá")</f>
        <v>Đã xử lí giá</v>
      </c>
      <c r="BG49" s="2" t="str">
        <f>IFERROR(__xludf.DUMMYFUNCTION("""COMPUTED_VALUE"""),"A05200825-01 Dạng SC - Xanh lá 48,000đ 23/5//2026")</f>
        <v>A05200825-01 Dạng SC - Xanh lá 48,000đ 23/5//2026</v>
      </c>
      <c r="BH49" s="2"/>
      <c r="BI49" s="2"/>
      <c r="BJ49" s="2"/>
      <c r="BK49" s="2"/>
      <c r="BL49" s="2"/>
      <c r="BM49" s="2"/>
      <c r="BN49" s="2"/>
      <c r="BO49" s="2"/>
      <c r="BP49" s="2"/>
      <c r="BQ49" s="2"/>
    </row>
    <row r="50">
      <c r="A50" s="2">
        <f>IFERROR(__xludf.DUMMYFUNCTION("""COMPUTED_VALUE"""),98.0)</f>
        <v>98</v>
      </c>
      <c r="B50" s="2" t="str">
        <f>IFERROR(__xludf.DUMMYFUNCTION("""COMPUTED_VALUE"""),"Dego Cần Thơ")</f>
        <v>Dego Cần Thơ</v>
      </c>
      <c r="C50" s="2" t="str">
        <f>IFERROR(__xludf.DUMMYFUNCTION("""COMPUTED_VALUE"""),"ATP23052608")</f>
        <v>ATP23052608</v>
      </c>
      <c r="D50" s="39">
        <f>IFERROR(__xludf.DUMMYFUNCTION("""COMPUTED_VALUE"""),46165.0)</f>
        <v>46165</v>
      </c>
      <c r="E50" s="2" t="str">
        <f>IFERROR(__xludf.DUMMYFUNCTION("""COMPUTED_VALUE"""),"Đã duyệt ")</f>
        <v>Đã duyệt </v>
      </c>
      <c r="F50" s="2" t="str">
        <f>IFERROR(__xludf.DUMMYFUNCTION("""COMPUTED_VALUE"""),"ABA")</f>
        <v>ABA</v>
      </c>
      <c r="G50" s="2" t="str">
        <f>IFERROR(__xludf.DUMMYFUNCTION("""COMPUTED_VALUE"""),"HH4712")</f>
        <v>HH4712</v>
      </c>
      <c r="H50" s="2" t="str">
        <f>IFERROR(__xludf.DUMMYFUNCTION("""COMPUTED_VALUE"""),"GC - V - 4712 - NHP GROUP - CALIMIX (Nước nâu đen) - 500ml - 40")</f>
        <v>GC - V - 4712 - NHP GROUP - CALIMIX (Nước nâu đen) - 500ml - 40</v>
      </c>
      <c r="I50" s="2" t="str">
        <f>IFERROR(__xludf.DUMMYFUNCTION("""COMPUTED_VALUE"""),"Phân bón")</f>
        <v>Phân bón</v>
      </c>
      <c r="J50" s="142" t="str">
        <f>IFERROR(__xludf.DUMMYFUNCTION("""COMPUTED_VALUE"""),"Hữu cơ SH Agro Organic Fertilizer 20")</f>
        <v>Hữu cơ SH Agro Organic Fertilizer 20</v>
      </c>
      <c r="K50" s="143" t="str">
        <f>IFERROR(__xludf.DUMMYFUNCTION("""COMPUTED_VALUE"""),"A05050325")</f>
        <v>A05050325</v>
      </c>
      <c r="L50" s="2" t="str">
        <f>IFERROR(__xludf.DUMMYFUNCTION("""COMPUTED_VALUE"""),"Nước nâu đen")</f>
        <v>Nước nâu đen</v>
      </c>
      <c r="M50" s="2" t="str">
        <f>IFERROR(__xludf.DUMMYFUNCTION("""COMPUTED_VALUE"""),"Chai")</f>
        <v>Chai</v>
      </c>
      <c r="N50" s="142">
        <f>IFERROR(__xludf.DUMMYFUNCTION("""COMPUTED_VALUE"""),40.0)</f>
        <v>40</v>
      </c>
      <c r="O50" s="142">
        <f>IFERROR(__xludf.DUMMYFUNCTION("""COMPUTED_VALUE"""),10.0)</f>
        <v>10</v>
      </c>
      <c r="P50" s="142">
        <f>IFERROR(__xludf.DUMMYFUNCTION("""COMPUTED_VALUE"""),400.0)</f>
        <v>400</v>
      </c>
      <c r="Q50" s="143">
        <f>IFERROR(__xludf.DUMMYFUNCTION("""COMPUTED_VALUE"""),46175.0)</f>
        <v>46175</v>
      </c>
      <c r="R50" s="2"/>
      <c r="S50" s="142" t="str">
        <f>IFERROR(__xludf.DUMMYFUNCTION("""COMPUTED_VALUE"""),"lấy chẳn thùng")</f>
        <v>lấy chẳn thùng</v>
      </c>
      <c r="T50" s="2"/>
      <c r="U50" s="2"/>
      <c r="V50" s="2"/>
      <c r="W50" s="2" t="str">
        <f>IFERROR(__xludf.DUMMYFUNCTION("""COMPUTED_VALUE"""),"NHP GROUP - Giá bán 52500 - Ngày dự kiến thu tiền:  - Dự kiến ngày ra hết hàng: ")</f>
        <v>NHP GROUP - Giá bán 52500 - Ngày dự kiến thu tiền:  - Dự kiến ngày ra hết hàng: </v>
      </c>
      <c r="X50" s="2"/>
      <c r="Y50" s="2" t="str">
        <f>IFERROR(__xludf.DUMMYFUNCTION("""COMPUTED_VALUE"""),"Dego Cần Thơ")</f>
        <v>Dego Cần Thơ</v>
      </c>
      <c r="Z50" s="2" t="str">
        <f>IFERROR(__xludf.DUMMYFUNCTION("""COMPUTED_VALUE"""),"Chưa gửi đơn")</f>
        <v>Chưa gửi đơn</v>
      </c>
      <c r="AA50" s="2"/>
      <c r="AB50" s="2" t="str">
        <f>IFERROR(__xludf.DUMMYFUNCTION("""COMPUTED_VALUE"""),"chưa đủ dk do chưa duyệt pháp lý, chưa duyệt giá")</f>
        <v>chưa đủ dk do chưa duyệt pháp lý, chưa duyệt giá</v>
      </c>
      <c r="AC50" s="146">
        <f>IFERROR(__xludf.DUMMYFUNCTION("""COMPUTED_VALUE"""),400.0)</f>
        <v>400</v>
      </c>
      <c r="AD50" s="2"/>
      <c r="AE50" s="2" t="str">
        <f>IFERROR(__xludf.DUMMYFUNCTION("""COMPUTED_VALUE"""),"đã bàn giao cho nhà máy 23/05")</f>
        <v>đã bàn giao cho nhà máy 23/05</v>
      </c>
      <c r="AF50" s="2"/>
      <c r="AG50" s="2"/>
      <c r="AH50" s="2"/>
      <c r="AI50" s="2"/>
      <c r="AJ50" s="2"/>
      <c r="AK50" s="2"/>
      <c r="AL50" s="2"/>
      <c r="AM50" s="2"/>
      <c r="AN50" s="2"/>
      <c r="AO50" s="2"/>
      <c r="AP50" s="2"/>
      <c r="AQ50" s="2"/>
      <c r="AR50" s="2"/>
      <c r="AS50" s="2"/>
      <c r="AT50" s="2"/>
      <c r="AU50" s="2"/>
      <c r="AV50" s="2"/>
      <c r="AW50" s="2"/>
      <c r="AX50" s="2"/>
      <c r="AY50" s="2"/>
      <c r="AZ50" s="2" t="str">
        <f>IFERROR(__xludf.DUMMYFUNCTION("""COMPUTED_VALUE"""),"#REF!")</f>
        <v>#REF!</v>
      </c>
      <c r="BA50" s="2" t="str">
        <f>IFERROR(__xludf.DUMMYFUNCTION("""COMPUTED_VALUE"""),"Không đủ điều kiện")</f>
        <v>Không đủ điều kiện</v>
      </c>
      <c r="BB50" s="2" t="str">
        <f>IFERROR(__xludf.DUMMYFUNCTION("""COMPUTED_VALUE"""),"Duyệt")</f>
        <v>Duyệt</v>
      </c>
      <c r="BC50" s="148">
        <f>IFERROR(__xludf.DUMMYFUNCTION("""COMPUTED_VALUE"""),46165.0)</f>
        <v>46165</v>
      </c>
      <c r="BD50" s="2" t="str">
        <f>IFERROR(__xludf.DUMMYFUNCTION("""COMPUTED_VALUE"""),"Chưa đủ TT duyệt")</f>
        <v>Chưa đủ TT duyệt</v>
      </c>
      <c r="BE50" s="2"/>
      <c r="BF50" s="2" t="str">
        <f>IFERROR(__xludf.DUMMYFUNCTION("""COMPUTED_VALUE"""),"Đã xử lí giá")</f>
        <v>Đã xử lí giá</v>
      </c>
      <c r="BG50" s="2" t="str">
        <f>IFERROR(__xludf.DUMMYFUNCTION("""COMPUTED_VALUE"""),"A05050325 Nước nâu đen 52,500đ 23/5/2026")</f>
        <v>A05050325 Nước nâu đen 52,500đ 23/5/2026</v>
      </c>
      <c r="BH50" s="2"/>
      <c r="BI50" s="2"/>
      <c r="BJ50" s="2"/>
      <c r="BK50" s="2"/>
      <c r="BL50" s="2"/>
      <c r="BM50" s="2"/>
      <c r="BN50" s="2"/>
      <c r="BO50" s="2"/>
      <c r="BP50" s="2"/>
      <c r="BQ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row>
  </sheetData>
  <dataValidations>
    <dataValidation type="list" allowBlank="1" showErrorMessage="1" sqref="B1">
      <formula1>#REF!</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2" max="2" width="22.0"/>
    <col customWidth="1" min="3" max="3" width="15.88"/>
    <col customWidth="1" min="8" max="8" width="26.88"/>
    <col hidden="1" min="9" max="9" width="12.63"/>
    <col customWidth="1" min="10" max="10" width="18.25"/>
    <col hidden="1" min="18" max="56" width="12.63"/>
    <col customWidth="1" min="57" max="57" width="21.13"/>
    <col customWidth="1" min="58" max="58" width="20.38"/>
    <col customWidth="1" min="59" max="59" width="21.25"/>
  </cols>
  <sheetData>
    <row r="1">
      <c r="A1" s="133"/>
      <c r="B1" s="150" t="s">
        <v>1394</v>
      </c>
      <c r="C1" s="135"/>
      <c r="D1" s="2"/>
      <c r="E1" s="2"/>
      <c r="F1" s="2"/>
      <c r="G1" s="2"/>
      <c r="H1" s="2"/>
      <c r="I1" s="2"/>
      <c r="J1" s="2"/>
      <c r="K1" s="2"/>
      <c r="L1" s="2"/>
      <c r="M1" s="2"/>
      <c r="N1" s="2"/>
      <c r="O1" s="2"/>
      <c r="P1" s="2"/>
      <c r="Q1" s="45"/>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row>
    <row r="2">
      <c r="A2" s="2"/>
      <c r="B2" s="2"/>
      <c r="C2" s="2"/>
      <c r="D2" s="2"/>
      <c r="E2" s="2"/>
      <c r="F2" s="2"/>
      <c r="G2" s="2"/>
      <c r="H2" s="2"/>
      <c r="I2" s="2"/>
      <c r="J2" s="2"/>
      <c r="K2" s="2"/>
      <c r="L2" s="2"/>
      <c r="M2" s="2"/>
      <c r="N2" s="2"/>
      <c r="O2" s="2"/>
      <c r="P2" s="2"/>
      <c r="Q2" s="45"/>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row>
    <row r="3">
      <c r="A3" s="136" t="s">
        <v>3</v>
      </c>
      <c r="B3" s="136" t="s">
        <v>48</v>
      </c>
      <c r="C3" s="136" t="s">
        <v>49</v>
      </c>
      <c r="D3" s="137" t="s">
        <v>50</v>
      </c>
      <c r="E3" s="136" t="s">
        <v>51</v>
      </c>
      <c r="F3" s="136" t="s">
        <v>52</v>
      </c>
      <c r="G3" s="136" t="s">
        <v>53</v>
      </c>
      <c r="H3" s="136" t="s">
        <v>54</v>
      </c>
      <c r="I3" s="136" t="s">
        <v>55</v>
      </c>
      <c r="J3" s="136" t="s">
        <v>56</v>
      </c>
      <c r="K3" s="136" t="s">
        <v>57</v>
      </c>
      <c r="L3" s="136" t="s">
        <v>58</v>
      </c>
      <c r="M3" s="136" t="s">
        <v>59</v>
      </c>
      <c r="N3" s="138" t="s">
        <v>60</v>
      </c>
      <c r="O3" s="139" t="s">
        <v>61</v>
      </c>
      <c r="P3" s="138" t="s">
        <v>62</v>
      </c>
      <c r="Q3" s="140" t="s">
        <v>63</v>
      </c>
      <c r="R3" s="136" t="s">
        <v>1357</v>
      </c>
      <c r="S3" s="138" t="s">
        <v>1358</v>
      </c>
      <c r="T3" s="138" t="s">
        <v>1359</v>
      </c>
      <c r="U3" s="138" t="s">
        <v>1360</v>
      </c>
      <c r="V3" s="138" t="s">
        <v>1361</v>
      </c>
      <c r="W3" s="138" t="s">
        <v>1362</v>
      </c>
      <c r="X3" s="136"/>
      <c r="Y3" s="136" t="s">
        <v>1363</v>
      </c>
      <c r="Z3" s="136" t="s">
        <v>1364</v>
      </c>
      <c r="AA3" s="136" t="s">
        <v>1365</v>
      </c>
      <c r="AB3" s="137" t="s">
        <v>1366</v>
      </c>
      <c r="AC3" s="137" t="s">
        <v>1367</v>
      </c>
      <c r="AD3" s="136" t="s">
        <v>1368</v>
      </c>
      <c r="AE3" s="137" t="s">
        <v>1369</v>
      </c>
      <c r="AF3" s="136" t="s">
        <v>1370</v>
      </c>
      <c r="AG3" s="141" t="s">
        <v>1371</v>
      </c>
      <c r="AH3" s="141" t="s">
        <v>1372</v>
      </c>
      <c r="AI3" s="141" t="s">
        <v>1373</v>
      </c>
      <c r="AJ3" s="141" t="s">
        <v>1374</v>
      </c>
      <c r="AK3" s="138" t="s">
        <v>1375</v>
      </c>
      <c r="AL3" s="138" t="s">
        <v>1376</v>
      </c>
      <c r="AM3" s="138" t="s">
        <v>1377</v>
      </c>
      <c r="AN3" s="136"/>
      <c r="AO3" s="136" t="s">
        <v>1378</v>
      </c>
      <c r="AP3" s="136" t="s">
        <v>1379</v>
      </c>
      <c r="AQ3" s="136" t="s">
        <v>1380</v>
      </c>
      <c r="AR3" s="136" t="s">
        <v>1381</v>
      </c>
      <c r="AS3" s="136" t="s">
        <v>1382</v>
      </c>
      <c r="AT3" s="136" t="s">
        <v>1383</v>
      </c>
      <c r="AU3" s="136" t="s">
        <v>1384</v>
      </c>
      <c r="AV3" s="136" t="s">
        <v>1385</v>
      </c>
      <c r="AW3" s="136" t="s">
        <v>1386</v>
      </c>
      <c r="AX3" s="136" t="s">
        <v>1387</v>
      </c>
      <c r="AY3" s="136"/>
      <c r="AZ3" s="136" t="s">
        <v>1388</v>
      </c>
      <c r="BA3" s="136" t="s">
        <v>1389</v>
      </c>
      <c r="BB3" s="136" t="s">
        <v>1390</v>
      </c>
      <c r="BC3" s="137" t="s">
        <v>1391</v>
      </c>
      <c r="BD3" s="136" t="s">
        <v>1392</v>
      </c>
      <c r="BE3" s="137" t="s">
        <v>1391</v>
      </c>
      <c r="BF3" s="136" t="s">
        <v>1393</v>
      </c>
      <c r="BG3" s="137" t="s">
        <v>9</v>
      </c>
      <c r="BH3" s="136"/>
      <c r="BI3" s="136"/>
      <c r="BJ3" s="136"/>
      <c r="BK3" s="136"/>
      <c r="BL3" s="136"/>
      <c r="BM3" s="136"/>
      <c r="BN3" s="136"/>
      <c r="BO3" s="136"/>
      <c r="BP3" s="136"/>
      <c r="BQ3" s="136"/>
    </row>
    <row r="4">
      <c r="A4" s="2">
        <f>IFERROR(__xludf.DUMMYFUNCTION("FILTER('TỔNG'!A$10:$BG999,'TỔNG'!$B10:$B999=B1)"),88.0)</f>
        <v>88</v>
      </c>
      <c r="B4" s="2" t="str">
        <f>IFERROR(__xludf.DUMMYFUNCTION("""COMPUTED_VALUE"""),"Niềm Tin Việt")</f>
        <v>Niềm Tin Việt</v>
      </c>
      <c r="C4" s="2" t="str">
        <f>IFERROR(__xludf.DUMMYFUNCTION("""COMPUTED_VALUE"""),"ATP20052602")</f>
        <v>ATP20052602</v>
      </c>
      <c r="D4" s="39">
        <f>IFERROR(__xludf.DUMMYFUNCTION("""COMPUTED_VALUE"""),46162.0)</f>
        <v>46162</v>
      </c>
      <c r="E4" s="2" t="str">
        <f>IFERROR(__xludf.DUMMYFUNCTION("""COMPUTED_VALUE"""),"Đã duyệt")</f>
        <v>Đã duyệt</v>
      </c>
      <c r="F4" s="2" t="str">
        <f>IFERROR(__xludf.DUMMYFUNCTION("""COMPUTED_VALUE"""),"ABA")</f>
        <v>ABA</v>
      </c>
      <c r="G4" s="2" t="str">
        <f>IFERROR(__xludf.DUMMYFUNCTION("""COMPUTED_VALUE"""),"HH4920")</f>
        <v>HH4920</v>
      </c>
      <c r="H4" s="2" t="str">
        <f>IFERROR(__xludf.DUMMYFUNCTION("""COMPUTED_VALUE"""),"GC - V - 4920 - CTY SEN HỒNG - HUMIIX (Dạng viên màu đen) - 1kg - 25")</f>
        <v>GC - V - 4920 - CTY SEN HỒNG - HUMIIX (Dạng viên màu đen) - 1kg - 25</v>
      </c>
      <c r="I4" s="2" t="str">
        <f>IFERROR(__xludf.DUMMYFUNCTION("""COMPUTED_VALUE"""),"Phân bón")</f>
        <v>Phân bón</v>
      </c>
      <c r="J4" s="142" t="str">
        <f>IFERROR(__xludf.DUMMYFUNCTION("""COMPUTED_VALUE"""),"Hữu Cơ PBHC ABA Organic Fertilizer 20")</f>
        <v>Hữu Cơ PBHC ABA Organic Fertilizer 20</v>
      </c>
      <c r="K4" s="2" t="str">
        <f>IFERROR(__xludf.DUMMYFUNCTION("""COMPUTED_VALUE"""),"A04020426")</f>
        <v>A04020426</v>
      </c>
      <c r="L4" s="2" t="str">
        <f>IFERROR(__xludf.DUMMYFUNCTION("""COMPUTED_VALUE"""),"Dạng viên
Màu đen")</f>
        <v>Dạng viên
Màu đen</v>
      </c>
      <c r="M4" s="2" t="str">
        <f>IFERROR(__xludf.DUMMYFUNCTION("""COMPUTED_VALUE"""),"Túi/Gói")</f>
        <v>Túi/Gói</v>
      </c>
      <c r="N4" s="142">
        <f>IFERROR(__xludf.DUMMYFUNCTION("""COMPUTED_VALUE"""),25.0)</f>
        <v>25</v>
      </c>
      <c r="O4" s="142">
        <f>IFERROR(__xludf.DUMMYFUNCTION("""COMPUTED_VALUE"""),20.0)</f>
        <v>20</v>
      </c>
      <c r="P4" s="142">
        <f>IFERROR(__xludf.DUMMYFUNCTION("""COMPUTED_VALUE"""),500.0)</f>
        <v>500</v>
      </c>
      <c r="Q4" s="145">
        <f>IFERROR(__xludf.DUMMYFUNCTION("""COMPUTED_VALUE"""),46175.0)</f>
        <v>46175</v>
      </c>
      <c r="R4" s="2"/>
      <c r="S4" s="142" t="str">
        <f>IFERROR(__xludf.DUMMYFUNCTION("""COMPUTED_VALUE"""),"lấy chẳn thùng")</f>
        <v>lấy chẳn thùng</v>
      </c>
      <c r="T4" s="2"/>
      <c r="U4" s="2"/>
      <c r="V4" s="2"/>
      <c r="W4" s="2" t="str">
        <f>IFERROR(__xludf.DUMMYFUNCTION("""COMPUTED_VALUE"""),"SEN HỒNG - Giá bán 28000 - Ngày dự kiến thu tiền:  - Dự kiến ngày ra hết hàng: ")</f>
        <v>SEN HỒNG - Giá bán 28000 - Ngày dự kiến thu tiền:  - Dự kiến ngày ra hết hàng: </v>
      </c>
      <c r="X4" s="2"/>
      <c r="Y4" s="2" t="str">
        <f>IFERROR(__xludf.DUMMYFUNCTION("""COMPUTED_VALUE"""),"Niềm Tin Việt")</f>
        <v>Niềm Tin Việt</v>
      </c>
      <c r="Z4" s="2" t="str">
        <f>IFERROR(__xludf.DUMMYFUNCTION("""COMPUTED_VALUE"""),"Chờ lấy hoá đơn")</f>
        <v>Chờ lấy hoá đơn</v>
      </c>
      <c r="AA4" s="2"/>
      <c r="AB4" s="2" t="str">
        <f>IFERROR(__xludf.DUMMYFUNCTION("""COMPUTED_VALUE"""),"chưa gửi đơn, chưa duyệt pháp lý, duyệt giá
25/05 chưa gửi đơn do chưa duyệt pháp lý
mã btp 01RR0083
đã gửi đơn 25/05
đã gửi lệnh sx và phiếu đề nghị xuất kho nguyên liệu cho kế toán 25/05")</f>
        <v>chưa gửi đơn, chưa duyệt pháp lý, duyệt giá
25/05 chưa gửi đơn do chưa duyệt pháp lý
mã btp 01RR0083
đã gửi đơn 25/05
đã gửi lệnh sx và phiếu đề nghị xuất kho nguyên liệu cho kế toán 25/05</v>
      </c>
      <c r="AC4" s="2"/>
      <c r="AD4" s="2">
        <f>IFERROR(__xludf.DUMMYFUNCTION("""COMPUTED_VALUE"""),500.0)</f>
        <v>500</v>
      </c>
      <c r="AE4" s="143">
        <f>IFERROR(__xludf.DUMMYFUNCTION("""COMPUTED_VALUE"""),46174.0)</f>
        <v>46174</v>
      </c>
      <c r="AF4" s="146" t="str">
        <f>IFERROR(__xludf.DUMMYFUNCTION("""COMPUTED_VALUE"""),"")</f>
        <v/>
      </c>
      <c r="AG4" s="143">
        <f>IFERROR(__xludf.DUMMYFUNCTION("""COMPUTED_VALUE"""),46174.0)</f>
        <v>46174</v>
      </c>
      <c r="AH4" s="2">
        <f>IFERROR(__xludf.DUMMYFUNCTION("""COMPUTED_VALUE"""),500.0)</f>
        <v>500</v>
      </c>
      <c r="AI4" s="2"/>
      <c r="AJ4" s="2"/>
      <c r="AK4" s="2"/>
      <c r="AL4" s="2"/>
      <c r="AM4" s="142">
        <f>IFERROR(__xludf.DUMMYFUNCTION("""COMPUTED_VALUE"""),500.0)</f>
        <v>500</v>
      </c>
      <c r="AN4" s="2"/>
      <c r="AO4" s="2"/>
      <c r="AP4" s="2"/>
      <c r="AQ4" s="2"/>
      <c r="AR4" s="2" t="str">
        <f>IFERROR(__xludf.DUMMYFUNCTION("""COMPUTED_VALUE"""),"070526N")</f>
        <v>070526N</v>
      </c>
      <c r="AS4" s="2"/>
      <c r="AT4" s="2"/>
      <c r="AU4" s="2"/>
      <c r="AV4" s="2"/>
      <c r="AW4" s="2"/>
      <c r="AX4" s="2"/>
      <c r="AY4" s="2"/>
      <c r="AZ4" s="2" t="str">
        <f>IFERROR(__xludf.DUMMYFUNCTION("""COMPUTED_VALUE"""),"#REF!")</f>
        <v>#REF!</v>
      </c>
      <c r="BA4" s="2" t="str">
        <f>IFERROR(__xludf.DUMMYFUNCTION("""COMPUTED_VALUE"""),"Đủ điều kiện")</f>
        <v>Đủ điều kiện</v>
      </c>
      <c r="BB4" s="2" t="str">
        <f>IFERROR(__xludf.DUMMYFUNCTION("""COMPUTED_VALUE"""),"Duyệt")</f>
        <v>Duyệt</v>
      </c>
      <c r="BC4" s="148">
        <f>IFERROR(__xludf.DUMMYFUNCTION("""COMPUTED_VALUE"""),46163.0)</f>
        <v>46163</v>
      </c>
      <c r="BD4" s="2" t="str">
        <f>IFERROR(__xludf.DUMMYFUNCTION("""COMPUTED_VALUE"""),"Duyệt")</f>
        <v>Duyệt</v>
      </c>
      <c r="BE4" s="2" t="str">
        <f>IFERROR(__xludf.DUMMYFUNCTION("""COMPUTED_VALUE"""),"xlg 21/05
22/05")</f>
        <v>xlg 21/05
22/05</v>
      </c>
      <c r="BF4" s="2" t="str">
        <f>IFERROR(__xludf.DUMMYFUNCTION("""COMPUTED_VALUE"""),"Đã xử lí giá")</f>
        <v>Đã xử lí giá</v>
      </c>
      <c r="BG4" s="2" t="str">
        <f>IFERROR(__xludf.DUMMYFUNCTION("""COMPUTED_VALUE"""),"A04020426  Dạng viên Màu đen Lượng tồn kho còn 500kg không đủ BTP đóng hàng 20/5/2026
KD tách đơn hàng đóng trước 500kg 20/5/2026")</f>
        <v>A04020426  Dạng viên Màu đen Lượng tồn kho còn 500kg không đủ BTP đóng hàng 20/5/2026
KD tách đơn hàng đóng trước 500kg 20/5/2026</v>
      </c>
      <c r="BH4" s="2"/>
      <c r="BI4" s="2"/>
      <c r="BJ4" s="2"/>
      <c r="BK4" s="2"/>
      <c r="BL4" s="2"/>
      <c r="BM4" s="2"/>
      <c r="BN4" s="2"/>
      <c r="BO4" s="2"/>
      <c r="BP4" s="2"/>
      <c r="BQ4" s="2"/>
    </row>
    <row r="5">
      <c r="A5" s="2">
        <f>IFERROR(__xludf.DUMMYFUNCTION("""COMPUTED_VALUE"""),89.0)</f>
        <v>89</v>
      </c>
      <c r="B5" s="2" t="str">
        <f>IFERROR(__xludf.DUMMYFUNCTION("""COMPUTED_VALUE"""),"Niềm Tin Việt")</f>
        <v>Niềm Tin Việt</v>
      </c>
      <c r="C5" s="2" t="str">
        <f>IFERROR(__xludf.DUMMYFUNCTION("""COMPUTED_VALUE"""),"ATP20052603")</f>
        <v>ATP20052603</v>
      </c>
      <c r="D5" s="39">
        <f>IFERROR(__xludf.DUMMYFUNCTION("""COMPUTED_VALUE"""),46162.0)</f>
        <v>46162</v>
      </c>
      <c r="E5" s="2" t="str">
        <f>IFERROR(__xludf.DUMMYFUNCTION("""COMPUTED_VALUE"""),"Đã duyệt")</f>
        <v>Đã duyệt</v>
      </c>
      <c r="F5" s="2" t="str">
        <f>IFERROR(__xludf.DUMMYFUNCTION("""COMPUTED_VALUE"""),"ABA")</f>
        <v>ABA</v>
      </c>
      <c r="G5" s="2" t="str">
        <f>IFERROR(__xludf.DUMMYFUNCTION("""COMPUTED_VALUE"""),"HH4920")</f>
        <v>HH4920</v>
      </c>
      <c r="H5" s="2" t="str">
        <f>IFERROR(__xludf.DUMMYFUNCTION("""COMPUTED_VALUE"""),"GC - V - 4920 - CTY SEN HỒNG - HUMIIX (Dạng viên màu đen) - 1kg - 25")</f>
        <v>GC - V - 4920 - CTY SEN HỒNG - HUMIIX (Dạng viên màu đen) - 1kg - 25</v>
      </c>
      <c r="I5" s="2" t="str">
        <f>IFERROR(__xludf.DUMMYFUNCTION("""COMPUTED_VALUE"""),"Phân bón")</f>
        <v>Phân bón</v>
      </c>
      <c r="J5" s="142" t="str">
        <f>IFERROR(__xludf.DUMMYFUNCTION("""COMPUTED_VALUE"""),"Hữu Cơ PBHC ABA Organic Fertilizer 20")</f>
        <v>Hữu Cơ PBHC ABA Organic Fertilizer 20</v>
      </c>
      <c r="K5" s="2" t="str">
        <f>IFERROR(__xludf.DUMMYFUNCTION("""COMPUTED_VALUE"""),"A04020426")</f>
        <v>A04020426</v>
      </c>
      <c r="L5" s="2" t="str">
        <f>IFERROR(__xludf.DUMMYFUNCTION("""COMPUTED_VALUE"""),"Dạng viên
Màu đen")</f>
        <v>Dạng viên
Màu đen</v>
      </c>
      <c r="M5" s="2" t="str">
        <f>IFERROR(__xludf.DUMMYFUNCTION("""COMPUTED_VALUE"""),"Túi/Gói")</f>
        <v>Túi/Gói</v>
      </c>
      <c r="N5" s="142">
        <f>IFERROR(__xludf.DUMMYFUNCTION("""COMPUTED_VALUE"""),25.0)</f>
        <v>25</v>
      </c>
      <c r="O5" s="142">
        <f>IFERROR(__xludf.DUMMYFUNCTION("""COMPUTED_VALUE"""),20.0)</f>
        <v>20</v>
      </c>
      <c r="P5" s="142">
        <f>IFERROR(__xludf.DUMMYFUNCTION("""COMPUTED_VALUE"""),500.0)</f>
        <v>500</v>
      </c>
      <c r="Q5" s="145">
        <f>IFERROR(__xludf.DUMMYFUNCTION("""COMPUTED_VALUE"""),46175.0)</f>
        <v>46175</v>
      </c>
      <c r="R5" s="2"/>
      <c r="S5" s="142" t="str">
        <f>IFERROR(__xludf.DUMMYFUNCTION("""COMPUTED_VALUE"""),"lấy chẳn thùng")</f>
        <v>lấy chẳn thùng</v>
      </c>
      <c r="T5" s="2"/>
      <c r="U5" s="2"/>
      <c r="V5" s="2"/>
      <c r="W5" s="2" t="str">
        <f>IFERROR(__xludf.DUMMYFUNCTION("""COMPUTED_VALUE"""),"SEN HỒNG - Giá bán 28000 - Ngày dự kiến thu tiền:  - Dự kiến ngày ra hết hàng: ")</f>
        <v>SEN HỒNG - Giá bán 28000 - Ngày dự kiến thu tiền:  - Dự kiến ngày ra hết hàng: </v>
      </c>
      <c r="X5" s="2"/>
      <c r="Y5" s="2" t="str">
        <f>IFERROR(__xludf.DUMMYFUNCTION("""COMPUTED_VALUE"""),"Niềm Tin Việt")</f>
        <v>Niềm Tin Việt</v>
      </c>
      <c r="Z5" s="2" t="str">
        <f>IFERROR(__xludf.DUMMYFUNCTION("""COMPUTED_VALUE"""),"Chờ lấy hoá đơn")</f>
        <v>Chờ lấy hoá đơn</v>
      </c>
      <c r="AA5" s="2"/>
      <c r="AB5" s="2" t="str">
        <f>IFERROR(__xludf.DUMMYFUNCTION("""COMPUTED_VALUE"""),"chưa gửi đơn, chưa đủ btp
đã đủ btp, đang chờ duyệt pháp lý 26/05
đã duyệt đơn 27/05, 
mã btp 01RR0083
đã gửi đơn 28/05")</f>
        <v>chưa gửi đơn, chưa đủ btp
đã đủ btp, đang chờ duyệt pháp lý 26/05
đã duyệt đơn 27/05, 
mã btp 01RR0083
đã gửi đơn 28/05</v>
      </c>
      <c r="AC5" s="2"/>
      <c r="AD5" s="2">
        <f>IFERROR(__xludf.DUMMYFUNCTION("""COMPUTED_VALUE"""),501.0)</f>
        <v>501</v>
      </c>
      <c r="AE5" s="143">
        <f>IFERROR(__xludf.DUMMYFUNCTION("""COMPUTED_VALUE"""),46174.0)</f>
        <v>46174</v>
      </c>
      <c r="AF5" s="146" t="str">
        <f>IFERROR(__xludf.DUMMYFUNCTION("""COMPUTED_VALUE"""),"")</f>
        <v/>
      </c>
      <c r="AG5" s="143">
        <f>IFERROR(__xludf.DUMMYFUNCTION("""COMPUTED_VALUE"""),46174.0)</f>
        <v>46174</v>
      </c>
      <c r="AH5" s="2">
        <f>IFERROR(__xludf.DUMMYFUNCTION("""COMPUTED_VALUE"""),501.0)</f>
        <v>501</v>
      </c>
      <c r="AI5" s="2"/>
      <c r="AJ5" s="2"/>
      <c r="AK5" s="2"/>
      <c r="AL5" s="2"/>
      <c r="AM5" s="142">
        <f>IFERROR(__xludf.DUMMYFUNCTION("""COMPUTED_VALUE"""),501.0)</f>
        <v>501</v>
      </c>
      <c r="AN5" s="2"/>
      <c r="AO5" s="2"/>
      <c r="AP5" s="2"/>
      <c r="AQ5" s="2"/>
      <c r="AR5" s="2" t="str">
        <f>IFERROR(__xludf.DUMMYFUNCTION("""COMPUTED_VALUE"""),"080526N")</f>
        <v>080526N</v>
      </c>
      <c r="AS5" s="2"/>
      <c r="AT5" s="2"/>
      <c r="AU5" s="2"/>
      <c r="AV5" s="2"/>
      <c r="AW5" s="2"/>
      <c r="AX5" s="2"/>
      <c r="AY5" s="2"/>
      <c r="AZ5" s="2" t="str">
        <f>IFERROR(__xludf.DUMMYFUNCTION("""COMPUTED_VALUE"""),"#REF!")</f>
        <v>#REF!</v>
      </c>
      <c r="BA5" s="2" t="str">
        <f>IFERROR(__xludf.DUMMYFUNCTION("""COMPUTED_VALUE"""),"Đủ điều kiện")</f>
        <v>Đủ điều kiện</v>
      </c>
      <c r="BB5" s="2" t="str">
        <f>IFERROR(__xludf.DUMMYFUNCTION("""COMPUTED_VALUE"""),"Duyệt")</f>
        <v>Duyệt</v>
      </c>
      <c r="BC5" s="148">
        <f>IFERROR(__xludf.DUMMYFUNCTION("""COMPUTED_VALUE"""),46163.0)</f>
        <v>46163</v>
      </c>
      <c r="BD5" s="2" t="str">
        <f>IFERROR(__xludf.DUMMYFUNCTION("""COMPUTED_VALUE"""),"Duyệt")</f>
        <v>Duyệt</v>
      </c>
      <c r="BE5" s="2" t="str">
        <f>IFERROR(__xludf.DUMMYFUNCTION("""COMPUTED_VALUE"""),"xlg 26/05
26/05")</f>
        <v>xlg 26/05
26/05</v>
      </c>
      <c r="BF5" s="2" t="str">
        <f>IFERROR(__xludf.DUMMYFUNCTION("""COMPUTED_VALUE"""),"Đã xử lí giá")</f>
        <v>Đã xử lí giá</v>
      </c>
      <c r="BG5" s="2" t="str">
        <f>IFERROR(__xludf.DUMMYFUNCTION("""COMPUTED_VALUE"""),"A04020426 Dạng viên Màu đen 28,000đ 21/5/2026
Hết tồn kho đóng hàng 21/5/2026
KD đã cho mua 3000kg, ngày 26/5/2026")</f>
        <v>A04020426 Dạng viên Màu đen 28,000đ 21/5/2026
Hết tồn kho đóng hàng 21/5/2026
KD đã cho mua 3000kg, ngày 26/5/2026</v>
      </c>
      <c r="BH5" s="2"/>
      <c r="BI5" s="2"/>
      <c r="BJ5" s="2"/>
      <c r="BK5" s="2"/>
      <c r="BL5" s="2"/>
      <c r="BM5" s="2"/>
      <c r="BN5" s="2"/>
      <c r="BO5" s="2"/>
      <c r="BP5" s="2"/>
      <c r="BQ5" s="2"/>
    </row>
    <row r="6">
      <c r="A6" s="2"/>
      <c r="B6" s="2"/>
      <c r="C6" s="2"/>
      <c r="D6" s="2"/>
      <c r="E6" s="2"/>
      <c r="F6" s="2"/>
      <c r="G6" s="2"/>
      <c r="H6" s="2"/>
      <c r="I6" s="2"/>
      <c r="J6" s="2"/>
      <c r="K6" s="2"/>
      <c r="L6" s="2"/>
      <c r="M6" s="2"/>
      <c r="N6" s="2"/>
      <c r="O6" s="2"/>
      <c r="P6" s="2"/>
      <c r="Q6" s="45"/>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row>
    <row r="7">
      <c r="A7" s="2"/>
      <c r="B7" s="2"/>
      <c r="C7" s="2"/>
      <c r="D7" s="2"/>
      <c r="E7" s="2"/>
      <c r="F7" s="2"/>
      <c r="G7" s="2"/>
      <c r="H7" s="2"/>
      <c r="I7" s="2"/>
      <c r="J7" s="2"/>
      <c r="K7" s="2"/>
      <c r="L7" s="2"/>
      <c r="M7" s="2"/>
      <c r="N7" s="2"/>
      <c r="O7" s="2"/>
      <c r="P7" s="2"/>
      <c r="Q7" s="45"/>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row>
    <row r="8">
      <c r="A8" s="2"/>
      <c r="B8" s="2"/>
      <c r="C8" s="2"/>
      <c r="D8" s="2"/>
      <c r="E8" s="2"/>
      <c r="F8" s="2"/>
      <c r="G8" s="2"/>
      <c r="H8" s="2"/>
      <c r="I8" s="2"/>
      <c r="J8" s="2"/>
      <c r="K8" s="2"/>
      <c r="L8" s="2"/>
      <c r="M8" s="2"/>
      <c r="N8" s="2"/>
      <c r="O8" s="2"/>
      <c r="P8" s="2"/>
      <c r="Q8" s="45"/>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row>
    <row r="9">
      <c r="A9" s="2"/>
      <c r="B9" s="2"/>
      <c r="C9" s="2"/>
      <c r="D9" s="2"/>
      <c r="E9" s="2"/>
      <c r="F9" s="2"/>
      <c r="G9" s="2"/>
      <c r="H9" s="2"/>
      <c r="I9" s="2"/>
      <c r="J9" s="2"/>
      <c r="K9" s="2"/>
      <c r="L9" s="2"/>
      <c r="M9" s="2"/>
      <c r="N9" s="2"/>
      <c r="O9" s="2"/>
      <c r="P9" s="2"/>
      <c r="Q9" s="45"/>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row>
    <row r="10">
      <c r="A10" s="2"/>
      <c r="B10" s="2"/>
      <c r="C10" s="2"/>
      <c r="D10" s="2"/>
      <c r="E10" s="2"/>
      <c r="F10" s="2"/>
      <c r="G10" s="2"/>
      <c r="H10" s="2"/>
      <c r="I10" s="2"/>
      <c r="J10" s="2"/>
      <c r="K10" s="2"/>
      <c r="L10" s="2"/>
      <c r="M10" s="2"/>
      <c r="N10" s="2"/>
      <c r="O10" s="2"/>
      <c r="P10" s="2"/>
      <c r="Q10" s="45"/>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row>
    <row r="11">
      <c r="A11" s="2"/>
      <c r="B11" s="2"/>
      <c r="C11" s="2"/>
      <c r="D11" s="2"/>
      <c r="E11" s="2"/>
      <c r="F11" s="2"/>
      <c r="G11" s="2"/>
      <c r="H11" s="2"/>
      <c r="I11" s="2"/>
      <c r="J11" s="2"/>
      <c r="K11" s="2"/>
      <c r="L11" s="2"/>
      <c r="M11" s="2"/>
      <c r="N11" s="2"/>
      <c r="O11" s="2"/>
      <c r="P11" s="2"/>
      <c r="Q11" s="45"/>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row>
    <row r="12">
      <c r="A12" s="2"/>
      <c r="B12" s="2"/>
      <c r="C12" s="2"/>
      <c r="D12" s="2"/>
      <c r="E12" s="2"/>
      <c r="F12" s="2"/>
      <c r="G12" s="2"/>
      <c r="H12" s="2"/>
      <c r="I12" s="2"/>
      <c r="J12" s="2"/>
      <c r="K12" s="2"/>
      <c r="L12" s="2"/>
      <c r="M12" s="2"/>
      <c r="N12" s="2"/>
      <c r="O12" s="2"/>
      <c r="P12" s="2"/>
      <c r="Q12" s="45"/>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row>
    <row r="13">
      <c r="A13" s="2"/>
      <c r="B13" s="2"/>
      <c r="C13" s="2"/>
      <c r="D13" s="2"/>
      <c r="E13" s="2"/>
      <c r="F13" s="2"/>
      <c r="G13" s="2"/>
      <c r="H13" s="2"/>
      <c r="I13" s="2"/>
      <c r="J13" s="2"/>
      <c r="K13" s="2"/>
      <c r="L13" s="2"/>
      <c r="M13" s="2"/>
      <c r="N13" s="2"/>
      <c r="O13" s="2"/>
      <c r="P13" s="2"/>
      <c r="Q13" s="45"/>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row>
    <row r="14">
      <c r="A14" s="2"/>
      <c r="B14" s="2"/>
      <c r="C14" s="2"/>
      <c r="D14" s="2"/>
      <c r="E14" s="2"/>
      <c r="F14" s="2"/>
      <c r="G14" s="2"/>
      <c r="H14" s="2"/>
      <c r="I14" s="2"/>
      <c r="J14" s="2"/>
      <c r="K14" s="2"/>
      <c r="L14" s="2"/>
      <c r="M14" s="2"/>
      <c r="N14" s="2"/>
      <c r="O14" s="2"/>
      <c r="P14" s="2"/>
      <c r="Q14" s="45"/>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row>
    <row r="15">
      <c r="A15" s="2"/>
      <c r="B15" s="2"/>
      <c r="C15" s="2"/>
      <c r="D15" s="2"/>
      <c r="E15" s="2"/>
      <c r="F15" s="2"/>
      <c r="G15" s="2"/>
      <c r="H15" s="2"/>
      <c r="I15" s="2"/>
      <c r="J15" s="2"/>
      <c r="K15" s="2"/>
      <c r="L15" s="2"/>
      <c r="M15" s="2"/>
      <c r="N15" s="2"/>
      <c r="O15" s="2"/>
      <c r="P15" s="2"/>
      <c r="Q15" s="45"/>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row>
    <row r="16">
      <c r="A16" s="2"/>
      <c r="B16" s="2"/>
      <c r="C16" s="2"/>
      <c r="D16" s="2"/>
      <c r="E16" s="2"/>
      <c r="F16" s="2"/>
      <c r="G16" s="2"/>
      <c r="H16" s="2"/>
      <c r="I16" s="2"/>
      <c r="J16" s="2"/>
      <c r="K16" s="2"/>
      <c r="L16" s="2"/>
      <c r="M16" s="2"/>
      <c r="N16" s="2"/>
      <c r="O16" s="2"/>
      <c r="P16" s="2"/>
      <c r="Q16" s="45"/>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row>
    <row r="17">
      <c r="A17" s="2"/>
      <c r="B17" s="2"/>
      <c r="C17" s="2"/>
      <c r="D17" s="2"/>
      <c r="E17" s="2"/>
      <c r="F17" s="2"/>
      <c r="G17" s="2"/>
      <c r="H17" s="2"/>
      <c r="I17" s="2"/>
      <c r="J17" s="2"/>
      <c r="K17" s="2"/>
      <c r="L17" s="2"/>
      <c r="M17" s="2"/>
      <c r="N17" s="2"/>
      <c r="O17" s="2"/>
      <c r="P17" s="2"/>
      <c r="Q17" s="45"/>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row>
    <row r="18">
      <c r="A18" s="2"/>
      <c r="B18" s="2"/>
      <c r="C18" s="2"/>
      <c r="D18" s="2"/>
      <c r="E18" s="2"/>
      <c r="F18" s="2"/>
      <c r="G18" s="2"/>
      <c r="H18" s="2"/>
      <c r="I18" s="2"/>
      <c r="J18" s="2"/>
      <c r="K18" s="2"/>
      <c r="L18" s="2"/>
      <c r="M18" s="2"/>
      <c r="N18" s="2"/>
      <c r="O18" s="2"/>
      <c r="P18" s="2"/>
      <c r="Q18" s="45"/>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row>
    <row r="19">
      <c r="A19" s="2"/>
      <c r="B19" s="2"/>
      <c r="C19" s="2"/>
      <c r="D19" s="2"/>
      <c r="E19" s="2"/>
      <c r="F19" s="2"/>
      <c r="G19" s="2"/>
      <c r="H19" s="2"/>
      <c r="I19" s="2"/>
      <c r="J19" s="2"/>
      <c r="K19" s="2"/>
      <c r="L19" s="2"/>
      <c r="M19" s="2"/>
      <c r="N19" s="2"/>
      <c r="O19" s="2"/>
      <c r="P19" s="2"/>
      <c r="Q19" s="45"/>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row>
    <row r="20">
      <c r="A20" s="2"/>
      <c r="B20" s="2"/>
      <c r="C20" s="2"/>
      <c r="D20" s="2"/>
      <c r="E20" s="2"/>
      <c r="F20" s="2"/>
      <c r="G20" s="2"/>
      <c r="H20" s="2"/>
      <c r="I20" s="2"/>
      <c r="J20" s="2"/>
      <c r="K20" s="2"/>
      <c r="L20" s="2"/>
      <c r="M20" s="2"/>
      <c r="N20" s="2"/>
      <c r="O20" s="2"/>
      <c r="P20" s="2"/>
      <c r="Q20" s="45"/>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c r="A21" s="2"/>
      <c r="B21" s="2"/>
      <c r="C21" s="2"/>
      <c r="D21" s="2"/>
      <c r="E21" s="2"/>
      <c r="F21" s="2"/>
      <c r="G21" s="2"/>
      <c r="H21" s="2"/>
      <c r="I21" s="2"/>
      <c r="J21" s="2"/>
      <c r="K21" s="2"/>
      <c r="L21" s="2"/>
      <c r="M21" s="2"/>
      <c r="N21" s="2"/>
      <c r="O21" s="2"/>
      <c r="P21" s="2"/>
      <c r="Q21" s="45"/>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c r="A22" s="2"/>
      <c r="B22" s="2"/>
      <c r="C22" s="2"/>
      <c r="D22" s="2"/>
      <c r="E22" s="2"/>
      <c r="F22" s="2"/>
      <c r="G22" s="2"/>
      <c r="H22" s="2"/>
      <c r="I22" s="2"/>
      <c r="J22" s="2"/>
      <c r="K22" s="2"/>
      <c r="L22" s="2"/>
      <c r="M22" s="2"/>
      <c r="N22" s="2"/>
      <c r="O22" s="2"/>
      <c r="P22" s="2"/>
      <c r="Q22" s="45"/>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row>
    <row r="23">
      <c r="A23" s="2"/>
      <c r="B23" s="2"/>
      <c r="C23" s="2"/>
      <c r="D23" s="2"/>
      <c r="E23" s="2"/>
      <c r="F23" s="2"/>
      <c r="G23" s="2"/>
      <c r="H23" s="2"/>
      <c r="I23" s="2"/>
      <c r="J23" s="2"/>
      <c r="K23" s="2"/>
      <c r="L23" s="2"/>
      <c r="M23" s="2"/>
      <c r="N23" s="2"/>
      <c r="O23" s="2"/>
      <c r="P23" s="2"/>
      <c r="Q23" s="45"/>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row>
    <row r="24">
      <c r="A24" s="2"/>
      <c r="B24" s="2"/>
      <c r="C24" s="2"/>
      <c r="D24" s="2"/>
      <c r="E24" s="2"/>
      <c r="F24" s="2"/>
      <c r="G24" s="2"/>
      <c r="H24" s="2"/>
      <c r="I24" s="2"/>
      <c r="J24" s="2"/>
      <c r="K24" s="2"/>
      <c r="L24" s="2"/>
      <c r="M24" s="2"/>
      <c r="N24" s="2"/>
      <c r="O24" s="2"/>
      <c r="P24" s="2"/>
      <c r="Q24" s="45"/>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row>
    <row r="25">
      <c r="A25" s="2"/>
      <c r="B25" s="2"/>
      <c r="C25" s="2"/>
      <c r="D25" s="2"/>
      <c r="E25" s="2"/>
      <c r="F25" s="2"/>
      <c r="G25" s="2"/>
      <c r="H25" s="2"/>
      <c r="I25" s="2"/>
      <c r="J25" s="2"/>
      <c r="K25" s="2"/>
      <c r="L25" s="2"/>
      <c r="M25" s="2"/>
      <c r="N25" s="2"/>
      <c r="O25" s="2"/>
      <c r="P25" s="2"/>
      <c r="Q25" s="45"/>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row>
    <row r="26">
      <c r="A26" s="2"/>
      <c r="B26" s="2"/>
      <c r="C26" s="2"/>
      <c r="D26" s="2"/>
      <c r="E26" s="2"/>
      <c r="F26" s="2"/>
      <c r="G26" s="2"/>
      <c r="H26" s="2"/>
      <c r="I26" s="2"/>
      <c r="J26" s="2"/>
      <c r="K26" s="2"/>
      <c r="L26" s="2"/>
      <c r="M26" s="2"/>
      <c r="N26" s="2"/>
      <c r="O26" s="2"/>
      <c r="P26" s="2"/>
      <c r="Q26" s="45"/>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row>
    <row r="27">
      <c r="A27" s="2"/>
      <c r="B27" s="2"/>
      <c r="C27" s="2"/>
      <c r="D27" s="2"/>
      <c r="E27" s="2"/>
      <c r="F27" s="2"/>
      <c r="G27" s="2"/>
      <c r="H27" s="2"/>
      <c r="I27" s="2"/>
      <c r="J27" s="2"/>
      <c r="K27" s="2"/>
      <c r="L27" s="2"/>
      <c r="M27" s="2"/>
      <c r="N27" s="2"/>
      <c r="O27" s="2"/>
      <c r="P27" s="2"/>
      <c r="Q27" s="45"/>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row>
    <row r="28">
      <c r="A28" s="2"/>
      <c r="B28" s="2"/>
      <c r="C28" s="2"/>
      <c r="D28" s="2"/>
      <c r="E28" s="2"/>
      <c r="F28" s="2"/>
      <c r="G28" s="2"/>
      <c r="H28" s="2"/>
      <c r="I28" s="2"/>
      <c r="J28" s="2"/>
      <c r="K28" s="2"/>
      <c r="L28" s="2"/>
      <c r="M28" s="2"/>
      <c r="N28" s="2"/>
      <c r="O28" s="2"/>
      <c r="P28" s="2"/>
      <c r="Q28" s="45"/>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row>
    <row r="29">
      <c r="A29" s="2"/>
      <c r="B29" s="2"/>
      <c r="C29" s="2"/>
      <c r="D29" s="2"/>
      <c r="E29" s="2"/>
      <c r="F29" s="2"/>
      <c r="G29" s="2"/>
      <c r="H29" s="2"/>
      <c r="I29" s="2"/>
      <c r="J29" s="2"/>
      <c r="K29" s="2"/>
      <c r="L29" s="2"/>
      <c r="M29" s="2"/>
      <c r="N29" s="2"/>
      <c r="O29" s="2"/>
      <c r="P29" s="2"/>
      <c r="Q29" s="45"/>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row>
    <row r="30">
      <c r="A30" s="2"/>
      <c r="B30" s="2"/>
      <c r="C30" s="2"/>
      <c r="D30" s="2"/>
      <c r="E30" s="2"/>
      <c r="F30" s="2"/>
      <c r="G30" s="2"/>
      <c r="H30" s="2"/>
      <c r="I30" s="2"/>
      <c r="J30" s="2"/>
      <c r="K30" s="2"/>
      <c r="L30" s="2"/>
      <c r="M30" s="2"/>
      <c r="N30" s="2"/>
      <c r="O30" s="2"/>
      <c r="P30" s="2"/>
      <c r="Q30" s="45"/>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row>
    <row r="31">
      <c r="A31" s="2"/>
      <c r="B31" s="2"/>
      <c r="C31" s="2"/>
      <c r="D31" s="2"/>
      <c r="E31" s="2"/>
      <c r="F31" s="2"/>
      <c r="G31" s="2"/>
      <c r="H31" s="2"/>
      <c r="I31" s="2"/>
      <c r="J31" s="2"/>
      <c r="K31" s="2"/>
      <c r="L31" s="2"/>
      <c r="M31" s="2"/>
      <c r="N31" s="2"/>
      <c r="O31" s="2"/>
      <c r="P31" s="2"/>
      <c r="Q31" s="45"/>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row>
    <row r="32">
      <c r="A32" s="2"/>
      <c r="B32" s="2"/>
      <c r="C32" s="2"/>
      <c r="D32" s="2"/>
      <c r="E32" s="2"/>
      <c r="F32" s="2"/>
      <c r="G32" s="2"/>
      <c r="H32" s="2"/>
      <c r="I32" s="2"/>
      <c r="J32" s="2"/>
      <c r="K32" s="2"/>
      <c r="L32" s="2"/>
      <c r="M32" s="2"/>
      <c r="N32" s="2"/>
      <c r="O32" s="2"/>
      <c r="P32" s="2"/>
      <c r="Q32" s="45"/>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row>
    <row r="33">
      <c r="A33" s="2"/>
      <c r="B33" s="2"/>
      <c r="C33" s="2"/>
      <c r="D33" s="2"/>
      <c r="E33" s="2"/>
      <c r="F33" s="2"/>
      <c r="G33" s="2"/>
      <c r="H33" s="2"/>
      <c r="I33" s="2"/>
      <c r="J33" s="2"/>
      <c r="K33" s="2"/>
      <c r="L33" s="2"/>
      <c r="M33" s="2"/>
      <c r="N33" s="2"/>
      <c r="O33" s="2"/>
      <c r="P33" s="2"/>
      <c r="Q33" s="45"/>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row>
    <row r="34">
      <c r="A34" s="2"/>
      <c r="B34" s="2"/>
      <c r="C34" s="2"/>
      <c r="D34" s="2"/>
      <c r="E34" s="2"/>
      <c r="F34" s="2"/>
      <c r="G34" s="2"/>
      <c r="H34" s="2"/>
      <c r="I34" s="2"/>
      <c r="J34" s="2"/>
      <c r="K34" s="2"/>
      <c r="L34" s="2"/>
      <c r="M34" s="2"/>
      <c r="N34" s="2"/>
      <c r="O34" s="2"/>
      <c r="P34" s="2"/>
      <c r="Q34" s="45"/>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row>
    <row r="35">
      <c r="A35" s="2"/>
      <c r="B35" s="2"/>
      <c r="C35" s="2"/>
      <c r="D35" s="2"/>
      <c r="E35" s="2"/>
      <c r="F35" s="2"/>
      <c r="G35" s="2"/>
      <c r="H35" s="2"/>
      <c r="I35" s="2"/>
      <c r="J35" s="2"/>
      <c r="K35" s="2"/>
      <c r="L35" s="2"/>
      <c r="M35" s="2"/>
      <c r="N35" s="2"/>
      <c r="O35" s="2"/>
      <c r="P35" s="2"/>
      <c r="Q35" s="45"/>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row>
    <row r="36">
      <c r="A36" s="2"/>
      <c r="B36" s="2"/>
      <c r="C36" s="2"/>
      <c r="D36" s="2"/>
      <c r="E36" s="2"/>
      <c r="F36" s="2"/>
      <c r="G36" s="2"/>
      <c r="H36" s="2"/>
      <c r="I36" s="2"/>
      <c r="J36" s="2"/>
      <c r="K36" s="2"/>
      <c r="L36" s="2"/>
      <c r="M36" s="2"/>
      <c r="N36" s="2"/>
      <c r="O36" s="2"/>
      <c r="P36" s="2"/>
      <c r="Q36" s="45"/>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row>
    <row r="37">
      <c r="A37" s="2"/>
      <c r="B37" s="2"/>
      <c r="C37" s="2"/>
      <c r="D37" s="2"/>
      <c r="E37" s="2"/>
      <c r="F37" s="2"/>
      <c r="G37" s="2"/>
      <c r="H37" s="2"/>
      <c r="I37" s="2"/>
      <c r="J37" s="2"/>
      <c r="K37" s="2"/>
      <c r="L37" s="2"/>
      <c r="M37" s="2"/>
      <c r="N37" s="2"/>
      <c r="O37" s="2"/>
      <c r="P37" s="2"/>
      <c r="Q37" s="45"/>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row>
    <row r="38">
      <c r="A38" s="2"/>
      <c r="B38" s="2"/>
      <c r="C38" s="2"/>
      <c r="D38" s="2"/>
      <c r="E38" s="2"/>
      <c r="F38" s="2"/>
      <c r="G38" s="2"/>
      <c r="H38" s="2"/>
      <c r="I38" s="2"/>
      <c r="J38" s="2"/>
      <c r="K38" s="2"/>
      <c r="L38" s="2"/>
      <c r="M38" s="2"/>
      <c r="N38" s="2"/>
      <c r="O38" s="2"/>
      <c r="P38" s="2"/>
      <c r="Q38" s="45"/>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row>
    <row r="39">
      <c r="A39" s="2"/>
      <c r="B39" s="2"/>
      <c r="C39" s="2"/>
      <c r="D39" s="2"/>
      <c r="E39" s="2"/>
      <c r="F39" s="2"/>
      <c r="G39" s="2"/>
      <c r="H39" s="2"/>
      <c r="I39" s="2"/>
      <c r="J39" s="2"/>
      <c r="K39" s="2"/>
      <c r="L39" s="2"/>
      <c r="M39" s="2"/>
      <c r="N39" s="2"/>
      <c r="O39" s="2"/>
      <c r="P39" s="2"/>
      <c r="Q39" s="45"/>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row>
    <row r="40">
      <c r="A40" s="2"/>
      <c r="B40" s="2"/>
      <c r="C40" s="2"/>
      <c r="D40" s="2"/>
      <c r="E40" s="2"/>
      <c r="F40" s="2"/>
      <c r="G40" s="2"/>
      <c r="H40" s="2"/>
      <c r="I40" s="2"/>
      <c r="J40" s="2"/>
      <c r="K40" s="2"/>
      <c r="L40" s="2"/>
      <c r="M40" s="2"/>
      <c r="N40" s="2"/>
      <c r="O40" s="2"/>
      <c r="P40" s="2"/>
      <c r="Q40" s="45"/>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row>
    <row r="42">
      <c r="A42" s="2"/>
      <c r="B42" s="2"/>
      <c r="C42" s="2"/>
      <c r="D42" s="2"/>
      <c r="E42" s="2"/>
      <c r="F42" s="2"/>
      <c r="G42" s="2"/>
      <c r="H42" s="2"/>
      <c r="I42" s="2"/>
      <c r="J42" s="2"/>
      <c r="K42" s="2"/>
      <c r="L42" s="2"/>
      <c r="M42" s="2"/>
      <c r="N42" s="2"/>
      <c r="O42" s="2"/>
      <c r="P42" s="2"/>
      <c r="Q42" s="45"/>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row>
    <row r="43">
      <c r="A43" s="2"/>
      <c r="B43" s="2"/>
      <c r="C43" s="2"/>
      <c r="D43" s="2"/>
      <c r="E43" s="2"/>
      <c r="F43" s="2"/>
      <c r="G43" s="2"/>
      <c r="H43" s="2"/>
      <c r="I43" s="2"/>
      <c r="J43" s="2"/>
      <c r="K43" s="2"/>
      <c r="L43" s="2"/>
      <c r="M43" s="2"/>
      <c r="N43" s="2"/>
      <c r="O43" s="2"/>
      <c r="P43" s="2"/>
      <c r="Q43" s="45"/>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row>
    <row r="44">
      <c r="A44" s="2"/>
      <c r="B44" s="2"/>
      <c r="C44" s="2"/>
      <c r="D44" s="2"/>
      <c r="E44" s="2"/>
      <c r="F44" s="2"/>
      <c r="G44" s="2"/>
      <c r="H44" s="2"/>
      <c r="I44" s="2"/>
      <c r="J44" s="2"/>
      <c r="K44" s="2"/>
      <c r="L44" s="2"/>
      <c r="M44" s="2"/>
      <c r="N44" s="2"/>
      <c r="O44" s="2"/>
      <c r="P44" s="2"/>
      <c r="Q44" s="45"/>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row>
    <row r="45">
      <c r="A45" s="2"/>
      <c r="B45" s="2"/>
      <c r="C45" s="2"/>
      <c r="D45" s="2"/>
      <c r="E45" s="2"/>
      <c r="F45" s="2"/>
      <c r="G45" s="2"/>
      <c r="H45" s="2"/>
      <c r="I45" s="2"/>
      <c r="J45" s="2"/>
      <c r="K45" s="2"/>
      <c r="L45" s="2"/>
      <c r="M45" s="2"/>
      <c r="N45" s="2"/>
      <c r="O45" s="2"/>
      <c r="P45" s="2"/>
      <c r="Q45" s="45"/>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row>
    <row r="46">
      <c r="A46" s="2"/>
      <c r="B46" s="2"/>
      <c r="C46" s="2"/>
      <c r="D46" s="2"/>
      <c r="E46" s="2"/>
      <c r="F46" s="2"/>
      <c r="G46" s="2"/>
      <c r="H46" s="2"/>
      <c r="I46" s="2"/>
      <c r="J46" s="2"/>
      <c r="K46" s="2"/>
      <c r="L46" s="2"/>
      <c r="M46" s="2"/>
      <c r="N46" s="2"/>
      <c r="O46" s="2"/>
      <c r="P46" s="2"/>
      <c r="Q46" s="45"/>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row>
    <row r="47">
      <c r="A47" s="2"/>
      <c r="B47" s="2"/>
      <c r="C47" s="2"/>
      <c r="D47" s="2"/>
      <c r="E47" s="2"/>
      <c r="F47" s="2"/>
      <c r="G47" s="2"/>
      <c r="H47" s="2"/>
      <c r="I47" s="2"/>
      <c r="J47" s="2"/>
      <c r="K47" s="2"/>
      <c r="L47" s="2"/>
      <c r="M47" s="2"/>
      <c r="N47" s="2"/>
      <c r="O47" s="2"/>
      <c r="P47" s="2"/>
      <c r="Q47" s="45"/>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row>
    <row r="48">
      <c r="A48" s="2"/>
      <c r="B48" s="2"/>
      <c r="C48" s="2"/>
      <c r="D48" s="2"/>
      <c r="E48" s="2"/>
      <c r="F48" s="2"/>
      <c r="G48" s="2"/>
      <c r="H48" s="2"/>
      <c r="I48" s="2"/>
      <c r="J48" s="2"/>
      <c r="K48" s="2"/>
      <c r="L48" s="2"/>
      <c r="M48" s="2"/>
      <c r="N48" s="2"/>
      <c r="O48" s="2"/>
      <c r="P48" s="2"/>
      <c r="Q48" s="45"/>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row>
  </sheetData>
  <autoFilter ref="$A$3:$BQ$999"/>
  <dataValidations>
    <dataValidation type="list" allowBlank="1" showErrorMessage="1" sqref="B1">
      <formula1>"Dego Đồng Tháp,Hà Long,Basel,Niềm Tin Việt,Đại Tâm"</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2.63" defaultRowHeight="15.75"/>
  <cols>
    <col customWidth="1" min="1" max="1" width="6.25"/>
    <col customWidth="1" min="2" max="2" width="15.63"/>
    <col customWidth="1" min="3" max="3" width="15.88"/>
    <col customWidth="1" min="8" max="8" width="29.63"/>
    <col hidden="1" min="9" max="9" width="12.63"/>
    <col customWidth="1" min="10" max="10" width="28.25"/>
    <col hidden="1" min="18" max="22" width="12.63"/>
    <col customWidth="1" hidden="1" min="23" max="23" width="27.38"/>
    <col hidden="1" min="24" max="27" width="12.63"/>
    <col customWidth="1" hidden="1" min="28" max="28" width="32.38"/>
    <col hidden="1" min="29" max="30" width="12.63"/>
    <col customWidth="1" hidden="1" min="31" max="31" width="26.25"/>
    <col hidden="1" min="32" max="57" width="12.63"/>
    <col customWidth="1" min="58" max="58" width="18.25"/>
    <col customWidth="1" min="59" max="59" width="18.75"/>
  </cols>
  <sheetData>
    <row r="1">
      <c r="A1" s="2"/>
      <c r="B1" s="2"/>
      <c r="C1" s="2"/>
      <c r="D1" s="2"/>
      <c r="E1" s="2"/>
      <c r="F1" s="2"/>
      <c r="G1" s="2"/>
      <c r="H1" s="2"/>
      <c r="I1" s="2"/>
      <c r="J1" s="2"/>
      <c r="K1" s="2"/>
      <c r="L1" s="2"/>
      <c r="M1" s="2"/>
      <c r="N1" s="2"/>
      <c r="O1" s="2"/>
      <c r="P1" s="2"/>
      <c r="Q1" s="45"/>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row>
    <row r="2">
      <c r="A2" s="136" t="str">
        <f>IFERROR(__xludf.DUMMYFUNCTION("IMPORTRANGE(""https://docs.google.com/spreadsheets/d/1DFFqKZghtZyuJjH-LtYOZUccsfSwBp3OcDq08qEACtw/edit"",""ĐIỀU PHỐI!A3:BG"")"),"")</f>
        <v/>
      </c>
      <c r="B2" s="136"/>
      <c r="C2" s="136"/>
      <c r="D2" s="136"/>
      <c r="E2" s="136"/>
      <c r="F2" s="136"/>
      <c r="G2" s="136"/>
      <c r="H2" s="136"/>
      <c r="I2" s="136"/>
      <c r="J2" s="136"/>
      <c r="K2" s="136"/>
      <c r="L2" s="136"/>
      <c r="M2" s="136"/>
      <c r="N2" s="136"/>
      <c r="O2" s="136"/>
      <c r="P2" s="136"/>
      <c r="Q2" s="151"/>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row>
    <row r="3">
      <c r="A3" s="142" t="str">
        <f>IFERROR(__xludf.DUMMYFUNCTION("""COMPUTED_VALUE"""),"STT")</f>
        <v>STT</v>
      </c>
      <c r="B3" s="2" t="str">
        <f>IFERROR(__xludf.DUMMYFUNCTION("""COMPUTED_VALUE"""),"NCC đề xuất")</f>
        <v>NCC đề xuất</v>
      </c>
      <c r="C3" s="142" t="str">
        <f>IFERROR(__xludf.DUMMYFUNCTION("""COMPUTED_VALUE"""),"Mã đơn đặt hàng (po)")</f>
        <v>Mã đơn đặt hàng (po)</v>
      </c>
      <c r="D3" s="142" t="str">
        <f>IFERROR(__xludf.DUMMYFUNCTION("""COMPUTED_VALUE"""),"Ngày yêu cầu")</f>
        <v>Ngày yêu cầu</v>
      </c>
      <c r="E3" s="142" t="str">
        <f>IFERROR(__xludf.DUMMYFUNCTION("""COMPUTED_VALUE"""),"Trạng thái duyệt nhãn")</f>
        <v>Trạng thái duyệt nhãn</v>
      </c>
      <c r="F3" s="142" t="str">
        <f>IFERROR(__xludf.DUMMYFUNCTION("""COMPUTED_VALUE"""),"Thương hiệu")</f>
        <v>Thương hiệu</v>
      </c>
      <c r="G3" s="142" t="str">
        <f>IFERROR(__xludf.DUMMYFUNCTION("""COMPUTED_VALUE"""),"Mã hàng")</f>
        <v>Mã hàng</v>
      </c>
      <c r="H3" s="142" t="str">
        <f>IFERROR(__xludf.DUMMYFUNCTION("""COMPUTED_VALUE"""),"Tên hàng")</f>
        <v>Tên hàng</v>
      </c>
      <c r="I3" s="142" t="str">
        <f>IFERROR(__xludf.DUMMYFUNCTION("""COMPUTED_VALUE"""),"Phân loại")</f>
        <v>Phân loại</v>
      </c>
      <c r="J3" s="142" t="str">
        <f>IFERROR(__xludf.DUMMYFUNCTION("""COMPUTED_VALUE"""),"Tên pháp lý")</f>
        <v>Tên pháp lý</v>
      </c>
      <c r="K3" s="142" t="str">
        <f>IFERROR(__xludf.DUMMYFUNCTION("""COMPUTED_VALUE"""),"Công thức")</f>
        <v>Công thức</v>
      </c>
      <c r="L3" s="142" t="str">
        <f>IFERROR(__xludf.DUMMYFUNCTION("""COMPUTED_VALUE"""),"Màu btp")</f>
        <v>Màu btp</v>
      </c>
      <c r="M3" s="142" t="str">
        <f>IFERROR(__xludf.DUMMYFUNCTION("""COMPUTED_VALUE"""),"ĐVT")</f>
        <v>ĐVT</v>
      </c>
      <c r="N3" s="142" t="str">
        <f>IFERROR(__xludf.DUMMYFUNCTION("""COMPUTED_VALUE"""),"Quy cách thùng")</f>
        <v>Quy cách thùng</v>
      </c>
      <c r="O3" s="142" t="str">
        <f>IFERROR(__xludf.DUMMYFUNCTION("""COMPUTED_VALUE"""),"SLTP/Thùng")</f>
        <v>SLTP/Thùng</v>
      </c>
      <c r="P3" s="142" t="str">
        <f>IFERROR(__xludf.DUMMYFUNCTION("""COMPUTED_VALUE"""),"Sl thành phẩm
(gồm khuyến mãi)")</f>
        <v>Sl thành phẩm
(gồm khuyến mãi)</v>
      </c>
      <c r="Q3" s="142" t="str">
        <f>IFERROR(__xludf.DUMMYFUNCTION("""COMPUTED_VALUE"""),"Ngày yêu cầu sẵn kho NCC")</f>
        <v>Ngày yêu cầu sẵn kho NCC</v>
      </c>
      <c r="R3" s="142" t="str">
        <f>IFERROR(__xludf.DUMMYFUNCTION("""COMPUTED_VALUE"""),"SL mẫu kinh doanh cần")</f>
        <v>SL mẫu kinh doanh cần</v>
      </c>
      <c r="S3" s="142" t="str">
        <f>IFERROR(__xludf.DUMMYFUNCTION("""COMPUTED_VALUE"""),"Yêu cầu khác")</f>
        <v>Yêu cầu khác</v>
      </c>
      <c r="T3" s="142" t="str">
        <f>IFERROR(__xludf.DUMMYFUNCTION("""COMPUTED_VALUE"""),"Vật tư khác (Ngoài chai, túi, nhãn, thùng, NDT)")</f>
        <v>Vật tư khác (Ngoài chai, túi, nhãn, thùng, NDT)</v>
      </c>
      <c r="U3" s="142" t="str">
        <f>IFERROR(__xludf.DUMMYFUNCTION("""COMPUTED_VALUE"""),"NVL khách mang qua (ghi rõ chi tiết)")</f>
        <v>NVL khách mang qua (ghi rõ chi tiết)</v>
      </c>
      <c r="V3" s="142" t="str">
        <f>IFERROR(__xludf.DUMMYFUNCTION("""COMPUTED_VALUE"""),"Số ngày sản xuất")</f>
        <v>Số ngày sản xuất</v>
      </c>
      <c r="W3" s="142" t="str">
        <f>IFERROR(__xludf.DUMMYFUNCTION("""COMPUTED_VALUE"""),"Thông tin khách hàng")</f>
        <v>Thông tin khách hàng</v>
      </c>
      <c r="X3" s="2"/>
      <c r="Y3" s="2" t="str">
        <f>IFERROR(__xludf.DUMMYFUNCTION("""COMPUTED_VALUE"""),"NCC sản xuất thực tế")</f>
        <v>NCC sản xuất thực tế</v>
      </c>
      <c r="Z3" s="2" t="str">
        <f>IFERROR(__xludf.DUMMYFUNCTION("""COMPUTED_VALUE"""),"Trạng thái đơn")</f>
        <v>Trạng thái đơn</v>
      </c>
      <c r="AA3" s="152" t="str">
        <f>IFERROR(__xludf.DUMMYFUNCTION("""COMPUTED_VALUE"""),"Ngày NCC xác nhận đủ NVL")</f>
        <v>Ngày NCC xác nhận đủ NVL</v>
      </c>
      <c r="AB3" s="39" t="str">
        <f>IFERROR(__xludf.DUMMYFUNCTION("""COMPUTED_VALUE"""),"Diễn giải biến động kế hoạch sản xuất")</f>
        <v>Diễn giải biến động kế hoạch sản xuất</v>
      </c>
      <c r="AC3" s="39" t="str">
        <f>IFERROR(__xludf.DUMMYFUNCTION("""COMPUTED_VALUE"""),"số lượng chưa sx
đơn vị chai/gói/can")</f>
        <v>số lượng chưa sx
đơn vị chai/gói/can</v>
      </c>
      <c r="AD3" s="2" t="str">
        <f>IFERROR(__xludf.DUMMYFUNCTION("""COMPUTED_VALUE"""),"Số lượng thành phẩm đủ nvl sản xuất")</f>
        <v>Số lượng thành phẩm đủ nvl sản xuất</v>
      </c>
      <c r="AE3" s="39" t="str">
        <f>IFERROR(__xludf.DUMMYFUNCTION("""COMPUTED_VALUE"""),"Ngày sẵn kho NCC")</f>
        <v>Ngày sẵn kho NCC</v>
      </c>
      <c r="AF3" s="2" t="str">
        <f>IFERROR(__xludf.DUMMYFUNCTION("""COMPUTED_VALUE"""),"TRẠNG THÁI HOÁ ĐƠN NHẬN HÀNG")</f>
        <v>TRẠNG THÁI HOÁ ĐƠN NHẬN HÀNG</v>
      </c>
      <c r="AG3" s="146" t="str">
        <f>IFERROR(__xludf.DUMMYFUNCTION("""COMPUTED_VALUE"""),"Ngày lần 1")</f>
        <v>Ngày lần 1</v>
      </c>
      <c r="AH3" s="146" t="str">
        <f>IFERROR(__xludf.DUMMYFUNCTION("""COMPUTED_VALUE"""),"Sl lần 1")</f>
        <v>Sl lần 1</v>
      </c>
      <c r="AI3" s="146" t="str">
        <f>IFERROR(__xludf.DUMMYFUNCTION("""COMPUTED_VALUE"""),"Ngày lần 2")</f>
        <v>Ngày lần 2</v>
      </c>
      <c r="AJ3" s="146" t="str">
        <f>IFERROR(__xludf.DUMMYFUNCTION("""COMPUTED_VALUE"""),"Sl lần 2")</f>
        <v>Sl lần 2</v>
      </c>
      <c r="AK3" s="142" t="str">
        <f>IFERROR(__xludf.DUMMYFUNCTION("""COMPUTED_VALUE"""),"Ngày lần 3")</f>
        <v>Ngày lần 3</v>
      </c>
      <c r="AL3" s="142" t="str">
        <f>IFERROR(__xludf.DUMMYFUNCTION("""COMPUTED_VALUE"""),"Sl lần 3")</f>
        <v>Sl lần 3</v>
      </c>
      <c r="AM3" s="142" t="str">
        <f>IFERROR(__xludf.DUMMYFUNCTION("""COMPUTED_VALUE"""),"Thành phẩm sẵn kho NCC chưa nhận ")</f>
        <v>Thành phẩm sẵn kho NCC chưa nhận </v>
      </c>
      <c r="AN3" s="2"/>
      <c r="AO3" s="2" t="str">
        <f>IFERROR(__xludf.DUMMYFUNCTION("""COMPUTED_VALUE"""),"Kế hoạch 
 số lượng nhận")</f>
        <v>Kế hoạch 
 số lượng nhận</v>
      </c>
      <c r="AP3" s="2" t="str">
        <f>IFERROR(__xludf.DUMMYFUNCTION("""COMPUTED_VALUE"""),"Kế hoạch 
 ngày nhận")</f>
        <v>Kế hoạch 
 ngày nhận</v>
      </c>
      <c r="AQ3" s="2" t="str">
        <f>IFERROR(__xludf.DUMMYFUNCTION("""COMPUTED_VALUE"""),"Xe + tài xế nhận")</f>
        <v>Xe + tài xế nhận</v>
      </c>
      <c r="AR3" s="2" t="str">
        <f>IFERROR(__xludf.DUMMYFUNCTION("""COMPUTED_VALUE"""),"Số lô
NCC khác: nhập
Dego: công thức")</f>
        <v>Số lô
NCC khác: nhập
Dego: công thức</v>
      </c>
      <c r="AS3" s="2" t="str">
        <f>IFERROR(__xludf.DUMMYFUNCTION("""COMPUTED_VALUE"""),"Date")</f>
        <v>Date</v>
      </c>
      <c r="AT3" s="2" t="str">
        <f>IFERROR(__xludf.DUMMYFUNCTION("""COMPUTED_VALUE"""),"Phiếu xuất kho")</f>
        <v>Phiếu xuất kho</v>
      </c>
      <c r="AU3" s="142" t="str">
        <f>IFERROR(__xludf.DUMMYFUNCTION("""COMPUTED_VALUE"""),"Sl đã nhận")</f>
        <v>Sl đã nhận</v>
      </c>
      <c r="AV3" s="2" t="str">
        <f>IFERROR(__xludf.DUMMYFUNCTION("""COMPUTED_VALUE"""),"Lịch sử nhận hàng")</f>
        <v>Lịch sử nhận hàng</v>
      </c>
      <c r="AW3" s="2" t="str">
        <f>IFERROR(__xludf.DUMMYFUNCTION("""COMPUTED_VALUE"""),"SL còn lại sẵn kho ncc/ thùng = Tổng sl đã SX của NM - SL đã nhận")</f>
        <v>SL còn lại sẵn kho ncc/ thùng = Tổng sl đã SX của NM - SL đã nhận</v>
      </c>
      <c r="AX3" s="2" t="str">
        <f>IFERROR(__xludf.DUMMYFUNCTION("""COMPUTED_VALUE"""),"Ghi chú\ của điều phối")</f>
        <v>Ghi chú\ của điều phối</v>
      </c>
      <c r="AY3" s="2"/>
      <c r="AZ3" s="2" t="str">
        <f>IFERROR(__xludf.DUMMYFUNCTION("""COMPUTED_VALUE"""),"Lab kiểm mẫu trước khi giao hàng")</f>
        <v>Lab kiểm mẫu trước khi giao hàng</v>
      </c>
      <c r="BA3" s="2" t="str">
        <f>IFERROR(__xludf.DUMMYFUNCTION("""COMPUTED_VALUE"""),"Đủ điều kiện gửi đơn NCC")</f>
        <v>Đủ điều kiện gửi đơn NCC</v>
      </c>
      <c r="BB3" s="2" t="str">
        <f>IFERROR(__xludf.DUMMYFUNCTION("""COMPUTED_VALUE"""),"VTBB
Yến Ly")</f>
        <v>VTBB
Yến Ly</v>
      </c>
      <c r="BC3" s="39" t="str">
        <f>IFERROR(__xludf.DUMMYFUNCTION("""COMPUTED_VALUE"""),"Ngày duyệt ")</f>
        <v>Ngày duyệt </v>
      </c>
      <c r="BD3" s="2" t="str">
        <f>IFERROR(__xludf.DUMMYFUNCTION("""COMPUTED_VALUE"""),"QLSX
Ngân")</f>
        <v>QLSX
Ngân</v>
      </c>
      <c r="BE3" s="39" t="str">
        <f>IFERROR(__xludf.DUMMYFUNCTION("""COMPUTED_VALUE"""),"Ngày duyệt ")</f>
        <v>Ngày duyệt </v>
      </c>
      <c r="BF3" s="2" t="str">
        <f>IFERROR(__xludf.DUMMYFUNCTION("""COMPUTED_VALUE"""),"Xử lí giá vốn
Hương")</f>
        <v>Xử lí giá vốn
Hương</v>
      </c>
      <c r="BG3" s="39" t="str">
        <f>IFERROR(__xludf.DUMMYFUNCTION("""COMPUTED_VALUE"""),"Ghi chú")</f>
        <v>Ghi chú</v>
      </c>
      <c r="BH3" s="2"/>
      <c r="BI3" s="2"/>
      <c r="BJ3" s="2"/>
      <c r="BK3" s="2"/>
      <c r="BL3" s="2"/>
      <c r="BM3" s="2"/>
      <c r="BN3" s="2"/>
      <c r="BO3" s="2"/>
      <c r="BP3" s="2"/>
      <c r="BQ3" s="2"/>
    </row>
    <row r="4">
      <c r="A4" s="2">
        <f>IFERROR(__xludf.DUMMYFUNCTION("""COMPUTED_VALUE"""),1.0)</f>
        <v>1</v>
      </c>
      <c r="B4" s="2" t="str">
        <f>IFERROR(__xludf.DUMMYFUNCTION("""COMPUTED_VALUE"""),"Hà Long")</f>
        <v>Hà Long</v>
      </c>
      <c r="C4" s="2" t="str">
        <f>IFERROR(__xludf.DUMMYFUNCTION("""COMPUTED_VALUE"""),"ATP.02102405")</f>
        <v>ATP.02102405</v>
      </c>
      <c r="D4" s="39">
        <f>IFERROR(__xludf.DUMMYFUNCTION("""COMPUTED_VALUE"""),45567.0)</f>
        <v>45567</v>
      </c>
      <c r="E4" s="2"/>
      <c r="F4" s="2" t="str">
        <f>IFERROR(__xludf.DUMMYFUNCTION("""COMPUTED_VALUE"""),"ABA")</f>
        <v>ABA</v>
      </c>
      <c r="G4" s="2" t="str">
        <f>IFERROR(__xludf.DUMMYFUNCTION("""COMPUTED_VALUE"""),"HH2884")</f>
        <v>HH2884</v>
      </c>
      <c r="H4" s="2" t="str">
        <f>IFERROR(__xludf.DUMMYFUNCTION("""COMPUTED_VALUE"""),"GC - IV - 2884 - A.Diễn Cty Sen Hồng - MANCO GREEN (Bột xanh) - 1kg - 20")</f>
        <v>GC - IV - 2884 - A.Diễn Cty Sen Hồng - MANCO GREEN (Bột xanh) - 1kg - 20</v>
      </c>
      <c r="I4" s="2" t="str">
        <f>IFERROR(__xludf.DUMMYFUNCTION("""COMPUTED_VALUE"""),"Thuốc trừ bệnh")</f>
        <v>Thuốc trừ bệnh</v>
      </c>
      <c r="J4" s="2" t="str">
        <f>IFERROR(__xludf.DUMMYFUNCTION("""COMPUTED_VALUE"""),"MANCOBGO 80WP")</f>
        <v>MANCOBGO 80WP</v>
      </c>
      <c r="K4" s="143" t="str">
        <f>IFERROR(__xludf.DUMMYFUNCTION("""COMPUTED_VALUE"""),"Dòng V1")</f>
        <v>Dòng V1</v>
      </c>
      <c r="L4" s="2" t="str">
        <f>IFERROR(__xludf.DUMMYFUNCTION("""COMPUTED_VALUE"""),"Bột xanh")</f>
        <v>Bột xanh</v>
      </c>
      <c r="M4" s="2" t="str">
        <f>IFERROR(__xludf.DUMMYFUNCTION("""COMPUTED_VALUE"""),"Túi/Gói")</f>
        <v>Túi/Gói</v>
      </c>
      <c r="N4" s="142">
        <f>IFERROR(__xludf.DUMMYFUNCTION("""COMPUTED_VALUE"""),20.0)</f>
        <v>20</v>
      </c>
      <c r="O4" s="142">
        <f>IFERROR(__xludf.DUMMYFUNCTION("""COMPUTED_VALUE"""),20.0)</f>
        <v>20</v>
      </c>
      <c r="P4" s="142">
        <f>IFERROR(__xludf.DUMMYFUNCTION("""COMPUTED_VALUE"""),400.0)</f>
        <v>400</v>
      </c>
      <c r="Q4" s="143">
        <f>IFERROR(__xludf.DUMMYFUNCTION("""COMPUTED_VALUE"""),45581.0)</f>
        <v>45581</v>
      </c>
      <c r="R4" s="2"/>
      <c r="S4" s="2"/>
      <c r="T4" s="2"/>
      <c r="U4" s="2"/>
      <c r="V4" s="142">
        <f>IFERROR(__xludf.DUMMYFUNCTION("""COMPUTED_VALUE"""),14.0)</f>
        <v>14</v>
      </c>
      <c r="W4" s="2" t="str">
        <f>IFERROR(__xludf.DUMMYFUNCTION("""COMPUTED_VALUE"""),"SEN HỒNG - Giá bán 85000 - Ngày dự kiến thu tiền: 07 ngày khi giao hàng TC - Dự kiến ngày ra hết hàng: Hàng về giao ngay")</f>
        <v>SEN HỒNG - Giá bán 85000 - Ngày dự kiến thu tiền: 07 ngày khi giao hàng TC - Dự kiến ngày ra hết hàng: Hàng về giao ngay</v>
      </c>
      <c r="X4" s="2"/>
      <c r="Y4" s="2" t="str">
        <f>IFERROR(__xludf.DUMMYFUNCTION("""COMPUTED_VALUE"""),"Hà Long")</f>
        <v>Hà Long</v>
      </c>
      <c r="Z4" s="2" t="str">
        <f>IFERROR(__xludf.DUMMYFUNCTION("""COMPUTED_VALUE"""),"Hàng sẵn kho")</f>
        <v>Hàng sẵn kho</v>
      </c>
      <c r="AA4" s="2" t="str">
        <f>IFERROR(__xludf.DUMMYFUNCTION("""COMPUTED_VALUE"""),"BTP: 
Túi:
Thùng: 
NDT:
Lịch SX:")</f>
        <v>BTP: 
Túi:
Thùng: 
NDT:
Lịch SX:</v>
      </c>
      <c r="AB4" s="2" t="str">
        <f>IFERROR(__xludf.DUMMYFUNCTION("""COMPUTED_VALUE"""),"ATP.02102405/ HHIDA00393/ lệnh: 31024145932 
NCC đóng dư
Nếu gộp đơn hàng mới, YC kiểm tra :  chất lượng, date đồng bộ với hàng mới ")</f>
        <v>ATP.02102405/ HHIDA00393/ lệnh: 31024145932 
NCC đóng dư
Nếu gộp đơn hàng mới, YC kiểm tra :  chất lượng, date đồng bộ với hàng mới </v>
      </c>
      <c r="AC4" s="2"/>
      <c r="AD4" s="2"/>
      <c r="AE4" s="2"/>
      <c r="AF4" s="2" t="str">
        <f>IFERROR(__xludf.DUMMYFUNCTION("""COMPUTED_VALUE"""),"")</f>
        <v/>
      </c>
      <c r="AG4" s="2"/>
      <c r="AH4" s="146" t="str">
        <f>IFERROR(__xludf.DUMMYFUNCTION("""COMPUTED_VALUE"""),"1,2")</f>
        <v>1,2</v>
      </c>
      <c r="AI4" s="2"/>
      <c r="AJ4" s="2"/>
      <c r="AK4" s="2"/>
      <c r="AL4" s="2"/>
      <c r="AM4" s="142">
        <f>IFERROR(__xludf.DUMMYFUNCTION("""COMPUTED_VALUE"""),22.0)</f>
        <v>22</v>
      </c>
      <c r="AN4" s="2"/>
      <c r="AO4" s="2"/>
      <c r="AP4" s="2"/>
      <c r="AQ4" s="2"/>
      <c r="AR4" s="2"/>
      <c r="AS4" s="2"/>
      <c r="AT4" s="2"/>
      <c r="AU4" s="2"/>
      <c r="AV4" s="2"/>
      <c r="AW4" s="2"/>
      <c r="AX4" s="2"/>
      <c r="AY4" s="2"/>
      <c r="AZ4" s="2"/>
      <c r="BA4" s="2" t="str">
        <f>IFERROR(__xludf.DUMMYFUNCTION("""COMPUTED_VALUE"""),"Đủ điều kiện")</f>
        <v>Đủ điều kiện</v>
      </c>
      <c r="BB4" s="153" t="str">
        <f>IFERROR(__xludf.DUMMYFUNCTION("""COMPUTED_VALUE"""),"Duyệt")</f>
        <v>Duyệt</v>
      </c>
      <c r="BC4" s="2"/>
      <c r="BD4" s="2" t="str">
        <f>IFERROR(__xludf.DUMMYFUNCTION("""COMPUTED_VALUE"""),"Duyệt")</f>
        <v>Duyệt</v>
      </c>
      <c r="BE4" s="2"/>
      <c r="BF4" s="2" t="str">
        <f>IFERROR(__xludf.DUMMYFUNCTION("""COMPUTED_VALUE"""),"Đã xử lí giá")</f>
        <v>Đã xử lí giá</v>
      </c>
      <c r="BG4" s="2"/>
      <c r="BH4" s="2"/>
      <c r="BI4" s="2"/>
      <c r="BJ4" s="2"/>
      <c r="BK4" s="2"/>
      <c r="BL4" s="2"/>
      <c r="BM4" s="2"/>
      <c r="BN4" s="2"/>
      <c r="BO4" s="2"/>
      <c r="BP4" s="2"/>
      <c r="BQ4" s="2"/>
    </row>
    <row r="5">
      <c r="A5" s="2">
        <f>IFERROR(__xludf.DUMMYFUNCTION("""COMPUTED_VALUE"""),2.0)</f>
        <v>2</v>
      </c>
      <c r="B5" s="2" t="str">
        <f>IFERROR(__xludf.DUMMYFUNCTION("""COMPUTED_VALUE"""),"Hà Long")</f>
        <v>Hà Long</v>
      </c>
      <c r="C5" s="2" t="str">
        <f>IFERROR(__xludf.DUMMYFUNCTION("""COMPUTED_VALUE"""),"ATP.15102406")</f>
        <v>ATP.15102406</v>
      </c>
      <c r="D5" s="39">
        <f>IFERROR(__xludf.DUMMYFUNCTION("""COMPUTED_VALUE"""),45580.0)</f>
        <v>45580</v>
      </c>
      <c r="E5" s="2"/>
      <c r="F5" s="2" t="str">
        <f>IFERROR(__xludf.DUMMYFUNCTION("""COMPUTED_VALUE"""),"ABA")</f>
        <v>ABA</v>
      </c>
      <c r="G5" s="2" t="str">
        <f>IFERROR(__xludf.DUMMYFUNCTION("""COMPUTED_VALUE"""),"HH2304")</f>
        <v>HH2304</v>
      </c>
      <c r="H5" s="2" t="str">
        <f>IFERROR(__xludf.DUMMYFUNCTION("""COMPUTED_VALUE"""),"GC - IV - 2304 - Cty Thiên Di (A Thành Dol) - Mancozeb xanh (bột xanh) - 100gr - 100")</f>
        <v>GC - IV - 2304 - Cty Thiên Di (A Thành Dol) - Mancozeb xanh (bột xanh) - 100gr - 100</v>
      </c>
      <c r="I5" s="2" t="str">
        <f>IFERROR(__xludf.DUMMYFUNCTION("""COMPUTED_VALUE"""),"Thuốc trừ bệnh")</f>
        <v>Thuốc trừ bệnh</v>
      </c>
      <c r="J5" s="2" t="str">
        <f>IFERROR(__xludf.DUMMYFUNCTION("""COMPUTED_VALUE"""),"MANCOBGO 80WP")</f>
        <v>MANCOBGO 80WP</v>
      </c>
      <c r="K5" s="143" t="str">
        <f>IFERROR(__xludf.DUMMYFUNCTION("""COMPUTED_VALUE"""),"DÒNG V1")</f>
        <v>DÒNG V1</v>
      </c>
      <c r="L5" s="2" t="str">
        <f>IFERROR(__xludf.DUMMYFUNCTION("""COMPUTED_VALUE"""),"Bột xanh")</f>
        <v>Bột xanh</v>
      </c>
      <c r="M5" s="2" t="str">
        <f>IFERROR(__xludf.DUMMYFUNCTION("""COMPUTED_VALUE"""),"Túi/Gói")</f>
        <v>Túi/Gói</v>
      </c>
      <c r="N5" s="142">
        <f>IFERROR(__xludf.DUMMYFUNCTION("""COMPUTED_VALUE"""),100.0)</f>
        <v>100</v>
      </c>
      <c r="O5" s="142">
        <f>IFERROR(__xludf.DUMMYFUNCTION("""COMPUTED_VALUE"""),80.0)</f>
        <v>80</v>
      </c>
      <c r="P5" s="142">
        <f>IFERROR(__xludf.DUMMYFUNCTION("""COMPUTED_VALUE"""),8000.0)</f>
        <v>8000</v>
      </c>
      <c r="Q5" s="143">
        <f>IFERROR(__xludf.DUMMYFUNCTION("""COMPUTED_VALUE"""),45588.0)</f>
        <v>45588</v>
      </c>
      <c r="R5" s="2"/>
      <c r="S5" s="2"/>
      <c r="T5" s="2"/>
      <c r="U5" s="2"/>
      <c r="V5" s="2"/>
      <c r="W5" s="2" t="str">
        <f>IFERROR(__xludf.DUMMYFUNCTION("""COMPUTED_VALUE"""),"- Giá bán 9780 - Ngày dự kiến thu tiền:  - Dự kiến ngày ra hết hàng:")</f>
        <v>- Giá bán 9780 - Ngày dự kiến thu tiền:  - Dự kiến ngày ra hết hàng:</v>
      </c>
      <c r="X5" s="2"/>
      <c r="Y5" s="2" t="str">
        <f>IFERROR(__xludf.DUMMYFUNCTION("""COMPUTED_VALUE"""),"Hà Long")</f>
        <v>Hà Long</v>
      </c>
      <c r="Z5" s="2" t="str">
        <f>IFERROR(__xludf.DUMMYFUNCTION("""COMPUTED_VALUE"""),"Hàng sẵn kho")</f>
        <v>Hàng sẵn kho</v>
      </c>
      <c r="AA5" s="2"/>
      <c r="AB5" s="2" t="str">
        <f>IFERROR(__xludf.DUMMYFUNCTION("""COMPUTED_VALUE"""),"HHIDA00369/ lệnh 161024145805 NCC đóng dư
Nếu gộp đơn hàng mới, YC kiểm tra :  chất lượng, date đồng bộ với hàng mới 
TỒN 202 GÓI")</f>
        <v>HHIDA00369/ lệnh 161024145805 NCC đóng dư
Nếu gộp đơn hàng mới, YC kiểm tra :  chất lượng, date đồng bộ với hàng mới 
TỒN 202 GÓI</v>
      </c>
      <c r="AC5" s="2"/>
      <c r="AD5" s="2"/>
      <c r="AE5" s="39">
        <f>IFERROR(__xludf.DUMMYFUNCTION("""COMPUTED_VALUE"""),45590.0)</f>
        <v>45590</v>
      </c>
      <c r="AF5" s="146" t="str">
        <f>IFERROR(__xludf.DUMMYFUNCTION("""COMPUTED_VALUE"""),"")</f>
        <v/>
      </c>
      <c r="AG5" s="2"/>
      <c r="AH5" s="146" t="str">
        <f>IFERROR(__xludf.DUMMYFUNCTION("""COMPUTED_VALUE"""),"0,82")</f>
        <v>0,82</v>
      </c>
      <c r="AI5" s="2"/>
      <c r="AJ5" s="2"/>
      <c r="AK5" s="2"/>
      <c r="AL5" s="2"/>
      <c r="AM5" s="142">
        <f>IFERROR(__xludf.DUMMYFUNCTION("""COMPUTED_VALUE"""),82.0)</f>
        <v>82</v>
      </c>
      <c r="AN5" s="2"/>
      <c r="AO5" s="2"/>
      <c r="AP5" s="2"/>
      <c r="AQ5" s="2"/>
      <c r="AR5" s="2"/>
      <c r="AS5" s="2"/>
      <c r="AT5" s="2"/>
      <c r="AU5" s="142">
        <f>IFERROR(__xludf.DUMMYFUNCTION("""COMPUTED_VALUE"""),80.0)</f>
        <v>80</v>
      </c>
      <c r="AV5" s="2"/>
      <c r="AW5" s="2"/>
      <c r="AX5" s="2"/>
      <c r="AY5" s="2"/>
      <c r="AZ5" s="2"/>
      <c r="BA5" s="2" t="str">
        <f>IFERROR(__xludf.DUMMYFUNCTION("""COMPUTED_VALUE"""),"Đủ điều kiện")</f>
        <v>Đủ điều kiện</v>
      </c>
      <c r="BB5" s="153" t="str">
        <f>IFERROR(__xludf.DUMMYFUNCTION("""COMPUTED_VALUE"""),"Duyệt")</f>
        <v>Duyệt</v>
      </c>
      <c r="BC5" s="2"/>
      <c r="BD5" s="2" t="str">
        <f>IFERROR(__xludf.DUMMYFUNCTION("""COMPUTED_VALUE"""),"Duyệt")</f>
        <v>Duyệt</v>
      </c>
      <c r="BE5" s="2"/>
      <c r="BF5" s="2" t="str">
        <f>IFERROR(__xludf.DUMMYFUNCTION("""COMPUTED_VALUE"""),"Đã xử lí giá")</f>
        <v>Đã xử lí giá</v>
      </c>
      <c r="BG5" s="2"/>
      <c r="BH5" s="2"/>
      <c r="BI5" s="2"/>
      <c r="BJ5" s="2"/>
      <c r="BK5" s="2"/>
      <c r="BL5" s="2"/>
      <c r="BM5" s="2"/>
      <c r="BN5" s="2"/>
      <c r="BO5" s="2"/>
      <c r="BP5" s="2"/>
      <c r="BQ5" s="2"/>
    </row>
    <row r="6">
      <c r="A6" s="2">
        <f>IFERROR(__xludf.DUMMYFUNCTION("""COMPUTED_VALUE"""),3.0)</f>
        <v>3</v>
      </c>
      <c r="B6" s="2" t="str">
        <f>IFERROR(__xludf.DUMMYFUNCTION("""COMPUTED_VALUE"""),"Dego Cần Thơ")</f>
        <v>Dego Cần Thơ</v>
      </c>
      <c r="C6" s="2" t="str">
        <f>IFERROR(__xludf.DUMMYFUNCTION("""COMPUTED_VALUE"""),"XYC.24102502")</f>
        <v>XYC.24102502</v>
      </c>
      <c r="D6" s="39">
        <f>IFERROR(__xludf.DUMMYFUNCTION("""COMPUTED_VALUE"""),45954.0)</f>
        <v>45954</v>
      </c>
      <c r="E6" s="2"/>
      <c r="F6" s="2" t="str">
        <f>IFERROR(__xludf.DUMMYFUNCTION("""COMPUTED_VALUE"""),"Dr.Xanh")</f>
        <v>Dr.Xanh</v>
      </c>
      <c r="G6" s="2" t="str">
        <f>IFERROR(__xludf.DUMMYFUNCTION("""COMPUTED_VALUE"""),"HH3546")</f>
        <v>HH3546</v>
      </c>
      <c r="H6" s="2" t="str">
        <f>IFERROR(__xludf.DUMMYFUNCTION("""COMPUTED_VALUE"""),"DR.XANH - VIII - 3546 - DR.AB MAGSI (Nước nâu đen) - 500ml - 40")</f>
        <v>DR.XANH - VIII - 3546 - DR.AB MAGSI (Nước nâu đen) - 500ml - 40</v>
      </c>
      <c r="I6" s="2" t="str">
        <f>IFERROR(__xludf.DUMMYFUNCTION("""COMPUTED_VALUE"""),"Phân bón")</f>
        <v>Phân bón</v>
      </c>
      <c r="J6" s="142" t="str">
        <f>IFERROR(__xludf.DUMMYFUNCTION("""COMPUTED_VALUE"""),"Hữu cơ SH Agro Organic Fertilizer 20")</f>
        <v>Hữu cơ SH Agro Organic Fertilizer 20</v>
      </c>
      <c r="K6" s="2"/>
      <c r="L6" s="2" t="str">
        <f>IFERROR(__xludf.DUMMYFUNCTION("""COMPUTED_VALUE"""),"Nước nâu đen")</f>
        <v>Nước nâu đen</v>
      </c>
      <c r="M6" s="2" t="str">
        <f>IFERROR(__xludf.DUMMYFUNCTION("""COMPUTED_VALUE"""),"Chai")</f>
        <v>Chai</v>
      </c>
      <c r="N6" s="142">
        <f>IFERROR(__xludf.DUMMYFUNCTION("""COMPUTED_VALUE"""),40.0)</f>
        <v>40</v>
      </c>
      <c r="O6" s="142">
        <f>IFERROR(__xludf.DUMMYFUNCTION("""COMPUTED_VALUE"""),0.025)</f>
        <v>0.025</v>
      </c>
      <c r="P6" s="142">
        <f>IFERROR(__xludf.DUMMYFUNCTION("""COMPUTED_VALUE"""),1.0)</f>
        <v>1</v>
      </c>
      <c r="Q6" s="143">
        <f>IFERROR(__xludf.DUMMYFUNCTION("""COMPUTED_VALUE"""),45957.0)</f>
        <v>45957</v>
      </c>
      <c r="R6" s="2"/>
      <c r="S6" s="142" t="str">
        <f>IFERROR(__xludf.DUMMYFUNCTION("""COMPUTED_VALUE"""),"Thay chai, nắp, nhãn HH3546
đóng date 24/12/2024 + L02")</f>
        <v>Thay chai, nắp, nhãn HH3546
đóng date 24/12/2024 + L02</v>
      </c>
      <c r="T6" s="142" t="str">
        <f>IFERROR(__xludf.DUMMYFUNCTION("""COMPUTED_VALUE"""),"không có")</f>
        <v>không có</v>
      </c>
      <c r="U6" s="2"/>
      <c r="V6" s="2"/>
      <c r="W6" s="2" t="str">
        <f>IFERROR(__xludf.DUMMYFUNCTION("""COMPUTED_VALUE""")," - Giá bán  - Ngày dự kiến thu tiền: 30 ngày - Dự kiến ngày ra hết hàng: ")</f>
        <v> - Giá bán  - Ngày dự kiến thu tiền: 30 ngày - Dự kiến ngày ra hết hàng: </v>
      </c>
      <c r="X6" s="2"/>
      <c r="Y6" s="2" t="str">
        <f>IFERROR(__xludf.DUMMYFUNCTION("""COMPUTED_VALUE"""),"Dego Cần Thơ")</f>
        <v>Dego Cần Thơ</v>
      </c>
      <c r="Z6" s="2" t="str">
        <f>IFERROR(__xludf.DUMMYFUNCTION("""COMPUTED_VALUE"""),"Bổ sung Pháp lý")</f>
        <v>Bổ sung Pháp lý</v>
      </c>
      <c r="AA6" s="2"/>
      <c r="AB6" s="2" t="str">
        <f>IFERROR(__xludf.DUMMYFUNCTION("""COMPUTED_VALUE"""),"Thay chai, nắp, nhãn HH3546
đóng date 24/12/2024 + L02
chưa có phương án
đã bàn giao cho nhà máy 23/05")</f>
        <v>Thay chai, nắp, nhãn HH3546
đóng date 24/12/2024 + L02
chưa có phương án
đã bàn giao cho nhà máy 23/05</v>
      </c>
      <c r="AC6" s="146">
        <f>IFERROR(__xludf.DUMMYFUNCTION("""COMPUTED_VALUE"""),1.0)</f>
        <v>1</v>
      </c>
      <c r="AD6" s="2"/>
      <c r="AE6" s="2" t="str">
        <f>IFERROR(__xludf.DUMMYFUNCTION("""COMPUTED_VALUE"""),"đã bàn giao cho nhà máy 23/05")</f>
        <v>đã bàn giao cho nhà máy 23/05</v>
      </c>
      <c r="AF6" s="146" t="str">
        <f>IFERROR(__xludf.DUMMYFUNCTION("""COMPUTED_VALUE"""),"")</f>
        <v/>
      </c>
      <c r="AG6" s="2"/>
      <c r="AH6" s="2"/>
      <c r="AI6" s="2"/>
      <c r="AJ6" s="2"/>
      <c r="AK6" s="2"/>
      <c r="AL6" s="2"/>
      <c r="AM6" s="2"/>
      <c r="AN6" s="2"/>
      <c r="AO6" s="2"/>
      <c r="AP6" s="2"/>
      <c r="AQ6" s="2"/>
      <c r="AR6" s="2"/>
      <c r="AS6" s="2"/>
      <c r="AT6" s="2"/>
      <c r="AU6" s="2"/>
      <c r="AV6" s="2"/>
      <c r="AW6" s="2"/>
      <c r="AX6" s="2" t="str">
        <f>IFERROR(__xludf.DUMMYFUNCTION("""COMPUTED_VALUE"""),"Xử lý gì")</f>
        <v>Xử lý gì</v>
      </c>
      <c r="AY6" s="2"/>
      <c r="AZ6" s="2" t="str">
        <f>IFERROR(__xludf.DUMMYFUNCTION("""COMPUTED_VALUE"""),"#REF!")</f>
        <v>#REF!</v>
      </c>
      <c r="BA6" s="2" t="str">
        <f>IFERROR(__xludf.DUMMYFUNCTION("""COMPUTED_VALUE"""),"Đủ điều kiện")</f>
        <v>Đủ điều kiện</v>
      </c>
      <c r="BB6" s="2" t="str">
        <f>IFERROR(__xludf.DUMMYFUNCTION("""COMPUTED_VALUE"""),"Hàng xử ly lại")</f>
        <v>Hàng xử ly lại</v>
      </c>
      <c r="BC6" s="2"/>
      <c r="BD6" s="2" t="str">
        <f>IFERROR(__xludf.DUMMYFUNCTION("""COMPUTED_VALUE"""),"Hàng xử ly lại")</f>
        <v>Hàng xử ly lại</v>
      </c>
      <c r="BE6" s="2"/>
      <c r="BF6" s="2" t="str">
        <f>IFERROR(__xludf.DUMMYFUNCTION("""COMPUTED_VALUE"""),"Hàng xử lý lại")</f>
        <v>Hàng xử lý lại</v>
      </c>
      <c r="BG6" s="2" t="str">
        <f>IFERROR(__xludf.DUMMYFUNCTION("""COMPUTED_VALUE"""),"XYC.24102502 hàng xử lý lại 24/10/2025")</f>
        <v>XYC.24102502 hàng xử lý lại 24/10/2025</v>
      </c>
      <c r="BH6" s="2"/>
      <c r="BI6" s="2"/>
      <c r="BJ6" s="2"/>
      <c r="BK6" s="2"/>
      <c r="BL6" s="2"/>
      <c r="BM6" s="2"/>
      <c r="BN6" s="2"/>
      <c r="BO6" s="2"/>
      <c r="BP6" s="2"/>
      <c r="BQ6" s="2"/>
    </row>
    <row r="7">
      <c r="A7" s="2">
        <f>IFERROR(__xludf.DUMMYFUNCTION("""COMPUTED_VALUE"""),4.0)</f>
        <v>4</v>
      </c>
      <c r="B7" s="2" t="str">
        <f>IFERROR(__xludf.DUMMYFUNCTION("""COMPUTED_VALUE"""),"Đại Tâm")</f>
        <v>Đại Tâm</v>
      </c>
      <c r="C7" s="2" t="str">
        <f>IFERROR(__xludf.DUMMYFUNCTION("""COMPUTED_VALUE"""),"ITP.20102507")</f>
        <v>ITP.20102507</v>
      </c>
      <c r="D7" s="39">
        <f>IFERROR(__xludf.DUMMYFUNCTION("""COMPUTED_VALUE"""),45950.0)</f>
        <v>45950</v>
      </c>
      <c r="E7" s="2"/>
      <c r="F7" s="2" t="str">
        <f>IFERROR(__xludf.DUMMYFUNCTION("""COMPUTED_VALUE"""),"IDA")</f>
        <v>IDA</v>
      </c>
      <c r="G7" s="2" t="str">
        <f>IFERROR(__xludf.DUMMYFUNCTION("""COMPUTED_VALUE"""),"HH4256")</f>
        <v>HH4256</v>
      </c>
      <c r="H7" s="2" t="str">
        <f>IFERROR(__xludf.DUMMYFUNCTION("""COMPUTED_VALUE"""),"IDA Global - I - 4256 - CENTERTANER 500WP (bột vàng nhạt) - 50gr - 100")</f>
        <v>IDA Global - I - 4256 - CENTERTANER 500WP (bột vàng nhạt) - 50gr - 100</v>
      </c>
      <c r="I7" s="2" t="str">
        <f>IFERROR(__xludf.DUMMYFUNCTION("""COMPUTED_VALUE"""),"Thuốc trừ bệnh")</f>
        <v>Thuốc trừ bệnh</v>
      </c>
      <c r="J7" s="142" t="str">
        <f>IFERROR(__xludf.DUMMYFUNCTION("""COMPUTED_VALUE"""),"Centertaner 500WP")</f>
        <v>Centertaner 500WP</v>
      </c>
      <c r="K7" s="143" t="str">
        <f>IFERROR(__xludf.DUMMYFUNCTION("""COMPUTED_VALUE"""),"Chung ruột 2574")</f>
        <v>Chung ruột 2574</v>
      </c>
      <c r="L7" s="2" t="str">
        <f>IFERROR(__xludf.DUMMYFUNCTION("""COMPUTED_VALUE"""),"Bột vàng nhạt")</f>
        <v>Bột vàng nhạt</v>
      </c>
      <c r="M7" s="2" t="str">
        <f>IFERROR(__xludf.DUMMYFUNCTION("""COMPUTED_VALUE"""),"Túi/Gói")</f>
        <v>Túi/Gói</v>
      </c>
      <c r="N7" s="142">
        <f>IFERROR(__xludf.DUMMYFUNCTION("""COMPUTED_VALUE"""),100.0)</f>
        <v>100</v>
      </c>
      <c r="O7" s="142">
        <f>IFERROR(__xludf.DUMMYFUNCTION("""COMPUTED_VALUE"""),50.0)</f>
        <v>50</v>
      </c>
      <c r="P7" s="142">
        <f>IFERROR(__xludf.DUMMYFUNCTION("""COMPUTED_VALUE"""),5000.0)</f>
        <v>5000</v>
      </c>
      <c r="Q7" s="143">
        <f>IFERROR(__xludf.DUMMYFUNCTION("""COMPUTED_VALUE"""),45994.0)</f>
        <v>45994</v>
      </c>
      <c r="R7" s="2" t="str">
        <f>IFERROR(__xludf.DUMMYFUNCTION("""COMPUTED_VALUE"""),"x")</f>
        <v>x</v>
      </c>
      <c r="S7" s="142" t="str">
        <f>IFERROR(__xludf.DUMMYFUNCTION("""COMPUTED_VALUE"""),"Đúng lịch giao hàng - Không trễ")</f>
        <v>Đúng lịch giao hàng - Không trễ</v>
      </c>
      <c r="T7" s="142" t="str">
        <f>IFERROR(__xludf.DUMMYFUNCTION("""COMPUTED_VALUE"""),"x")</f>
        <v>x</v>
      </c>
      <c r="U7" s="142" t="str">
        <f>IFERROR(__xludf.DUMMYFUNCTION("""COMPUTED_VALUE"""),"x")</f>
        <v>x</v>
      </c>
      <c r="V7" s="142">
        <f>IFERROR(__xludf.DUMMYFUNCTION("""COMPUTED_VALUE"""),44.0)</f>
        <v>44</v>
      </c>
      <c r="W7" s="2" t="str">
        <f>IFERROR(__xludf.DUMMYFUNCTION("""COMPUTED_VALUE"""),"x - Giá bán 54000 - Ngày dự kiến thu tiền: x - Dự kiến ngày ra hết hàng: 30 ngày")</f>
        <v>x - Giá bán 54000 - Ngày dự kiến thu tiền: x - Dự kiến ngày ra hết hàng: 30 ngày</v>
      </c>
      <c r="X7" s="2"/>
      <c r="Y7" s="2" t="str">
        <f>IFERROR(__xludf.DUMMYFUNCTION("""COMPUTED_VALUE"""),"Đại Tâm")</f>
        <v>Đại Tâm</v>
      </c>
      <c r="Z7" s="2" t="str">
        <f>IFERROR(__xludf.DUMMYFUNCTION("""COMPUTED_VALUE"""),"Chưa có lịch SX")</f>
        <v>Chưa có lịch SX</v>
      </c>
      <c r="AA7" s="2"/>
      <c r="AB7" s="2" t="str">
        <f>IFERROR(__xludf.DUMMYFUNCTION("""COMPUTED_VALUE"""),"22/10 Anh Thịnh báo nhà máy chưa duyệt nhãn - đợi sửa lại
Túi in 3 tuần dự kiến 13/11 in túi xong
Đại Tâm báo lại dự kiến ngày 20/11 về nhãn")</f>
        <v>22/10 Anh Thịnh báo nhà máy chưa duyệt nhãn - đợi sửa lại
Túi in 3 tuần dự kiến 13/11 in túi xong
Đại Tâm báo lại dự kiến ngày 20/11 về nhãn</v>
      </c>
      <c r="AC7" s="146">
        <f>IFERROR(__xludf.DUMMYFUNCTION("""COMPUTED_VALUE"""),5000.0)</f>
        <v>5000</v>
      </c>
      <c r="AD7" s="2"/>
      <c r="AE7" s="143">
        <f>IFERROR(__xludf.DUMMYFUNCTION("""COMPUTED_VALUE"""),45995.0)</f>
        <v>45995</v>
      </c>
      <c r="AF7" s="146" t="str">
        <f>IFERROR(__xludf.DUMMYFUNCTION("""COMPUTED_VALUE"""),"")</f>
        <v/>
      </c>
      <c r="AG7" s="2"/>
      <c r="AH7" s="2"/>
      <c r="AI7" s="2"/>
      <c r="AJ7" s="2"/>
      <c r="AK7" s="2"/>
      <c r="AL7" s="2"/>
      <c r="AM7" s="2"/>
      <c r="AN7" s="2"/>
      <c r="AO7" s="2"/>
      <c r="AP7" s="2"/>
      <c r="AQ7" s="2"/>
      <c r="AR7" s="2"/>
      <c r="AS7" s="2"/>
      <c r="AT7" s="2"/>
      <c r="AU7" s="2"/>
      <c r="AV7" s="2"/>
      <c r="AW7" s="2"/>
      <c r="AX7" s="2"/>
      <c r="AY7" s="2"/>
      <c r="AZ7" s="2"/>
      <c r="BA7" s="2" t="str">
        <f>IFERROR(__xludf.DUMMYFUNCTION("""COMPUTED_VALUE"""),"Đủ điều kiện")</f>
        <v>Đủ điều kiện</v>
      </c>
      <c r="BB7" s="2" t="str">
        <f>IFERROR(__xludf.DUMMYFUNCTION("""COMPUTED_VALUE"""),"Duyệt")</f>
        <v>Duyệt</v>
      </c>
      <c r="BC7" s="147">
        <f>IFERROR(__xludf.DUMMYFUNCTION("""COMPUTED_VALUE"""),45951.0)</f>
        <v>45951</v>
      </c>
      <c r="BD7" s="2" t="str">
        <f>IFERROR(__xludf.DUMMYFUNCTION("""COMPUTED_VALUE"""),"Duyệt")</f>
        <v>Duyệt</v>
      </c>
      <c r="BE7" s="2"/>
      <c r="BF7" s="2" t="str">
        <f>IFERROR(__xludf.DUMMYFUNCTION("""COMPUTED_VALUE"""),"Đã xử lí giá")</f>
        <v>Đã xử lí giá</v>
      </c>
      <c r="BG7" s="2" t="str">
        <f>IFERROR(__xludf.DUMMYFUNCTION("""COMPUTED_VALUE"""),"Chung ruột 2574 54.000đ 21/10/2025")</f>
        <v>Chung ruột 2574 54.000đ 21/10/2025</v>
      </c>
      <c r="BH7" s="2"/>
      <c r="BI7" s="2"/>
      <c r="BJ7" s="2"/>
      <c r="BK7" s="2"/>
      <c r="BL7" s="2"/>
      <c r="BM7" s="2"/>
      <c r="BN7" s="2"/>
      <c r="BO7" s="2"/>
      <c r="BP7" s="2"/>
      <c r="BQ7" s="2"/>
    </row>
    <row r="8">
      <c r="A8" s="2">
        <f>IFERROR(__xludf.DUMMYFUNCTION("""COMPUTED_VALUE"""),5.0)</f>
        <v>5</v>
      </c>
      <c r="B8" s="2" t="str">
        <f>IFERROR(__xludf.DUMMYFUNCTION("""COMPUTED_VALUE"""),"Đại Tâm")</f>
        <v>Đại Tâm</v>
      </c>
      <c r="C8" s="2" t="str">
        <f>IFERROR(__xludf.DUMMYFUNCTION("""COMPUTED_VALUE"""),"ITP.20102509")</f>
        <v>ITP.20102509</v>
      </c>
      <c r="D8" s="39">
        <f>IFERROR(__xludf.DUMMYFUNCTION("""COMPUTED_VALUE"""),45950.0)</f>
        <v>45950</v>
      </c>
      <c r="E8" s="2"/>
      <c r="F8" s="2" t="str">
        <f>IFERROR(__xludf.DUMMYFUNCTION("""COMPUTED_VALUE"""),"IDA")</f>
        <v>IDA</v>
      </c>
      <c r="G8" s="2" t="str">
        <f>IFERROR(__xludf.DUMMYFUNCTION("""COMPUTED_VALUE"""),"HH4255")</f>
        <v>HH4255</v>
      </c>
      <c r="H8" s="2" t="str">
        <f>IFERROR(__xludf.DUMMYFUNCTION("""COMPUTED_VALUE"""),"IDA Global - I - 4255 - CENTERTANER 500WP (bột vàng nhạt) - 12gr - 400")</f>
        <v>IDA Global - I - 4255 - CENTERTANER 500WP (bột vàng nhạt) - 12gr - 400</v>
      </c>
      <c r="I8" s="2" t="str">
        <f>IFERROR(__xludf.DUMMYFUNCTION("""COMPUTED_VALUE"""),"Thuốc trừ bệnh")</f>
        <v>Thuốc trừ bệnh</v>
      </c>
      <c r="J8" s="142" t="str">
        <f>IFERROR(__xludf.DUMMYFUNCTION("""COMPUTED_VALUE"""),"Centertaner 500WP")</f>
        <v>Centertaner 500WP</v>
      </c>
      <c r="K8" s="143" t="str">
        <f>IFERROR(__xludf.DUMMYFUNCTION("""COMPUTED_VALUE"""),"Chung ruột 2574")</f>
        <v>Chung ruột 2574</v>
      </c>
      <c r="L8" s="2" t="str">
        <f>IFERROR(__xludf.DUMMYFUNCTION("""COMPUTED_VALUE"""),"Bột vàng nhạt")</f>
        <v>Bột vàng nhạt</v>
      </c>
      <c r="M8" s="2" t="str">
        <f>IFERROR(__xludf.DUMMYFUNCTION("""COMPUTED_VALUE"""),"Túi/Gói")</f>
        <v>Túi/Gói</v>
      </c>
      <c r="N8" s="142">
        <f>IFERROR(__xludf.DUMMYFUNCTION("""COMPUTED_VALUE"""),400.0)</f>
        <v>400</v>
      </c>
      <c r="O8" s="142">
        <f>IFERROR(__xludf.DUMMYFUNCTION("""COMPUTED_VALUE"""),50.0)</f>
        <v>50</v>
      </c>
      <c r="P8" s="142">
        <f>IFERROR(__xludf.DUMMYFUNCTION("""COMPUTED_VALUE"""),20000.0)</f>
        <v>20000</v>
      </c>
      <c r="Q8" s="143">
        <f>IFERROR(__xludf.DUMMYFUNCTION("""COMPUTED_VALUE"""),45994.0)</f>
        <v>45994</v>
      </c>
      <c r="R8" s="2" t="str">
        <f>IFERROR(__xludf.DUMMYFUNCTION("""COMPUTED_VALUE"""),"x")</f>
        <v>x</v>
      </c>
      <c r="S8" s="142" t="str">
        <f>IFERROR(__xludf.DUMMYFUNCTION("""COMPUTED_VALUE"""),"Đúng lịch giao hàng - Không trễ")</f>
        <v>Đúng lịch giao hàng - Không trễ</v>
      </c>
      <c r="T8" s="142" t="str">
        <f>IFERROR(__xludf.DUMMYFUNCTION("""COMPUTED_VALUE"""),"x")</f>
        <v>x</v>
      </c>
      <c r="U8" s="142" t="str">
        <f>IFERROR(__xludf.DUMMYFUNCTION("""COMPUTED_VALUE"""),"x")</f>
        <v>x</v>
      </c>
      <c r="V8" s="142">
        <f>IFERROR(__xludf.DUMMYFUNCTION("""COMPUTED_VALUE"""),44.0)</f>
        <v>44</v>
      </c>
      <c r="W8" s="2" t="str">
        <f>IFERROR(__xludf.DUMMYFUNCTION("""COMPUTED_VALUE"""),"x - Giá bán 51000 - Ngày dự kiến thu tiền: x - Dự kiến ngày ra hết hàng: 30 ngày")</f>
        <v>x - Giá bán 51000 - Ngày dự kiến thu tiền: x - Dự kiến ngày ra hết hàng: 30 ngày</v>
      </c>
      <c r="X8" s="2"/>
      <c r="Y8" s="2" t="str">
        <f>IFERROR(__xludf.DUMMYFUNCTION("""COMPUTED_VALUE"""),"Đại Tâm")</f>
        <v>Đại Tâm</v>
      </c>
      <c r="Z8" s="2" t="str">
        <f>IFERROR(__xludf.DUMMYFUNCTION("""COMPUTED_VALUE"""),"Chưa có lịch SX")</f>
        <v>Chưa có lịch SX</v>
      </c>
      <c r="AA8" s="2"/>
      <c r="AB8" s="2" t="str">
        <f>IFERROR(__xludf.DUMMYFUNCTION("""COMPUTED_VALUE"""),"22/10 Anh Thịnh báo nhà máy chưa duyệt nhãn - đợi sửa lại
Túi in 3 tuần dự kiến 13/11 in túi xong
Đại Tâm báo lại dự kiến ngày 20/11 về nhãn
21/11 chị Ly đặt thêm hộp --&gt; dự kiến 28/11 về hộp
28/11 hộp chưa về báo lại 04/12 giao hộp
06/12 đã giao hộp")</f>
        <v>22/10 Anh Thịnh báo nhà máy chưa duyệt nhãn - đợi sửa lại
Túi in 3 tuần dự kiến 13/11 in túi xong
Đại Tâm báo lại dự kiến ngày 20/11 về nhãn
21/11 chị Ly đặt thêm hộp --&gt; dự kiến 28/11 về hộp
28/11 hộp chưa về báo lại 04/12 giao hộp
06/12 đã giao hộp</v>
      </c>
      <c r="AC8" s="146" t="str">
        <f>IFERROR(__xludf.DUMMYFUNCTION("""COMPUTED_VALUE"""),"10400")</f>
        <v>10400</v>
      </c>
      <c r="AD8" s="2">
        <f>IFERROR(__xludf.DUMMYFUNCTION("""COMPUTED_VALUE"""),9600.0)</f>
        <v>9600</v>
      </c>
      <c r="AE8" s="2" t="str">
        <f>IFERROR(__xludf.DUMMYFUNCTION("""COMPUTED_VALUE"""),"Chưa chốt lịch")</f>
        <v>Chưa chốt lịch</v>
      </c>
      <c r="AF8" s="146" t="str">
        <f>IFERROR(__xludf.DUMMYFUNCTION("""COMPUTED_VALUE"""),"")</f>
        <v/>
      </c>
      <c r="AG8" s="147">
        <f>IFERROR(__xludf.DUMMYFUNCTION("""COMPUTED_VALUE"""),45989.0)</f>
        <v>45989</v>
      </c>
      <c r="AH8" s="146" t="str">
        <f>IFERROR(__xludf.DUMMYFUNCTION("""COMPUTED_VALUE"""),"9600")</f>
        <v>9600</v>
      </c>
      <c r="AI8" s="2"/>
      <c r="AJ8" s="2"/>
      <c r="AK8" s="2"/>
      <c r="AL8" s="2"/>
      <c r="AM8" s="2"/>
      <c r="AN8" s="2"/>
      <c r="AO8" s="2"/>
      <c r="AP8" s="2"/>
      <c r="AQ8" s="2"/>
      <c r="AR8" s="2"/>
      <c r="AS8" s="2"/>
      <c r="AT8" s="2"/>
      <c r="AU8" s="2">
        <f>IFERROR(__xludf.DUMMYFUNCTION("""COMPUTED_VALUE"""),9600.0)</f>
        <v>9600</v>
      </c>
      <c r="AV8" s="2" t="str">
        <f>IFERROR(__xludf.DUMMYFUNCTION("""COMPUTED_VALUE"""),"28/11/2025 nhận 24th")</f>
        <v>28/11/2025 nhận 24th</v>
      </c>
      <c r="AW8" s="2"/>
      <c r="AX8" s="2"/>
      <c r="AY8" s="2"/>
      <c r="AZ8" s="2"/>
      <c r="BA8" s="2" t="str">
        <f>IFERROR(__xludf.DUMMYFUNCTION("""COMPUTED_VALUE"""),"Đủ điều kiện")</f>
        <v>Đủ điều kiện</v>
      </c>
      <c r="BB8" s="2" t="str">
        <f>IFERROR(__xludf.DUMMYFUNCTION("""COMPUTED_VALUE"""),"Duyệt")</f>
        <v>Duyệt</v>
      </c>
      <c r="BC8" s="147">
        <f>IFERROR(__xludf.DUMMYFUNCTION("""COMPUTED_VALUE"""),45951.0)</f>
        <v>45951</v>
      </c>
      <c r="BD8" s="2" t="str">
        <f>IFERROR(__xludf.DUMMYFUNCTION("""COMPUTED_VALUE"""),"Duyệt")</f>
        <v>Duyệt</v>
      </c>
      <c r="BE8" s="2"/>
      <c r="BF8" s="2" t="str">
        <f>IFERROR(__xludf.DUMMYFUNCTION("""COMPUTED_VALUE"""),"Đã xử lí giá")</f>
        <v>Đã xử lí giá</v>
      </c>
      <c r="BG8" s="2" t="str">
        <f>IFERROR(__xludf.DUMMYFUNCTION("""COMPUTED_VALUE"""),"Chung ruột 2574 51.000đ 21/10/2025")</f>
        <v>Chung ruột 2574 51.000đ 21/10/2025</v>
      </c>
      <c r="BH8" s="2"/>
      <c r="BI8" s="2"/>
      <c r="BJ8" s="2"/>
      <c r="BK8" s="2"/>
      <c r="BL8" s="2"/>
      <c r="BM8" s="2"/>
      <c r="BN8" s="2"/>
      <c r="BO8" s="2"/>
      <c r="BP8" s="2"/>
      <c r="BQ8" s="2"/>
    </row>
    <row r="9">
      <c r="A9" s="2">
        <f>IFERROR(__xludf.DUMMYFUNCTION("""COMPUTED_VALUE"""),6.0)</f>
        <v>6</v>
      </c>
      <c r="B9" s="2" t="str">
        <f>IFERROR(__xludf.DUMMYFUNCTION("""COMPUTED_VALUE"""),"Hà Long")</f>
        <v>Hà Long</v>
      </c>
      <c r="C9" s="2" t="str">
        <f>IFERROR(__xludf.DUMMYFUNCTION("""COMPUTED_VALUE"""),"ATP23102503")</f>
        <v>ATP23102503</v>
      </c>
      <c r="D9" s="39">
        <f>IFERROR(__xludf.DUMMYFUNCTION("""COMPUTED_VALUE"""),45953.0)</f>
        <v>45953</v>
      </c>
      <c r="E9" s="2" t="str">
        <f>IFERROR(__xludf.DUMMYFUNCTION("""COMPUTED_VALUE"""),"Đã duyệt")</f>
        <v>Đã duyệt</v>
      </c>
      <c r="F9" s="2" t="str">
        <f>IFERROR(__xludf.DUMMYFUNCTION("""COMPUTED_VALUE"""),"ABA")</f>
        <v>ABA</v>
      </c>
      <c r="G9" s="2" t="str">
        <f>IFERROR(__xludf.DUMMYFUNCTION("""COMPUTED_VALUE"""),"HH4250")</f>
        <v>HH4250</v>
      </c>
      <c r="H9" s="2" t="str">
        <f>IFERROR(__xludf.DUMMYFUNCTION("""COMPUTED_VALUE"""),"GC - IV - 4250 - Cty Hóa Nông Shino - YAPOSINO 200 (Nước trắng sữa) - 450ml - 30")</f>
        <v>GC - IV - 4250 - Cty Hóa Nông Shino - YAPOSINO 200 (Nước trắng sữa) - 450ml - 30</v>
      </c>
      <c r="I9" s="2" t="str">
        <f>IFERROR(__xludf.DUMMYFUNCTION("""COMPUTED_VALUE"""),"Thuốc trừ sâu")</f>
        <v>Thuốc trừ sâu</v>
      </c>
      <c r="J9" s="142" t="str">
        <f>IFERROR(__xludf.DUMMYFUNCTION("""COMPUTED_VALUE"""),"AFUDAN 20SC")</f>
        <v>AFUDAN 20SC</v>
      </c>
      <c r="K9" s="143" t="str">
        <f>IFERROR(__xludf.DUMMYFUNCTION("""COMPUTED_VALUE"""),"Dòng V1")</f>
        <v>Dòng V1</v>
      </c>
      <c r="L9" s="2" t="str">
        <f>IFERROR(__xludf.DUMMYFUNCTION("""COMPUTED_VALUE"""),"Nước trắng sữa")</f>
        <v>Nước trắng sữa</v>
      </c>
      <c r="M9" s="2" t="str">
        <f>IFERROR(__xludf.DUMMYFUNCTION("""COMPUTED_VALUE"""),"Chai")</f>
        <v>Chai</v>
      </c>
      <c r="N9" s="142">
        <f>IFERROR(__xludf.DUMMYFUNCTION("""COMPUTED_VALUE"""),30.0)</f>
        <v>30</v>
      </c>
      <c r="O9" s="142">
        <f>IFERROR(__xludf.DUMMYFUNCTION("""COMPUTED_VALUE"""),50.0)</f>
        <v>50</v>
      </c>
      <c r="P9" s="142">
        <f>IFERROR(__xludf.DUMMYFUNCTION("""COMPUTED_VALUE"""),1500.0)</f>
        <v>1500</v>
      </c>
      <c r="Q9" s="143">
        <f>IFERROR(__xludf.DUMMYFUNCTION("""COMPUTED_VALUE"""),45961.0)</f>
        <v>45961</v>
      </c>
      <c r="R9" s="2"/>
      <c r="S9" s="142" t="str">
        <f>IFERROR(__xludf.DUMMYFUNCTION("""COMPUTED_VALUE"""),"lấy chẳn thùng")</f>
        <v>lấy chẳn thùng</v>
      </c>
      <c r="T9" s="142" t="str">
        <f>IFERROR(__xludf.DUMMYFUNCTION("""COMPUTED_VALUE"""),"x")</f>
        <v>x</v>
      </c>
      <c r="U9" s="142" t="str">
        <f>IFERROR(__xludf.DUMMYFUNCTION("""COMPUTED_VALUE"""),"x")</f>
        <v>x</v>
      </c>
      <c r="V9" s="142" t="str">
        <f>IFERROR(__xludf.DUMMYFUNCTION("""COMPUTED_VALUE"""),"x")</f>
        <v>x</v>
      </c>
      <c r="W9" s="2" t="str">
        <f>IFERROR(__xludf.DUMMYFUNCTION("""COMPUTED_VALUE"""),"SHINO - Giá bán 56.500,00 đ - Ngày dự kiến thu tiền: 30 ngày - Dự kiến ngày ra hết hàng: ")</f>
        <v>SHINO - Giá bán 56.500,00 đ - Ngày dự kiến thu tiền: 30 ngày - Dự kiến ngày ra hết hàng: </v>
      </c>
      <c r="X9" s="2"/>
      <c r="Y9" s="2" t="str">
        <f>IFERROR(__xludf.DUMMYFUNCTION("""COMPUTED_VALUE"""),"Hà Long")</f>
        <v>Hà Long</v>
      </c>
      <c r="Z9" s="2" t="str">
        <f>IFERROR(__xludf.DUMMYFUNCTION("""COMPUTED_VALUE"""),"Tạm ngưng")</f>
        <v>Tạm ngưng</v>
      </c>
      <c r="AA9" s="2" t="str">
        <f>IFERROR(__xludf.DUMMYFUNCTION("""COMPUTED_VALUE"""),"BTP: 3/11 chưa có
Chai:
Nhãn: 
Thùng: 6/11 dự kiến về
NDT:
Lịch SX:")</f>
        <v>BTP: 3/11 chưa có
Chai:
Nhãn: 
Thùng: 6/11 dự kiến về
NDT:
Lịch SX:</v>
      </c>
      <c r="AB9" s="2" t="str">
        <f>IFERROR(__xludf.DUMMYFUNCTION("""COMPUTED_VALUE"""),"25/10 thiếu BTP, thiếu thùng
Thùng dự kiến 06/11 về
03/11 Hà Long chưa có BTP")</f>
        <v>25/10 thiếu BTP, thiếu thùng
Thùng dự kiến 06/11 về
03/11 Hà Long chưa có BTP</v>
      </c>
      <c r="AC9" s="146">
        <f>IFERROR(__xludf.DUMMYFUNCTION("""COMPUTED_VALUE"""),1500.0)</f>
        <v>1500</v>
      </c>
      <c r="AD9" s="2"/>
      <c r="AE9" s="2" t="str">
        <f>IFERROR(__xludf.DUMMYFUNCTION("""COMPUTED_VALUE"""),"Chưa chốt lịch")</f>
        <v>Chưa chốt lịch</v>
      </c>
      <c r="AF9" s="146" t="str">
        <f>IFERROR(__xludf.DUMMYFUNCTION("""COMPUTED_VALUE"""),"")</f>
        <v/>
      </c>
      <c r="AG9" s="2"/>
      <c r="AH9" s="2"/>
      <c r="AI9" s="2"/>
      <c r="AJ9" s="2"/>
      <c r="AK9" s="2"/>
      <c r="AL9" s="2"/>
      <c r="AM9" s="2"/>
      <c r="AN9" s="2"/>
      <c r="AO9" s="2"/>
      <c r="AP9" s="2"/>
      <c r="AQ9" s="2"/>
      <c r="AR9" s="2"/>
      <c r="AS9" s="2"/>
      <c r="AT9" s="2"/>
      <c r="AU9" s="2"/>
      <c r="AV9" s="2"/>
      <c r="AW9" s="2"/>
      <c r="AX9" s="2"/>
      <c r="AY9" s="2"/>
      <c r="AZ9" s="2"/>
      <c r="BA9" s="2" t="str">
        <f>IFERROR(__xludf.DUMMYFUNCTION("""COMPUTED_VALUE"""),"Đủ điều kiện")</f>
        <v>Đủ điều kiện</v>
      </c>
      <c r="BB9" s="2" t="str">
        <f>IFERROR(__xludf.DUMMYFUNCTION("""COMPUTED_VALUE"""),"Duyệt")</f>
        <v>Duyệt</v>
      </c>
      <c r="BC9" s="147">
        <f>IFERROR(__xludf.DUMMYFUNCTION("""COMPUTED_VALUE"""),45954.0)</f>
        <v>45954</v>
      </c>
      <c r="BD9" s="2" t="str">
        <f>IFERROR(__xludf.DUMMYFUNCTION("""COMPUTED_VALUE"""),"Duyệt")</f>
        <v>Duyệt</v>
      </c>
      <c r="BE9" s="2"/>
      <c r="BF9" s="2" t="str">
        <f>IFERROR(__xludf.DUMMYFUNCTION("""COMPUTED_VALUE"""),"Đã xử lí giá")</f>
        <v>Đã xử lí giá</v>
      </c>
      <c r="BG9" s="2" t="str">
        <f>IFERROR(__xludf.DUMMYFUNCTION("""COMPUTED_VALUE"""),"Nước trắng sữa 56.500đ 23/10/2025")</f>
        <v>Nước trắng sữa 56.500đ 23/10/2025</v>
      </c>
      <c r="BH9" s="2"/>
      <c r="BI9" s="2"/>
      <c r="BJ9" s="2"/>
      <c r="BK9" s="2"/>
      <c r="BL9" s="2"/>
      <c r="BM9" s="2"/>
      <c r="BN9" s="2"/>
      <c r="BO9" s="2"/>
      <c r="BP9" s="2"/>
      <c r="BQ9" s="2"/>
    </row>
    <row r="10">
      <c r="A10" s="2">
        <f>IFERROR(__xludf.DUMMYFUNCTION("""COMPUTED_VALUE"""),7.0)</f>
        <v>7</v>
      </c>
      <c r="B10" s="2" t="str">
        <f>IFERROR(__xludf.DUMMYFUNCTION("""COMPUTED_VALUE"""),"Dego Cần Thơ")</f>
        <v>Dego Cần Thơ</v>
      </c>
      <c r="C10" s="2" t="str">
        <f>IFERROR(__xludf.DUMMYFUNCTION("""COMPUTED_VALUE"""),"IYC.300102504")</f>
        <v>IYC.300102504</v>
      </c>
      <c r="D10" s="39">
        <f>IFERROR(__xludf.DUMMYFUNCTION("""COMPUTED_VALUE"""),45960.0)</f>
        <v>45960</v>
      </c>
      <c r="E10" s="2"/>
      <c r="F10" s="2" t="str">
        <f>IFERROR(__xludf.DUMMYFUNCTION("""COMPUTED_VALUE"""),"BAMBOO")</f>
        <v>BAMBOO</v>
      </c>
      <c r="G10" s="2" t="str">
        <f>IFERROR(__xludf.DUMMYFUNCTION("""COMPUTED_VALUE"""),"HH3790")</f>
        <v>HH3790</v>
      </c>
      <c r="H10" s="2" t="str">
        <f>IFERROR(__xludf.DUMMYFUNCTION("""COMPUTED_VALUE"""),"BAMBOO - VI - 3790 - BAMBOO CANXI BO MASTER (Nước trắng sữa) - 1L - 20")</f>
        <v>BAMBOO - VI - 3790 - BAMBOO CANXI BO MASTER (Nước trắng sữa) - 1L - 20</v>
      </c>
      <c r="I10" s="2" t="str">
        <f>IFERROR(__xludf.DUMMYFUNCTION("""COMPUTED_VALUE"""),"Phân bón")</f>
        <v>Phân bón</v>
      </c>
      <c r="J10" s="142" t="str">
        <f>IFERROR(__xludf.DUMMYFUNCTION("""COMPUTED_VALUE"""),"Vi lượng AGAMA-CANXI BO")</f>
        <v>Vi lượng AGAMA-CANXI BO</v>
      </c>
      <c r="K10" s="143" t="str">
        <f>IFERROR(__xludf.DUMMYFUNCTION("""COMPUTED_VALUE"""),"đóng như đơn gần nhất")</f>
        <v>đóng như đơn gần nhất</v>
      </c>
      <c r="L10" s="2" t="str">
        <f>IFERROR(__xludf.DUMMYFUNCTION("""COMPUTED_VALUE"""),"Nước trắng sữa")</f>
        <v>Nước trắng sữa</v>
      </c>
      <c r="M10" s="2" t="str">
        <f>IFERROR(__xludf.DUMMYFUNCTION("""COMPUTED_VALUE"""),"Chai")</f>
        <v>Chai</v>
      </c>
      <c r="N10" s="142">
        <f>IFERROR(__xludf.DUMMYFUNCTION("""COMPUTED_VALUE"""),20.0)</f>
        <v>20</v>
      </c>
      <c r="O10" s="144">
        <f>IFERROR(__xludf.DUMMYFUNCTION("""COMPUTED_VALUE"""),71.0)</f>
        <v>71</v>
      </c>
      <c r="P10" s="142">
        <f>IFERROR(__xludf.DUMMYFUNCTION("""COMPUTED_VALUE"""),1419.0)</f>
        <v>1419</v>
      </c>
      <c r="Q10" s="143">
        <f>IFERROR(__xludf.DUMMYFUNCTION("""COMPUTED_VALUE"""),45991.0)</f>
        <v>45991</v>
      </c>
      <c r="R10" s="2" t="str">
        <f>IFERROR(__xludf.DUMMYFUNCTION("""COMPUTED_VALUE"""),"x")</f>
        <v>x</v>
      </c>
      <c r="S10" s="142" t="str">
        <f>IFERROR(__xludf.DUMMYFUNCTION("""COMPUTED_VALUE"""),"yêu cầu xử lý lại hàng lỗi")</f>
        <v>yêu cầu xử lý lại hàng lỗi</v>
      </c>
      <c r="T10" s="142" t="str">
        <f>IFERROR(__xludf.DUMMYFUNCTION("""COMPUTED_VALUE"""),"x")</f>
        <v>x</v>
      </c>
      <c r="U10" s="142" t="str">
        <f>IFERROR(__xludf.DUMMYFUNCTION("""COMPUTED_VALUE"""),"x")</f>
        <v>x</v>
      </c>
      <c r="V10" s="142">
        <f>IFERROR(__xludf.DUMMYFUNCTION("""COMPUTED_VALUE"""),31.0)</f>
        <v>31</v>
      </c>
      <c r="W10" s="2" t="str">
        <f>IFERROR(__xludf.DUMMYFUNCTION("""COMPUTED_VALUE"""),"x - Giá bán 250000 - Ngày dự kiến thu tiền: x - Dự kiến ngày ra hết hàng: 30 ngày")</f>
        <v>x - Giá bán 250000 - Ngày dự kiến thu tiền: x - Dự kiến ngày ra hết hàng: 30 ngày</v>
      </c>
      <c r="X10" s="2"/>
      <c r="Y10" s="2" t="str">
        <f>IFERROR(__xludf.DUMMYFUNCTION("""COMPUTED_VALUE"""),"Dego Cần Thơ")</f>
        <v>Dego Cần Thơ</v>
      </c>
      <c r="Z10" s="2" t="str">
        <f>IFERROR(__xludf.DUMMYFUNCTION("""COMPUTED_VALUE"""),"Bổ sung Pháp lý")</f>
        <v>Bổ sung Pháp lý</v>
      </c>
      <c r="AA10" s="2"/>
      <c r="AB10" s="2" t="str">
        <f>IFERROR(__xludf.DUMMYFUNCTION("""COMPUTED_VALUE"""),"- Đổ thu BTP, trộn đều theo phương án của lab
- Khi BTP ổn định trích mẫu sau trộn đem test hàm lượng -&gt; chờ KQ test để xử lý đồng nhất màu
- Đóng thay chai, nhãn mã HH3790, nắp, thùng 
- Đóng lại date cũ: 07/08/2025 + L02
chưa có phương án")</f>
        <v>- Đổ thu BTP, trộn đều theo phương án của lab
- Khi BTP ổn định trích mẫu sau trộn đem test hàm lượng -&gt; chờ KQ test để xử lý đồng nhất màu
- Đóng thay chai, nhãn mã HH3790, nắp, thùng 
- Đóng lại date cũ: 07/08/2025 + L02
chưa có phương án</v>
      </c>
      <c r="AC10" s="146">
        <f>IFERROR(__xludf.DUMMYFUNCTION("""COMPUTED_VALUE"""),458.0)</f>
        <v>458</v>
      </c>
      <c r="AD10" s="146">
        <f>IFERROR(__xludf.DUMMYFUNCTION("""COMPUTED_VALUE"""),961.0)</f>
        <v>961</v>
      </c>
      <c r="AE10" s="2" t="str">
        <f>IFERROR(__xludf.DUMMYFUNCTION("""COMPUTED_VALUE"""),"đã bàn giao cho nhà máy 23/05")</f>
        <v>đã bàn giao cho nhà máy 23/05</v>
      </c>
      <c r="AF10" s="146" t="str">
        <f>IFERROR(__xludf.DUMMYFUNCTION("""COMPUTED_VALUE"""),"")</f>
        <v/>
      </c>
      <c r="AG10" s="2"/>
      <c r="AH10" s="2"/>
      <c r="AI10" s="2"/>
      <c r="AJ10" s="2"/>
      <c r="AK10" s="2"/>
      <c r="AL10" s="2"/>
      <c r="AM10" s="2"/>
      <c r="AN10" s="2"/>
      <c r="AO10" s="2"/>
      <c r="AP10" s="2"/>
      <c r="AQ10" s="2"/>
      <c r="AR10" s="2"/>
      <c r="AS10" s="2"/>
      <c r="AT10" s="2"/>
      <c r="AU10" s="2"/>
      <c r="AV10" s="2"/>
      <c r="AW10" s="2"/>
      <c r="AX10" s="2" t="str">
        <f>IFERROR(__xludf.DUMMYFUNCTION("""COMPUTED_VALUE"""),"Đang đóng")</f>
        <v>Đang đóng</v>
      </c>
      <c r="AY10" s="2"/>
      <c r="AZ10" s="2" t="str">
        <f>IFERROR(__xludf.DUMMYFUNCTION("""COMPUTED_VALUE"""),"#REF!")</f>
        <v>#REF!</v>
      </c>
      <c r="BA10" s="2" t="str">
        <f>IFERROR(__xludf.DUMMYFUNCTION("""COMPUTED_VALUE"""),"Đủ điều kiện")</f>
        <v>Đủ điều kiện</v>
      </c>
      <c r="BB10" s="2" t="str">
        <f>IFERROR(__xludf.DUMMYFUNCTION("""COMPUTED_VALUE"""),"Hàng xử ly lại")</f>
        <v>Hàng xử ly lại</v>
      </c>
      <c r="BC10" s="2"/>
      <c r="BD10" s="2" t="str">
        <f>IFERROR(__xludf.DUMMYFUNCTION("""COMPUTED_VALUE"""),"Hàng xử ly lại")</f>
        <v>Hàng xử ly lại</v>
      </c>
      <c r="BE10" s="2"/>
      <c r="BF10" s="2" t="str">
        <f>IFERROR(__xludf.DUMMYFUNCTION("""COMPUTED_VALUE"""),"Hàng xử lý lại")</f>
        <v>Hàng xử lý lại</v>
      </c>
      <c r="BG10" s="2" t="str">
        <f>IFERROR(__xludf.DUMMYFUNCTION("""COMPUTED_VALUE"""),"IYC.300102504 yêu cầu xử lý lại hàng lỗi 30/10/2025")</f>
        <v>IYC.300102504 yêu cầu xử lý lại hàng lỗi 30/10/2025</v>
      </c>
      <c r="BH10" s="2"/>
      <c r="BI10" s="2"/>
      <c r="BJ10" s="2"/>
      <c r="BK10" s="2"/>
      <c r="BL10" s="2"/>
      <c r="BM10" s="2"/>
      <c r="BN10" s="2"/>
      <c r="BO10" s="2"/>
      <c r="BP10" s="2"/>
      <c r="BQ10" s="2"/>
    </row>
    <row r="11">
      <c r="A11" s="2">
        <f>IFERROR(__xludf.DUMMYFUNCTION("""COMPUTED_VALUE"""),8.0)</f>
        <v>8</v>
      </c>
      <c r="B11" s="2" t="str">
        <f>IFERROR(__xludf.DUMMYFUNCTION("""COMPUTED_VALUE"""),"Dego Cần Thơ")</f>
        <v>Dego Cần Thơ</v>
      </c>
      <c r="C11" s="2" t="str">
        <f>IFERROR(__xludf.DUMMYFUNCTION("""COMPUTED_VALUE"""),"SYC31102503")</f>
        <v>SYC31102503</v>
      </c>
      <c r="D11" s="39">
        <f>IFERROR(__xludf.DUMMYFUNCTION("""COMPUTED_VALUE"""),45961.0)</f>
        <v>45961</v>
      </c>
      <c r="E11" s="2"/>
      <c r="F11" s="2" t="str">
        <f>IFERROR(__xludf.DUMMYFUNCTION("""COMPUTED_VALUE"""),"N2SBIO")</f>
        <v>N2SBIO</v>
      </c>
      <c r="G11" s="2" t="str">
        <f>IFERROR(__xludf.DUMMYFUNCTION("""COMPUTED_VALUE"""),"HH4068")</f>
        <v>HH4068</v>
      </c>
      <c r="H11" s="2" t="str">
        <f>IFERROR(__xludf.DUMMYFUNCTION("""COMPUTED_VALUE"""),"GC - IX - 4068 - N2SBIO - N2 HYPER CALBOR (Dạng SC - Vàng) - 500ml - 40")</f>
        <v>GC - IX - 4068 - N2SBIO - N2 HYPER CALBOR (Dạng SC - Vàng) - 500ml - 40</v>
      </c>
      <c r="I11" s="2" t="str">
        <f>IFERROR(__xludf.DUMMYFUNCTION("""COMPUTED_VALUE"""),"Phân bón")</f>
        <v>Phân bón</v>
      </c>
      <c r="J11" s="142" t="str">
        <f>IFERROR(__xludf.DUMMYFUNCTION("""COMPUTED_VALUE"""),"Lá NK Trung Vi Lượng Có Chất Điều Hòa Sinh Trưởng Halo 26")</f>
        <v>Lá NK Trung Vi Lượng Có Chất Điều Hòa Sinh Trưởng Halo 26</v>
      </c>
      <c r="K11" s="143" t="str">
        <f>IFERROR(__xludf.DUMMYFUNCTION("""COMPUTED_VALUE"""),"N01220825")</f>
        <v>N01220825</v>
      </c>
      <c r="L11" s="2" t="str">
        <f>IFERROR(__xludf.DUMMYFUNCTION("""COMPUTED_VALUE"""),"Dạng SC - Vàng")</f>
        <v>Dạng SC - Vàng</v>
      </c>
      <c r="M11" s="2" t="str">
        <f>IFERROR(__xludf.DUMMYFUNCTION("""COMPUTED_VALUE"""),"Chai")</f>
        <v>Chai</v>
      </c>
      <c r="N11" s="142">
        <f>IFERROR(__xludf.DUMMYFUNCTION("""COMPUTED_VALUE"""),40.0)</f>
        <v>40</v>
      </c>
      <c r="O11" s="144">
        <f>IFERROR(__xludf.DUMMYFUNCTION("""COMPUTED_VALUE"""),4.9)</f>
        <v>4.9</v>
      </c>
      <c r="P11" s="142">
        <f>IFERROR(__xludf.DUMMYFUNCTION("""COMPUTED_VALUE"""),196.0)</f>
        <v>196</v>
      </c>
      <c r="Q11" s="143">
        <f>IFERROR(__xludf.DUMMYFUNCTION("""COMPUTED_VALUE"""),45968.0)</f>
        <v>45968</v>
      </c>
      <c r="R11" s="2" t="str">
        <f>IFERROR(__xludf.DUMMYFUNCTION("""COMPUTED_VALUE"""),"x")</f>
        <v>x</v>
      </c>
      <c r="S11" s="142" t="str">
        <f>IFERROR(__xludf.DUMMYFUNCTION("""COMPUTED_VALUE"""),"x")</f>
        <v>x</v>
      </c>
      <c r="T11" s="142" t="str">
        <f>IFERROR(__xludf.DUMMYFUNCTION("""COMPUTED_VALUE"""),"x")</f>
        <v>x</v>
      </c>
      <c r="U11" s="142" t="str">
        <f>IFERROR(__xludf.DUMMYFUNCTION("""COMPUTED_VALUE"""),"x")</f>
        <v>x</v>
      </c>
      <c r="V11" s="142">
        <f>IFERROR(__xludf.DUMMYFUNCTION("""COMPUTED_VALUE"""),7.0)</f>
        <v>7</v>
      </c>
      <c r="W11" s="2" t="str">
        <f>IFERROR(__xludf.DUMMYFUNCTION("""COMPUTED_VALUE""")," - Giá bán 185000 - Ngày dự kiến thu tiền:  - Dự kiến ngày ra hết hàng: 30 ngày")</f>
        <v> - Giá bán 185000 - Ngày dự kiến thu tiền:  - Dự kiến ngày ra hết hàng: 30 ngày</v>
      </c>
      <c r="X11" s="2"/>
      <c r="Y11" s="2" t="str">
        <f>IFERROR(__xludf.DUMMYFUNCTION("""COMPUTED_VALUE"""),"Dego Cần Thơ")</f>
        <v>Dego Cần Thơ</v>
      </c>
      <c r="Z11" s="2" t="str">
        <f>IFERROR(__xludf.DUMMYFUNCTION("""COMPUTED_VALUE"""),"Chưa có lịch SX")</f>
        <v>Chưa có lịch SX</v>
      </c>
      <c r="AA11" s="2"/>
      <c r="AB11" s="2" t="str">
        <f>IFERROR(__xludf.DUMMYFUNCTION("""COMPUTED_VALUE"""),"- Đổ thu BTP, phối lại
- Đóng thay chai, nhãn, nắp, thùng (nếu thùng bị dơ, báo lại số lượng thùng dơ nếu có)
- Đóng lại date cũ: 13/10/2025 + L02
chưa có phương án
")</f>
        <v>- Đổ thu BTP, phối lại
- Đóng thay chai, nhãn, nắp, thùng (nếu thùng bị dơ, báo lại số lượng thùng dơ nếu có)
- Đóng lại date cũ: 13/10/2025 + L02
chưa có phương án
</v>
      </c>
      <c r="AC11" s="146">
        <f>IFERROR(__xludf.DUMMYFUNCTION("""COMPUTED_VALUE"""),196.0)</f>
        <v>196</v>
      </c>
      <c r="AD11" s="2"/>
      <c r="AE11" s="2" t="str">
        <f>IFERROR(__xludf.DUMMYFUNCTION("""COMPUTED_VALUE"""),"đã bàn giao cho nhà máy 23/05")</f>
        <v>đã bàn giao cho nhà máy 23/05</v>
      </c>
      <c r="AF11" s="146" t="str">
        <f>IFERROR(__xludf.DUMMYFUNCTION("""COMPUTED_VALUE"""),"")</f>
        <v/>
      </c>
      <c r="AG11" s="2"/>
      <c r="AH11" s="2"/>
      <c r="AI11" s="2"/>
      <c r="AJ11" s="2"/>
      <c r="AK11" s="2"/>
      <c r="AL11" s="2"/>
      <c r="AM11" s="2"/>
      <c r="AN11" s="2"/>
      <c r="AO11" s="2"/>
      <c r="AP11" s="2"/>
      <c r="AQ11" s="2"/>
      <c r="AR11" s="2"/>
      <c r="AS11" s="2"/>
      <c r="AT11" s="2"/>
      <c r="AU11" s="2"/>
      <c r="AV11" s="2"/>
      <c r="AW11" s="2"/>
      <c r="AX11" s="2" t="str">
        <f>IFERROR(__xludf.DUMMYFUNCTION("""COMPUTED_VALUE"""),"Xử lý gì")</f>
        <v>Xử lý gì</v>
      </c>
      <c r="AY11" s="2"/>
      <c r="AZ11" s="2" t="str">
        <f>IFERROR(__xludf.DUMMYFUNCTION("""COMPUTED_VALUE"""),"#REF!")</f>
        <v>#REF!</v>
      </c>
      <c r="BA11" s="2" t="str">
        <f>IFERROR(__xludf.DUMMYFUNCTION("""COMPUTED_VALUE"""),"Đủ điều kiện")</f>
        <v>Đủ điều kiện</v>
      </c>
      <c r="BB11" s="2" t="str">
        <f>IFERROR(__xludf.DUMMYFUNCTION("""COMPUTED_VALUE"""),"Hàng xử ly lại")</f>
        <v>Hàng xử ly lại</v>
      </c>
      <c r="BC11" s="2"/>
      <c r="BD11" s="2" t="str">
        <f>IFERROR(__xludf.DUMMYFUNCTION("""COMPUTED_VALUE"""),"Duyệt")</f>
        <v>Duyệt</v>
      </c>
      <c r="BE11" s="2"/>
      <c r="BF11" s="2" t="str">
        <f>IFERROR(__xludf.DUMMYFUNCTION("""COMPUTED_VALUE"""),"Hàng xử lý lại")</f>
        <v>Hàng xử lý lại</v>
      </c>
      <c r="BG11" s="2" t="str">
        <f>IFERROR(__xludf.DUMMYFUNCTION("""COMPUTED_VALUE"""),"SYC31102503  31/10/2025")</f>
        <v>SYC31102503  31/10/2025</v>
      </c>
      <c r="BH11" s="2"/>
      <c r="BI11" s="2"/>
      <c r="BJ11" s="2"/>
      <c r="BK11" s="2"/>
      <c r="BL11" s="2"/>
      <c r="BM11" s="2"/>
      <c r="BN11" s="2"/>
      <c r="BO11" s="2"/>
      <c r="BP11" s="2"/>
      <c r="BQ11" s="2"/>
    </row>
    <row r="12">
      <c r="A12" s="2">
        <f>IFERROR(__xludf.DUMMYFUNCTION("""COMPUTED_VALUE"""),9.0)</f>
        <v>9</v>
      </c>
      <c r="B12" s="2" t="str">
        <f>IFERROR(__xludf.DUMMYFUNCTION("""COMPUTED_VALUE"""),"Basel")</f>
        <v>Basel</v>
      </c>
      <c r="C12" s="2" t="str">
        <f>IFERROR(__xludf.DUMMYFUNCTION("""COMPUTED_VALUE"""),"ATP.23042402")</f>
        <v>ATP.23042402</v>
      </c>
      <c r="D12" s="39">
        <f>IFERROR(__xludf.DUMMYFUNCTION("""COMPUTED_VALUE"""),45405.0)</f>
        <v>45405</v>
      </c>
      <c r="E12" s="2"/>
      <c r="F12" s="2" t="str">
        <f>IFERROR(__xludf.DUMMYFUNCTION("""COMPUTED_VALUE"""),"ABA")</f>
        <v>ABA</v>
      </c>
      <c r="G12" s="2" t="str">
        <f>IFERROR(__xludf.DUMMYFUNCTION("""COMPUTED_VALUE"""),"HH2234")</f>
        <v>HH2234</v>
      </c>
      <c r="H12" s="2" t="str">
        <f>IFERROR(__xludf.DUMMYFUNCTION("""COMPUTED_VALUE"""),"GC - IV - 2234 - CTY ITALY - MANCO XANH (bột xanh) - 1kg - 20")</f>
        <v>GC - IV - 2234 - CTY ITALY - MANCO XANH (bột xanh) - 1kg - 20</v>
      </c>
      <c r="I12" s="2" t="str">
        <f>IFERROR(__xludf.DUMMYFUNCTION("""COMPUTED_VALUE"""),"Thuốc trừ bệnh")</f>
        <v>Thuốc trừ bệnh</v>
      </c>
      <c r="J12" s="2" t="str">
        <f>IFERROR(__xludf.DUMMYFUNCTION("""COMPUTED_VALUE"""),"Thuốc trừ bệnh MANCOBGO 80WP")</f>
        <v>Thuốc trừ bệnh MANCOBGO 80WP</v>
      </c>
      <c r="K12" s="2"/>
      <c r="L12" s="2" t="str">
        <f>IFERROR(__xludf.DUMMYFUNCTION("""COMPUTED_VALUE"""),"Bột xanh")</f>
        <v>Bột xanh</v>
      </c>
      <c r="M12" s="2" t="str">
        <f>IFERROR(__xludf.DUMMYFUNCTION("""COMPUTED_VALUE"""),"Túi/Gói")</f>
        <v>Túi/Gói</v>
      </c>
      <c r="N12" s="142">
        <f>IFERROR(__xludf.DUMMYFUNCTION("""COMPUTED_VALUE"""),20.0)</f>
        <v>20</v>
      </c>
      <c r="O12" s="142">
        <f>IFERROR(__xludf.DUMMYFUNCTION("""COMPUTED_VALUE"""),25.0)</f>
        <v>25</v>
      </c>
      <c r="P12" s="142">
        <f>IFERROR(__xludf.DUMMYFUNCTION("""COMPUTED_VALUE"""),500.0)</f>
        <v>500</v>
      </c>
      <c r="Q12" s="143">
        <f>IFERROR(__xludf.DUMMYFUNCTION("""COMPUTED_VALUE"""),45414.0)</f>
        <v>45414</v>
      </c>
      <c r="R12" s="2" t="str">
        <f>IFERROR(__xludf.DUMMYFUNCTION("""COMPUTED_VALUE"""),"X")</f>
        <v>X</v>
      </c>
      <c r="S12" s="2"/>
      <c r="T12" s="2"/>
      <c r="U12" s="2"/>
      <c r="V12" s="142">
        <f>IFERROR(__xludf.DUMMYFUNCTION("""COMPUTED_VALUE"""),9.0)</f>
        <v>9</v>
      </c>
      <c r="W12" s="2" t="str">
        <f>IFERROR(__xludf.DUMMYFUNCTION("""COMPUTED_VALUE"""),"- Giá bán 78000 - Ngày dự kiến thu tiền: Trong 07 ngày kể từ ngày giao hàng thành công - Dự kiến ngày ra hết hàng: Dự kiến ra hết hàng trong vòng 30 ngày")</f>
        <v>- Giá bán 78000 - Ngày dự kiến thu tiền: Trong 07 ngày kể từ ngày giao hàng thành công - Dự kiến ngày ra hết hàng: Dự kiến ra hết hàng trong vòng 30 ngày</v>
      </c>
      <c r="X12" s="2"/>
      <c r="Y12" s="2" t="str">
        <f>IFERROR(__xludf.DUMMYFUNCTION("""COMPUTED_VALUE"""),"Âu Việt")</f>
        <v>Âu Việt</v>
      </c>
      <c r="Z12" s="2" t="str">
        <f>IFERROR(__xludf.DUMMYFUNCTION("""COMPUTED_VALUE"""),"Hoàn thành")</f>
        <v>Hoàn thành</v>
      </c>
      <c r="AA12" s="2"/>
      <c r="AB12" s="2" t="str">
        <f>IFERROR(__xludf.DUMMYFUNCTION("""COMPUTED_VALUE"""),"ĐỦ VTBB 24/04 
27/04 chốt lùi date 19/11/2023
02/05 sẵn kho NCC
03/05 nhận 25th nhưng phát hiện khách hàng có giấy phép Kinh doanh tháng 01/2024 ==&gt; phương án hiện tại cho trả về Basel, phương án xử lý sẽ báo sau
Hàng cần gấp mang qua Hà Long đóng hàng
04"&amp;"/05 trả về NCC 25th")</f>
        <v>ĐỦ VTBB 24/04 
27/04 chốt lùi date 19/11/2023
02/05 sẵn kho NCC
03/05 nhận 25th nhưng phát hiện khách hàng có giấy phép Kinh doanh tháng 01/2024 ==&gt; phương án hiện tại cho trả về Basel, phương án xử lý sẽ báo sau
Hàng cần gấp mang qua Hà Long đóng hàng
04/05 trả về NCC 25th</v>
      </c>
      <c r="AC12" s="146">
        <f>IFERROR(__xludf.DUMMYFUNCTION("""COMPUTED_VALUE"""),500.0)</f>
        <v>500</v>
      </c>
      <c r="AD12" s="2"/>
      <c r="AE12" s="2" t="str">
        <f>IFERROR(__xludf.DUMMYFUNCTION("""COMPUTED_VALUE"""),"Chưa chốt lịch")</f>
        <v>Chưa chốt lịch</v>
      </c>
      <c r="AF12" s="146" t="str">
        <f>IFERROR(__xludf.DUMMYFUNCTION("""COMPUTED_VALUE"""),"")</f>
        <v/>
      </c>
      <c r="AG12" s="2"/>
      <c r="AH12" s="2"/>
      <c r="AI12" s="2"/>
      <c r="AJ12" s="2"/>
      <c r="AK12" s="2"/>
      <c r="AL12" s="2"/>
      <c r="AM12" s="2"/>
      <c r="AN12" s="2"/>
      <c r="AO12" s="2"/>
      <c r="AP12" s="2"/>
      <c r="AQ12" s="2"/>
      <c r="AR12" s="2"/>
      <c r="AS12" s="2"/>
      <c r="AT12" s="2"/>
      <c r="AU12" s="2"/>
      <c r="AV12" s="2" t="str">
        <f>IFERROR(__xludf.DUMMYFUNCTION("""COMPUTED_VALUE"""),"03/05 nhận 25th")</f>
        <v>03/05 nhận 25th</v>
      </c>
      <c r="AW12" s="2"/>
      <c r="AX12" s="2" t="str">
        <f>IFERROR(__xludf.DUMMYFUNCTION("""COMPUTED_VALUE"""),"Xử lý gì")</f>
        <v>Xử lý gì</v>
      </c>
      <c r="AY12" s="2"/>
      <c r="AZ12" s="2"/>
      <c r="BA12" s="2" t="str">
        <f>IFERROR(__xludf.DUMMYFUNCTION("""COMPUTED_VALUE"""),"Đủ điều kiện")</f>
        <v>Đủ điều kiện</v>
      </c>
      <c r="BB12" s="153" t="str">
        <f>IFERROR(__xludf.DUMMYFUNCTION("""COMPUTED_VALUE"""),"Duyệt")</f>
        <v>Duyệt</v>
      </c>
      <c r="BC12" s="2"/>
      <c r="BD12" s="2" t="str">
        <f>IFERROR(__xludf.DUMMYFUNCTION("""COMPUTED_VALUE"""),"Duyệt")</f>
        <v>Duyệt</v>
      </c>
      <c r="BE12" s="2"/>
      <c r="BF12" s="2" t="str">
        <f>IFERROR(__xludf.DUMMYFUNCTION("""COMPUTED_VALUE"""),"Đã xử lí giá")</f>
        <v>Đã xử lí giá</v>
      </c>
      <c r="BG12" s="2"/>
      <c r="BH12" s="2"/>
      <c r="BI12" s="2"/>
      <c r="BJ12" s="2"/>
      <c r="BK12" s="2"/>
      <c r="BL12" s="2"/>
      <c r="BM12" s="2"/>
      <c r="BN12" s="2"/>
      <c r="BO12" s="2"/>
      <c r="BP12" s="2"/>
      <c r="BQ12" s="2"/>
    </row>
    <row r="13">
      <c r="A13" s="2">
        <f>IFERROR(__xludf.DUMMYFUNCTION("""COMPUTED_VALUE"""),10.0)</f>
        <v>10</v>
      </c>
      <c r="B13" s="2" t="str">
        <f>IFERROR(__xludf.DUMMYFUNCTION("""COMPUTED_VALUE"""),"Basel")</f>
        <v>Basel</v>
      </c>
      <c r="C13" s="2" t="str">
        <f>IFERROR(__xludf.DUMMYFUNCTION("""COMPUTED_VALUE"""),"NTP.24052402")</f>
        <v>NTP.24052402</v>
      </c>
      <c r="D13" s="39">
        <f>IFERROR(__xludf.DUMMYFUNCTION("""COMPUTED_VALUE"""),45436.0)</f>
        <v>45436</v>
      </c>
      <c r="E13" s="2"/>
      <c r="F13" s="2" t="str">
        <f>IFERROR(__xludf.DUMMYFUNCTION("""COMPUTED_VALUE"""),"Nội bộ")</f>
        <v>Nội bộ</v>
      </c>
      <c r="G13" s="2" t="str">
        <f>IFERROR(__xludf.DUMMYFUNCTION("""COMPUTED_VALUE"""),"HH2340")</f>
        <v>HH2340</v>
      </c>
      <c r="H13" s="2" t="str">
        <f>IFERROR(__xludf.DUMMYFUNCTION("""COMPUTED_VALUE"""),"NB - I - 2340 - CTY GOLDDEN FARM - HAIHAMEC 3.6EC (nước nâu đen) - 450ml - 40")</f>
        <v>NB - I - 2340 - CTY GOLDDEN FARM - HAIHAMEC 3.6EC (nước nâu đen) - 450ml - 40</v>
      </c>
      <c r="I13" s="2" t="str">
        <f>IFERROR(__xludf.DUMMYFUNCTION("""COMPUTED_VALUE"""),"Thuốc trừ sâu")</f>
        <v>Thuốc trừ sâu</v>
      </c>
      <c r="J13" s="2" t="str">
        <f>IFERROR(__xludf.DUMMYFUNCTION("""COMPUTED_VALUE"""),"Thuốc trừ sâu HAIHAMEC 3.6EC")</f>
        <v>Thuốc trừ sâu HAIHAMEC 3.6EC</v>
      </c>
      <c r="K13" s="2"/>
      <c r="L13" s="2" t="str">
        <f>IFERROR(__xludf.DUMMYFUNCTION("""COMPUTED_VALUE"""),"Nước nâu đen")</f>
        <v>Nước nâu đen</v>
      </c>
      <c r="M13" s="2" t="str">
        <f>IFERROR(__xludf.DUMMYFUNCTION("""COMPUTED_VALUE"""),"Chai")</f>
        <v>Chai</v>
      </c>
      <c r="N13" s="142">
        <f>IFERROR(__xludf.DUMMYFUNCTION("""COMPUTED_VALUE"""),40.0)</f>
        <v>40</v>
      </c>
      <c r="O13" s="142">
        <f>IFERROR(__xludf.DUMMYFUNCTION("""COMPUTED_VALUE"""),50.0)</f>
        <v>50</v>
      </c>
      <c r="P13" s="142">
        <f>IFERROR(__xludf.DUMMYFUNCTION("""COMPUTED_VALUE"""),2000.0)</f>
        <v>2000</v>
      </c>
      <c r="Q13" s="143">
        <f>IFERROR(__xludf.DUMMYFUNCTION("""COMPUTED_VALUE"""),45448.0)</f>
        <v>45448</v>
      </c>
      <c r="R13" s="2" t="str">
        <f>IFERROR(__xludf.DUMMYFUNCTION("""COMPUTED_VALUE"""),"X")</f>
        <v>X</v>
      </c>
      <c r="S13" s="2"/>
      <c r="T13" s="142" t="str">
        <f>IFERROR(__xludf.DUMMYFUNCTION("""COMPUTED_VALUE"""),"Chai, nhãn, thùng")</f>
        <v>Chai, nhãn, thùng</v>
      </c>
      <c r="U13" s="2"/>
      <c r="V13" s="2"/>
      <c r="W13" s="2" t="str">
        <f>IFERROR(__xludf.DUMMYFUNCTION("""COMPUTED_VALUE"""),"Nông dược Sunrise - Giá bán 37593 - Ngày dự kiến thu tiền: Trong 07 ngày kể từ ngày giao hàng thành công - Dự kiến ngày ra hết hàng: 2 ngày")</f>
        <v>Nông dược Sunrise - Giá bán 37593 - Ngày dự kiến thu tiền: Trong 07 ngày kể từ ngày giao hàng thành công - Dự kiến ngày ra hết hàng: 2 ngày</v>
      </c>
      <c r="X13" s="2"/>
      <c r="Y13" s="2" t="str">
        <f>IFERROR(__xludf.DUMMYFUNCTION("""COMPUTED_VALUE"""),"Basel")</f>
        <v>Basel</v>
      </c>
      <c r="Z13" s="2" t="str">
        <f>IFERROR(__xludf.DUMMYFUNCTION("""COMPUTED_VALUE"""),"Chưa có lịch SX")</f>
        <v>Chưa có lịch SX</v>
      </c>
      <c r="AA13" s="2"/>
      <c r="AB13" s="2" t="str">
        <f>IFERROR(__xludf.DUMMYFUNCTION("""COMPUTED_VALUE"""),"ĐỦ VTBB 1/06
27/05 phát hiện 1 số lô hàng nguyên liệu cùng ruột với sản phẩm này không tan trong nước
12/06 chốt công thức mới thay công thức lỗi
14/06 đã đóng xong 24th + 29 chai, tuy nhiên phát hiện công thức bị lỗi kết tinh -&gt; chốt phương án cho đóng t"&amp;"rực tiếp từ BTP NK
16/06 sẵn kho 26th BTP NK
17/06 nhận 26th")</f>
        <v>ĐỦ VTBB 1/06
27/05 phát hiện 1 số lô hàng nguyên liệu cùng ruột với sản phẩm này không tan trong nước
12/06 chốt công thức mới thay công thức lỗi
14/06 đã đóng xong 24th + 29 chai, tuy nhiên phát hiện công thức bị lỗi kết tinh -&gt; chốt phương án cho đóng trực tiếp từ BTP NK
16/06 sẵn kho 26th BTP NK
17/06 nhận 26th</v>
      </c>
      <c r="AC13" s="146">
        <f>IFERROR(__xludf.DUMMYFUNCTION("""COMPUTED_VALUE"""),2000.0)</f>
        <v>2000</v>
      </c>
      <c r="AD13" s="2"/>
      <c r="AE13" s="39">
        <f>IFERROR(__xludf.DUMMYFUNCTION("""COMPUTED_VALUE"""),45459.0)</f>
        <v>45459</v>
      </c>
      <c r="AF13" s="146" t="str">
        <f>IFERROR(__xludf.DUMMYFUNCTION("""COMPUTED_VALUE"""),"")</f>
        <v/>
      </c>
      <c r="AG13" s="146" t="str">
        <f>IFERROR(__xludf.DUMMYFUNCTION("""COMPUTED_VALUE"""),"16/06/2024")</f>
        <v>16/06/2024</v>
      </c>
      <c r="AH13" s="146" t="str">
        <f>IFERROR(__xludf.DUMMYFUNCTION("""COMPUTED_VALUE"""),"26")</f>
        <v>26</v>
      </c>
      <c r="AI13" s="2"/>
      <c r="AJ13" s="2"/>
      <c r="AK13" s="2"/>
      <c r="AL13" s="2"/>
      <c r="AM13" s="2"/>
      <c r="AN13" s="2"/>
      <c r="AO13" s="2"/>
      <c r="AP13" s="2"/>
      <c r="AQ13" s="2"/>
      <c r="AR13" s="2"/>
      <c r="AS13" s="2"/>
      <c r="AT13" s="2"/>
      <c r="AU13" s="142">
        <f>IFERROR(__xludf.DUMMYFUNCTION("""COMPUTED_VALUE"""),26.0)</f>
        <v>26</v>
      </c>
      <c r="AV13" s="2" t="str">
        <f>IFERROR(__xludf.DUMMYFUNCTION("""COMPUTED_VALUE"""),"17/06 nhận 26th")</f>
        <v>17/06 nhận 26th</v>
      </c>
      <c r="AW13" s="2"/>
      <c r="AX13" s="2"/>
      <c r="AY13" s="2"/>
      <c r="AZ13" s="2"/>
      <c r="BA13" s="2" t="str">
        <f>IFERROR(__xludf.DUMMYFUNCTION("""COMPUTED_VALUE"""),"Đủ điều kiện")</f>
        <v>Đủ điều kiện</v>
      </c>
      <c r="BB13" s="153" t="str">
        <f>IFERROR(__xludf.DUMMYFUNCTION("""COMPUTED_VALUE"""),"Duyệt")</f>
        <v>Duyệt</v>
      </c>
      <c r="BC13" s="2"/>
      <c r="BD13" s="2" t="str">
        <f>IFERROR(__xludf.DUMMYFUNCTION("""COMPUTED_VALUE"""),"Duyệt")</f>
        <v>Duyệt</v>
      </c>
      <c r="BE13" s="39">
        <f>IFERROR(__xludf.DUMMYFUNCTION("""COMPUTED_VALUE"""),45492.0)</f>
        <v>45492</v>
      </c>
      <c r="BF13" s="2" t="str">
        <f>IFERROR(__xludf.DUMMYFUNCTION("""COMPUTED_VALUE"""),"Đã xử lí giá")</f>
        <v>Đã xử lí giá</v>
      </c>
      <c r="BG13" s="2"/>
      <c r="BH13" s="2"/>
      <c r="BI13" s="2"/>
      <c r="BJ13" s="2"/>
      <c r="BK13" s="2"/>
      <c r="BL13" s="2"/>
      <c r="BM13" s="2"/>
      <c r="BN13" s="2"/>
      <c r="BO13" s="2"/>
      <c r="BP13" s="2"/>
      <c r="BQ13" s="2"/>
    </row>
    <row r="14">
      <c r="A14" s="2">
        <f>IFERROR(__xludf.DUMMYFUNCTION("""COMPUTED_VALUE"""),11.0)</f>
        <v>11</v>
      </c>
      <c r="B14" s="2" t="str">
        <f>IFERROR(__xludf.DUMMYFUNCTION("""COMPUTED_VALUE"""),"Dego Cần Thơ")</f>
        <v>Dego Cần Thơ</v>
      </c>
      <c r="C14" s="2" t="str">
        <f>IFERROR(__xludf.DUMMYFUNCTION("""COMPUTED_VALUE"""),"ATP24122511")</f>
        <v>ATP24122511</v>
      </c>
      <c r="D14" s="39">
        <f>IFERROR(__xludf.DUMMYFUNCTION("""COMPUTED_VALUE"""),46015.0)</f>
        <v>46015</v>
      </c>
      <c r="E14" s="2" t="str">
        <f>IFERROR(__xludf.DUMMYFUNCTION("""COMPUTED_VALUE"""),"Đã duyệt")</f>
        <v>Đã duyệt</v>
      </c>
      <c r="F14" s="2" t="str">
        <f>IFERROR(__xludf.DUMMYFUNCTION("""COMPUTED_VALUE"""),"ABA")</f>
        <v>ABA</v>
      </c>
      <c r="G14" s="2" t="str">
        <f>IFERROR(__xludf.DUMMYFUNCTION("""COMPUTED_VALUE"""),"MAU3123")</f>
        <v>MAU3123</v>
      </c>
      <c r="H14" s="2" t="str">
        <f>IFERROR(__xludf.DUMMYFUNCTION("""COMPUTED_VALUE"""),"Mẫu CHẶN ĐỌT V3 - SICAK TOP - 1L - 20")</f>
        <v>Mẫu CHẶN ĐỌT V3 - SICAK TOP - 1L - 20</v>
      </c>
      <c r="I14" s="2" t="str">
        <f>IFERROR(__xludf.DUMMYFUNCTION("""COMPUTED_VALUE"""),"Phân bón")</f>
        <v>Phân bón</v>
      </c>
      <c r="J14" s="142" t="str">
        <f>IFERROR(__xludf.DUMMYFUNCTION("""COMPUTED_VALUE"""),"SICAK TOP")</f>
        <v>SICAK TOP</v>
      </c>
      <c r="K14" s="143" t="str">
        <f>IFERROR(__xludf.DUMMYFUNCTION("""COMPUTED_VALUE"""),"A06290925")</f>
        <v>A06290925</v>
      </c>
      <c r="L14" s="2" t="str">
        <f>IFERROR(__xludf.DUMMYFUNCTION("""COMPUTED_VALUE"""),"Nước nâu đen")</f>
        <v>Nước nâu đen</v>
      </c>
      <c r="M14" s="2" t="str">
        <f>IFERROR(__xludf.DUMMYFUNCTION("""COMPUTED_VALUE"""),"Chai")</f>
        <v>Chai</v>
      </c>
      <c r="N14" s="142">
        <f>IFERROR(__xludf.DUMMYFUNCTION("""COMPUTED_VALUE"""),20.0)</f>
        <v>20</v>
      </c>
      <c r="O14" s="142">
        <f>IFERROR(__xludf.DUMMYFUNCTION("""COMPUTED_VALUE"""),6.0)</f>
        <v>6</v>
      </c>
      <c r="P14" s="142">
        <f>IFERROR(__xludf.DUMMYFUNCTION("""COMPUTED_VALUE"""),120.0)</f>
        <v>120</v>
      </c>
      <c r="Q14" s="143">
        <f>IFERROR(__xludf.DUMMYFUNCTION("""COMPUTED_VALUE"""),46031.0)</f>
        <v>46031</v>
      </c>
      <c r="R14" s="2"/>
      <c r="S14" s="142" t="str">
        <f>IFERROR(__xludf.DUMMYFUNCTION("""COMPUTED_VALUE"""),"lấy chẳn thùng
Nhãn in trắng đén nhờ nhà máy in giúp")</f>
        <v>lấy chẳn thùng
Nhãn in trắng đén nhờ nhà máy in giúp</v>
      </c>
      <c r="T14" s="2"/>
      <c r="U14" s="2"/>
      <c r="V14" s="2"/>
      <c r="W14" s="2" t="str">
        <f>IFERROR(__xludf.DUMMYFUNCTION("""COMPUTED_VALUE"""),"WINDY - Giá bán Giá bổ sung sau - Ngày dự kiến thu tiền: 30 ngày - Dự kiến ngày ra hết hàng: ")</f>
        <v>WINDY - Giá bán Giá bổ sung sau - Ngày dự kiến thu tiền: 30 ngày - Dự kiến ngày ra hết hàng: </v>
      </c>
      <c r="X14" s="2"/>
      <c r="Y14" s="2" t="str">
        <f>IFERROR(__xludf.DUMMYFUNCTION("""COMPUTED_VALUE"""),"Dego Cần Thơ")</f>
        <v>Dego Cần Thơ</v>
      </c>
      <c r="Z14" s="2" t="str">
        <f>IFERROR(__xludf.DUMMYFUNCTION("""COMPUTED_VALUE"""),"Hàng sẵn kho")</f>
        <v>Hàng sẵn kho</v>
      </c>
      <c r="AA14" s="2"/>
      <c r="AB14" s="2"/>
      <c r="AC14" s="146">
        <f>IFERROR(__xludf.DUMMYFUNCTION("""COMPUTED_VALUE"""),22.0)</f>
        <v>22</v>
      </c>
      <c r="AD14" s="146">
        <f>IFERROR(__xludf.DUMMYFUNCTION("""COMPUTED_VALUE"""),98.0)</f>
        <v>98</v>
      </c>
      <c r="AE14" s="2" t="str">
        <f>IFERROR(__xludf.DUMMYFUNCTION("""COMPUTED_VALUE"""),"đã bàn giao cho nhà máy 23/05")</f>
        <v>đã bàn giao cho nhà máy 23/05</v>
      </c>
      <c r="AF14" s="146" t="str">
        <f>IFERROR(__xludf.DUMMYFUNCTION("""COMPUTED_VALUE"""),"")</f>
        <v/>
      </c>
      <c r="AG14" s="147">
        <f>IFERROR(__xludf.DUMMYFUNCTION("""COMPUTED_VALUE"""),46032.0)</f>
        <v>46032</v>
      </c>
      <c r="AH14" s="146" t="str">
        <f>IFERROR(__xludf.DUMMYFUNCTION("""COMPUTED_VALUE"""),"98")</f>
        <v>98</v>
      </c>
      <c r="AI14" s="2"/>
      <c r="AJ14" s="2"/>
      <c r="AK14" s="2"/>
      <c r="AL14" s="2"/>
      <c r="AM14" s="146">
        <f>IFERROR(__xludf.DUMMYFUNCTION("""COMPUTED_VALUE"""),43.0)</f>
        <v>43</v>
      </c>
      <c r="AN14" s="2"/>
      <c r="AO14" s="2"/>
      <c r="AP14" s="2"/>
      <c r="AQ14" s="2"/>
      <c r="AR14" s="2">
        <f>IFERROR(__xludf.DUMMYFUNCTION("""COMPUTED_VALUE"""),911225.0)</f>
        <v>911225</v>
      </c>
      <c r="AS14" s="143">
        <f>IFERROR(__xludf.DUMMYFUNCTION("""COMPUTED_VALUE"""),46032.0)</f>
        <v>46032</v>
      </c>
      <c r="AT14" s="2"/>
      <c r="AU14" s="146">
        <f>IFERROR(__xludf.DUMMYFUNCTION("""COMPUTED_VALUE"""),55.0)</f>
        <v>55</v>
      </c>
      <c r="AV14" s="2" t="str">
        <f>IFERROR(__xludf.DUMMYFUNCTION("""COMPUTED_VALUE"""),"13/01/2026 đã nhận 2t
12/02/2026 đã nhận 15 chai")</f>
        <v>13/01/2026 đã nhận 2t
12/02/2026 đã nhận 15 chai</v>
      </c>
      <c r="AW14" s="2"/>
      <c r="AX14" s="2"/>
      <c r="AY14" s="2"/>
      <c r="AZ14" s="2" t="str">
        <f>IFERROR(__xludf.DUMMYFUNCTION("""COMPUTED_VALUE"""),"#REF!")</f>
        <v>#REF!</v>
      </c>
      <c r="BA14" s="2" t="str">
        <f>IFERROR(__xludf.DUMMYFUNCTION("""COMPUTED_VALUE"""),"Đủ điều kiện")</f>
        <v>Đủ điều kiện</v>
      </c>
      <c r="BB14" s="2" t="str">
        <f>IFERROR(__xludf.DUMMYFUNCTION("""COMPUTED_VALUE"""),"Duyệt")</f>
        <v>Duyệt</v>
      </c>
      <c r="BC14" s="148">
        <f>IFERROR(__xludf.DUMMYFUNCTION("""COMPUTED_VALUE"""),46029.0)</f>
        <v>46029</v>
      </c>
      <c r="BD14" s="2" t="str">
        <f>IFERROR(__xludf.DUMMYFUNCTION("""COMPUTED_VALUE"""),"Duyệt")</f>
        <v>Duyệt</v>
      </c>
      <c r="BE14" s="2" t="str">
        <f>IFERROR(__xludf.DUMMYFUNCTION("""COMPUTED_VALUE"""),"xlg 25/12")</f>
        <v>xlg 25/12</v>
      </c>
      <c r="BF14" s="2" t="str">
        <f>IFERROR(__xludf.DUMMYFUNCTION("""COMPUTED_VALUE"""),"Đã xử lí giá")</f>
        <v>Đã xử lí giá</v>
      </c>
      <c r="BG14" s="2" t="str">
        <f>IFERROR(__xludf.DUMMYFUNCTION("""COMPUTED_VALUE"""),"A06290925 Bổ sung giá sau 24/12/2025")</f>
        <v>A06290925 Bổ sung giá sau 24/12/2025</v>
      </c>
      <c r="BH14" s="2"/>
      <c r="BI14" s="2"/>
      <c r="BJ14" s="2"/>
      <c r="BK14" s="2"/>
      <c r="BL14" s="2"/>
      <c r="BM14" s="2"/>
      <c r="BN14" s="2"/>
      <c r="BO14" s="2"/>
      <c r="BP14" s="2"/>
      <c r="BQ14" s="2"/>
    </row>
    <row r="15">
      <c r="A15" s="2">
        <f>IFERROR(__xludf.DUMMYFUNCTION("""COMPUTED_VALUE"""),12.0)</f>
        <v>12</v>
      </c>
      <c r="B15" s="2" t="str">
        <f>IFERROR(__xludf.DUMMYFUNCTION("""COMPUTED_VALUE"""),"Hà Long")</f>
        <v>Hà Long</v>
      </c>
      <c r="C15" s="2" t="str">
        <f>IFERROR(__xludf.DUMMYFUNCTION("""COMPUTED_VALUE"""),"ATP06012601")</f>
        <v>ATP06012601</v>
      </c>
      <c r="D15" s="39">
        <f>IFERROR(__xludf.DUMMYFUNCTION("""COMPUTED_VALUE"""),46028.0)</f>
        <v>46028</v>
      </c>
      <c r="E15" s="2" t="str">
        <f>IFERROR(__xludf.DUMMYFUNCTION("""COMPUTED_VALUE"""),"Đã duyệt")</f>
        <v>Đã duyệt</v>
      </c>
      <c r="F15" s="2" t="str">
        <f>IFERROR(__xludf.DUMMYFUNCTION("""COMPUTED_VALUE"""),"ABA")</f>
        <v>ABA</v>
      </c>
      <c r="G15" s="2" t="str">
        <f>IFERROR(__xludf.DUMMYFUNCTION("""COMPUTED_VALUE"""),"HH3980")</f>
        <v>HH3980</v>
      </c>
      <c r="H15" s="2" t="str">
        <f>IFERROR(__xludf.DUMMYFUNCTION("""COMPUTED_VALUE"""),"GC - IV - 3980 - Cty Capy Global - MI STOP 350SC (Nước xanh bơ sữa) - 240ml - 40")</f>
        <v>GC - IV - 3980 - Cty Capy Global - MI STOP 350SC (Nước xanh bơ sữa) - 240ml - 40</v>
      </c>
      <c r="I15" s="2" t="str">
        <f>IFERROR(__xludf.DUMMYFUNCTION("""COMPUTED_VALUE"""),"Thuốc trừ bệnh")</f>
        <v>Thuốc trừ bệnh</v>
      </c>
      <c r="J15" s="142" t="str">
        <f>IFERROR(__xludf.DUMMYFUNCTION("""COMPUTED_VALUE"""),"MI STOP 350SC")</f>
        <v>MI STOP 350SC</v>
      </c>
      <c r="K15" s="143" t="str">
        <f>IFERROR(__xludf.DUMMYFUNCTION("""COMPUTED_VALUE"""),"Dòng V2 cùng ruột HH3878")</f>
        <v>Dòng V2 cùng ruột HH3878</v>
      </c>
      <c r="L15" s="2" t="str">
        <f>IFERROR(__xludf.DUMMYFUNCTION("""COMPUTED_VALUE"""),"Nước vàng chanh")</f>
        <v>Nước vàng chanh</v>
      </c>
      <c r="M15" s="2" t="str">
        <f>IFERROR(__xludf.DUMMYFUNCTION("""COMPUTED_VALUE"""),"Chai")</f>
        <v>Chai</v>
      </c>
      <c r="N15" s="142">
        <f>IFERROR(__xludf.DUMMYFUNCTION("""COMPUTED_VALUE"""),40.0)</f>
        <v>40</v>
      </c>
      <c r="O15" s="142">
        <f>IFERROR(__xludf.DUMMYFUNCTION("""COMPUTED_VALUE"""),10.0)</f>
        <v>10</v>
      </c>
      <c r="P15" s="142">
        <f>IFERROR(__xludf.DUMMYFUNCTION("""COMPUTED_VALUE"""),400.0)</f>
        <v>400</v>
      </c>
      <c r="Q15" s="143">
        <f>IFERROR(__xludf.DUMMYFUNCTION("""COMPUTED_VALUE"""),46035.0)</f>
        <v>46035</v>
      </c>
      <c r="R15" s="2"/>
      <c r="S15" s="142" t="str">
        <f>IFERROR(__xludf.DUMMYFUNCTION("""COMPUTED_VALUE"""),"lấy chẳn thùng")</f>
        <v>lấy chẳn thùng</v>
      </c>
      <c r="T15" s="142" t="str">
        <f>IFERROR(__xludf.DUMMYFUNCTION("""COMPUTED_VALUE"""),"x")</f>
        <v>x</v>
      </c>
      <c r="U15" s="2"/>
      <c r="V15" s="2"/>
      <c r="W15" s="2" t="str">
        <f>IFERROR(__xludf.DUMMYFUNCTION("""COMPUTED_VALUE"""),"CAPY - Giá bán 76.500,00 đ - Ngày dự kiến thu tiền: 30 ngày - Dự kiến ngày ra hết hàng: ")</f>
        <v>CAPY - Giá bán 76.500,00 đ - Ngày dự kiến thu tiền: 30 ngày - Dự kiến ngày ra hết hàng: </v>
      </c>
      <c r="X15" s="2"/>
      <c r="Y15" s="2" t="str">
        <f>IFERROR(__xludf.DUMMYFUNCTION("""COMPUTED_VALUE"""),"Hà Long")</f>
        <v>Hà Long</v>
      </c>
      <c r="Z15" s="2" t="str">
        <f>IFERROR(__xludf.DUMMYFUNCTION("""COMPUTED_VALUE"""),"Thành phẩm dỡ dang")</f>
        <v>Thành phẩm dỡ dang</v>
      </c>
      <c r="AA15" s="2"/>
      <c r="AB15" s="2" t="str">
        <f>IFERROR(__xludf.DUMMYFUNCTION("""COMPUTED_VALUE"""),"KD yêu cầu hủy đơn nhưng Hà Long đã làm xong hàng thành phẩm --&gt; Đợi KD lên phương án đổ thu hay thay nhãn
06/05 chuyển qua Xử lý sự cố")</f>
        <v>KD yêu cầu hủy đơn nhưng Hà Long đã làm xong hàng thành phẩm --&gt; Đợi KD lên phương án đổ thu hay thay nhãn
06/05 chuyển qua Xử lý sự cố</v>
      </c>
      <c r="AC15" s="146">
        <f>IFERROR(__xludf.DUMMYFUNCTION("""COMPUTED_VALUE"""),400.0)</f>
        <v>400</v>
      </c>
      <c r="AD15" s="152">
        <f>IFERROR(__xludf.DUMMYFUNCTION("""COMPUTED_VALUE"""),22.0)</f>
        <v>22</v>
      </c>
      <c r="AE15" s="143">
        <f>IFERROR(__xludf.DUMMYFUNCTION("""COMPUTED_VALUE"""),46050.0)</f>
        <v>46050</v>
      </c>
      <c r="AF15" s="146" t="str">
        <f>IFERROR(__xludf.DUMMYFUNCTION("""COMPUTED_VALUE"""),"")</f>
        <v/>
      </c>
      <c r="AG15" s="143">
        <f>IFERROR(__xludf.DUMMYFUNCTION("""COMPUTED_VALUE"""),46050.0)</f>
        <v>46050</v>
      </c>
      <c r="AH15" s="146" t="str">
        <f>IFERROR(__xludf.DUMMYFUNCTION("""COMPUTED_VALUE"""),"400")</f>
        <v>400</v>
      </c>
      <c r="AI15" s="2"/>
      <c r="AJ15" s="2"/>
      <c r="AK15" s="2"/>
      <c r="AL15" s="2"/>
      <c r="AM15" s="2">
        <f>IFERROR(__xludf.DUMMYFUNCTION("""COMPUTED_VALUE"""),400.0)</f>
        <v>400</v>
      </c>
      <c r="AN15" s="2"/>
      <c r="AO15" s="2"/>
      <c r="AP15" s="2"/>
      <c r="AQ15" s="2"/>
      <c r="AR15" s="2"/>
      <c r="AS15" s="2"/>
      <c r="AT15" s="2"/>
      <c r="AU15" s="2"/>
      <c r="AV15" s="2"/>
      <c r="AW15" s="2"/>
      <c r="AX15" s="2"/>
      <c r="AY15" s="2"/>
      <c r="AZ15" s="2"/>
      <c r="BA15" s="2" t="str">
        <f>IFERROR(__xludf.DUMMYFUNCTION("""COMPUTED_VALUE"""),"Đủ điều kiện")</f>
        <v>Đủ điều kiện</v>
      </c>
      <c r="BB15" s="2" t="str">
        <f>IFERROR(__xludf.DUMMYFUNCTION("""COMPUTED_VALUE"""),"Duyệt")</f>
        <v>Duyệt</v>
      </c>
      <c r="BC15" s="143">
        <f>IFERROR(__xludf.DUMMYFUNCTION("""COMPUTED_VALUE"""),45663.0)</f>
        <v>45663</v>
      </c>
      <c r="BD15" s="2" t="str">
        <f>IFERROR(__xludf.DUMMYFUNCTION("""COMPUTED_VALUE"""),"Duyệt")</f>
        <v>Duyệt</v>
      </c>
      <c r="BE15" s="143">
        <f>IFERROR(__xludf.DUMMYFUNCTION("""COMPUTED_VALUE"""),45670.0)</f>
        <v>45670</v>
      </c>
      <c r="BF15" s="2" t="str">
        <f>IFERROR(__xludf.DUMMYFUNCTION("""COMPUTED_VALUE"""),"Đã xử lí giá")</f>
        <v>Đã xử lí giá</v>
      </c>
      <c r="BG15" s="2" t="str">
        <f>IFERROR(__xludf.DUMMYFUNCTION("""COMPUTED_VALUE"""),"Dòng V2 cùng ruột HH3878 Nước vàng chanh 76,5000đ 6/1/2026")</f>
        <v>Dòng V2 cùng ruột HH3878 Nước vàng chanh 76,5000đ 6/1/2026</v>
      </c>
      <c r="BH15" s="2"/>
      <c r="BI15" s="2"/>
      <c r="BJ15" s="2"/>
      <c r="BK15" s="2"/>
      <c r="BL15" s="2"/>
      <c r="BM15" s="2"/>
      <c r="BN15" s="2"/>
      <c r="BO15" s="2"/>
      <c r="BP15" s="2"/>
      <c r="BQ15" s="2"/>
    </row>
    <row r="16">
      <c r="A16" s="2">
        <f>IFERROR(__xludf.DUMMYFUNCTION("""COMPUTED_VALUE"""),13.0)</f>
        <v>13</v>
      </c>
      <c r="B16" s="2" t="str">
        <f>IFERROR(__xludf.DUMMYFUNCTION("""COMPUTED_VALUE"""),"Hà Long")</f>
        <v>Hà Long</v>
      </c>
      <c r="C16" s="2" t="str">
        <f>IFERROR(__xludf.DUMMYFUNCTION("""COMPUTED_VALUE"""),"ATP07012603")</f>
        <v>ATP07012603</v>
      </c>
      <c r="D16" s="39">
        <f>IFERROR(__xludf.DUMMYFUNCTION("""COMPUTED_VALUE"""),46029.0)</f>
        <v>46029</v>
      </c>
      <c r="E16" s="2" t="str">
        <f>IFERROR(__xludf.DUMMYFUNCTION("""COMPUTED_VALUE"""),"Đã duyệt")</f>
        <v>Đã duyệt</v>
      </c>
      <c r="F16" s="2" t="str">
        <f>IFERROR(__xludf.DUMMYFUNCTION("""COMPUTED_VALUE"""),"ABA")</f>
        <v>ABA</v>
      </c>
      <c r="G16" s="2" t="str">
        <f>IFERROR(__xludf.DUMMYFUNCTION("""COMPUTED_VALUE"""),"HH4560")</f>
        <v>HH4560</v>
      </c>
      <c r="H16" s="2" t="str">
        <f>IFERROR(__xludf.DUMMYFUNCTION("""COMPUTED_VALUE"""),"GC - V - 4560 - CTY VISANTO - OGAMI (Dạng cốm màu trắng ngà) - 50gr - 100")</f>
        <v>GC - V - 4560 - CTY VISANTO - OGAMI (Dạng cốm màu trắng ngà) - 50gr - 100</v>
      </c>
      <c r="I16" s="2" t="str">
        <f>IFERROR(__xludf.DUMMYFUNCTION("""COMPUTED_VALUE"""),"Thuốc trừ bệnh")</f>
        <v>Thuốc trừ bệnh</v>
      </c>
      <c r="J16" s="142" t="str">
        <f>IFERROR(__xludf.DUMMYFUNCTION("""COMPUTED_VALUE"""),"CYAT 525WG")</f>
        <v>CYAT 525WG</v>
      </c>
      <c r="K16" s="143" t="str">
        <f>IFERROR(__xludf.DUMMYFUNCTION("""COMPUTED_VALUE"""),"Dòng V1")</f>
        <v>Dòng V1</v>
      </c>
      <c r="L16" s="2" t="str">
        <f>IFERROR(__xludf.DUMMYFUNCTION("""COMPUTED_VALUE"""),"Dạng cốm màu trắng ngà")</f>
        <v>Dạng cốm màu trắng ngà</v>
      </c>
      <c r="M16" s="2" t="str">
        <f>IFERROR(__xludf.DUMMYFUNCTION("""COMPUTED_VALUE"""),"Túi/Gói")</f>
        <v>Túi/Gói</v>
      </c>
      <c r="N16" s="142">
        <f>IFERROR(__xludf.DUMMYFUNCTION("""COMPUTED_VALUE"""),100.0)</f>
        <v>100</v>
      </c>
      <c r="O16" s="142">
        <f>IFERROR(__xludf.DUMMYFUNCTION("""COMPUTED_VALUE"""),30.0)</f>
        <v>30</v>
      </c>
      <c r="P16" s="142">
        <f>IFERROR(__xludf.DUMMYFUNCTION("""COMPUTED_VALUE"""),3000.0)</f>
        <v>3000</v>
      </c>
      <c r="Q16" s="143">
        <f>IFERROR(__xludf.DUMMYFUNCTION("""COMPUTED_VALUE"""),46043.0)</f>
        <v>46043</v>
      </c>
      <c r="R16" s="2"/>
      <c r="S16" s="142" t="str">
        <f>IFERROR(__xludf.DUMMYFUNCTION("""COMPUTED_VALUE"""),"lấy chẳn thùng
Chèn thêm cách ngăn trong thùng
Trường hợp đóng hàng mà vừa vặn và thẩm mỹ thì không cần vách ngăn")</f>
        <v>lấy chẳn thùng
Chèn thêm cách ngăn trong thùng
Trường hợp đóng hàng mà vừa vặn và thẩm mỹ thì không cần vách ngăn</v>
      </c>
      <c r="T16" s="2"/>
      <c r="U16" s="2"/>
      <c r="V16" s="2"/>
      <c r="W16" s="2" t="str">
        <f>IFERROR(__xludf.DUMMYFUNCTION("""COMPUTED_VALUE"""),"VIISANTO - Giá bán 37.000,00 đ - Ngày dự kiến thu tiền: 30 ngày - Dự kiến ngày ra hết hàng: ")</f>
        <v>VIISANTO - Giá bán 37.000,00 đ - Ngày dự kiến thu tiền: 30 ngày - Dự kiến ngày ra hết hàng: </v>
      </c>
      <c r="X16" s="2"/>
      <c r="Y16" s="2" t="str">
        <f>IFERROR(__xludf.DUMMYFUNCTION("""COMPUTED_VALUE"""),"Hà Long")</f>
        <v>Hà Long</v>
      </c>
      <c r="Z16" s="2" t="str">
        <f>IFERROR(__xludf.DUMMYFUNCTION("""COMPUTED_VALUE"""),"Chưa có lịch SX")</f>
        <v>Chưa có lịch SX</v>
      </c>
      <c r="AA16" s="2" t="str">
        <f>IFERROR(__xludf.DUMMYFUNCTION("""COMPUTED_VALUE"""),"BTP: 28/01 chưa phản hồi
Túi: 17/01 giao
Thùng: 26/01 giao
NDT:
Lịch SX: 06/02")</f>
        <v>BTP: 28/01 chưa phản hồi
Túi: 17/01 giao
Thùng: 26/01 giao
NDT:
Lịch SX: 06/02</v>
      </c>
      <c r="AB16" s="2" t="str">
        <f>IFERROR(__xludf.DUMMYFUNCTION("""COMPUTED_VALUE"""),"14/01 Thiếu túi --&gt; về túi 17/01
Thiếu thùng dự kiến 26/01 giao thùng
Thiếu BTP --&gt; dự kiến 06/02
09/02 HL báo lại BTP có vấn đề chưa đóng hàng được
28/02 Hà Long báo NL đang test chờ KQ
05/05 vẫn đang chờ kq test BTP CYAT
16/05 HL báo ngưng nhận sx CYAT")</f>
        <v>14/01 Thiếu túi --&gt; về túi 17/01
Thiếu thùng dự kiến 26/01 giao thùng
Thiếu BTP --&gt; dự kiến 06/02
09/02 HL báo lại BTP có vấn đề chưa đóng hàng được
28/02 Hà Long báo NL đang test chờ KQ
05/05 vẫn đang chờ kq test BTP CYAT
16/05 HL báo ngưng nhận sx CYAT</v>
      </c>
      <c r="AC16" s="146">
        <f>IFERROR(__xludf.DUMMYFUNCTION("""COMPUTED_VALUE"""),3000.0)</f>
        <v>3000</v>
      </c>
      <c r="AD16" s="2"/>
      <c r="AE16" s="143">
        <f>IFERROR(__xludf.DUMMYFUNCTION("""COMPUTED_VALUE"""),46059.0)</f>
        <v>46059</v>
      </c>
      <c r="AF16" s="146" t="str">
        <f>IFERROR(__xludf.DUMMYFUNCTION("""COMPUTED_VALUE"""),"")</f>
        <v/>
      </c>
      <c r="AG16" s="2"/>
      <c r="AH16" s="2"/>
      <c r="AI16" s="2"/>
      <c r="AJ16" s="2"/>
      <c r="AK16" s="2"/>
      <c r="AL16" s="2"/>
      <c r="AM16" s="2"/>
      <c r="AN16" s="2"/>
      <c r="AO16" s="2"/>
      <c r="AP16" s="2"/>
      <c r="AQ16" s="2"/>
      <c r="AR16" s="2"/>
      <c r="AS16" s="2"/>
      <c r="AT16" s="2"/>
      <c r="AU16" s="2"/>
      <c r="AV16" s="2"/>
      <c r="AW16" s="2"/>
      <c r="AX16" s="2"/>
      <c r="AY16" s="2"/>
      <c r="AZ16" s="2"/>
      <c r="BA16" s="2" t="str">
        <f>IFERROR(__xludf.DUMMYFUNCTION("""COMPUTED_VALUE"""),"Đủ điều kiện")</f>
        <v>Đủ điều kiện</v>
      </c>
      <c r="BB16" s="2" t="str">
        <f>IFERROR(__xludf.DUMMYFUNCTION("""COMPUTED_VALUE"""),"Duyệt")</f>
        <v>Duyệt</v>
      </c>
      <c r="BC16" s="143">
        <f>IFERROR(__xludf.DUMMYFUNCTION("""COMPUTED_VALUE"""),6693443.0)</f>
        <v>6693443</v>
      </c>
      <c r="BD16" s="2" t="str">
        <f>IFERROR(__xludf.DUMMYFUNCTION("""COMPUTED_VALUE"""),"Duyệt")</f>
        <v>Duyệt</v>
      </c>
      <c r="BE16" s="143">
        <f>IFERROR(__xludf.DUMMYFUNCTION("""COMPUTED_VALUE"""),46032.0)</f>
        <v>46032</v>
      </c>
      <c r="BF16" s="2" t="str">
        <f>IFERROR(__xludf.DUMMYFUNCTION("""COMPUTED_VALUE"""),"Đã xử lí giá")</f>
        <v>Đã xử lí giá</v>
      </c>
      <c r="BG16" s="2" t="str">
        <f>IFERROR(__xludf.DUMMYFUNCTION("""COMPUTED_VALUE"""),"Dòng V1 Dạng cốm màu trắng ngà chưa có giá bán 7/1/2026
37,000đ 9/1/2026")</f>
        <v>Dòng V1 Dạng cốm màu trắng ngà chưa có giá bán 7/1/2026
37,000đ 9/1/2026</v>
      </c>
      <c r="BH16" s="2"/>
      <c r="BI16" s="2"/>
      <c r="BJ16" s="2"/>
      <c r="BK16" s="2"/>
      <c r="BL16" s="2"/>
      <c r="BM16" s="2"/>
      <c r="BN16" s="2"/>
      <c r="BO16" s="2"/>
      <c r="BP16" s="2"/>
      <c r="BQ16" s="2"/>
    </row>
    <row r="17">
      <c r="A17" s="2">
        <f>IFERROR(__xludf.DUMMYFUNCTION("""COMPUTED_VALUE"""),14.0)</f>
        <v>14</v>
      </c>
      <c r="B17" s="2" t="str">
        <f>IFERROR(__xludf.DUMMYFUNCTION("""COMPUTED_VALUE"""),"Hà Long")</f>
        <v>Hà Long</v>
      </c>
      <c r="C17" s="2" t="str">
        <f>IFERROR(__xludf.DUMMYFUNCTION("""COMPUTED_VALUE"""),"ATP07012604")</f>
        <v>ATP07012604</v>
      </c>
      <c r="D17" s="39">
        <f>IFERROR(__xludf.DUMMYFUNCTION("""COMPUTED_VALUE"""),46029.0)</f>
        <v>46029</v>
      </c>
      <c r="E17" s="2" t="str">
        <f>IFERROR(__xludf.DUMMYFUNCTION("""COMPUTED_VALUE"""),"Đã duyệt")</f>
        <v>Đã duyệt</v>
      </c>
      <c r="F17" s="2" t="str">
        <f>IFERROR(__xludf.DUMMYFUNCTION("""COMPUTED_VALUE"""),"ABA")</f>
        <v>ABA</v>
      </c>
      <c r="G17" s="2" t="str">
        <f>IFERROR(__xludf.DUMMYFUNCTION("""COMPUTED_VALUE"""),"HH4558")</f>
        <v>HH4558</v>
      </c>
      <c r="H17" s="2" t="str">
        <f>IFERROR(__xludf.DUMMYFUNCTION("""COMPUTED_VALUE"""),"GC - V - 4558 - CTY VISANTO - OGAMI (Dạng cốm màu trắng ngà) - 120gr - 80")</f>
        <v>GC - V - 4558 - CTY VISANTO - OGAMI (Dạng cốm màu trắng ngà) - 120gr - 80</v>
      </c>
      <c r="I17" s="2" t="str">
        <f>IFERROR(__xludf.DUMMYFUNCTION("""COMPUTED_VALUE"""),"Thuốc trừ bệnh")</f>
        <v>Thuốc trừ bệnh</v>
      </c>
      <c r="J17" s="142" t="str">
        <f>IFERROR(__xludf.DUMMYFUNCTION("""COMPUTED_VALUE"""),"CYAT 525WG")</f>
        <v>CYAT 525WG</v>
      </c>
      <c r="K17" s="143" t="str">
        <f>IFERROR(__xludf.DUMMYFUNCTION("""COMPUTED_VALUE"""),"Dòng V1")</f>
        <v>Dòng V1</v>
      </c>
      <c r="L17" s="2" t="str">
        <f>IFERROR(__xludf.DUMMYFUNCTION("""COMPUTED_VALUE"""),"Dạng cốm màu trắng ngà")</f>
        <v>Dạng cốm màu trắng ngà</v>
      </c>
      <c r="M17" s="2" t="str">
        <f>IFERROR(__xludf.DUMMYFUNCTION("""COMPUTED_VALUE"""),"Túi/Gói")</f>
        <v>Túi/Gói</v>
      </c>
      <c r="N17" s="142">
        <f>IFERROR(__xludf.DUMMYFUNCTION("""COMPUTED_VALUE"""),80.0)</f>
        <v>80</v>
      </c>
      <c r="O17" s="142">
        <f>IFERROR(__xludf.DUMMYFUNCTION("""COMPUTED_VALUE"""),30.0)</f>
        <v>30</v>
      </c>
      <c r="P17" s="142">
        <f>IFERROR(__xludf.DUMMYFUNCTION("""COMPUTED_VALUE"""),2400.0)</f>
        <v>2400</v>
      </c>
      <c r="Q17" s="143">
        <f>IFERROR(__xludf.DUMMYFUNCTION("""COMPUTED_VALUE"""),46043.0)</f>
        <v>46043</v>
      </c>
      <c r="R17" s="2"/>
      <c r="S17" s="142" t="str">
        <f>IFERROR(__xludf.DUMMYFUNCTION("""COMPUTED_VALUE"""),"lấy chẳn thùng
Chèn thêm cách ngăn trong thùng
Trường hợp đóng hàng mà vừa vặn và thẩm mỹ thì không cần vách ngăn")</f>
        <v>lấy chẳn thùng
Chèn thêm cách ngăn trong thùng
Trường hợp đóng hàng mà vừa vặn và thẩm mỹ thì không cần vách ngăn</v>
      </c>
      <c r="T17" s="2"/>
      <c r="U17" s="2"/>
      <c r="V17" s="2"/>
      <c r="W17" s="2" t="str">
        <f>IFERROR(__xludf.DUMMYFUNCTION("""COMPUTED_VALUE"""),"VIISANTO - Giá bán 86.000,00 đ - Ngày dự kiến thu tiền: 30 ngày - Dự kiến ngày ra hết hàng: ")</f>
        <v>VIISANTO - Giá bán 86.000,00 đ - Ngày dự kiến thu tiền: 30 ngày - Dự kiến ngày ra hết hàng: </v>
      </c>
      <c r="X17" s="2"/>
      <c r="Y17" s="2" t="str">
        <f>IFERROR(__xludf.DUMMYFUNCTION("""COMPUTED_VALUE"""),"Hà Long")</f>
        <v>Hà Long</v>
      </c>
      <c r="Z17" s="2" t="str">
        <f>IFERROR(__xludf.DUMMYFUNCTION("""COMPUTED_VALUE"""),"Chưa có lịch SX")</f>
        <v>Chưa có lịch SX</v>
      </c>
      <c r="AA17" s="2" t="str">
        <f>IFERROR(__xludf.DUMMYFUNCTION("""COMPUTED_VALUE"""),"BTP: 28/01 chưa phản hồi
Túi: 15/01 giao
Thùng: 26/01 giao
NDT:
Lịch SX:06/02")</f>
        <v>BTP: 28/01 chưa phản hồi
Túi: 15/01 giao
Thùng: 26/01 giao
NDT:
Lịch SX:06/02</v>
      </c>
      <c r="AB17" s="2" t="str">
        <f>IFERROR(__xludf.DUMMYFUNCTION("""COMPUTED_VALUE"""),"14/01 Thiếu túi --&gt; về túi
Thiếu thùng dự kiến 26/01 giao thùng
Thiếu BTP --&gt;  dự kiến 06/02
09/02 HL báo lại BTP có vấn đề chưa đóng hàng được
28/02 Hà Long báo NL đang test chờ KQ
05/05 vẫn đang chờ kq test BTP CYAT
16/05 HL báo ngưng nhận sx CYAT")</f>
        <v>14/01 Thiếu túi --&gt; về túi
Thiếu thùng dự kiến 26/01 giao thùng
Thiếu BTP --&gt;  dự kiến 06/02
09/02 HL báo lại BTP có vấn đề chưa đóng hàng được
28/02 Hà Long báo NL đang test chờ KQ
05/05 vẫn đang chờ kq test BTP CYAT
16/05 HL báo ngưng nhận sx CYAT</v>
      </c>
      <c r="AC17" s="146">
        <f>IFERROR(__xludf.DUMMYFUNCTION("""COMPUTED_VALUE"""),2400.0)</f>
        <v>2400</v>
      </c>
      <c r="AD17" s="2"/>
      <c r="AE17" s="143">
        <f>IFERROR(__xludf.DUMMYFUNCTION("""COMPUTED_VALUE"""),46059.0)</f>
        <v>46059</v>
      </c>
      <c r="AF17" s="146" t="str">
        <f>IFERROR(__xludf.DUMMYFUNCTION("""COMPUTED_VALUE"""),"")</f>
        <v/>
      </c>
      <c r="AG17" s="2"/>
      <c r="AH17" s="2"/>
      <c r="AI17" s="2"/>
      <c r="AJ17" s="2"/>
      <c r="AK17" s="2"/>
      <c r="AL17" s="2"/>
      <c r="AM17" s="2"/>
      <c r="AN17" s="2"/>
      <c r="AO17" s="2"/>
      <c r="AP17" s="2"/>
      <c r="AQ17" s="2"/>
      <c r="AR17" s="2"/>
      <c r="AS17" s="2"/>
      <c r="AT17" s="2"/>
      <c r="AU17" s="2"/>
      <c r="AV17" s="2"/>
      <c r="AW17" s="2"/>
      <c r="AX17" s="2"/>
      <c r="AY17" s="2"/>
      <c r="AZ17" s="2"/>
      <c r="BA17" s="2" t="str">
        <f>IFERROR(__xludf.DUMMYFUNCTION("""COMPUTED_VALUE"""),"Đủ điều kiện")</f>
        <v>Đủ điều kiện</v>
      </c>
      <c r="BB17" s="2" t="str">
        <f>IFERROR(__xludf.DUMMYFUNCTION("""COMPUTED_VALUE"""),"Duyệt")</f>
        <v>Duyệt</v>
      </c>
      <c r="BC17" s="143">
        <f>IFERROR(__xludf.DUMMYFUNCTION("""COMPUTED_VALUE"""),6693443.0)</f>
        <v>6693443</v>
      </c>
      <c r="BD17" s="2" t="str">
        <f>IFERROR(__xludf.DUMMYFUNCTION("""COMPUTED_VALUE"""),"Duyệt")</f>
        <v>Duyệt</v>
      </c>
      <c r="BE17" s="143">
        <f>IFERROR(__xludf.DUMMYFUNCTION("""COMPUTED_VALUE"""),46032.0)</f>
        <v>46032</v>
      </c>
      <c r="BF17" s="2" t="str">
        <f>IFERROR(__xludf.DUMMYFUNCTION("""COMPUTED_VALUE"""),"Đã xử lí giá")</f>
        <v>Đã xử lí giá</v>
      </c>
      <c r="BG17" s="2" t="str">
        <f>IFERROR(__xludf.DUMMYFUNCTION("""COMPUTED_VALUE"""),"Dòng V1 Dạng cốm màu trắng ngà chưa có giá bán 7/1/2026
86,000đ 9/1/2026")</f>
        <v>Dòng V1 Dạng cốm màu trắng ngà chưa có giá bán 7/1/2026
86,000đ 9/1/2026</v>
      </c>
      <c r="BH17" s="2"/>
      <c r="BI17" s="2"/>
      <c r="BJ17" s="2"/>
      <c r="BK17" s="2"/>
      <c r="BL17" s="2"/>
      <c r="BM17" s="2"/>
      <c r="BN17" s="2"/>
      <c r="BO17" s="2"/>
      <c r="BP17" s="2"/>
      <c r="BQ17" s="2"/>
    </row>
    <row r="18">
      <c r="A18" s="2">
        <f>IFERROR(__xludf.DUMMYFUNCTION("""COMPUTED_VALUE"""),15.0)</f>
        <v>15</v>
      </c>
      <c r="B18" s="2" t="str">
        <f>IFERROR(__xludf.DUMMYFUNCTION("""COMPUTED_VALUE"""),"Hà Long")</f>
        <v>Hà Long</v>
      </c>
      <c r="C18" s="2" t="str">
        <f>IFERROR(__xludf.DUMMYFUNCTION("""COMPUTED_VALUE"""),"ATP07012605")</f>
        <v>ATP07012605</v>
      </c>
      <c r="D18" s="39">
        <f>IFERROR(__xludf.DUMMYFUNCTION("""COMPUTED_VALUE"""),46029.0)</f>
        <v>46029</v>
      </c>
      <c r="E18" s="2" t="str">
        <f>IFERROR(__xludf.DUMMYFUNCTION("""COMPUTED_VALUE"""),"Đã duyệt")</f>
        <v>Đã duyệt</v>
      </c>
      <c r="F18" s="2" t="str">
        <f>IFERROR(__xludf.DUMMYFUNCTION("""COMPUTED_VALUE"""),"ABA")</f>
        <v>ABA</v>
      </c>
      <c r="G18" s="2" t="str">
        <f>IFERROR(__xludf.DUMMYFUNCTION("""COMPUTED_VALUE"""),"HH4559")</f>
        <v>HH4559</v>
      </c>
      <c r="H18" s="2" t="str">
        <f>IFERROR(__xludf.DUMMYFUNCTION("""COMPUTED_VALUE"""),"GC - V - 4559 - CTY VISANTO - OGAMI (Dạng cốm màu trắng ngà) - 150gr - 80")</f>
        <v>GC - V - 4559 - CTY VISANTO - OGAMI (Dạng cốm màu trắng ngà) - 150gr - 80</v>
      </c>
      <c r="I18" s="2" t="str">
        <f>IFERROR(__xludf.DUMMYFUNCTION("""COMPUTED_VALUE"""),"Thuốc trừ bệnh")</f>
        <v>Thuốc trừ bệnh</v>
      </c>
      <c r="J18" s="142" t="str">
        <f>IFERROR(__xludf.DUMMYFUNCTION("""COMPUTED_VALUE"""),"CYAT 525WG")</f>
        <v>CYAT 525WG</v>
      </c>
      <c r="K18" s="143" t="str">
        <f>IFERROR(__xludf.DUMMYFUNCTION("""COMPUTED_VALUE"""),"Dòng V1")</f>
        <v>Dòng V1</v>
      </c>
      <c r="L18" s="2" t="str">
        <f>IFERROR(__xludf.DUMMYFUNCTION("""COMPUTED_VALUE"""),"Dạng cốm màu trắng ngà")</f>
        <v>Dạng cốm màu trắng ngà</v>
      </c>
      <c r="M18" s="2" t="str">
        <f>IFERROR(__xludf.DUMMYFUNCTION("""COMPUTED_VALUE"""),"Túi/Gói")</f>
        <v>Túi/Gói</v>
      </c>
      <c r="N18" s="142">
        <f>IFERROR(__xludf.DUMMYFUNCTION("""COMPUTED_VALUE"""),80.0)</f>
        <v>80</v>
      </c>
      <c r="O18" s="142">
        <f>IFERROR(__xludf.DUMMYFUNCTION("""COMPUTED_VALUE"""),20.0)</f>
        <v>20</v>
      </c>
      <c r="P18" s="142">
        <f>IFERROR(__xludf.DUMMYFUNCTION("""COMPUTED_VALUE"""),1600.0)</f>
        <v>1600</v>
      </c>
      <c r="Q18" s="143">
        <f>IFERROR(__xludf.DUMMYFUNCTION("""COMPUTED_VALUE"""),46043.0)</f>
        <v>46043</v>
      </c>
      <c r="R18" s="2"/>
      <c r="S18" s="142" t="str">
        <f>IFERROR(__xludf.DUMMYFUNCTION("""COMPUTED_VALUE"""),"lấy chẳn thùng
Chèn thêm cách ngăn trong thùng
Trường hợp đóng hàng mà vừa vặn và thẩm mỹ thì không cần vách ngăn")</f>
        <v>lấy chẳn thùng
Chèn thêm cách ngăn trong thùng
Trường hợp đóng hàng mà vừa vặn và thẩm mỹ thì không cần vách ngăn</v>
      </c>
      <c r="T18" s="2"/>
      <c r="U18" s="2"/>
      <c r="V18" s="2"/>
      <c r="W18" s="2" t="str">
        <f>IFERROR(__xludf.DUMMYFUNCTION("""COMPUTED_VALUE"""),"VIISANTO - Giá bán 106.700,00 đ - Ngày dự kiến thu tiền: 30 ngày - Dự kiến ngày ra hết hàng: ")</f>
        <v>VIISANTO - Giá bán 106.700,00 đ - Ngày dự kiến thu tiền: 30 ngày - Dự kiến ngày ra hết hàng: </v>
      </c>
      <c r="X18" s="2"/>
      <c r="Y18" s="2" t="str">
        <f>IFERROR(__xludf.DUMMYFUNCTION("""COMPUTED_VALUE"""),"Hà Long")</f>
        <v>Hà Long</v>
      </c>
      <c r="Z18" s="2" t="str">
        <f>IFERROR(__xludf.DUMMYFUNCTION("""COMPUTED_VALUE"""),"Chưa có lịch SX")</f>
        <v>Chưa có lịch SX</v>
      </c>
      <c r="AA18" s="2" t="str">
        <f>IFERROR(__xludf.DUMMYFUNCTION("""COMPUTED_VALUE"""),"BTP: 28/01 chưa phản hồi
Túi: 15/01 giao
Thùng: 26/01 giao
NDT:
Lịch SX: 06/02")</f>
        <v>BTP: 28/01 chưa phản hồi
Túi: 15/01 giao
Thùng: 26/01 giao
NDT:
Lịch SX: 06/02</v>
      </c>
      <c r="AB18" s="2" t="str">
        <f>IFERROR(__xludf.DUMMYFUNCTION("""COMPUTED_VALUE"""),"14/01 Thiếu túi --&gt; về túi
Thiếu thùng dự kiến 26/01 giao thùng
Thiếu BTP --&gt;  dự kiến 06/02
09/02 HL báo lại BTP có vấn đề chưa đóng hàng được
28/02 Hà Long báo NL đang test chờ KQ
05/05 vẫn đang chờ kq test BTP CYAT
16/05 HL báo ngưng nhận sx CYAT")</f>
        <v>14/01 Thiếu túi --&gt; về túi
Thiếu thùng dự kiến 26/01 giao thùng
Thiếu BTP --&gt;  dự kiến 06/02
09/02 HL báo lại BTP có vấn đề chưa đóng hàng được
28/02 Hà Long báo NL đang test chờ KQ
05/05 vẫn đang chờ kq test BTP CYAT
16/05 HL báo ngưng nhận sx CYAT</v>
      </c>
      <c r="AC18" s="146">
        <f>IFERROR(__xludf.DUMMYFUNCTION("""COMPUTED_VALUE"""),1600.0)</f>
        <v>1600</v>
      </c>
      <c r="AD18" s="2"/>
      <c r="AE18" s="143">
        <f>IFERROR(__xludf.DUMMYFUNCTION("""COMPUTED_VALUE"""),46059.0)</f>
        <v>46059</v>
      </c>
      <c r="AF18" s="146" t="str">
        <f>IFERROR(__xludf.DUMMYFUNCTION("""COMPUTED_VALUE"""),"")</f>
        <v/>
      </c>
      <c r="AG18" s="2"/>
      <c r="AH18" s="2"/>
      <c r="AI18" s="2"/>
      <c r="AJ18" s="2"/>
      <c r="AK18" s="2"/>
      <c r="AL18" s="2"/>
      <c r="AM18" s="2"/>
      <c r="AN18" s="2"/>
      <c r="AO18" s="2"/>
      <c r="AP18" s="2"/>
      <c r="AQ18" s="2"/>
      <c r="AR18" s="2"/>
      <c r="AS18" s="2"/>
      <c r="AT18" s="2"/>
      <c r="AU18" s="2"/>
      <c r="AV18" s="2"/>
      <c r="AW18" s="2"/>
      <c r="AX18" s="2"/>
      <c r="AY18" s="2"/>
      <c r="AZ18" s="2"/>
      <c r="BA18" s="2" t="str">
        <f>IFERROR(__xludf.DUMMYFUNCTION("""COMPUTED_VALUE"""),"Đủ điều kiện")</f>
        <v>Đủ điều kiện</v>
      </c>
      <c r="BB18" s="2" t="str">
        <f>IFERROR(__xludf.DUMMYFUNCTION("""COMPUTED_VALUE"""),"Duyệt")</f>
        <v>Duyệt</v>
      </c>
      <c r="BC18" s="143">
        <f>IFERROR(__xludf.DUMMYFUNCTION("""COMPUTED_VALUE"""),6693443.0)</f>
        <v>6693443</v>
      </c>
      <c r="BD18" s="2" t="str">
        <f>IFERROR(__xludf.DUMMYFUNCTION("""COMPUTED_VALUE"""),"Duyệt")</f>
        <v>Duyệt</v>
      </c>
      <c r="BE18" s="143">
        <f>IFERROR(__xludf.DUMMYFUNCTION("""COMPUTED_VALUE"""),46032.0)</f>
        <v>46032</v>
      </c>
      <c r="BF18" s="2" t="str">
        <f>IFERROR(__xludf.DUMMYFUNCTION("""COMPUTED_VALUE"""),"Đã xử lí giá")</f>
        <v>Đã xử lí giá</v>
      </c>
      <c r="BG18" s="2" t="str">
        <f>IFERROR(__xludf.DUMMYFUNCTION("""COMPUTED_VALUE"""),"Dòng V1 Dạng cốm màu trắng ngà chưa có giá bán 7/1/2026
106,700đ 9/1/2026")</f>
        <v>Dòng V1 Dạng cốm màu trắng ngà chưa có giá bán 7/1/2026
106,700đ 9/1/2026</v>
      </c>
      <c r="BH18" s="2"/>
      <c r="BI18" s="2"/>
      <c r="BJ18" s="2"/>
      <c r="BK18" s="2"/>
      <c r="BL18" s="2"/>
      <c r="BM18" s="2"/>
      <c r="BN18" s="2"/>
      <c r="BO18" s="2"/>
      <c r="BP18" s="2"/>
      <c r="BQ18" s="2"/>
    </row>
    <row r="19">
      <c r="A19" s="2">
        <f>IFERROR(__xludf.DUMMYFUNCTION("""COMPUTED_VALUE"""),16.0)</f>
        <v>16</v>
      </c>
      <c r="B19" s="2" t="str">
        <f>IFERROR(__xludf.DUMMYFUNCTION("""COMPUTED_VALUE"""),"Hà Long")</f>
        <v>Hà Long</v>
      </c>
      <c r="C19" s="2" t="str">
        <f>IFERROR(__xludf.DUMMYFUNCTION("""COMPUTED_VALUE"""),"XYC.09012607")</f>
        <v>XYC.09012607</v>
      </c>
      <c r="D19" s="39">
        <f>IFERROR(__xludf.DUMMYFUNCTION("""COMPUTED_VALUE"""),46031.0)</f>
        <v>46031</v>
      </c>
      <c r="E19" s="2"/>
      <c r="F19" s="2" t="str">
        <f>IFERROR(__xludf.DUMMYFUNCTION("""COMPUTED_VALUE"""),"Dr.Xanh")</f>
        <v>Dr.Xanh</v>
      </c>
      <c r="G19" s="2" t="str">
        <f>IFERROR(__xludf.DUMMYFUNCTION("""COMPUTED_VALUE"""),"HH1951")</f>
        <v>HH1951</v>
      </c>
      <c r="H19" s="2" t="str">
        <f>IFERROR(__xludf.DUMMYFUNCTION("""COMPUTED_VALUE"""),"DR.XANH - II - 1951 - KILLEX (Nước vàng trà) - 450ml - 40")</f>
        <v>DR.XANH - II - 1951 - KILLEX (Nước vàng trà) - 450ml - 40</v>
      </c>
      <c r="I19" s="2"/>
      <c r="J19" s="142" t="str">
        <f>IFERROR(__xludf.DUMMYFUNCTION("""COMPUTED_VALUE"""),"Prodife's 5.8EC - nước vàng trà")</f>
        <v>Prodife's 5.8EC - nước vàng trà</v>
      </c>
      <c r="K19" s="143" t="str">
        <f>IFERROR(__xludf.DUMMYFUNCTION("""COMPUTED_VALUE"""),"Prodife's 5.8EC - nước vàng trà")</f>
        <v>Prodife's 5.8EC - nước vàng trà</v>
      </c>
      <c r="L19" s="2" t="str">
        <f>IFERROR(__xludf.DUMMYFUNCTION("""COMPUTED_VALUE"""),"vàng trà")</f>
        <v>vàng trà</v>
      </c>
      <c r="M19" s="2" t="str">
        <f>IFERROR(__xludf.DUMMYFUNCTION("""COMPUTED_VALUE"""),"chai")</f>
        <v>chai</v>
      </c>
      <c r="N19" s="142">
        <f>IFERROR(__xludf.DUMMYFUNCTION("""COMPUTED_VALUE"""),40.0)</f>
        <v>40</v>
      </c>
      <c r="O19" s="142">
        <f>IFERROR(__xludf.DUMMYFUNCTION("""COMPUTED_VALUE"""),4.2)</f>
        <v>4.2</v>
      </c>
      <c r="P19" s="142">
        <f>IFERROR(__xludf.DUMMYFUNCTION("""COMPUTED_VALUE"""),168.0)</f>
        <v>168</v>
      </c>
      <c r="Q19" s="143">
        <f>IFERROR(__xludf.DUMMYFUNCTION("""COMPUTED_VALUE"""),46052.0)</f>
        <v>46052</v>
      </c>
      <c r="R19" s="2"/>
      <c r="S19" s="142" t="str">
        <f>IFERROR(__xludf.DUMMYFUNCTION("""COMPUTED_VALUE"""),"Xử lý hàng cận dates - kiểm tra BTP, xử lý date lại")</f>
        <v>Xử lý hàng cận dates - kiểm tra BTP, xử lý date lại</v>
      </c>
      <c r="T19" s="2"/>
      <c r="U19" s="2"/>
      <c r="V19" s="2"/>
      <c r="W19" s="2" t="str">
        <f>IFERROR(__xludf.DUMMYFUNCTION("""COMPUTED_VALUE"""),"185000 - Giá bán  - Ngày dự kiến thu tiền: 30 ngày - Dự kiến ngày ra hết hàng: ")</f>
        <v>185000 - Giá bán  - Ngày dự kiến thu tiền: 30 ngày - Dự kiến ngày ra hết hàng: </v>
      </c>
      <c r="X19" s="2"/>
      <c r="Y19" s="2" t="str">
        <f>IFERROR(__xludf.DUMMYFUNCTION("""COMPUTED_VALUE"""),"Hà Long")</f>
        <v>Hà Long</v>
      </c>
      <c r="Z19" s="2" t="str">
        <f>IFERROR(__xludf.DUMMYFUNCTION("""COMPUTED_VALUE"""),"Chưa có lịch SX")</f>
        <v>Chưa có lịch SX</v>
      </c>
      <c r="AA19" s="2"/>
      <c r="AB19" s="2" t="str">
        <f>IFERROR(__xludf.DUMMYFUNCTION("""COMPUTED_VALUE"""),"Kế toán duyệt trả hàng 23/01
Báo kho trả hàng ngày 24/1
Dự kiến 31/1 trả lên NCC
HL test mẫu 7/3 trả KQ =&gt; Nếu đạt thì đổ thu
Xử lý lại date
Nếu tiến độ có vấn đề =&gt; KD liên hệ lại SX
13/05 HL báo hàng hết date chưa có phương án")</f>
        <v>Kế toán duyệt trả hàng 23/01
Báo kho trả hàng ngày 24/1
Dự kiến 31/1 trả lên NCC
HL test mẫu 7/3 trả KQ =&gt; Nếu đạt thì đổ thu
Xử lý lại date
Nếu tiến độ có vấn đề =&gt; KD liên hệ lại SX
13/05 HL báo hàng hết date chưa có phương án</v>
      </c>
      <c r="AC19" s="146">
        <f>IFERROR(__xludf.DUMMYFUNCTION("""COMPUTED_VALUE"""),168.0)</f>
        <v>168</v>
      </c>
      <c r="AD19" s="2"/>
      <c r="AE19" s="143" t="str">
        <f>IFERROR(__xludf.DUMMYFUNCTION("""COMPUTED_VALUE"""),"Chưa chốt lịch")</f>
        <v>Chưa chốt lịch</v>
      </c>
      <c r="AF19" s="146" t="str">
        <f>IFERROR(__xludf.DUMMYFUNCTION("""COMPUTED_VALUE"""),"")</f>
        <v/>
      </c>
      <c r="AG19" s="2"/>
      <c r="AH19" s="2"/>
      <c r="AI19" s="2"/>
      <c r="AJ19" s="2"/>
      <c r="AK19" s="2"/>
      <c r="AL19" s="2"/>
      <c r="AM19" s="2"/>
      <c r="AN19" s="2"/>
      <c r="AO19" s="2"/>
      <c r="AP19" s="2"/>
      <c r="AQ19" s="2"/>
      <c r="AR19" s="2"/>
      <c r="AS19" s="2"/>
      <c r="AT19" s="2"/>
      <c r="AU19" s="2"/>
      <c r="AV19" s="2"/>
      <c r="AW19" s="2"/>
      <c r="AX19" s="2"/>
      <c r="AY19" s="2"/>
      <c r="AZ19" s="2"/>
      <c r="BA19" s="2" t="str">
        <f>IFERROR(__xludf.DUMMYFUNCTION("""COMPUTED_VALUE"""),"Không đủ điều kiện")</f>
        <v>Không đủ điều kiện</v>
      </c>
      <c r="BB19" s="2" t="str">
        <f>IFERROR(__xludf.DUMMYFUNCTION("""COMPUTED_VALUE"""),"Hàng xử ly lại")</f>
        <v>Hàng xử ly lại</v>
      </c>
      <c r="BC19" s="2"/>
      <c r="BD19" s="2" t="str">
        <f>IFERROR(__xludf.DUMMYFUNCTION("""COMPUTED_VALUE"""),"Hàng xử ly lại")</f>
        <v>Hàng xử ly lại</v>
      </c>
      <c r="BE19" s="2"/>
      <c r="BF19" s="2" t="str">
        <f>IFERROR(__xludf.DUMMYFUNCTION("""COMPUTED_VALUE"""),"Hàng xử lý lại")</f>
        <v>Hàng xử lý lại</v>
      </c>
      <c r="BG19" s="2" t="str">
        <f>IFERROR(__xludf.DUMMYFUNCTION("""COMPUTED_VALUE"""),"Prodife's 5.8EC - nước vàng trà 9/1/2026
XYC.09012607")</f>
        <v>Prodife's 5.8EC - nước vàng trà 9/1/2026
XYC.09012607</v>
      </c>
      <c r="BH19" s="2"/>
      <c r="BI19" s="2"/>
      <c r="BJ19" s="2"/>
      <c r="BK19" s="2"/>
      <c r="BL19" s="2"/>
      <c r="BM19" s="2"/>
      <c r="BN19" s="2"/>
      <c r="BO19" s="2"/>
      <c r="BP19" s="2"/>
      <c r="BQ19" s="2"/>
    </row>
    <row r="20">
      <c r="A20" s="2">
        <f>IFERROR(__xludf.DUMMYFUNCTION("""COMPUTED_VALUE"""),17.0)</f>
        <v>17</v>
      </c>
      <c r="B20" s="2" t="str">
        <f>IFERROR(__xludf.DUMMYFUNCTION("""COMPUTED_VALUE"""),"Dego Cần Thơ")</f>
        <v>Dego Cần Thơ</v>
      </c>
      <c r="C20" s="2" t="str">
        <f>IFERROR(__xludf.DUMMYFUNCTION("""COMPUTED_VALUE"""),"XYC06032601")</f>
        <v>XYC06032601</v>
      </c>
      <c r="D20" s="39">
        <f>IFERROR(__xludf.DUMMYFUNCTION("""COMPUTED_VALUE"""),46087.0)</f>
        <v>46087</v>
      </c>
      <c r="E20" s="2"/>
      <c r="F20" s="2" t="str">
        <f>IFERROR(__xludf.DUMMYFUNCTION("""COMPUTED_VALUE"""),"Dr.Xanh")</f>
        <v>Dr.Xanh</v>
      </c>
      <c r="G20" s="2" t="str">
        <f>IFERROR(__xludf.DUMMYFUNCTION("""COMPUTED_VALUE"""),"HH4671")</f>
        <v>HH4671</v>
      </c>
      <c r="H20" s="2" t="str">
        <f>IFERROR(__xludf.DUMMYFUNCTION("""COMPUTED_VALUE"""),"DR.XANH - VIII - 4671 - DR.RICE (Nước hồng sữa) - 500ml - 40")</f>
        <v>DR.XANH - VIII - 4671 - DR.RICE (Nước hồng sữa) - 500ml - 40</v>
      </c>
      <c r="I20" s="2" t="str">
        <f>IFERROR(__xludf.DUMMYFUNCTION("""COMPUTED_VALUE"""),"Phân bón")</f>
        <v>Phân bón</v>
      </c>
      <c r="J20" s="142" t="str">
        <f>IFERROR(__xludf.DUMMYFUNCTION("""COMPUTED_VALUE"""),"NPK vi lượng Massive Blue")</f>
        <v>NPK vi lượng Massive Blue</v>
      </c>
      <c r="K20" s="143" t="str">
        <f>IFERROR(__xludf.DUMMYFUNCTION("""COMPUTED_VALUE"""),"X02080325")</f>
        <v>X02080325</v>
      </c>
      <c r="L20" s="2" t="str">
        <f>IFERROR(__xludf.DUMMYFUNCTION("""COMPUTED_VALUE"""),"Màu hồng sữa")</f>
        <v>Màu hồng sữa</v>
      </c>
      <c r="M20" s="2" t="str">
        <f>IFERROR(__xludf.DUMMYFUNCTION("""COMPUTED_VALUE"""),"chai")</f>
        <v>chai</v>
      </c>
      <c r="N20" s="142">
        <f>IFERROR(__xludf.DUMMYFUNCTION("""COMPUTED_VALUE"""),40.0)</f>
        <v>40</v>
      </c>
      <c r="O20" s="142">
        <f>IFERROR(__xludf.DUMMYFUNCTION("""COMPUTED_VALUE"""),3.625)</f>
        <v>3.625</v>
      </c>
      <c r="P20" s="142">
        <f>IFERROR(__xludf.DUMMYFUNCTION("""COMPUTED_VALUE"""),145.0)</f>
        <v>145</v>
      </c>
      <c r="Q20" s="143">
        <f>IFERROR(__xludf.DUMMYFUNCTION("""COMPUTED_VALUE"""),46105.0)</f>
        <v>46105</v>
      </c>
      <c r="R20" s="2"/>
      <c r="S20" s="142" t="str">
        <f>IFERROR(__xludf.DUMMYFUNCTION("""COMPUTED_VALUE"""),"Thu hồi xử lý lại do SP bị tách lớp")</f>
        <v>Thu hồi xử lý lại do SP bị tách lớp</v>
      </c>
      <c r="T20" s="2"/>
      <c r="U20" s="2"/>
      <c r="V20" s="2"/>
      <c r="W20" s="2" t="str">
        <f>IFERROR(__xludf.DUMMYFUNCTION("""COMPUTED_VALUE""")," - Giá bán 160000 - Ngày dự kiến thu tiền: 30 ngày - Dự kiến ngày ra hết hàng: ")</f>
        <v> - Giá bán 160000 - Ngày dự kiến thu tiền: 30 ngày - Dự kiến ngày ra hết hàng: </v>
      </c>
      <c r="X20" s="2"/>
      <c r="Y20" s="2" t="str">
        <f>IFERROR(__xludf.DUMMYFUNCTION("""COMPUTED_VALUE"""),"Dego Cần Thơ")</f>
        <v>Dego Cần Thơ</v>
      </c>
      <c r="Z20" s="2" t="str">
        <f>IFERROR(__xludf.DUMMYFUNCTION("""COMPUTED_VALUE"""),"Đã có lịch SX")</f>
        <v>Đã có lịch SX</v>
      </c>
      <c r="AA20" s="2"/>
      <c r="AB20" s="2" t="str">
        <f>IFERROR(__xludf.DUMMYFUNCTION("""COMPUTED_VALUE"""),"- Đổ thu BTP mã HH3557, phối lại 
- Thay chai, nắp, nhãn, thùng mã mới HH4671
- Đóng lại date cũ: 21/04/2025
- LSX +L02")</f>
        <v>- Đổ thu BTP mã HH3557, phối lại 
- Thay chai, nắp, nhãn, thùng mã mới HH4671
- Đóng lại date cũ: 21/04/2025
- LSX +L02</v>
      </c>
      <c r="AC20" s="146">
        <f>IFERROR(__xludf.DUMMYFUNCTION("""COMPUTED_VALUE"""),145.0)</f>
        <v>145</v>
      </c>
      <c r="AD20" s="2"/>
      <c r="AE20" s="2" t="str">
        <f>IFERROR(__xludf.DUMMYFUNCTION("""COMPUTED_VALUE"""),"đã bàn giao cho nhà máy 23/05")</f>
        <v>đã bàn giao cho nhà máy 23/05</v>
      </c>
      <c r="AF20" s="146" t="str">
        <f>IFERROR(__xludf.DUMMYFUNCTION("""COMPUTED_VALUE"""),"")</f>
        <v/>
      </c>
      <c r="AG20" s="2"/>
      <c r="AH20" s="2"/>
      <c r="AI20" s="2"/>
      <c r="AJ20" s="2"/>
      <c r="AK20" s="2"/>
      <c r="AL20" s="2"/>
      <c r="AM20" s="2"/>
      <c r="AN20" s="2"/>
      <c r="AO20" s="2"/>
      <c r="AP20" s="2"/>
      <c r="AQ20" s="2"/>
      <c r="AR20" s="2"/>
      <c r="AS20" s="2"/>
      <c r="AT20" s="2"/>
      <c r="AU20" s="2"/>
      <c r="AV20" s="2"/>
      <c r="AW20" s="2"/>
      <c r="AX20" s="2"/>
      <c r="AY20" s="2"/>
      <c r="AZ20" s="2" t="str">
        <f>IFERROR(__xludf.DUMMYFUNCTION("""COMPUTED_VALUE"""),"#REF!")</f>
        <v>#REF!</v>
      </c>
      <c r="BA20" s="2" t="str">
        <f>IFERROR(__xludf.DUMMYFUNCTION("""COMPUTED_VALUE"""),"Đủ điều kiện")</f>
        <v>Đủ điều kiện</v>
      </c>
      <c r="BB20" s="2" t="str">
        <f>IFERROR(__xludf.DUMMYFUNCTION("""COMPUTED_VALUE"""),"Duyệt")</f>
        <v>Duyệt</v>
      </c>
      <c r="BC20" s="2"/>
      <c r="BD20" s="2" t="str">
        <f>IFERROR(__xludf.DUMMYFUNCTION("""COMPUTED_VALUE"""),"Duyệt")</f>
        <v>Duyệt</v>
      </c>
      <c r="BE20" s="2" t="str">
        <f>IFERROR(__xludf.DUMMYFUNCTION("""COMPUTED_VALUE"""),"xlg 06/03
18/03")</f>
        <v>xlg 06/03
18/03</v>
      </c>
      <c r="BF20" s="2" t="str">
        <f>IFERROR(__xludf.DUMMYFUNCTION("""COMPUTED_VALUE"""),"Hàng xử lý lại")</f>
        <v>Hàng xử lý lại</v>
      </c>
      <c r="BG20" s="2" t="str">
        <f>IFERROR(__xludf.DUMMYFUNCTION("""COMPUTED_VALUE"""),"XYC06032601 X02080325 Màu hồng sữa Thu hồi xử lý lại do SP bị tách lớp 6/3/2026")</f>
        <v>XYC06032601 X02080325 Màu hồng sữa Thu hồi xử lý lại do SP bị tách lớp 6/3/2026</v>
      </c>
      <c r="BH20" s="2"/>
      <c r="BI20" s="2"/>
      <c r="BJ20" s="2"/>
      <c r="BK20" s="2"/>
      <c r="BL20" s="2"/>
      <c r="BM20" s="2"/>
      <c r="BN20" s="2"/>
      <c r="BO20" s="2"/>
      <c r="BP20" s="2"/>
      <c r="BQ20" s="2"/>
    </row>
    <row r="21">
      <c r="A21" s="2">
        <f>IFERROR(__xludf.DUMMYFUNCTION("""COMPUTED_VALUE"""),18.0)</f>
        <v>18</v>
      </c>
      <c r="B21" s="2" t="str">
        <f>IFERROR(__xludf.DUMMYFUNCTION("""COMPUTED_VALUE"""),"Dego Cần Thơ")</f>
        <v>Dego Cần Thơ</v>
      </c>
      <c r="C21" s="2" t="str">
        <f>IFERROR(__xludf.DUMMYFUNCTION("""COMPUTED_VALUE"""),"SYC07032601")</f>
        <v>SYC07032601</v>
      </c>
      <c r="D21" s="39">
        <f>IFERROR(__xludf.DUMMYFUNCTION("""COMPUTED_VALUE"""),46088.0)</f>
        <v>46088</v>
      </c>
      <c r="E21" s="2"/>
      <c r="F21" s="2" t="str">
        <f>IFERROR(__xludf.DUMMYFUNCTION("""COMPUTED_VALUE"""),"N2SBIO")</f>
        <v>N2SBIO</v>
      </c>
      <c r="G21" s="2" t="str">
        <f>IFERROR(__xludf.DUMMYFUNCTION("""COMPUTED_VALUE"""),"HH4058")</f>
        <v>HH4058</v>
      </c>
      <c r="H21" s="2" t="str">
        <f>IFERROR(__xludf.DUMMYFUNCTION("""COMPUTED_VALUE"""),"GC - IX - 4058 - N2SBIO -  SIÊU BO SỮA (Dạng SC - Trắng sữa) - 250ml - 40")</f>
        <v>GC - IX - 4058 - N2SBIO -  SIÊU BO SỮA (Dạng SC - Trắng sữa) - 250ml - 40</v>
      </c>
      <c r="I21" s="2" t="str">
        <f>IFERROR(__xludf.DUMMYFUNCTION("""COMPUTED_VALUE"""),"Phân bón")</f>
        <v>Phân bón</v>
      </c>
      <c r="J21" s="142" t="str">
        <f>IFERROR(__xludf.DUMMYFUNCTION("""COMPUTED_VALUE"""),"Lá Vi Lượng NBC-BO.15")</f>
        <v>Lá Vi Lượng NBC-BO.15</v>
      </c>
      <c r="K21" s="143" t="str">
        <f>IFERROR(__xludf.DUMMYFUNCTION("""COMPUTED_VALUE"""),"N01190825")</f>
        <v>N01190825</v>
      </c>
      <c r="L21" s="2" t="str">
        <f>IFERROR(__xludf.DUMMYFUNCTION("""COMPUTED_VALUE"""),"Dạng SC - Trắng sữa")</f>
        <v>Dạng SC - Trắng sữa</v>
      </c>
      <c r="M21" s="2" t="str">
        <f>IFERROR(__xludf.DUMMYFUNCTION("""COMPUTED_VALUE"""),"Chai")</f>
        <v>Chai</v>
      </c>
      <c r="N21" s="142">
        <f>IFERROR(__xludf.DUMMYFUNCTION("""COMPUTED_VALUE"""),40.0)</f>
        <v>40</v>
      </c>
      <c r="O21" s="142">
        <f>IFERROR(__xludf.DUMMYFUNCTION("""COMPUTED_VALUE"""),97.25)</f>
        <v>97.25</v>
      </c>
      <c r="P21" s="142">
        <f>IFERROR(__xludf.DUMMYFUNCTION("""COMPUTED_VALUE"""),3890.0)</f>
        <v>3890</v>
      </c>
      <c r="Q21" s="143">
        <f>IFERROR(__xludf.DUMMYFUNCTION("""COMPUTED_VALUE"""),46097.0)</f>
        <v>46097</v>
      </c>
      <c r="R21" s="2" t="str">
        <f>IFERROR(__xludf.DUMMYFUNCTION("""COMPUTED_VALUE"""),"x")</f>
        <v>x</v>
      </c>
      <c r="S21" s="142" t="str">
        <f>IFERROR(__xludf.DUMMYFUNCTION("""COMPUTED_VALUE"""),"x")</f>
        <v>x</v>
      </c>
      <c r="T21" s="142" t="str">
        <f>IFERROR(__xludf.DUMMYFUNCTION("""COMPUTED_VALUE"""),"x")</f>
        <v>x</v>
      </c>
      <c r="U21" s="142" t="str">
        <f>IFERROR(__xludf.DUMMYFUNCTION("""COMPUTED_VALUE"""),"x")</f>
        <v>x</v>
      </c>
      <c r="V21" s="142">
        <f>IFERROR(__xludf.DUMMYFUNCTION("""COMPUTED_VALUE"""),7.0)</f>
        <v>7</v>
      </c>
      <c r="W21" s="2" t="str">
        <f>IFERROR(__xludf.DUMMYFUNCTION("""COMPUTED_VALUE""")," - Giá bán 120.000 đ - Ngày dự kiến thu tiền:  - Dự kiến ngày ra hết hàng: ")</f>
        <v> - Giá bán 120.000 đ - Ngày dự kiến thu tiền:  - Dự kiến ngày ra hết hàng: </v>
      </c>
      <c r="X21" s="2"/>
      <c r="Y21" s="2" t="str">
        <f>IFERROR(__xludf.DUMMYFUNCTION("""COMPUTED_VALUE"""),"Dego Cần Thơ")</f>
        <v>Dego Cần Thơ</v>
      </c>
      <c r="Z21" s="2" t="str">
        <f>IFERROR(__xludf.DUMMYFUNCTION("""COMPUTED_VALUE"""),"Chưa có lịch SX")</f>
        <v>Chưa có lịch SX</v>
      </c>
      <c r="AA21" s="2"/>
      <c r="AB21" s="2" t="str">
        <f>IFERROR(__xludf.DUMMYFUNCTION("""COMPUTED_VALUE"""),"ĐÃ có ct 7/4
 Đổ thu BTP, phối lại 
- Thay chai, nắp, nhãn, thùng
- Đóng lại date cũ (phải đóng đúng số lượng date đã trả về)
+ date 07/02: 1198 chai
+ date 03/02: 399 chai
+ date 29/01: 1080 chai
+ date 24/02: 1213 chai
- LSX +L02")</f>
        <v>ĐÃ có ct 7/4
 Đổ thu BTP, phối lại 
- Thay chai, nắp, nhãn, thùng
- Đóng lại date cũ (phải đóng đúng số lượng date đã trả về)
+ date 07/02: 1198 chai
+ date 03/02: 399 chai
+ date 29/01: 1080 chai
+ date 24/02: 1213 chai
- LSX +L02</v>
      </c>
      <c r="AC21" s="146">
        <f>IFERROR(__xludf.DUMMYFUNCTION("""COMPUTED_VALUE"""),3890.0)</f>
        <v>3890</v>
      </c>
      <c r="AD21" s="2"/>
      <c r="AE21" s="2" t="str">
        <f>IFERROR(__xludf.DUMMYFUNCTION("""COMPUTED_VALUE"""),"đã bàn giao cho nhà máy 23/05")</f>
        <v>đã bàn giao cho nhà máy 23/05</v>
      </c>
      <c r="AF21" s="146" t="str">
        <f>IFERROR(__xludf.DUMMYFUNCTION("""COMPUTED_VALUE"""),"")</f>
        <v/>
      </c>
      <c r="AG21" s="2"/>
      <c r="AH21" s="2"/>
      <c r="AI21" s="2"/>
      <c r="AJ21" s="2"/>
      <c r="AK21" s="2"/>
      <c r="AL21" s="2"/>
      <c r="AM21" s="2"/>
      <c r="AN21" s="2"/>
      <c r="AO21" s="2"/>
      <c r="AP21" s="2"/>
      <c r="AQ21" s="2"/>
      <c r="AR21" s="2"/>
      <c r="AS21" s="2"/>
      <c r="AT21" s="2"/>
      <c r="AU21" s="2"/>
      <c r="AV21" s="2"/>
      <c r="AW21" s="2"/>
      <c r="AX21" s="2"/>
      <c r="AY21" s="2"/>
      <c r="AZ21" s="2" t="str">
        <f>IFERROR(__xludf.DUMMYFUNCTION("""COMPUTED_VALUE"""),"#REF!")</f>
        <v>#REF!</v>
      </c>
      <c r="BA21" s="2" t="str">
        <f>IFERROR(__xludf.DUMMYFUNCTION("""COMPUTED_VALUE"""),"Đủ điều kiện")</f>
        <v>Đủ điều kiện</v>
      </c>
      <c r="BB21" s="2" t="str">
        <f>IFERROR(__xludf.DUMMYFUNCTION("""COMPUTED_VALUE"""),"Duyệt")</f>
        <v>Duyệt</v>
      </c>
      <c r="BC21" s="143">
        <f>IFERROR(__xludf.DUMMYFUNCTION("""COMPUTED_VALUE"""),46095.0)</f>
        <v>46095</v>
      </c>
      <c r="BD21" s="2" t="str">
        <f>IFERROR(__xludf.DUMMYFUNCTION("""COMPUTED_VALUE"""),"Duyệt")</f>
        <v>Duyệt</v>
      </c>
      <c r="BE21" s="2" t="str">
        <f>IFERROR(__xludf.DUMMYFUNCTION("""COMPUTED_VALUE"""),"xlg 07/03
14/03")</f>
        <v>xlg 07/03
14/03</v>
      </c>
      <c r="BF21" s="2" t="str">
        <f>IFERROR(__xludf.DUMMYFUNCTION("""COMPUTED_VALUE"""),"Hàng xử lý lại")</f>
        <v>Hàng xử lý lại</v>
      </c>
      <c r="BG21" s="2" t="str">
        <f>IFERROR(__xludf.DUMMYFUNCTION("""COMPUTED_VALUE"""),"SYC07032601 N01190825 Dạng SC - Trắng sữa 120,000đ 7/3/2026")</f>
        <v>SYC07032601 N01190825 Dạng SC - Trắng sữa 120,000đ 7/3/2026</v>
      </c>
      <c r="BH21" s="2"/>
      <c r="BI21" s="2"/>
      <c r="BJ21" s="2"/>
      <c r="BK21" s="2"/>
      <c r="BL21" s="2"/>
      <c r="BM21" s="2"/>
      <c r="BN21" s="2"/>
      <c r="BO21" s="2"/>
      <c r="BP21" s="2"/>
      <c r="BQ21" s="2"/>
    </row>
    <row r="22">
      <c r="A22" s="2">
        <f>IFERROR(__xludf.DUMMYFUNCTION("""COMPUTED_VALUE"""),19.0)</f>
        <v>19</v>
      </c>
      <c r="B22" s="2" t="str">
        <f>IFERROR(__xludf.DUMMYFUNCTION("""COMPUTED_VALUE"""),"Hà Long")</f>
        <v>Hà Long</v>
      </c>
      <c r="C22" s="2" t="str">
        <f>IFERROR(__xludf.DUMMYFUNCTION("""COMPUTED_VALUE"""),"ATP14032603")</f>
        <v>ATP14032603</v>
      </c>
      <c r="D22" s="39">
        <f>IFERROR(__xludf.DUMMYFUNCTION("""COMPUTED_VALUE"""),46095.0)</f>
        <v>46095</v>
      </c>
      <c r="E22" s="2" t="str">
        <f>IFERROR(__xludf.DUMMYFUNCTION("""COMPUTED_VALUE"""),"Đã duyệt")</f>
        <v>Đã duyệt</v>
      </c>
      <c r="F22" s="2" t="str">
        <f>IFERROR(__xludf.DUMMYFUNCTION("""COMPUTED_VALUE"""),"ABA")</f>
        <v>ABA</v>
      </c>
      <c r="G22" s="2" t="str">
        <f>IFERROR(__xludf.DUMMYFUNCTION("""COMPUTED_VALUE"""),"HH4825")</f>
        <v>HH4825</v>
      </c>
      <c r="H22" s="2" t="str">
        <f>IFERROR(__xludf.DUMMYFUNCTION("""COMPUTED_VALUE"""),"GC - V - 4825 - WINDY ALS - WINDY TOP - SẠCH BỆNH (Dạng cốm màu trắng ngà) - 100gr - 100")</f>
        <v>GC - V - 4825 - WINDY ALS - WINDY TOP - SẠCH BỆNH (Dạng cốm màu trắng ngà) - 100gr - 100</v>
      </c>
      <c r="I22" s="2" t="str">
        <f>IFERROR(__xludf.DUMMYFUNCTION("""COMPUTED_VALUE"""),"Thuốc trừ bệnh")</f>
        <v>Thuốc trừ bệnh</v>
      </c>
      <c r="J22" s="142" t="str">
        <f>IFERROR(__xludf.DUMMYFUNCTION("""COMPUTED_VALUE"""),"CYAT 525WG")</f>
        <v>CYAT 525WG</v>
      </c>
      <c r="K22" s="2" t="str">
        <f>IFERROR(__xludf.DUMMYFUNCTION("""COMPUTED_VALUE"""),"Dòng V1")</f>
        <v>Dòng V1</v>
      </c>
      <c r="L22" s="2" t="str">
        <f>IFERROR(__xludf.DUMMYFUNCTION("""COMPUTED_VALUE"""),"Dạng cốm màu trắng ngà")</f>
        <v>Dạng cốm màu trắng ngà</v>
      </c>
      <c r="M22" s="2" t="str">
        <f>IFERROR(__xludf.DUMMYFUNCTION("""COMPUTED_VALUE"""),"Túi/Gói")</f>
        <v>Túi/Gói</v>
      </c>
      <c r="N22" s="142">
        <f>IFERROR(__xludf.DUMMYFUNCTION("""COMPUTED_VALUE"""),100.0)</f>
        <v>100</v>
      </c>
      <c r="O22" s="142">
        <f>IFERROR(__xludf.DUMMYFUNCTION("""COMPUTED_VALUE"""),20.0)</f>
        <v>20</v>
      </c>
      <c r="P22" s="142">
        <f>IFERROR(__xludf.DUMMYFUNCTION("""COMPUTED_VALUE"""),2000.0)</f>
        <v>2000</v>
      </c>
      <c r="Q22" s="143">
        <f>IFERROR(__xludf.DUMMYFUNCTION("""COMPUTED_VALUE"""),46108.0)</f>
        <v>46108</v>
      </c>
      <c r="R22" s="2"/>
      <c r="S22" s="142" t="str">
        <f>IFERROR(__xludf.DUMMYFUNCTION("""COMPUTED_VALUE"""),"lấy chẳn thùng")</f>
        <v>lấy chẳn thùng</v>
      </c>
      <c r="T22" s="2"/>
      <c r="U22" s="2"/>
      <c r="V22" s="2"/>
      <c r="W22" s="2" t="str">
        <f>IFERROR(__xludf.DUMMYFUNCTION("""COMPUTED_VALUE"""),"WINDY - Giá bán 78.000,00 đ - Ngày dự kiến thu tiền:  - Dự kiến ngày ra hết hàng: ")</f>
        <v>WINDY - Giá bán 78.000,00 đ - Ngày dự kiến thu tiền:  - Dự kiến ngày ra hết hàng: </v>
      </c>
      <c r="X22" s="2"/>
      <c r="Y22" s="2" t="str">
        <f>IFERROR(__xludf.DUMMYFUNCTION("""COMPUTED_VALUE"""),"Hà Long")</f>
        <v>Hà Long</v>
      </c>
      <c r="Z22" s="2" t="str">
        <f>IFERROR(__xludf.DUMMYFUNCTION("""COMPUTED_VALUE"""),"Chưa có lịch SX")</f>
        <v>Chưa có lịch SX</v>
      </c>
      <c r="AA22" s="2"/>
      <c r="AB22" s="2" t="str">
        <f>IFERROR(__xludf.DUMMYFUNCTION("""COMPUTED_VALUE"""),"Thiếu BTP
05/05 vẫn đang chờ kq test BTP CYAT
16/05 HL báo ngưng nhận sx CYAT")</f>
        <v>Thiếu BTP
05/05 vẫn đang chờ kq test BTP CYAT
16/05 HL báo ngưng nhận sx CYAT</v>
      </c>
      <c r="AC22" s="146">
        <f>IFERROR(__xludf.DUMMYFUNCTION("""COMPUTED_VALUE"""),2000.0)</f>
        <v>2000</v>
      </c>
      <c r="AD22" s="2"/>
      <c r="AE22" s="143" t="str">
        <f>IFERROR(__xludf.DUMMYFUNCTION("""COMPUTED_VALUE"""),"Chưa chốt lịch")</f>
        <v>Chưa chốt lịch</v>
      </c>
      <c r="AF22" s="146" t="str">
        <f>IFERROR(__xludf.DUMMYFUNCTION("""COMPUTED_VALUE"""),"")</f>
        <v/>
      </c>
      <c r="AG22" s="2"/>
      <c r="AH22" s="2"/>
      <c r="AI22" s="2"/>
      <c r="AJ22" s="2"/>
      <c r="AK22" s="2"/>
      <c r="AL22" s="2"/>
      <c r="AM22" s="2"/>
      <c r="AN22" s="2"/>
      <c r="AO22" s="2"/>
      <c r="AP22" s="2"/>
      <c r="AQ22" s="2"/>
      <c r="AR22" s="2"/>
      <c r="AS22" s="2"/>
      <c r="AT22" s="2"/>
      <c r="AU22" s="2"/>
      <c r="AV22" s="2"/>
      <c r="AW22" s="2"/>
      <c r="AX22" s="2"/>
      <c r="AY22" s="2"/>
      <c r="AZ22" s="2"/>
      <c r="BA22" s="2" t="str">
        <f>IFERROR(__xludf.DUMMYFUNCTION("""COMPUTED_VALUE"""),"Đủ điều kiện")</f>
        <v>Đủ điều kiện</v>
      </c>
      <c r="BB22" s="2" t="str">
        <f>IFERROR(__xludf.DUMMYFUNCTION("""COMPUTED_VALUE"""),"Duyệt")</f>
        <v>Duyệt</v>
      </c>
      <c r="BC22" s="143">
        <f>IFERROR(__xludf.DUMMYFUNCTION("""COMPUTED_VALUE"""),46098.0)</f>
        <v>46098</v>
      </c>
      <c r="BD22" s="2" t="str">
        <f>IFERROR(__xludf.DUMMYFUNCTION("""COMPUTED_VALUE"""),"Duyệt")</f>
        <v>Duyệt</v>
      </c>
      <c r="BE22" s="143">
        <f>IFERROR(__xludf.DUMMYFUNCTION("""COMPUTED_VALUE"""),46097.0)</f>
        <v>46097</v>
      </c>
      <c r="BF22" s="2" t="str">
        <f>IFERROR(__xludf.DUMMYFUNCTION("""COMPUTED_VALUE"""),"Đã xử lí giá")</f>
        <v>Đã xử lí giá</v>
      </c>
      <c r="BG22" s="2" t="str">
        <f>IFERROR(__xludf.DUMMYFUNCTION("""COMPUTED_VALUE""")," Dòng V1 Dạng cốm màu trắng ngà 78,000đ 14/3/2026
Đã chốt giá BTP với Hà Long ngày 16/3/2026")</f>
        <v> Dòng V1 Dạng cốm màu trắng ngà 78,000đ 14/3/2026
Đã chốt giá BTP với Hà Long ngày 16/3/2026</v>
      </c>
      <c r="BH22" s="2"/>
      <c r="BI22" s="2"/>
      <c r="BJ22" s="2"/>
      <c r="BK22" s="2"/>
      <c r="BL22" s="2"/>
      <c r="BM22" s="2"/>
      <c r="BN22" s="2"/>
      <c r="BO22" s="2"/>
      <c r="BP22" s="2"/>
      <c r="BQ22" s="2"/>
    </row>
    <row r="23">
      <c r="A23" s="2">
        <f>IFERROR(__xludf.DUMMYFUNCTION("""COMPUTED_VALUE"""),20.0)</f>
        <v>20</v>
      </c>
      <c r="B23" s="2" t="str">
        <f>IFERROR(__xludf.DUMMYFUNCTION("""COMPUTED_VALUE"""),"Hà Long")</f>
        <v>Hà Long</v>
      </c>
      <c r="C23" s="2" t="str">
        <f>IFERROR(__xludf.DUMMYFUNCTION("""COMPUTED_VALUE"""),"ITP20032601")</f>
        <v>ITP20032601</v>
      </c>
      <c r="D23" s="39">
        <f>IFERROR(__xludf.DUMMYFUNCTION("""COMPUTED_VALUE"""),46101.0)</f>
        <v>46101</v>
      </c>
      <c r="E23" s="2"/>
      <c r="F23" s="2" t="str">
        <f>IFERROR(__xludf.DUMMYFUNCTION("""COMPUTED_VALUE"""),"IDA")</f>
        <v>IDA</v>
      </c>
      <c r="G23" s="2" t="str">
        <f>IFERROR(__xludf.DUMMYFUNCTION("""COMPUTED_VALUE"""),"HH4855")</f>
        <v>HH4855</v>
      </c>
      <c r="H23" s="2" t="str">
        <f>IFERROR(__xludf.DUMMYFUNCTION("""COMPUTED_VALUE"""),"IDA Global - I - 4855 - Pim.Pim 75WP (Bột cam) - 100gr - 100")</f>
        <v>IDA Global - I - 4855 - Pim.Pim 75WP (Bột cam) - 100gr - 100</v>
      </c>
      <c r="I23" s="2" t="str">
        <f>IFERROR(__xludf.DUMMYFUNCTION("""COMPUTED_VALUE"""),"Thuốc trừ bệnh")</f>
        <v>Thuốc trừ bệnh</v>
      </c>
      <c r="J23" s="142" t="str">
        <f>IFERROR(__xludf.DUMMYFUNCTION("""COMPUTED_VALUE"""),"Pim.Pim 75WP")</f>
        <v>Pim.Pim 75WP</v>
      </c>
      <c r="K23" s="2" t="str">
        <f>IFERROR(__xludf.DUMMYFUNCTION("""COMPUTED_VALUE"""),"Chung ruột HH4095")</f>
        <v>Chung ruột HH4095</v>
      </c>
      <c r="L23" s="2" t="str">
        <f>IFERROR(__xludf.DUMMYFUNCTION("""COMPUTED_VALUE"""),"Bột cam")</f>
        <v>Bột cam</v>
      </c>
      <c r="M23" s="2" t="str">
        <f>IFERROR(__xludf.DUMMYFUNCTION("""COMPUTED_VALUE"""),"Túi/Gói")</f>
        <v>Túi/Gói</v>
      </c>
      <c r="N23" s="142">
        <f>IFERROR(__xludf.DUMMYFUNCTION("""COMPUTED_VALUE"""),100.0)</f>
        <v>100</v>
      </c>
      <c r="O23" s="142">
        <f>IFERROR(__xludf.DUMMYFUNCTION("""COMPUTED_VALUE"""),30.0)</f>
        <v>30</v>
      </c>
      <c r="P23" s="142">
        <f>IFERROR(__xludf.DUMMYFUNCTION("""COMPUTED_VALUE"""),3000.0)</f>
        <v>3000</v>
      </c>
      <c r="Q23" s="143">
        <f>IFERROR(__xludf.DUMMYFUNCTION("""COMPUTED_VALUE"""),46114.0)</f>
        <v>46114</v>
      </c>
      <c r="R23" s="2" t="str">
        <f>IFERROR(__xludf.DUMMYFUNCTION("""COMPUTED_VALUE"""),"x")</f>
        <v>x</v>
      </c>
      <c r="S23" s="142" t="str">
        <f>IFERROR(__xludf.DUMMYFUNCTION("""COMPUTED_VALUE"""),"Đúng lịch nhận, hàng gấp")</f>
        <v>Đúng lịch nhận, hàng gấp</v>
      </c>
      <c r="T23" s="142" t="str">
        <f>IFERROR(__xludf.DUMMYFUNCTION("""COMPUTED_VALUE"""),"x")</f>
        <v>x</v>
      </c>
      <c r="U23" s="142" t="str">
        <f>IFERROR(__xludf.DUMMYFUNCTION("""COMPUTED_VALUE"""),"x")</f>
        <v>x</v>
      </c>
      <c r="V23" s="142">
        <f>IFERROR(__xludf.DUMMYFUNCTION("""COMPUTED_VALUE"""),13.0)</f>
        <v>13</v>
      </c>
      <c r="W23" s="2" t="str">
        <f>IFERROR(__xludf.DUMMYFUNCTION("""COMPUTED_VALUE"""),"x - Giá bán 38600 - Ngày dự kiến thu tiền: x - Dự kiến ngày ra hết hàng: 30 ngày")</f>
        <v>x - Giá bán 38600 - Ngày dự kiến thu tiền: x - Dự kiến ngày ra hết hàng: 30 ngày</v>
      </c>
      <c r="X23" s="2"/>
      <c r="Y23" s="2" t="str">
        <f>IFERROR(__xludf.DUMMYFUNCTION("""COMPUTED_VALUE"""),"Hà Long")</f>
        <v>Hà Long</v>
      </c>
      <c r="Z23" s="2" t="str">
        <f>IFERROR(__xludf.DUMMYFUNCTION("""COMPUTED_VALUE"""),"Chưa có lịch SX")</f>
        <v>Chưa có lịch SX</v>
      </c>
      <c r="AA23" s="2"/>
      <c r="AB23" s="2" t="str">
        <f>IFERROR(__xludf.DUMMYFUNCTION("""COMPUTED_VALUE"""),"Thiếu túi, Thiếu BTP
--&gt; 24/03 về túi
15/04 KD yc báo HL tạm ngưng đơn đợi cập nhật lại giá
05/05 HL vẫn chưa báo lại giá")</f>
        <v>Thiếu túi, Thiếu BTP
--&gt; 24/03 về túi
15/04 KD yc báo HL tạm ngưng đơn đợi cập nhật lại giá
05/05 HL vẫn chưa báo lại giá</v>
      </c>
      <c r="AC23" s="146">
        <f>IFERROR(__xludf.DUMMYFUNCTION("""COMPUTED_VALUE"""),3000.0)</f>
        <v>3000</v>
      </c>
      <c r="AD23" s="2"/>
      <c r="AE23" s="143" t="str">
        <f>IFERROR(__xludf.DUMMYFUNCTION("""COMPUTED_VALUE"""),"Chưa chốt lịch")</f>
        <v>Chưa chốt lịch</v>
      </c>
      <c r="AF23" s="146" t="str">
        <f>IFERROR(__xludf.DUMMYFUNCTION("""COMPUTED_VALUE"""),"")</f>
        <v/>
      </c>
      <c r="AG23" s="2"/>
      <c r="AH23" s="2"/>
      <c r="AI23" s="2"/>
      <c r="AJ23" s="2"/>
      <c r="AK23" s="2"/>
      <c r="AL23" s="2"/>
      <c r="AM23" s="2"/>
      <c r="AN23" s="2"/>
      <c r="AO23" s="2"/>
      <c r="AP23" s="2"/>
      <c r="AQ23" s="2"/>
      <c r="AR23" s="2"/>
      <c r="AS23" s="2"/>
      <c r="AT23" s="2"/>
      <c r="AU23" s="2"/>
      <c r="AV23" s="2"/>
      <c r="AW23" s="2"/>
      <c r="AX23" s="2"/>
      <c r="AY23" s="2"/>
      <c r="AZ23" s="2"/>
      <c r="BA23" s="2" t="str">
        <f>IFERROR(__xludf.DUMMYFUNCTION("""COMPUTED_VALUE"""),"Đủ điều kiện")</f>
        <v>Đủ điều kiện</v>
      </c>
      <c r="BB23" s="2" t="str">
        <f>IFERROR(__xludf.DUMMYFUNCTION("""COMPUTED_VALUE"""),"Duyệt")</f>
        <v>Duyệt</v>
      </c>
      <c r="BC23" s="143">
        <f>IFERROR(__xludf.DUMMYFUNCTION("""COMPUTED_VALUE"""),46109.0)</f>
        <v>46109</v>
      </c>
      <c r="BD23" s="2" t="str">
        <f>IFERROR(__xludf.DUMMYFUNCTION("""COMPUTED_VALUE"""),"Duyệt")</f>
        <v>Duyệt</v>
      </c>
      <c r="BE23" s="143">
        <f>IFERROR(__xludf.DUMMYFUNCTION("""COMPUTED_VALUE"""),46102.0)</f>
        <v>46102</v>
      </c>
      <c r="BF23" s="2" t="str">
        <f>IFERROR(__xludf.DUMMYFUNCTION("""COMPUTED_VALUE"""),"Đã xử lí giá")</f>
        <v>Đã xử lí giá</v>
      </c>
      <c r="BG23" s="2" t="str">
        <f>IFERROR(__xludf.DUMMYFUNCTION("""COMPUTED_VALUE"""),"Chung ruột HH4095 Bột cam 38,600đ 20/3/2026")</f>
        <v>Chung ruột HH4095 Bột cam 38,600đ 20/3/2026</v>
      </c>
      <c r="BH23" s="2"/>
      <c r="BI23" s="2"/>
      <c r="BJ23" s="2"/>
      <c r="BK23" s="2"/>
      <c r="BL23" s="2"/>
      <c r="BM23" s="2"/>
      <c r="BN23" s="2"/>
      <c r="BO23" s="2"/>
      <c r="BP23" s="2"/>
      <c r="BQ23" s="2"/>
    </row>
    <row r="24">
      <c r="A24" s="2">
        <f>IFERROR(__xludf.DUMMYFUNCTION("""COMPUTED_VALUE"""),21.0)</f>
        <v>21</v>
      </c>
      <c r="B24" s="2" t="str">
        <f>IFERROR(__xludf.DUMMYFUNCTION("""COMPUTED_VALUE"""),"Hà Long")</f>
        <v>Hà Long</v>
      </c>
      <c r="C24" s="2" t="str">
        <f>IFERROR(__xludf.DUMMYFUNCTION("""COMPUTED_VALUE"""),"ATP23032607")</f>
        <v>ATP23032607</v>
      </c>
      <c r="D24" s="39">
        <f>IFERROR(__xludf.DUMMYFUNCTION("""COMPUTED_VALUE"""),46104.0)</f>
        <v>46104</v>
      </c>
      <c r="E24" s="2" t="str">
        <f>IFERROR(__xludf.DUMMYFUNCTION("""COMPUTED_VALUE"""),"Đã duyệt")</f>
        <v>Đã duyệt</v>
      </c>
      <c r="F24" s="2" t="str">
        <f>IFERROR(__xludf.DUMMYFUNCTION("""COMPUTED_VALUE"""),"ABA")</f>
        <v>ABA</v>
      </c>
      <c r="G24" s="2" t="str">
        <f>IFERROR(__xludf.DUMMYFUNCTION("""COMPUTED_VALUE"""),"HH4821")</f>
        <v>HH4821</v>
      </c>
      <c r="H24" s="2" t="str">
        <f>IFERROR(__xludf.DUMMYFUNCTION("""COMPUTED_VALUE"""),"GC - V - 4821 - CTY NHP GROUP - CHESSIN 600WP (Bột trắng ngà) - 80gr - 100")</f>
        <v>GC - V - 4821 - CTY NHP GROUP - CHESSIN 600WP (Bột trắng ngà) - 80gr - 100</v>
      </c>
      <c r="I24" s="2" t="str">
        <f>IFERROR(__xludf.DUMMYFUNCTION("""COMPUTED_VALUE"""),"Thuốc trừ sâu")</f>
        <v>Thuốc trừ sâu</v>
      </c>
      <c r="J24" s="142" t="str">
        <f>IFERROR(__xludf.DUMMYFUNCTION("""COMPUTED_VALUE"""),"CHESSIN 600WP")</f>
        <v>CHESSIN 600WP</v>
      </c>
      <c r="K24" s="2" t="str">
        <f>IFERROR(__xludf.DUMMYFUNCTION("""COMPUTED_VALUE"""),"Dòng V1")</f>
        <v>Dòng V1</v>
      </c>
      <c r="L24" s="2" t="str">
        <f>IFERROR(__xludf.DUMMYFUNCTION("""COMPUTED_VALUE"""),"Bột trắng ngà")</f>
        <v>Bột trắng ngà</v>
      </c>
      <c r="M24" s="2" t="str">
        <f>IFERROR(__xludf.DUMMYFUNCTION("""COMPUTED_VALUE"""),"Túi/Gói")</f>
        <v>Túi/Gói</v>
      </c>
      <c r="N24" s="142">
        <f>IFERROR(__xludf.DUMMYFUNCTION("""COMPUTED_VALUE"""),100.0)</f>
        <v>100</v>
      </c>
      <c r="O24" s="142">
        <f>IFERROR(__xludf.DUMMYFUNCTION("""COMPUTED_VALUE"""),12.0)</f>
        <v>12</v>
      </c>
      <c r="P24" s="142">
        <f>IFERROR(__xludf.DUMMYFUNCTION("""COMPUTED_VALUE"""),1200.0)</f>
        <v>1200</v>
      </c>
      <c r="Q24" s="143">
        <f>IFERROR(__xludf.DUMMYFUNCTION("""COMPUTED_VALUE"""),46118.0)</f>
        <v>46118</v>
      </c>
      <c r="R24" s="2"/>
      <c r="S24" s="142" t="str">
        <f>IFERROR(__xludf.DUMMYFUNCTION("""COMPUTED_VALUE"""),"lấy chẳn thùng")</f>
        <v>lấy chẳn thùng</v>
      </c>
      <c r="T24" s="2"/>
      <c r="U24" s="2"/>
      <c r="V24" s="2"/>
      <c r="W24" s="2" t="str">
        <f>IFERROR(__xludf.DUMMYFUNCTION("""COMPUTED_VALUE"""),"NHP GROUP - Giá bán chờ giá - Ngày dự kiến thu tiền:  - Dự kiến ngày ra hết hàng: ")</f>
        <v>NHP GROUP - Giá bán chờ giá - Ngày dự kiến thu tiền:  - Dự kiến ngày ra hết hàng: </v>
      </c>
      <c r="X24" s="2"/>
      <c r="Y24" s="2" t="str">
        <f>IFERROR(__xludf.DUMMYFUNCTION("""COMPUTED_VALUE"""),"Hà Long")</f>
        <v>Hà Long</v>
      </c>
      <c r="Z24" s="2" t="str">
        <f>IFERROR(__xludf.DUMMYFUNCTION("""COMPUTED_VALUE"""),"Đã có lịch SX")</f>
        <v>Đã có lịch SX</v>
      </c>
      <c r="AA24" s="39">
        <f>IFERROR(__xludf.DUMMYFUNCTION("""COMPUTED_VALUE"""),46171.0)</f>
        <v>46171</v>
      </c>
      <c r="AB24" s="2" t="str">
        <f>IFERROR(__xludf.DUMMYFUNCTION("""COMPUTED_VALUE"""),"23/03 NCC báo tạm ngưng nhận đơn do biến động ngưồn cung 
28/5 Dego chuyển BTP qua HL- đã gửi đơn")</f>
        <v>23/03 NCC báo tạm ngưng nhận đơn do biến động ngưồn cung 
28/5 Dego chuyển BTP qua HL- đã gửi đơn</v>
      </c>
      <c r="AC24" s="146">
        <f>IFERROR(__xludf.DUMMYFUNCTION("""COMPUTED_VALUE"""),1200.0)</f>
        <v>1200</v>
      </c>
      <c r="AD24" s="2"/>
      <c r="AE24" s="143" t="str">
        <f>IFERROR(__xludf.DUMMYFUNCTION("""COMPUTED_VALUE"""),"Chưa chốt lịch")</f>
        <v>Chưa chốt lịch</v>
      </c>
      <c r="AF24" s="146" t="str">
        <f>IFERROR(__xludf.DUMMYFUNCTION("""COMPUTED_VALUE"""),"")</f>
        <v/>
      </c>
      <c r="AG24" s="2"/>
      <c r="AH24" s="2"/>
      <c r="AI24" s="2"/>
      <c r="AJ24" s="2"/>
      <c r="AK24" s="2"/>
      <c r="AL24" s="2"/>
      <c r="AM24" s="2"/>
      <c r="AN24" s="2"/>
      <c r="AO24" s="2"/>
      <c r="AP24" s="2"/>
      <c r="AQ24" s="2"/>
      <c r="AR24" s="2"/>
      <c r="AS24" s="2"/>
      <c r="AT24" s="2"/>
      <c r="AU24" s="2"/>
      <c r="AV24" s="2"/>
      <c r="AW24" s="2"/>
      <c r="AX24" s="2"/>
      <c r="AY24" s="2"/>
      <c r="AZ24" s="2"/>
      <c r="BA24" s="2"/>
      <c r="BB24" s="2" t="str">
        <f>IFERROR(__xludf.DUMMYFUNCTION("""COMPUTED_VALUE"""),"Duyệt")</f>
        <v>Duyệt</v>
      </c>
      <c r="BC24" s="143">
        <f>IFERROR(__xludf.DUMMYFUNCTION("""COMPUTED_VALUE"""),46129.0)</f>
        <v>46129</v>
      </c>
      <c r="BD24" s="2" t="str">
        <f>IFERROR(__xludf.DUMMYFUNCTION("""COMPUTED_VALUE"""),"Duyệt")</f>
        <v>Duyệt</v>
      </c>
      <c r="BE24" s="143">
        <f>IFERROR(__xludf.DUMMYFUNCTION("""COMPUTED_VALUE"""),46171.0)</f>
        <v>46171</v>
      </c>
      <c r="BF24" s="2" t="str">
        <f>IFERROR(__xludf.DUMMYFUNCTION("""COMPUTED_VALUE"""),"Đã xử lí giá")</f>
        <v>Đã xử lí giá</v>
      </c>
      <c r="BG24" s="2" t="str">
        <f>IFERROR(__xludf.DUMMYFUNCTION("""COMPUTED_VALUE"""),"Dòng V1 Bột trắng ngà NCC đang báo tạm ngưng không nhận đơn hàng 24/3/2026
ngày 28/5/2026 vể BTP đóng đơn hàng, 28/5/2026")</f>
        <v>Dòng V1 Bột trắng ngà NCC đang báo tạm ngưng không nhận đơn hàng 24/3/2026
ngày 28/5/2026 vể BTP đóng đơn hàng, 28/5/2026</v>
      </c>
      <c r="BH24" s="2"/>
      <c r="BI24" s="2"/>
      <c r="BJ24" s="2"/>
      <c r="BK24" s="2"/>
      <c r="BL24" s="2"/>
      <c r="BM24" s="2"/>
      <c r="BN24" s="2"/>
      <c r="BO24" s="2"/>
      <c r="BP24" s="2"/>
      <c r="BQ24" s="2"/>
    </row>
    <row r="25">
      <c r="A25" s="2">
        <f>IFERROR(__xludf.DUMMYFUNCTION("""COMPUTED_VALUE"""),22.0)</f>
        <v>22</v>
      </c>
      <c r="B25" s="2" t="str">
        <f>IFERROR(__xludf.DUMMYFUNCTION("""COMPUTED_VALUE"""),"Dego Cần Thơ")</f>
        <v>Dego Cần Thơ</v>
      </c>
      <c r="C25" s="2" t="str">
        <f>IFERROR(__xludf.DUMMYFUNCTION("""COMPUTED_VALUE"""),"ATP23032613")</f>
        <v>ATP23032613</v>
      </c>
      <c r="D25" s="39">
        <f>IFERROR(__xludf.DUMMYFUNCTION("""COMPUTED_VALUE"""),46104.0)</f>
        <v>46104</v>
      </c>
      <c r="E25" s="2" t="str">
        <f>IFERROR(__xludf.DUMMYFUNCTION("""COMPUTED_VALUE"""),"Đã duyệt")</f>
        <v>Đã duyệt</v>
      </c>
      <c r="F25" s="2" t="str">
        <f>IFERROR(__xludf.DUMMYFUNCTION("""COMPUTED_VALUE"""),"ABA")</f>
        <v>ABA</v>
      </c>
      <c r="G25" s="2" t="str">
        <f>IFERROR(__xludf.DUMMYFUNCTION("""COMPUTED_VALUE"""),"HH4806")</f>
        <v>HH4806</v>
      </c>
      <c r="H25" s="2" t="str">
        <f>IFERROR(__xludf.DUMMYFUNCTION("""COMPUTED_VALUE"""),"GC - V - 4806 - CTY HÓA NÔNG CON ONG VÀNG - MAGIE KẼM PLUS (Dạng SC - Xanh lá) - 400ml - 40")</f>
        <v>GC - V - 4806 - CTY HÓA NÔNG CON ONG VÀNG - MAGIE KẼM PLUS (Dạng SC - Xanh lá) - 400ml - 40</v>
      </c>
      <c r="I25" s="2" t="str">
        <f>IFERROR(__xludf.DUMMYFUNCTION("""COMPUTED_VALUE"""),"Phân bón")</f>
        <v>Phân bón</v>
      </c>
      <c r="J25" s="142" t="str">
        <f>IFERROR(__xludf.DUMMYFUNCTION("""COMPUTED_VALUE"""),"vi lượng Phú Sĩ FJ-09 Kẽm Mg")</f>
        <v>vi lượng Phú Sĩ FJ-09 Kẽm Mg</v>
      </c>
      <c r="K25" s="2" t="str">
        <f>IFERROR(__xludf.DUMMYFUNCTION("""COMPUTED_VALUE"""),"A05200825 - 01")</f>
        <v>A05200825 - 01</v>
      </c>
      <c r="L25" s="2" t="str">
        <f>IFERROR(__xludf.DUMMYFUNCTION("""COMPUTED_VALUE"""),"Dạng SC - Xanh lá")</f>
        <v>Dạng SC - Xanh lá</v>
      </c>
      <c r="M25" s="2" t="str">
        <f>IFERROR(__xludf.DUMMYFUNCTION("""COMPUTED_VALUE"""),"Chai")</f>
        <v>Chai</v>
      </c>
      <c r="N25" s="142">
        <f>IFERROR(__xludf.DUMMYFUNCTION("""COMPUTED_VALUE"""),40.0)</f>
        <v>40</v>
      </c>
      <c r="O25" s="142">
        <f>IFERROR(__xludf.DUMMYFUNCTION("""COMPUTED_VALUE"""),20.0)</f>
        <v>20</v>
      </c>
      <c r="P25" s="142">
        <f>IFERROR(__xludf.DUMMYFUNCTION("""COMPUTED_VALUE"""),800.0)</f>
        <v>800</v>
      </c>
      <c r="Q25" s="143">
        <f>IFERROR(__xludf.DUMMYFUNCTION("""COMPUTED_VALUE"""),46115.0)</f>
        <v>46115</v>
      </c>
      <c r="R25" s="2"/>
      <c r="S25" s="142" t="str">
        <f>IFERROR(__xludf.DUMMYFUNCTION("""COMPUTED_VALUE"""),"lấy chẳn thùng")</f>
        <v>lấy chẳn thùng</v>
      </c>
      <c r="T25" s="2"/>
      <c r="U25" s="2"/>
      <c r="V25" s="2"/>
      <c r="W25" s="2" t="str">
        <f>IFERROR(__xludf.DUMMYFUNCTION("""COMPUTED_VALUE"""),"ONG VÀNG - Giá bán 42.000,00 đ - Ngày dự kiến thu tiền:  - Dự kiến ngày ra hết hàng: ")</f>
        <v>ONG VÀNG - Giá bán 42.000,00 đ - Ngày dự kiến thu tiền:  - Dự kiến ngày ra hết hàng: </v>
      </c>
      <c r="X25" s="2"/>
      <c r="Y25" s="2" t="str">
        <f>IFERROR(__xludf.DUMMYFUNCTION("""COMPUTED_VALUE"""),"Dego Cần Thơ")</f>
        <v>Dego Cần Thơ</v>
      </c>
      <c r="Z25" s="2" t="str">
        <f>IFERROR(__xludf.DUMMYFUNCTION("""COMPUTED_VALUE"""),"Hàng sẵn kho")</f>
        <v>Hàng sẵn kho</v>
      </c>
      <c r="AA25" s="2"/>
      <c r="AB25" s="2" t="str">
        <f>IFERROR(__xludf.DUMMYFUNCTION("""COMPUTED_VALUE"""),"đã gửi phiếu 02/04
nhà máy đang kcs lại, nào chốt mới lấy hàng dc
đã cho lấy hàng được 12/05
KD báo tầm qua tháng 6 mới lấy hàng (gần tới check lại KD)")</f>
        <v>đã gửi phiếu 02/04
nhà máy đang kcs lại, nào chốt mới lấy hàng dc
đã cho lấy hàng được 12/05
KD báo tầm qua tháng 6 mới lấy hàng (gần tới check lại KD)</v>
      </c>
      <c r="AC25" s="2"/>
      <c r="AD25" s="146">
        <f>IFERROR(__xludf.DUMMYFUNCTION("""COMPUTED_VALUE"""),910.0)</f>
        <v>910</v>
      </c>
      <c r="AE25" s="2" t="str">
        <f>IFERROR(__xludf.DUMMYFUNCTION("""COMPUTED_VALUE"""),"đã bàn giao cho nhà máy 23/05")</f>
        <v>đã bàn giao cho nhà máy 23/05</v>
      </c>
      <c r="AF25" s="146" t="str">
        <f>IFERROR(__xludf.DUMMYFUNCTION("""COMPUTED_VALUE"""),"ATP23032613")</f>
        <v>ATP23032613</v>
      </c>
      <c r="AG25" s="143">
        <f>IFERROR(__xludf.DUMMYFUNCTION("""COMPUTED_VALUE"""),46114.0)</f>
        <v>46114</v>
      </c>
      <c r="AH25" s="146">
        <f>IFERROR(__xludf.DUMMYFUNCTION("""COMPUTED_VALUE"""),910.0)</f>
        <v>910</v>
      </c>
      <c r="AI25" s="2"/>
      <c r="AJ25" s="2"/>
      <c r="AK25" s="2"/>
      <c r="AL25" s="2"/>
      <c r="AM25" s="142">
        <f>IFERROR(__xludf.DUMMYFUNCTION("""COMPUTED_VALUE"""),908.0)</f>
        <v>908</v>
      </c>
      <c r="AN25" s="2"/>
      <c r="AO25" s="2"/>
      <c r="AP25" s="2"/>
      <c r="AQ25" s="2"/>
      <c r="AR25" s="2"/>
      <c r="AS25" s="2"/>
      <c r="AT25" s="2"/>
      <c r="AU25" s="2"/>
      <c r="AV25" s="2"/>
      <c r="AW25" s="2"/>
      <c r="AX25" s="2"/>
      <c r="AY25" s="2"/>
      <c r="AZ25" s="2" t="str">
        <f>IFERROR(__xludf.DUMMYFUNCTION("""COMPUTED_VALUE"""),"#REF!")</f>
        <v>#REF!</v>
      </c>
      <c r="BA25" s="2" t="str">
        <f>IFERROR(__xludf.DUMMYFUNCTION("""COMPUTED_VALUE"""),"Đủ điều kiện")</f>
        <v>Đủ điều kiện</v>
      </c>
      <c r="BB25" s="2" t="str">
        <f>IFERROR(__xludf.DUMMYFUNCTION("""COMPUTED_VALUE"""),"Duyệt")</f>
        <v>Duyệt</v>
      </c>
      <c r="BC25" s="149">
        <f>IFERROR(__xludf.DUMMYFUNCTION("""COMPUTED_VALUE"""),46109.0)</f>
        <v>46109</v>
      </c>
      <c r="BD25" s="2" t="str">
        <f>IFERROR(__xludf.DUMMYFUNCTION("""COMPUTED_VALUE"""),"Duyệt")</f>
        <v>Duyệt</v>
      </c>
      <c r="BE25" s="2" t="str">
        <f>IFERROR(__xludf.DUMMYFUNCTION("""COMPUTED_VALUE"""),"xlg 26/03
28/03")</f>
        <v>xlg 26/03
28/03</v>
      </c>
      <c r="BF25" s="2" t="str">
        <f>IFERROR(__xludf.DUMMYFUNCTION("""COMPUTED_VALUE"""),"Đã xử lí giá")</f>
        <v>Đã xử lí giá</v>
      </c>
      <c r="BG25" s="2" t="str">
        <f>IFERROR(__xludf.DUMMYFUNCTION("""COMPUTED_VALUE"""),"A05200825 - 01 Dạng SC - Xanh lá 42,000đ 24/3/2026")</f>
        <v>A05200825 - 01 Dạng SC - Xanh lá 42,000đ 24/3/2026</v>
      </c>
      <c r="BH25" s="2"/>
      <c r="BI25" s="2"/>
      <c r="BJ25" s="2"/>
      <c r="BK25" s="2"/>
      <c r="BL25" s="2"/>
      <c r="BM25" s="2"/>
      <c r="BN25" s="2"/>
      <c r="BO25" s="2"/>
      <c r="BP25" s="2"/>
      <c r="BQ25" s="2"/>
    </row>
    <row r="26">
      <c r="A26" s="2">
        <f>IFERROR(__xludf.DUMMYFUNCTION("""COMPUTED_VALUE"""),23.0)</f>
        <v>23</v>
      </c>
      <c r="B26" s="2" t="str">
        <f>IFERROR(__xludf.DUMMYFUNCTION("""COMPUTED_VALUE"""),"ATC")</f>
        <v>ATC</v>
      </c>
      <c r="C26" s="2" t="str">
        <f>IFERROR(__xludf.DUMMYFUNCTION("""COMPUTED_VALUE"""),"ATP24032604")</f>
        <v>ATP24032604</v>
      </c>
      <c r="D26" s="39">
        <f>IFERROR(__xludf.DUMMYFUNCTION("""COMPUTED_VALUE"""),46105.0)</f>
        <v>46105</v>
      </c>
      <c r="E26" s="2" t="str">
        <f>IFERROR(__xludf.DUMMYFUNCTION("""COMPUTED_VALUE"""),"Đã duyệt")</f>
        <v>Đã duyệt</v>
      </c>
      <c r="F26" s="2" t="str">
        <f>IFERROR(__xludf.DUMMYFUNCTION("""COMPUTED_VALUE"""),"ABA")</f>
        <v>ABA</v>
      </c>
      <c r="G26" s="2" t="str">
        <f>IFERROR(__xludf.DUMMYFUNCTION("""COMPUTED_VALUE"""),"HH4326")</f>
        <v>HH4326</v>
      </c>
      <c r="H26" s="2" t="str">
        <f>IFERROR(__xludf.DUMMYFUNCTION("""COMPUTED_VALUE"""),"GC - V - 4326 - CTY R3 - NINNA-MAX (Nước vàng) - 450ml - 40")</f>
        <v>GC - V - 4326 - CTY R3 - NINNA-MAX (Nước vàng) - 450ml - 40</v>
      </c>
      <c r="I26" s="2" t="str">
        <f>IFERROR(__xludf.DUMMYFUNCTION("""COMPUTED_VALUE"""),"Thuốc trừ bệnh")</f>
        <v>Thuốc trừ bệnh</v>
      </c>
      <c r="J26" s="142" t="str">
        <f>IFERROR(__xludf.DUMMYFUNCTION("""COMPUTED_VALUE"""),"Pyramos 40SL")</f>
        <v>Pyramos 40SL</v>
      </c>
      <c r="K26" s="2" t="str">
        <f>IFERROR(__xludf.DUMMYFUNCTION("""COMPUTED_VALUE"""),"Dòng V1")</f>
        <v>Dòng V1</v>
      </c>
      <c r="L26" s="2" t="str">
        <f>IFERROR(__xludf.DUMMYFUNCTION("""COMPUTED_VALUE"""),"Nước vàng")</f>
        <v>Nước vàng</v>
      </c>
      <c r="M26" s="2" t="str">
        <f>IFERROR(__xludf.DUMMYFUNCTION("""COMPUTED_VALUE"""),"Chai")</f>
        <v>Chai</v>
      </c>
      <c r="N26" s="142">
        <f>IFERROR(__xludf.DUMMYFUNCTION("""COMPUTED_VALUE"""),40.0)</f>
        <v>40</v>
      </c>
      <c r="O26" s="142">
        <f>IFERROR(__xludf.DUMMYFUNCTION("""COMPUTED_VALUE"""),20.0)</f>
        <v>20</v>
      </c>
      <c r="P26" s="142">
        <f>IFERROR(__xludf.DUMMYFUNCTION("""COMPUTED_VALUE"""),800.0)</f>
        <v>800</v>
      </c>
      <c r="Q26" s="143">
        <f>IFERROR(__xludf.DUMMYFUNCTION("""COMPUTED_VALUE"""),46176.0)</f>
        <v>46176</v>
      </c>
      <c r="R26" s="2"/>
      <c r="S26" s="142" t="str">
        <f>IFERROR(__xludf.DUMMYFUNCTION("""COMPUTED_VALUE"""),"lấy chẳn thùng
chốt màu vàng 27/5/2026")</f>
        <v>lấy chẳn thùng
chốt màu vàng 27/5/2026</v>
      </c>
      <c r="T26" s="2"/>
      <c r="U26" s="2"/>
      <c r="V26" s="2"/>
      <c r="W26" s="2" t="str">
        <f>IFERROR(__xludf.DUMMYFUNCTION("""COMPUTED_VALUE"""),"CTY R3 - Giá bán 35.000,00 đ - Ngày dự kiến thu tiền:  - Dự kiến ngày ra hết hàng: ")</f>
        <v>CTY R3 - Giá bán 35.000,00 đ - Ngày dự kiến thu tiền:  - Dự kiến ngày ra hết hàng: </v>
      </c>
      <c r="X26" s="2"/>
      <c r="Y26" s="2" t="str">
        <f>IFERROR(__xludf.DUMMYFUNCTION("""COMPUTED_VALUE"""),"ATC")</f>
        <v>ATC</v>
      </c>
      <c r="Z26" s="2" t="str">
        <f>IFERROR(__xludf.DUMMYFUNCTION("""COMPUTED_VALUE"""),"Đã có lịch SX")</f>
        <v>Đã có lịch SX</v>
      </c>
      <c r="AA26" s="2"/>
      <c r="AB26" s="2" t="str">
        <f>IFERROR(__xludf.DUMMYFUNCTION("""COMPUTED_VALUE"""),"24/03 Đợi SX họp lại với KD thống nhât chính sách
09/04 NCC báo hết BTP tạm thời ngưng đơn
27/04 có hỏi lại ncc thì khoảng 10/05 tàu mới về tới cảng, ncc sẽ cập nhật lại thông tin đơn hàng sau
08/05 ncc gủi lại hđ cho chị CHi check
13/05 ncc gửi bảng gốc "&amp;"về cho KD
18/05 ncc báo 
25/05 ncc gửi mẫu về cho KD check mẫu
27/05 chốt sd màu nước vàng")</f>
        <v>24/03 Đợi SX họp lại với KD thống nhât chính sách
09/04 NCC báo hết BTP tạm thời ngưng đơn
27/04 có hỏi lại ncc thì khoảng 10/05 tàu mới về tới cảng, ncc sẽ cập nhật lại thông tin đơn hàng sau
08/05 ncc gủi lại hđ cho chị CHi check
13/05 ncc gửi bảng gốc về cho KD
18/05 ncc báo 
25/05 ncc gửi mẫu về cho KD check mẫu
27/05 chốt sd màu nước vàng</v>
      </c>
      <c r="AC26" s="146">
        <f>IFERROR(__xludf.DUMMYFUNCTION("""COMPUTED_VALUE"""),800.0)</f>
        <v>800</v>
      </c>
      <c r="AD26" s="2"/>
      <c r="AE26" s="2" t="str">
        <f>IFERROR(__xludf.DUMMYFUNCTION("""COMPUTED_VALUE"""),"dự kiến 6/6/2026")</f>
        <v>dự kiến 6/6/2026</v>
      </c>
      <c r="AF26" s="146" t="str">
        <f>IFERROR(__xludf.DUMMYFUNCTION("""COMPUTED_VALUE"""),"")</f>
        <v/>
      </c>
      <c r="AG26" s="2"/>
      <c r="AH26" s="2"/>
      <c r="AI26" s="2"/>
      <c r="AJ26" s="2"/>
      <c r="AK26" s="2"/>
      <c r="AL26" s="2"/>
      <c r="AM26" s="2"/>
      <c r="AN26" s="2"/>
      <c r="AO26" s="2"/>
      <c r="AP26" s="2"/>
      <c r="AQ26" s="2"/>
      <c r="AR26" s="2"/>
      <c r="AS26" s="2"/>
      <c r="AT26" s="2"/>
      <c r="AU26" s="2"/>
      <c r="AV26" s="2"/>
      <c r="AW26" s="2"/>
      <c r="AX26" s="2"/>
      <c r="AY26" s="2"/>
      <c r="AZ26" s="2"/>
      <c r="BA26" s="2" t="str">
        <f>IFERROR(__xludf.DUMMYFUNCTION("""COMPUTED_VALUE"""),"Đủ điều kiện")</f>
        <v>Đủ điều kiện</v>
      </c>
      <c r="BB26" s="2" t="str">
        <f>IFERROR(__xludf.DUMMYFUNCTION("""COMPUTED_VALUE"""),"Duyệt")</f>
        <v>Duyệt</v>
      </c>
      <c r="BC26" s="2"/>
      <c r="BD26" s="2" t="str">
        <f>IFERROR(__xludf.DUMMYFUNCTION("""COMPUTED_VALUE"""),"Duyệt")</f>
        <v>Duyệt</v>
      </c>
      <c r="BE26" s="143">
        <f>IFERROR(__xludf.DUMMYFUNCTION("""COMPUTED_VALUE"""),46121.0)</f>
        <v>46121</v>
      </c>
      <c r="BF26" s="2" t="str">
        <f>IFERROR(__xludf.DUMMYFUNCTION("""COMPUTED_VALUE"""),"Đã xử lí giá")</f>
        <v>Đã xử lí giá</v>
      </c>
      <c r="BG26" s="2" t="str">
        <f>IFERROR(__xludf.DUMMYFUNCTION("""COMPUTED_VALUE"""),"Dòng V1 Nước xanh dương 35,000đ 24/3/2026
Đã thanh toán ATC 8/4/2026")</f>
        <v>Dòng V1 Nước xanh dương 35,000đ 24/3/2026
Đã thanh toán ATC 8/4/2026</v>
      </c>
      <c r="BH26" s="2"/>
      <c r="BI26" s="2"/>
      <c r="BJ26" s="2"/>
      <c r="BK26" s="2"/>
      <c r="BL26" s="2"/>
      <c r="BM26" s="2"/>
      <c r="BN26" s="2"/>
      <c r="BO26" s="2"/>
      <c r="BP26" s="2"/>
      <c r="BQ26" s="2"/>
    </row>
    <row r="27">
      <c r="A27" s="2">
        <f>IFERROR(__xludf.DUMMYFUNCTION("""COMPUTED_VALUE"""),24.0)</f>
        <v>24</v>
      </c>
      <c r="B27" s="2" t="str">
        <f>IFERROR(__xludf.DUMMYFUNCTION("""COMPUTED_VALUE"""),"Hà Long")</f>
        <v>Hà Long</v>
      </c>
      <c r="C27" s="2" t="str">
        <f>IFERROR(__xludf.DUMMYFUNCTION("""COMPUTED_VALUE"""),"ITP24032602")</f>
        <v>ITP24032602</v>
      </c>
      <c r="D27" s="39">
        <f>IFERROR(__xludf.DUMMYFUNCTION("""COMPUTED_VALUE"""),46105.0)</f>
        <v>46105</v>
      </c>
      <c r="E27" s="2"/>
      <c r="F27" s="2" t="str">
        <f>IFERROR(__xludf.DUMMYFUNCTION("""COMPUTED_VALUE"""),"IDA")</f>
        <v>IDA</v>
      </c>
      <c r="G27" s="2" t="str">
        <f>IFERROR(__xludf.DUMMYFUNCTION("""COMPUTED_VALUE"""),"HH4855")</f>
        <v>HH4855</v>
      </c>
      <c r="H27" s="2" t="str">
        <f>IFERROR(__xludf.DUMMYFUNCTION("""COMPUTED_VALUE"""),"IDA Global - I - 4855 - Pim.Pim 75WP (Bột cam) - 100gr - 100")</f>
        <v>IDA Global - I - 4855 - Pim.Pim 75WP (Bột cam) - 100gr - 100</v>
      </c>
      <c r="I27" s="2" t="str">
        <f>IFERROR(__xludf.DUMMYFUNCTION("""COMPUTED_VALUE"""),"Thuốc trừ bệnh")</f>
        <v>Thuốc trừ bệnh</v>
      </c>
      <c r="J27" s="142" t="str">
        <f>IFERROR(__xludf.DUMMYFUNCTION("""COMPUTED_VALUE"""),"Pim.Pim 75WP")</f>
        <v>Pim.Pim 75WP</v>
      </c>
      <c r="K27" s="2" t="str">
        <f>IFERROR(__xludf.DUMMYFUNCTION("""COMPUTED_VALUE"""),"Chung ruột HH4095")</f>
        <v>Chung ruột HH4095</v>
      </c>
      <c r="L27" s="2" t="str">
        <f>IFERROR(__xludf.DUMMYFUNCTION("""COMPUTED_VALUE"""),"Bột cam")</f>
        <v>Bột cam</v>
      </c>
      <c r="M27" s="2" t="str">
        <f>IFERROR(__xludf.DUMMYFUNCTION("""COMPUTED_VALUE"""),"Túi/Gói")</f>
        <v>Túi/Gói</v>
      </c>
      <c r="N27" s="142">
        <f>IFERROR(__xludf.DUMMYFUNCTION("""COMPUTED_VALUE"""),100.0)</f>
        <v>100</v>
      </c>
      <c r="O27" s="142">
        <f>IFERROR(__xludf.DUMMYFUNCTION("""COMPUTED_VALUE"""),20.0)</f>
        <v>20</v>
      </c>
      <c r="P27" s="142">
        <f>IFERROR(__xludf.DUMMYFUNCTION("""COMPUTED_VALUE"""),2000.0)</f>
        <v>2000</v>
      </c>
      <c r="Q27" s="143">
        <f>IFERROR(__xludf.DUMMYFUNCTION("""COMPUTED_VALUE"""),46118.0)</f>
        <v>46118</v>
      </c>
      <c r="R27" s="2" t="str">
        <f>IFERROR(__xludf.DUMMYFUNCTION("""COMPUTED_VALUE"""),"x")</f>
        <v>x</v>
      </c>
      <c r="S27" s="142" t="str">
        <f>IFERROR(__xludf.DUMMYFUNCTION("""COMPUTED_VALUE"""),"Đúng lịch nhận, hàng gấp")</f>
        <v>Đúng lịch nhận, hàng gấp</v>
      </c>
      <c r="T27" s="142" t="str">
        <f>IFERROR(__xludf.DUMMYFUNCTION("""COMPUTED_VALUE"""),"x")</f>
        <v>x</v>
      </c>
      <c r="U27" s="142" t="str">
        <f>IFERROR(__xludf.DUMMYFUNCTION("""COMPUTED_VALUE"""),"x")</f>
        <v>x</v>
      </c>
      <c r="V27" s="142">
        <f>IFERROR(__xludf.DUMMYFUNCTION("""COMPUTED_VALUE"""),13.0)</f>
        <v>13</v>
      </c>
      <c r="W27" s="2" t="str">
        <f>IFERROR(__xludf.DUMMYFUNCTION("""COMPUTED_VALUE"""),"x - Giá bán 38600 - Ngày dự kiến thu tiền: x - Dự kiến ngày ra hết hàng: 30 ngày")</f>
        <v>x - Giá bán 38600 - Ngày dự kiến thu tiền: x - Dự kiến ngày ra hết hàng: 30 ngày</v>
      </c>
      <c r="X27" s="2"/>
      <c r="Y27" s="2" t="str">
        <f>IFERROR(__xludf.DUMMYFUNCTION("""COMPUTED_VALUE"""),"Hà Long")</f>
        <v>Hà Long</v>
      </c>
      <c r="Z27" s="2" t="str">
        <f>IFERROR(__xludf.DUMMYFUNCTION("""COMPUTED_VALUE"""),"Chưa có lịch SX")</f>
        <v>Chưa có lịch SX</v>
      </c>
      <c r="AA27" s="2"/>
      <c r="AB27" s="2" t="str">
        <f>IFERROR(__xludf.DUMMYFUNCTION("""COMPUTED_VALUE"""),"Thiếu túi, Thiếu BTP
--&gt; Túi về 24/03, thiếu BTP
15/04 KD yc báo HL tạm ngưng đơn đợi cập nhật lại giá
05/05 HL vẫn chưa báo lại giá")</f>
        <v>Thiếu túi, Thiếu BTP
--&gt; Túi về 24/03, thiếu BTP
15/04 KD yc báo HL tạm ngưng đơn đợi cập nhật lại giá
05/05 HL vẫn chưa báo lại giá</v>
      </c>
      <c r="AC27" s="146">
        <f>IFERROR(__xludf.DUMMYFUNCTION("""COMPUTED_VALUE"""),2000.0)</f>
        <v>2000</v>
      </c>
      <c r="AD27" s="2"/>
      <c r="AE27" s="143" t="str">
        <f>IFERROR(__xludf.DUMMYFUNCTION("""COMPUTED_VALUE"""),"Chưa chốt lịch")</f>
        <v>Chưa chốt lịch</v>
      </c>
      <c r="AF27" s="146" t="str">
        <f>IFERROR(__xludf.DUMMYFUNCTION("""COMPUTED_VALUE"""),"")</f>
        <v/>
      </c>
      <c r="AG27" s="2"/>
      <c r="AH27" s="2"/>
      <c r="AI27" s="2"/>
      <c r="AJ27" s="2"/>
      <c r="AK27" s="2"/>
      <c r="AL27" s="2"/>
      <c r="AM27" s="2"/>
      <c r="AN27" s="2"/>
      <c r="AO27" s="2"/>
      <c r="AP27" s="2"/>
      <c r="AQ27" s="2"/>
      <c r="AR27" s="2"/>
      <c r="AS27" s="2"/>
      <c r="AT27" s="2"/>
      <c r="AU27" s="2"/>
      <c r="AV27" s="2"/>
      <c r="AW27" s="2"/>
      <c r="AX27" s="2"/>
      <c r="AY27" s="2"/>
      <c r="AZ27" s="2"/>
      <c r="BA27" s="2" t="str">
        <f>IFERROR(__xludf.DUMMYFUNCTION("""COMPUTED_VALUE"""),"Đủ điều kiện")</f>
        <v>Đủ điều kiện</v>
      </c>
      <c r="BB27" s="2" t="str">
        <f>IFERROR(__xludf.DUMMYFUNCTION("""COMPUTED_VALUE"""),"Duyệt")</f>
        <v>Duyệt</v>
      </c>
      <c r="BC27" s="143">
        <f>IFERROR(__xludf.DUMMYFUNCTION("""COMPUTED_VALUE"""),46109.0)</f>
        <v>46109</v>
      </c>
      <c r="BD27" s="2" t="str">
        <f>IFERROR(__xludf.DUMMYFUNCTION("""COMPUTED_VALUE"""),"Duyệt")</f>
        <v>Duyệt</v>
      </c>
      <c r="BE27" s="143">
        <f>IFERROR(__xludf.DUMMYFUNCTION("""COMPUTED_VALUE"""),46109.0)</f>
        <v>46109</v>
      </c>
      <c r="BF27" s="2" t="str">
        <f>IFERROR(__xludf.DUMMYFUNCTION("""COMPUTED_VALUE"""),"Đã xử lí giá")</f>
        <v>Đã xử lí giá</v>
      </c>
      <c r="BG27" s="2" t="str">
        <f>IFERROR(__xludf.DUMMYFUNCTION("""COMPUTED_VALUE"""),"Chung ruột HH4095 Bột cam 38,600đ 26/3/2026")</f>
        <v>Chung ruột HH4095 Bột cam 38,600đ 26/3/2026</v>
      </c>
      <c r="BH27" s="2"/>
      <c r="BI27" s="2"/>
      <c r="BJ27" s="2"/>
      <c r="BK27" s="2"/>
      <c r="BL27" s="2"/>
      <c r="BM27" s="2"/>
      <c r="BN27" s="2"/>
      <c r="BO27" s="2"/>
      <c r="BP27" s="2"/>
      <c r="BQ27" s="2"/>
    </row>
    <row r="28">
      <c r="A28" s="2">
        <f>IFERROR(__xludf.DUMMYFUNCTION("""COMPUTED_VALUE"""),25.0)</f>
        <v>25</v>
      </c>
      <c r="B28" s="2" t="str">
        <f>IFERROR(__xludf.DUMMYFUNCTION("""COMPUTED_VALUE"""),"Hà Long")</f>
        <v>Hà Long</v>
      </c>
      <c r="C28" s="2" t="str">
        <f>IFERROR(__xludf.DUMMYFUNCTION("""COMPUTED_VALUE"""),"ITP02042601")</f>
        <v>ITP02042601</v>
      </c>
      <c r="D28" s="39">
        <f>IFERROR(__xludf.DUMMYFUNCTION("""COMPUTED_VALUE"""),46114.0)</f>
        <v>46114</v>
      </c>
      <c r="E28" s="2"/>
      <c r="F28" s="2" t="str">
        <f>IFERROR(__xludf.DUMMYFUNCTION("""COMPUTED_VALUE"""),"IDA")</f>
        <v>IDA</v>
      </c>
      <c r="G28" s="2" t="str">
        <f>IFERROR(__xludf.DUMMYFUNCTION("""COMPUTED_VALUE"""),"HH4762")</f>
        <v>HH4762</v>
      </c>
      <c r="H28" s="2" t="str">
        <f>IFERROR(__xludf.DUMMYFUNCTION("""COMPUTED_VALUE"""),"IDA Global - I - 4762 - FORTAZEB 72WP (Bột xanh) - 1kg - 20")</f>
        <v>IDA Global - I - 4762 - FORTAZEB 72WP (Bột xanh) - 1kg - 20</v>
      </c>
      <c r="I28" s="2" t="str">
        <f>IFERROR(__xludf.DUMMYFUNCTION("""COMPUTED_VALUE"""),"Thuốc trừ bệnh")</f>
        <v>Thuốc trừ bệnh</v>
      </c>
      <c r="J28" s="142" t="str">
        <f>IFERROR(__xludf.DUMMYFUNCTION("""COMPUTED_VALUE"""),"FORTAZEB 72WP")</f>
        <v>FORTAZEB 72WP</v>
      </c>
      <c r="K28" s="2" t="str">
        <f>IFERROR(__xludf.DUMMYFUNCTION("""COMPUTED_VALUE"""),"Đóng theo đơn gần nhất")</f>
        <v>Đóng theo đơn gần nhất</v>
      </c>
      <c r="L28" s="2" t="str">
        <f>IFERROR(__xludf.DUMMYFUNCTION("""COMPUTED_VALUE"""),"Bột xanh")</f>
        <v>Bột xanh</v>
      </c>
      <c r="M28" s="2" t="str">
        <f>IFERROR(__xludf.DUMMYFUNCTION("""COMPUTED_VALUE"""),"Túi/Gói")</f>
        <v>Túi/Gói</v>
      </c>
      <c r="N28" s="142">
        <f>IFERROR(__xludf.DUMMYFUNCTION("""COMPUTED_VALUE"""),20.0)</f>
        <v>20</v>
      </c>
      <c r="O28" s="142">
        <f>IFERROR(__xludf.DUMMYFUNCTION("""COMPUTED_VALUE"""),50.0)</f>
        <v>50</v>
      </c>
      <c r="P28" s="142">
        <f>IFERROR(__xludf.DUMMYFUNCTION("""COMPUTED_VALUE"""),1000.0)</f>
        <v>1000</v>
      </c>
      <c r="Q28" s="143">
        <f>IFERROR(__xludf.DUMMYFUNCTION("""COMPUTED_VALUE"""),46126.0)</f>
        <v>46126</v>
      </c>
      <c r="R28" s="2" t="str">
        <f>IFERROR(__xludf.DUMMYFUNCTION("""COMPUTED_VALUE"""),"x")</f>
        <v>x</v>
      </c>
      <c r="S28" s="142" t="str">
        <f>IFERROR(__xludf.DUMMYFUNCTION("""COMPUTED_VALUE"""),"Hàng có sớm nhận sớm - gấp")</f>
        <v>Hàng có sớm nhận sớm - gấp</v>
      </c>
      <c r="T28" s="142" t="str">
        <f>IFERROR(__xludf.DUMMYFUNCTION("""COMPUTED_VALUE"""),"x")</f>
        <v>x</v>
      </c>
      <c r="U28" s="142" t="str">
        <f>IFERROR(__xludf.DUMMYFUNCTION("""COMPUTED_VALUE"""),"x")</f>
        <v>x</v>
      </c>
      <c r="V28" s="142">
        <f>IFERROR(__xludf.DUMMYFUNCTION("""COMPUTED_VALUE"""),12.0)</f>
        <v>12</v>
      </c>
      <c r="W28" s="2" t="str">
        <f>IFERROR(__xludf.DUMMYFUNCTION("""COMPUTED_VALUE"""),"x - Giá bán 230000 - Ngày dự kiến thu tiền: x - Dự kiến ngày ra hết hàng: 30 ngày")</f>
        <v>x - Giá bán 230000 - Ngày dự kiến thu tiền: x - Dự kiến ngày ra hết hàng: 30 ngày</v>
      </c>
      <c r="X28" s="2"/>
      <c r="Y28" s="2" t="str">
        <f>IFERROR(__xludf.DUMMYFUNCTION("""COMPUTED_VALUE"""),"Hà Long")</f>
        <v>Hà Long</v>
      </c>
      <c r="Z28" s="2" t="str">
        <f>IFERROR(__xludf.DUMMYFUNCTION("""COMPUTED_VALUE"""),"Hoàn thành")</f>
        <v>Hoàn thành</v>
      </c>
      <c r="AA28" s="39">
        <f>IFERROR(__xludf.DUMMYFUNCTION("""COMPUTED_VALUE"""),46130.0)</f>
        <v>46130</v>
      </c>
      <c r="AB28" s="2" t="str">
        <f>IFERROR(__xludf.DUMMYFUNCTION("""COMPUTED_VALUE"""),"27/04 Tách đơn do thiếu BTP- đóng trước 701
16/5 HL hết BTP - dự kiến 23/5 về btp
22/5 HL hẹn sẳn khi 05/06
01/06 Kho lên nhận hàng phát hiện rộng thùng")</f>
        <v>27/04 Tách đơn do thiếu BTP- đóng trước 701
16/5 HL hết BTP - dự kiến 23/5 về btp
22/5 HL hẹn sẳn khi 05/06
01/06 Kho lên nhận hàng phát hiện rộng thùng</v>
      </c>
      <c r="AC28" s="146">
        <f>IFERROR(__xludf.DUMMYFUNCTION("""COMPUTED_VALUE"""),1000.0)</f>
        <v>1000</v>
      </c>
      <c r="AD28" s="2"/>
      <c r="AE28" s="143">
        <f>IFERROR(__xludf.DUMMYFUNCTION("""COMPUTED_VALUE"""),46175.0)</f>
        <v>46175</v>
      </c>
      <c r="AF28" s="146" t="str">
        <f>IFERROR(__xludf.DUMMYFUNCTION("""COMPUTED_VALUE"""),"Đủ điều kiện nhận hàng")</f>
        <v>Đủ điều kiện nhận hàng</v>
      </c>
      <c r="AG28" s="143">
        <f>IFERROR(__xludf.DUMMYFUNCTION("""COMPUTED_VALUE"""),46170.0)</f>
        <v>46170</v>
      </c>
      <c r="AH28" s="146" t="str">
        <f>IFERROR(__xludf.DUMMYFUNCTION("""COMPUTED_VALUE"""),"701")</f>
        <v>701</v>
      </c>
      <c r="AI28" s="146" t="str">
        <f>IFERROR(__xludf.DUMMYFUNCTION("""COMPUTED_VALUE"""),"01/06/2026")</f>
        <v>01/06/2026</v>
      </c>
      <c r="AJ28" s="146" t="str">
        <f>IFERROR(__xludf.DUMMYFUNCTION("""COMPUTED_VALUE"""),"300")</f>
        <v>300</v>
      </c>
      <c r="AK28" s="2"/>
      <c r="AL28" s="2"/>
      <c r="AM28" s="142">
        <f>IFERROR(__xludf.DUMMYFUNCTION("""COMPUTED_VALUE"""),1001.0)</f>
        <v>1001</v>
      </c>
      <c r="AN28" s="2"/>
      <c r="AO28" s="2"/>
      <c r="AP28" s="2"/>
      <c r="AQ28" s="2"/>
      <c r="AR28" s="2"/>
      <c r="AS28" s="143">
        <f>IFERROR(__xludf.DUMMYFUNCTION("""COMPUTED_VALUE"""),46174.0)</f>
        <v>46174</v>
      </c>
      <c r="AT28" s="2"/>
      <c r="AU28" s="142">
        <f>IFERROR(__xludf.DUMMYFUNCTION("""COMPUTED_VALUE"""),1001.0)</f>
        <v>1001</v>
      </c>
      <c r="AV28" s="2" t="str">
        <f>IFERROR(__xludf.DUMMYFUNCTION("""COMPUTED_VALUE"""),"03/06/2026 nhận 50th 1c")</f>
        <v>03/06/2026 nhận 50th 1c</v>
      </c>
      <c r="AW28" s="2"/>
      <c r="AX28" s="2"/>
      <c r="AY28" s="2"/>
      <c r="AZ28" s="2"/>
      <c r="BA28" s="2" t="str">
        <f>IFERROR(__xludf.DUMMYFUNCTION("""COMPUTED_VALUE"""),"Không đủ điều kiện")</f>
        <v>Không đủ điều kiện</v>
      </c>
      <c r="BB28" s="2" t="str">
        <f>IFERROR(__xludf.DUMMYFUNCTION("""COMPUTED_VALUE"""),"Duyệt")</f>
        <v>Duyệt</v>
      </c>
      <c r="BC28" s="143">
        <f>IFERROR(__xludf.DUMMYFUNCTION("""COMPUTED_VALUE"""),46115.0)</f>
        <v>46115</v>
      </c>
      <c r="BD28" s="2" t="str">
        <f>IFERROR(__xludf.DUMMYFUNCTION("""COMPUTED_VALUE"""),"Duyệt")</f>
        <v>Duyệt</v>
      </c>
      <c r="BE28" s="143">
        <f>IFERROR(__xludf.DUMMYFUNCTION("""COMPUTED_VALUE"""),46115.0)</f>
        <v>46115</v>
      </c>
      <c r="BF28" s="2" t="str">
        <f>IFERROR(__xludf.DUMMYFUNCTION("""COMPUTED_VALUE"""),"Đã xử lí giá")</f>
        <v>Đã xử lí giá</v>
      </c>
      <c r="BG28" s="2" t="str">
        <f>IFERROR(__xludf.DUMMYFUNCTION("""COMPUTED_VALUE"""),"Bột xanh Đóng theo đơn gần nhất 230,000đ 2/4/2026
KD chấp nhận cho đi đơn 2/4/2026")</f>
        <v>Bột xanh Đóng theo đơn gần nhất 230,000đ 2/4/2026
KD chấp nhận cho đi đơn 2/4/2026</v>
      </c>
      <c r="BH28" s="2"/>
      <c r="BI28" s="2"/>
      <c r="BJ28" s="2"/>
      <c r="BK28" s="2"/>
      <c r="BL28" s="2"/>
      <c r="BM28" s="2"/>
      <c r="BN28" s="2"/>
      <c r="BO28" s="2"/>
      <c r="BP28" s="2"/>
      <c r="BQ28" s="2"/>
    </row>
    <row r="29">
      <c r="A29" s="2">
        <f>IFERROR(__xludf.DUMMYFUNCTION("""COMPUTED_VALUE"""),26.0)</f>
        <v>26</v>
      </c>
      <c r="B29" s="2" t="str">
        <f>IFERROR(__xludf.DUMMYFUNCTION("""COMPUTED_VALUE"""),"Hà Long")</f>
        <v>Hà Long</v>
      </c>
      <c r="C29" s="2" t="str">
        <f>IFERROR(__xludf.DUMMYFUNCTION("""COMPUTED_VALUE"""),"ITP03042606")</f>
        <v>ITP03042606</v>
      </c>
      <c r="D29" s="39">
        <f>IFERROR(__xludf.DUMMYFUNCTION("""COMPUTED_VALUE"""),46115.0)</f>
        <v>46115</v>
      </c>
      <c r="E29" s="2"/>
      <c r="F29" s="2" t="str">
        <f>IFERROR(__xludf.DUMMYFUNCTION("""COMPUTED_VALUE"""),"IDA")</f>
        <v>IDA</v>
      </c>
      <c r="G29" s="2" t="str">
        <f>IFERROR(__xludf.DUMMYFUNCTION("""COMPUTED_VALUE"""),"HH4855")</f>
        <v>HH4855</v>
      </c>
      <c r="H29" s="2" t="str">
        <f>IFERROR(__xludf.DUMMYFUNCTION("""COMPUTED_VALUE"""),"IDA Global - I - 4855 - Pim.Pim 75WP (Bột cam) - 100gr - 100")</f>
        <v>IDA Global - I - 4855 - Pim.Pim 75WP (Bột cam) - 100gr - 100</v>
      </c>
      <c r="I29" s="2" t="str">
        <f>IFERROR(__xludf.DUMMYFUNCTION("""COMPUTED_VALUE"""),"Thuốc trừ bệnh")</f>
        <v>Thuốc trừ bệnh</v>
      </c>
      <c r="J29" s="142" t="str">
        <f>IFERROR(__xludf.DUMMYFUNCTION("""COMPUTED_VALUE"""),"Pim.Pim 75WP")</f>
        <v>Pim.Pim 75WP</v>
      </c>
      <c r="K29" s="2" t="str">
        <f>IFERROR(__xludf.DUMMYFUNCTION("""COMPUTED_VALUE"""),"Đóng theo đơn gần nhất")</f>
        <v>Đóng theo đơn gần nhất</v>
      </c>
      <c r="L29" s="2" t="str">
        <f>IFERROR(__xludf.DUMMYFUNCTION("""COMPUTED_VALUE"""),"Bột cam")</f>
        <v>Bột cam</v>
      </c>
      <c r="M29" s="2" t="str">
        <f>IFERROR(__xludf.DUMMYFUNCTION("""COMPUTED_VALUE"""),"Túi/Gói")</f>
        <v>Túi/Gói</v>
      </c>
      <c r="N29" s="142">
        <f>IFERROR(__xludf.DUMMYFUNCTION("""COMPUTED_VALUE"""),100.0)</f>
        <v>100</v>
      </c>
      <c r="O29" s="142">
        <f>IFERROR(__xludf.DUMMYFUNCTION("""COMPUTED_VALUE"""),50.0)</f>
        <v>50</v>
      </c>
      <c r="P29" s="142">
        <f>IFERROR(__xludf.DUMMYFUNCTION("""COMPUTED_VALUE"""),5000.0)</f>
        <v>5000</v>
      </c>
      <c r="Q29" s="143">
        <f>IFERROR(__xludf.DUMMYFUNCTION("""COMPUTED_VALUE"""),46127.0)</f>
        <v>46127</v>
      </c>
      <c r="R29" s="2" t="str">
        <f>IFERROR(__xludf.DUMMYFUNCTION("""COMPUTED_VALUE"""),"x")</f>
        <v>x</v>
      </c>
      <c r="S29" s="142" t="str">
        <f>IFERROR(__xludf.DUMMYFUNCTION("""COMPUTED_VALUE"""),"x")</f>
        <v>x</v>
      </c>
      <c r="T29" s="142" t="str">
        <f>IFERROR(__xludf.DUMMYFUNCTION("""COMPUTED_VALUE"""),"x")</f>
        <v>x</v>
      </c>
      <c r="U29" s="142" t="str">
        <f>IFERROR(__xludf.DUMMYFUNCTION("""COMPUTED_VALUE"""),"x")</f>
        <v>x</v>
      </c>
      <c r="V29" s="142">
        <f>IFERROR(__xludf.DUMMYFUNCTION("""COMPUTED_VALUE"""),12.0)</f>
        <v>12</v>
      </c>
      <c r="W29" s="2" t="str">
        <f>IFERROR(__xludf.DUMMYFUNCTION("""COMPUTED_VALUE"""),"x - Giá bán 38600 - Ngày dự kiến thu tiền: x - Dự kiến ngày ra hết hàng: 30 ngày")</f>
        <v>x - Giá bán 38600 - Ngày dự kiến thu tiền: x - Dự kiến ngày ra hết hàng: 30 ngày</v>
      </c>
      <c r="X29" s="2"/>
      <c r="Y29" s="2" t="str">
        <f>IFERROR(__xludf.DUMMYFUNCTION("""COMPUTED_VALUE"""),"Hà Long")</f>
        <v>Hà Long</v>
      </c>
      <c r="Z29" s="2" t="str">
        <f>IFERROR(__xludf.DUMMYFUNCTION("""COMPUTED_VALUE"""),"Chưa có lịch SX")</f>
        <v>Chưa có lịch SX</v>
      </c>
      <c r="AA29" s="2"/>
      <c r="AB29" s="2" t="str">
        <f>IFERROR(__xludf.DUMMYFUNCTION("""COMPUTED_VALUE"""),"15/04 KD yc báo HL tạm ngưng đơn đợi cập nhật lại giá
05/05 HL vẫn chưa báo lại giá")</f>
        <v>15/04 KD yc báo HL tạm ngưng đơn đợi cập nhật lại giá
05/05 HL vẫn chưa báo lại giá</v>
      </c>
      <c r="AC29" s="146">
        <f>IFERROR(__xludf.DUMMYFUNCTION("""COMPUTED_VALUE"""),5000.0)</f>
        <v>5000</v>
      </c>
      <c r="AD29" s="2"/>
      <c r="AE29" s="143" t="str">
        <f>IFERROR(__xludf.DUMMYFUNCTION("""COMPUTED_VALUE"""),"Chưa chốt lịch")</f>
        <v>Chưa chốt lịch</v>
      </c>
      <c r="AF29" s="146" t="str">
        <f>IFERROR(__xludf.DUMMYFUNCTION("""COMPUTED_VALUE"""),"")</f>
        <v/>
      </c>
      <c r="AG29" s="2"/>
      <c r="AH29" s="2"/>
      <c r="AI29" s="2"/>
      <c r="AJ29" s="2"/>
      <c r="AK29" s="2"/>
      <c r="AL29" s="2"/>
      <c r="AM29" s="2"/>
      <c r="AN29" s="2"/>
      <c r="AO29" s="2"/>
      <c r="AP29" s="2"/>
      <c r="AQ29" s="2"/>
      <c r="AR29" s="2"/>
      <c r="AS29" s="2"/>
      <c r="AT29" s="2"/>
      <c r="AU29" s="2"/>
      <c r="AV29" s="2"/>
      <c r="AW29" s="2"/>
      <c r="AX29" s="2"/>
      <c r="AY29" s="2"/>
      <c r="AZ29" s="2"/>
      <c r="BA29" s="2" t="str">
        <f>IFERROR(__xludf.DUMMYFUNCTION("""COMPUTED_VALUE"""),"Đủ điều kiện")</f>
        <v>Đủ điều kiện</v>
      </c>
      <c r="BB29" s="2" t="str">
        <f>IFERROR(__xludf.DUMMYFUNCTION("""COMPUTED_VALUE"""),"Duyệt")</f>
        <v>Duyệt</v>
      </c>
      <c r="BC29" s="143">
        <f>IFERROR(__xludf.DUMMYFUNCTION("""COMPUTED_VALUE"""),46126.0)</f>
        <v>46126</v>
      </c>
      <c r="BD29" s="2" t="str">
        <f>IFERROR(__xludf.DUMMYFUNCTION("""COMPUTED_VALUE"""),"Duyệt")</f>
        <v>Duyệt</v>
      </c>
      <c r="BE29" s="143">
        <f>IFERROR(__xludf.DUMMYFUNCTION("""COMPUTED_VALUE"""),46116.0)</f>
        <v>46116</v>
      </c>
      <c r="BF29" s="2" t="str">
        <f>IFERROR(__xludf.DUMMYFUNCTION("""COMPUTED_VALUE"""),"Đã xử lí giá")</f>
        <v>Đã xử lí giá</v>
      </c>
      <c r="BG29" s="2" t="str">
        <f>IFERROR(__xludf.DUMMYFUNCTION("""COMPUTED_VALUE"""),"Đóng theo đơn gần nhất Bột cam 38,600đ 3/4/2026")</f>
        <v>Đóng theo đơn gần nhất Bột cam 38,600đ 3/4/2026</v>
      </c>
      <c r="BH29" s="2"/>
      <c r="BI29" s="2"/>
      <c r="BJ29" s="2"/>
      <c r="BK29" s="2"/>
      <c r="BL29" s="2"/>
      <c r="BM29" s="2"/>
      <c r="BN29" s="2"/>
      <c r="BO29" s="2"/>
      <c r="BP29" s="2"/>
      <c r="BQ29" s="2"/>
    </row>
    <row r="30">
      <c r="A30" s="2">
        <f>IFERROR(__xludf.DUMMYFUNCTION("""COMPUTED_VALUE"""),27.0)</f>
        <v>27</v>
      </c>
      <c r="B30" s="2" t="str">
        <f>IFERROR(__xludf.DUMMYFUNCTION("""COMPUTED_VALUE"""),"Dego Cần Thơ")</f>
        <v>Dego Cần Thơ</v>
      </c>
      <c r="C30" s="2" t="str">
        <f>IFERROR(__xludf.DUMMYFUNCTION("""COMPUTED_VALUE"""),"ATP04042606")</f>
        <v>ATP04042606</v>
      </c>
      <c r="D30" s="39">
        <f>IFERROR(__xludf.DUMMYFUNCTION("""COMPUTED_VALUE"""),46116.0)</f>
        <v>46116</v>
      </c>
      <c r="E30" s="2" t="str">
        <f>IFERROR(__xludf.DUMMYFUNCTION("""COMPUTED_VALUE"""),"Đã duyệt")</f>
        <v>Đã duyệt</v>
      </c>
      <c r="F30" s="2" t="str">
        <f>IFERROR(__xludf.DUMMYFUNCTION("""COMPUTED_VALUE"""),"ABA")</f>
        <v>ABA</v>
      </c>
      <c r="G30" s="2" t="str">
        <f>IFERROR(__xludf.DUMMYFUNCTION("""COMPUTED_VALUE"""),"HH4911")</f>
        <v>HH4911</v>
      </c>
      <c r="H30" s="2" t="str">
        <f>IFERROR(__xludf.DUMMYFUNCTION("""COMPUTED_VALUE"""),"GC - V - 4911 - WINDY ALS - 10-60-10 (Bột màu trắng) - 500gr - 24")</f>
        <v>GC - V - 4911 - WINDY ALS - 10-60-10 (Bột màu trắng) - 500gr - 24</v>
      </c>
      <c r="I30" s="2" t="str">
        <f>IFERROR(__xludf.DUMMYFUNCTION("""COMPUTED_VALUE"""),"Phân bón")</f>
        <v>Phân bón</v>
      </c>
      <c r="J30" s="142" t="str">
        <f>IFERROR(__xludf.DUMMYFUNCTION("""COMPUTED_VALUE"""),"Hỗn Hợp NPK NPK 10-60-10 NNV")</f>
        <v>Hỗn Hợp NPK NPK 10-60-10 NNV</v>
      </c>
      <c r="K30" s="2" t="str">
        <f>IFERROR(__xludf.DUMMYFUNCTION("""COMPUTED_VALUE"""),"A01160326")</f>
        <v>A01160326</v>
      </c>
      <c r="L30" s="2" t="str">
        <f>IFERROR(__xludf.DUMMYFUNCTION("""COMPUTED_VALUE"""),"Bột trắng")</f>
        <v>Bột trắng</v>
      </c>
      <c r="M30" s="2" t="str">
        <f>IFERROR(__xludf.DUMMYFUNCTION("""COMPUTED_VALUE"""),"Lon")</f>
        <v>Lon</v>
      </c>
      <c r="N30" s="142">
        <f>IFERROR(__xludf.DUMMYFUNCTION("""COMPUTED_VALUE"""),24.0)</f>
        <v>24</v>
      </c>
      <c r="O30" s="142">
        <f>IFERROR(__xludf.DUMMYFUNCTION("""COMPUTED_VALUE"""),41.0)</f>
        <v>41</v>
      </c>
      <c r="P30" s="142">
        <f>IFERROR(__xludf.DUMMYFUNCTION("""COMPUTED_VALUE"""),984.0)</f>
        <v>984</v>
      </c>
      <c r="Q30" s="143">
        <f>IFERROR(__xludf.DUMMYFUNCTION("""COMPUTED_VALUE"""),46153.0)</f>
        <v>46153</v>
      </c>
      <c r="R30" s="2"/>
      <c r="S30" s="142" t="str">
        <f>IFERROR(__xludf.DUMMYFUNCTION("""COMPUTED_VALUE"""),"lấy chẳn thùng
41 thùng tròn quy cách 24 lon")</f>
        <v>lấy chẳn thùng
41 thùng tròn quy cách 24 lon</v>
      </c>
      <c r="T30" s="2"/>
      <c r="U30" s="2"/>
      <c r="V30" s="2"/>
      <c r="W30" s="2" t="str">
        <f>IFERROR(__xludf.DUMMYFUNCTION("""COMPUTED_VALUE"""),"WINDY - Giá bán 39.500,00 đ - Ngày dự kiến thu tiền:  - Dự kiến ngày ra hết hàng: ")</f>
        <v>WINDY - Giá bán 39.500,00 đ - Ngày dự kiến thu tiền:  - Dự kiến ngày ra hết hàng: </v>
      </c>
      <c r="X30" s="2"/>
      <c r="Y30" s="2" t="str">
        <f>IFERROR(__xludf.DUMMYFUNCTION("""COMPUTED_VALUE"""),"Dego Cần Thơ")</f>
        <v>Dego Cần Thơ</v>
      </c>
      <c r="Z30" s="2" t="str">
        <f>IFERROR(__xludf.DUMMYFUNCTION("""COMPUTED_VALUE"""),"Hàng sẵn kho")</f>
        <v>Hàng sẵn kho</v>
      </c>
      <c r="AA30" s="2"/>
      <c r="AB30" s="2" t="str">
        <f>IFERROR(__xludf.DUMMYFUNCTION("""COMPUTED_VALUE"""),"chưa chốt vtbb (chưa chọn được mẫu lon)
đã chốt vt 14/04
điều chỉnh lại dùng thùng 274, chờ tk cập nhật lại mockup
ngày 8/5 giao lon")</f>
        <v>chưa chốt vtbb (chưa chọn được mẫu lon)
đã chốt vt 14/04
điều chỉnh lại dùng thùng 274, chờ tk cập nhật lại mockup
ngày 8/5 giao lon</v>
      </c>
      <c r="AC30" s="2"/>
      <c r="AD30" s="146">
        <f>IFERROR(__xludf.DUMMYFUNCTION("""COMPUTED_VALUE"""),937.0)</f>
        <v>937</v>
      </c>
      <c r="AE30" s="2" t="str">
        <f>IFERROR(__xludf.DUMMYFUNCTION("""COMPUTED_VALUE"""),"đã bàn giao cho nhà máy 23/05")</f>
        <v>đã bàn giao cho nhà máy 23/05</v>
      </c>
      <c r="AF30" s="146" t="str">
        <f>IFERROR(__xludf.DUMMYFUNCTION("""COMPUTED_VALUE"""),"ATP04042606")</f>
        <v>ATP04042606</v>
      </c>
      <c r="AG30" s="143">
        <f>IFERROR(__xludf.DUMMYFUNCTION("""COMPUTED_VALUE"""),46155.0)</f>
        <v>46155</v>
      </c>
      <c r="AH30" s="146">
        <f>IFERROR(__xludf.DUMMYFUNCTION("""COMPUTED_VALUE"""),937.0)</f>
        <v>937</v>
      </c>
      <c r="AI30" s="2"/>
      <c r="AJ30" s="2"/>
      <c r="AK30" s="2"/>
      <c r="AL30" s="2"/>
      <c r="AM30" s="142">
        <f>IFERROR(__xludf.DUMMYFUNCTION("""COMPUTED_VALUE"""),46.0)</f>
        <v>46</v>
      </c>
      <c r="AN30" s="2"/>
      <c r="AO30" s="2"/>
      <c r="AP30" s="2"/>
      <c r="AQ30" s="2"/>
      <c r="AR30" s="2" t="str">
        <f>IFERROR(__xludf.DUMMYFUNCTION("""COMPUTED_VALUE"""),"040426")</f>
        <v>040426</v>
      </c>
      <c r="AS30" s="143">
        <f>IFERROR(__xludf.DUMMYFUNCTION("""COMPUTED_VALUE"""),46153.0)</f>
        <v>46153</v>
      </c>
      <c r="AT30" s="2"/>
      <c r="AU30" s="142">
        <f>IFERROR(__xludf.DUMMYFUNCTION("""COMPUTED_VALUE"""),888.0)</f>
        <v>888</v>
      </c>
      <c r="AV30" s="2" t="str">
        <f>IFERROR(__xludf.DUMMYFUNCTION("""COMPUTED_VALUE"""),"14/05/2026 đã giao 37t")</f>
        <v>14/05/2026 đã giao 37t</v>
      </c>
      <c r="AW30" s="2"/>
      <c r="AX30" s="2"/>
      <c r="AY30" s="2"/>
      <c r="AZ30" s="2" t="str">
        <f>IFERROR(__xludf.DUMMYFUNCTION("""COMPUTED_VALUE"""),"#REF!")</f>
        <v>#REF!</v>
      </c>
      <c r="BA30" s="2" t="str">
        <f>IFERROR(__xludf.DUMMYFUNCTION("""COMPUTED_VALUE"""),"Đủ điều kiện")</f>
        <v>Đủ điều kiện</v>
      </c>
      <c r="BB30" s="2" t="str">
        <f>IFERROR(__xludf.DUMMYFUNCTION("""COMPUTED_VALUE"""),"Duyệt")</f>
        <v>Duyệt</v>
      </c>
      <c r="BC30" s="2"/>
      <c r="BD30" s="2" t="str">
        <f>IFERROR(__xludf.DUMMYFUNCTION("""COMPUTED_VALUE"""),"Duyệt")</f>
        <v>Duyệt</v>
      </c>
      <c r="BE30" s="2" t="str">
        <f>IFERROR(__xludf.DUMMYFUNCTION("""COMPUTED_VALUE"""),"xlg 06/04
18/4")</f>
        <v>xlg 06/04
18/4</v>
      </c>
      <c r="BF30" s="2" t="str">
        <f>IFERROR(__xludf.DUMMYFUNCTION("""COMPUTED_VALUE"""),"Đã xử lí giá")</f>
        <v>Đã xử lí giá</v>
      </c>
      <c r="BG30" s="2" t="str">
        <f>IFERROR(__xludf.DUMMYFUNCTION("""COMPUTED_VALUE"""),"A01160326 Bột trắng KD chưa câp nhật giá bán 4/4/2026")</f>
        <v>A01160326 Bột trắng KD chưa câp nhật giá bán 4/4/2026</v>
      </c>
      <c r="BH30" s="2"/>
      <c r="BI30" s="2"/>
      <c r="BJ30" s="2"/>
      <c r="BK30" s="2"/>
      <c r="BL30" s="2"/>
      <c r="BM30" s="2"/>
      <c r="BN30" s="2"/>
      <c r="BO30" s="2"/>
      <c r="BP30" s="2"/>
      <c r="BQ30" s="2"/>
    </row>
    <row r="31">
      <c r="A31" s="2">
        <f>IFERROR(__xludf.DUMMYFUNCTION("""COMPUTED_VALUE"""),28.0)</f>
        <v>28</v>
      </c>
      <c r="B31" s="2" t="str">
        <f>IFERROR(__xludf.DUMMYFUNCTION("""COMPUTED_VALUE"""),"Dego Cần Thơ")</f>
        <v>Dego Cần Thơ</v>
      </c>
      <c r="C31" s="2" t="str">
        <f>IFERROR(__xludf.DUMMYFUNCTION("""COMPUTED_VALUE"""),"ATP09042601")</f>
        <v>ATP09042601</v>
      </c>
      <c r="D31" s="39">
        <f>IFERROR(__xludf.DUMMYFUNCTION("""COMPUTED_VALUE"""),46121.0)</f>
        <v>46121</v>
      </c>
      <c r="E31" s="2" t="str">
        <f>IFERROR(__xludf.DUMMYFUNCTION("""COMPUTED_VALUE"""),"Đã duyệt")</f>
        <v>Đã duyệt</v>
      </c>
      <c r="F31" s="2" t="str">
        <f>IFERROR(__xludf.DUMMYFUNCTION("""COMPUTED_VALUE"""),"ABA")</f>
        <v>ABA</v>
      </c>
      <c r="G31" s="2" t="str">
        <f>IFERROR(__xludf.DUMMYFUNCTION("""COMPUTED_VALUE"""),"HH4470")</f>
        <v>HH4470</v>
      </c>
      <c r="H31" s="2" t="str">
        <f>IFERROR(__xludf.DUMMYFUNCTION("""COMPUTED_VALUE"""),"GC - IV - 4470 - CTY R3 - R3 TANK  (Nước nâu vàng) - 300ml - 40")</f>
        <v>GC - IV - 4470 - CTY R3 - R3 TANK  (Nước nâu vàng) - 300ml - 40</v>
      </c>
      <c r="I31" s="2" t="str">
        <f>IFERROR(__xludf.DUMMYFUNCTION("""COMPUTED_VALUE"""),"Phân bón")</f>
        <v>Phân bón</v>
      </c>
      <c r="J31" s="142" t="str">
        <f>IFERROR(__xludf.DUMMYFUNCTION("""COMPUTED_VALUE"""),"vi lượng G.A 05")</f>
        <v>vi lượng G.A 05</v>
      </c>
      <c r="K31" s="2" t="str">
        <f>IFERROR(__xludf.DUMMYFUNCTION("""COMPUTED_VALUE"""),"A02200825 - 01")</f>
        <v>A02200825 - 01</v>
      </c>
      <c r="L31" s="2" t="str">
        <f>IFERROR(__xludf.DUMMYFUNCTION("""COMPUTED_VALUE"""),"Nước nâu vàng")</f>
        <v>Nước nâu vàng</v>
      </c>
      <c r="M31" s="2" t="str">
        <f>IFERROR(__xludf.DUMMYFUNCTION("""COMPUTED_VALUE"""),"Chai")</f>
        <v>Chai</v>
      </c>
      <c r="N31" s="142">
        <f>IFERROR(__xludf.DUMMYFUNCTION("""COMPUTED_VALUE"""),40.0)</f>
        <v>40</v>
      </c>
      <c r="O31" s="142">
        <f>IFERROR(__xludf.DUMMYFUNCTION("""COMPUTED_VALUE"""),50.0)</f>
        <v>50</v>
      </c>
      <c r="P31" s="142">
        <f>IFERROR(__xludf.DUMMYFUNCTION("""COMPUTED_VALUE"""),2000.0)</f>
        <v>2000</v>
      </c>
      <c r="Q31" s="143">
        <f>IFERROR(__xludf.DUMMYFUNCTION("""COMPUTED_VALUE"""),46134.0)</f>
        <v>46134</v>
      </c>
      <c r="R31" s="2"/>
      <c r="S31" s="142" t="str">
        <f>IFERROR(__xludf.DUMMYFUNCTION("""COMPUTED_VALUE"""),"lấy chẳn thùng")</f>
        <v>lấy chẳn thùng</v>
      </c>
      <c r="T31" s="2"/>
      <c r="U31" s="2"/>
      <c r="V31" s="2"/>
      <c r="W31" s="2" t="str">
        <f>IFERROR(__xludf.DUMMYFUNCTION("""COMPUTED_VALUE"""),"CTY R3 - Giá bán 35.200,00 đ - Ngày dự kiến thu tiền:  - Dự kiến ngày ra hết hàng: ")</f>
        <v>CTY R3 - Giá bán 35.200,00 đ - Ngày dự kiến thu tiền:  - Dự kiến ngày ra hết hàng: </v>
      </c>
      <c r="X31" s="2"/>
      <c r="Y31" s="2" t="str">
        <f>IFERROR(__xludf.DUMMYFUNCTION("""COMPUTED_VALUE"""),"Dego Cần Thơ")</f>
        <v>Dego Cần Thơ</v>
      </c>
      <c r="Z31" s="2" t="str">
        <f>IFERROR(__xludf.DUMMYFUNCTION("""COMPUTED_VALUE"""),"Chờ lấy hoá đơn")</f>
        <v>Chờ lấy hoá đơn</v>
      </c>
      <c r="AA31" s="2"/>
      <c r="AB31" s="2" t="str">
        <f>IFERROR(__xludf.DUMMYFUNCTION("""COMPUTED_VALUE"""),"đang chờ NL, dự kiến 22/04 về, 
đủ vtbb, dự kiến 9/5 chiết
chưa có hóa đơn 21 thùng +28 chai
đã có hóa đơn 25/05")</f>
        <v>đang chờ NL, dự kiến 22/04 về, 
đủ vtbb, dự kiến 9/5 chiết
chưa có hóa đơn 21 thùng +28 chai
đã có hóa đơn 25/05</v>
      </c>
      <c r="AC31" s="146">
        <f>IFERROR(__xludf.DUMMYFUNCTION("""COMPUTED_VALUE"""),362.0)</f>
        <v>362</v>
      </c>
      <c r="AD31" s="146">
        <f>IFERROR(__xludf.DUMMYFUNCTION("""COMPUTED_VALUE"""),1642.0)</f>
        <v>1642</v>
      </c>
      <c r="AE31" s="2" t="str">
        <f>IFERROR(__xludf.DUMMYFUNCTION("""COMPUTED_VALUE"""),"đã bàn giao cho nhà máy 23/05")</f>
        <v>đã bàn giao cho nhà máy 23/05</v>
      </c>
      <c r="AF31" s="146" t="str">
        <f>IFERROR(__xludf.DUMMYFUNCTION("""COMPUTED_VALUE"""),"ATP09042601")</f>
        <v>ATP09042601</v>
      </c>
      <c r="AG31" s="143">
        <f>IFERROR(__xludf.DUMMYFUNCTION("""COMPUTED_VALUE"""),46156.0)</f>
        <v>46156</v>
      </c>
      <c r="AH31" s="146">
        <f>IFERROR(__xludf.DUMMYFUNCTION("""COMPUTED_VALUE"""),772.0)</f>
        <v>772</v>
      </c>
      <c r="AI31" s="143">
        <f>IFERROR(__xludf.DUMMYFUNCTION("""COMPUTED_VALUE"""),46163.0)</f>
        <v>46163</v>
      </c>
      <c r="AJ31" s="146">
        <f>IFERROR(__xludf.DUMMYFUNCTION("""COMPUTED_VALUE"""),870.0)</f>
        <v>870</v>
      </c>
      <c r="AK31" s="2"/>
      <c r="AL31" s="2"/>
      <c r="AM31" s="142">
        <f>IFERROR(__xludf.DUMMYFUNCTION("""COMPUTED_VALUE"""),840.0)</f>
        <v>840</v>
      </c>
      <c r="AN31" s="2"/>
      <c r="AO31" s="2"/>
      <c r="AP31" s="2"/>
      <c r="AQ31" s="2"/>
      <c r="AR31" s="2" t="str">
        <f>IFERROR(__xludf.DUMMYFUNCTION("""COMPUTED_VALUE"""),"70426
430526 (21 thùng + 28 chai + 2m)")</f>
        <v>70426
430526 (21 thùng + 28 chai + 2m)</v>
      </c>
      <c r="AS31" s="2" t="str">
        <f>IFERROR(__xludf.DUMMYFUNCTION("""COMPUTED_VALUE"""),"14/05/2026
20/05/2026 (21 thùng + 28 chai + 2m)")</f>
        <v>14/05/2026
20/05/2026 (21 thùng + 28 chai + 2m)</v>
      </c>
      <c r="AT31" s="2"/>
      <c r="AU31" s="142">
        <f>IFERROR(__xludf.DUMMYFUNCTION("""COMPUTED_VALUE"""),760.0)</f>
        <v>760</v>
      </c>
      <c r="AV31" s="2" t="str">
        <f>IFERROR(__xludf.DUMMYFUNCTION("""COMPUTED_VALUE"""),"18/05/2026 đã giao 19t")</f>
        <v>18/05/2026 đã giao 19t</v>
      </c>
      <c r="AW31" s="2"/>
      <c r="AX31" s="2"/>
      <c r="AY31" s="2"/>
      <c r="AZ31" s="2" t="str">
        <f>IFERROR(__xludf.DUMMYFUNCTION("""COMPUTED_VALUE"""),"#REF!")</f>
        <v>#REF!</v>
      </c>
      <c r="BA31" s="2" t="str">
        <f>IFERROR(__xludf.DUMMYFUNCTION("""COMPUTED_VALUE"""),"Đủ điều kiện")</f>
        <v>Đủ điều kiện</v>
      </c>
      <c r="BB31" s="2" t="str">
        <f>IFERROR(__xludf.DUMMYFUNCTION("""COMPUTED_VALUE"""),"Duyệt")</f>
        <v>Duyệt</v>
      </c>
      <c r="BC31" s="149">
        <f>IFERROR(__xludf.DUMMYFUNCTION("""COMPUTED_VALUE"""),46121.0)</f>
        <v>46121</v>
      </c>
      <c r="BD31" s="2" t="str">
        <f>IFERROR(__xludf.DUMMYFUNCTION("""COMPUTED_VALUE"""),"Duyệt")</f>
        <v>Duyệt</v>
      </c>
      <c r="BE31" s="2" t="str">
        <f>IFERROR(__xludf.DUMMYFUNCTION("""COMPUTED_VALUE"""),"xlg 10/04
10/04")</f>
        <v>xlg 10/04
10/04</v>
      </c>
      <c r="BF31" s="2" t="str">
        <f>IFERROR(__xludf.DUMMYFUNCTION("""COMPUTED_VALUE"""),"Đã xử lí giá")</f>
        <v>Đã xử lí giá</v>
      </c>
      <c r="BG31" s="2" t="str">
        <f>IFERROR(__xludf.DUMMYFUNCTION("""COMPUTED_VALUE"""),"A02200825 - 01 Nước nâu vàng 35,200đ 9/4/2026")</f>
        <v>A02200825 - 01 Nước nâu vàng 35,200đ 9/4/2026</v>
      </c>
      <c r="BH31" s="2"/>
      <c r="BI31" s="2"/>
      <c r="BJ31" s="2"/>
      <c r="BK31" s="2"/>
      <c r="BL31" s="2"/>
      <c r="BM31" s="2"/>
      <c r="BN31" s="2"/>
      <c r="BO31" s="2"/>
      <c r="BP31" s="2"/>
      <c r="BQ31" s="2"/>
    </row>
    <row r="32">
      <c r="A32" s="2">
        <f>IFERROR(__xludf.DUMMYFUNCTION("""COMPUTED_VALUE"""),29.0)</f>
        <v>29</v>
      </c>
      <c r="B32" s="2" t="str">
        <f>IFERROR(__xludf.DUMMYFUNCTION("""COMPUTED_VALUE"""),"Hà Long")</f>
        <v>Hà Long</v>
      </c>
      <c r="C32" s="2" t="str">
        <f>IFERROR(__xludf.DUMMYFUNCTION("""COMPUTED_VALUE"""),"ATP09042606")</f>
        <v>ATP09042606</v>
      </c>
      <c r="D32" s="39">
        <f>IFERROR(__xludf.DUMMYFUNCTION("""COMPUTED_VALUE"""),46121.0)</f>
        <v>46121</v>
      </c>
      <c r="E32" s="2" t="str">
        <f>IFERROR(__xludf.DUMMYFUNCTION("""COMPUTED_VALUE"""),"Đã duyệt")</f>
        <v>Đã duyệt</v>
      </c>
      <c r="F32" s="2" t="str">
        <f>IFERROR(__xludf.DUMMYFUNCTION("""COMPUTED_VALUE"""),"ABA")</f>
        <v>ABA</v>
      </c>
      <c r="G32" s="2" t="str">
        <f>IFERROR(__xludf.DUMMYFUNCTION("""COMPUTED_VALUE"""),"HH4577")</f>
        <v>HH4577</v>
      </c>
      <c r="H32" s="2" t="str">
        <f>IFERROR(__xludf.DUMMYFUNCTION("""COMPUTED_VALUE"""),"GC - V - 4577 - CTY R3 - ULTRA SHIELD (Nước cam sữa) - 250ml - 40")</f>
        <v>GC - V - 4577 - CTY R3 - ULTRA SHIELD (Nước cam sữa) - 250ml - 40</v>
      </c>
      <c r="I32" s="2" t="str">
        <f>IFERROR(__xludf.DUMMYFUNCTION("""COMPUTED_VALUE"""),"Thuốc trừ bệnh")</f>
        <v>Thuốc trừ bệnh</v>
      </c>
      <c r="J32" s="142" t="str">
        <f>IFERROR(__xludf.DUMMYFUNCTION("""COMPUTED_VALUE"""),"KING-CIDE JAPAN 460SC")</f>
        <v>KING-CIDE JAPAN 460SC</v>
      </c>
      <c r="K32" s="2" t="str">
        <f>IFERROR(__xludf.DUMMYFUNCTION("""COMPUTED_VALUE"""),"Dòng V4")</f>
        <v>Dòng V4</v>
      </c>
      <c r="L32" s="2" t="str">
        <f>IFERROR(__xludf.DUMMYFUNCTION("""COMPUTED_VALUE"""),"Nước cam sữa")</f>
        <v>Nước cam sữa</v>
      </c>
      <c r="M32" s="2" t="str">
        <f>IFERROR(__xludf.DUMMYFUNCTION("""COMPUTED_VALUE"""),"Chai")</f>
        <v>Chai</v>
      </c>
      <c r="N32" s="142">
        <f>IFERROR(__xludf.DUMMYFUNCTION("""COMPUTED_VALUE"""),40.0)</f>
        <v>40</v>
      </c>
      <c r="O32" s="142">
        <f>IFERROR(__xludf.DUMMYFUNCTION("""COMPUTED_VALUE"""),25.0)</f>
        <v>25</v>
      </c>
      <c r="P32" s="142">
        <f>IFERROR(__xludf.DUMMYFUNCTION("""COMPUTED_VALUE"""),1000.0)</f>
        <v>1000</v>
      </c>
      <c r="Q32" s="143">
        <f>IFERROR(__xludf.DUMMYFUNCTION("""COMPUTED_VALUE"""),46134.0)</f>
        <v>46134</v>
      </c>
      <c r="R32" s="2"/>
      <c r="S32" s="142" t="str">
        <f>IFERROR(__xludf.DUMMYFUNCTION("""COMPUTED_VALUE"""),"lấy chẳn thùng")</f>
        <v>lấy chẳn thùng</v>
      </c>
      <c r="T32" s="2"/>
      <c r="U32" s="2"/>
      <c r="V32" s="2"/>
      <c r="W32" s="2" t="str">
        <f>IFERROR(__xludf.DUMMYFUNCTION("""COMPUTED_VALUE"""),"CTY R3 - Giá bán 80.000,00 đ - Ngày dự kiến thu tiền:  - Dự kiến ngày ra hết hàng: ")</f>
        <v>CTY R3 - Giá bán 80.000,00 đ - Ngày dự kiến thu tiền:  - Dự kiến ngày ra hết hàng: </v>
      </c>
      <c r="X32" s="2"/>
      <c r="Y32" s="2" t="str">
        <f>IFERROR(__xludf.DUMMYFUNCTION("""COMPUTED_VALUE"""),"Hà Long")</f>
        <v>Hà Long</v>
      </c>
      <c r="Z32" s="2" t="str">
        <f>IFERROR(__xludf.DUMMYFUNCTION("""COMPUTED_VALUE"""),"Hoàn thành")</f>
        <v>Hoàn thành</v>
      </c>
      <c r="AA32" s="39">
        <f>IFERROR(__xludf.DUMMYFUNCTION("""COMPUTED_VALUE"""),46169.0)</f>
        <v>46169</v>
      </c>
      <c r="AB32" s="2" t="str">
        <f>IFERROR(__xludf.DUMMYFUNCTION("""COMPUTED_VALUE"""),"10/04 Hà Long báo ngưng nhận đơn
16/05 có giá đã gửi đơn
22/05 hết BTP đơi lệnh phối")</f>
        <v>10/04 Hà Long báo ngưng nhận đơn
16/05 có giá đã gửi đơn
22/05 hết BTP đơi lệnh phối</v>
      </c>
      <c r="AC32" s="146">
        <f>IFERROR(__xludf.DUMMYFUNCTION("""COMPUTED_VALUE"""),1000.0)</f>
        <v>1000</v>
      </c>
      <c r="AD32" s="2"/>
      <c r="AE32" s="143">
        <f>IFERROR(__xludf.DUMMYFUNCTION("""COMPUTED_VALUE"""),46174.0)</f>
        <v>46174</v>
      </c>
      <c r="AF32" s="146" t="str">
        <f>IFERROR(__xludf.DUMMYFUNCTION("""COMPUTED_VALUE"""),"Đủ điều kiện nhận hàng")</f>
        <v>Đủ điều kiện nhận hàng</v>
      </c>
      <c r="AG32" s="143">
        <f>IFERROR(__xludf.DUMMYFUNCTION("""COMPUTED_VALUE"""),46174.0)</f>
        <v>46174</v>
      </c>
      <c r="AH32" s="146" t="str">
        <f>IFERROR(__xludf.DUMMYFUNCTION("""COMPUTED_VALUE"""),"1001")</f>
        <v>1001</v>
      </c>
      <c r="AI32" s="2"/>
      <c r="AJ32" s="2"/>
      <c r="AK32" s="2"/>
      <c r="AL32" s="2"/>
      <c r="AM32" s="142">
        <f>IFERROR(__xludf.DUMMYFUNCTION("""COMPUTED_VALUE"""),1001.0)</f>
        <v>1001</v>
      </c>
      <c r="AN32" s="2"/>
      <c r="AO32" s="2"/>
      <c r="AP32" s="2"/>
      <c r="AQ32" s="2"/>
      <c r="AR32" s="2"/>
      <c r="AS32" s="143">
        <f>IFERROR(__xludf.DUMMYFUNCTION("""COMPUTED_VALUE"""),46172.0)</f>
        <v>46172</v>
      </c>
      <c r="AT32" s="2"/>
      <c r="AU32" s="142">
        <f>IFERROR(__xludf.DUMMYFUNCTION("""COMPUTED_VALUE"""),1001.0)</f>
        <v>1001</v>
      </c>
      <c r="AV32" s="2" t="str">
        <f>IFERROR(__xludf.DUMMYFUNCTION("""COMPUTED_VALUE"""),"03/06/2026 nhận 25th 1c")</f>
        <v>03/06/2026 nhận 25th 1c</v>
      </c>
      <c r="AW32" s="2"/>
      <c r="AX32" s="2"/>
      <c r="AY32" s="2"/>
      <c r="AZ32" s="2"/>
      <c r="BA32" s="2" t="str">
        <f>IFERROR(__xludf.DUMMYFUNCTION("""COMPUTED_VALUE"""),"Đủ điều kiện")</f>
        <v>Đủ điều kiện</v>
      </c>
      <c r="BB32" s="2" t="str">
        <f>IFERROR(__xludf.DUMMYFUNCTION("""COMPUTED_VALUE"""),"Duyệt")</f>
        <v>Duyệt</v>
      </c>
      <c r="BC32" s="143">
        <f>IFERROR(__xludf.DUMMYFUNCTION("""COMPUTED_VALUE"""),46121.0)</f>
        <v>46121</v>
      </c>
      <c r="BD32" s="2" t="str">
        <f>IFERROR(__xludf.DUMMYFUNCTION("""COMPUTED_VALUE"""),"Duyệt")</f>
        <v>Duyệt</v>
      </c>
      <c r="BE32" s="143">
        <f>IFERROR(__xludf.DUMMYFUNCTION("""COMPUTED_VALUE"""),46164.0)</f>
        <v>46164</v>
      </c>
      <c r="BF32" s="2" t="str">
        <f>IFERROR(__xludf.DUMMYFUNCTION("""COMPUTED_VALUE"""),"Đã xử lí giá")</f>
        <v>Đã xử lí giá</v>
      </c>
      <c r="BG32" s="2" t="str">
        <f>IFERROR(__xludf.DUMMYFUNCTION("""COMPUTED_VALUE"""),"Dòng V4 Nước cam sữa 80,000đ 9/4/2026
KD chấp nhận giá mới cho đi đơn hàng 16/5/2026")</f>
        <v>Dòng V4 Nước cam sữa 80,000đ 9/4/2026
KD chấp nhận giá mới cho đi đơn hàng 16/5/2026</v>
      </c>
      <c r="BH32" s="2"/>
      <c r="BI32" s="2"/>
      <c r="BJ32" s="2"/>
      <c r="BK32" s="2"/>
      <c r="BL32" s="2"/>
      <c r="BM32" s="2"/>
      <c r="BN32" s="2"/>
      <c r="BO32" s="2"/>
      <c r="BP32" s="2"/>
      <c r="BQ32" s="2"/>
    </row>
    <row r="33">
      <c r="A33" s="2">
        <f>IFERROR(__xludf.DUMMYFUNCTION("""COMPUTED_VALUE"""),30.0)</f>
        <v>30</v>
      </c>
      <c r="B33" s="2" t="str">
        <f>IFERROR(__xludf.DUMMYFUNCTION("""COMPUTED_VALUE"""),"Hà Long")</f>
        <v>Hà Long</v>
      </c>
      <c r="C33" s="2" t="str">
        <f>IFERROR(__xludf.DUMMYFUNCTION("""COMPUTED_VALUE"""),"ITP09042605")</f>
        <v>ITP09042605</v>
      </c>
      <c r="D33" s="39">
        <f>IFERROR(__xludf.DUMMYFUNCTION("""COMPUTED_VALUE"""),46121.0)</f>
        <v>46121</v>
      </c>
      <c r="E33" s="2"/>
      <c r="F33" s="2" t="str">
        <f>IFERROR(__xludf.DUMMYFUNCTION("""COMPUTED_VALUE"""),"IDA")</f>
        <v>IDA</v>
      </c>
      <c r="G33" s="2" t="str">
        <f>IFERROR(__xludf.DUMMYFUNCTION("""COMPUTED_VALUE"""),"HH4762")</f>
        <v>HH4762</v>
      </c>
      <c r="H33" s="2" t="str">
        <f>IFERROR(__xludf.DUMMYFUNCTION("""COMPUTED_VALUE"""),"IDA Global - I - 4762 - FORTAZEB 72WP (Bột xanh) - 1kg - 20")</f>
        <v>IDA Global - I - 4762 - FORTAZEB 72WP (Bột xanh) - 1kg - 20</v>
      </c>
      <c r="I33" s="2" t="str">
        <f>IFERROR(__xludf.DUMMYFUNCTION("""COMPUTED_VALUE"""),"Thuốc trừ bệnh")</f>
        <v>Thuốc trừ bệnh</v>
      </c>
      <c r="J33" s="142" t="str">
        <f>IFERROR(__xludf.DUMMYFUNCTION("""COMPUTED_VALUE"""),"FORTAZEB 72WP")</f>
        <v>FORTAZEB 72WP</v>
      </c>
      <c r="K33" s="2" t="str">
        <f>IFERROR(__xludf.DUMMYFUNCTION("""COMPUTED_VALUE"""),"Đóng theo đơn gần nhất")</f>
        <v>Đóng theo đơn gần nhất</v>
      </c>
      <c r="L33" s="2" t="str">
        <f>IFERROR(__xludf.DUMMYFUNCTION("""COMPUTED_VALUE"""),"Bột xanh")</f>
        <v>Bột xanh</v>
      </c>
      <c r="M33" s="2" t="str">
        <f>IFERROR(__xludf.DUMMYFUNCTION("""COMPUTED_VALUE"""),"Túi/Gói")</f>
        <v>Túi/Gói</v>
      </c>
      <c r="N33" s="142">
        <f>IFERROR(__xludf.DUMMYFUNCTION("""COMPUTED_VALUE"""),20.0)</f>
        <v>20</v>
      </c>
      <c r="O33" s="142">
        <f>IFERROR(__xludf.DUMMYFUNCTION("""COMPUTED_VALUE"""),20.0)</f>
        <v>20</v>
      </c>
      <c r="P33" s="142">
        <f>IFERROR(__xludf.DUMMYFUNCTION("""COMPUTED_VALUE"""),400.0)</f>
        <v>400</v>
      </c>
      <c r="Q33" s="143">
        <f>IFERROR(__xludf.DUMMYFUNCTION("""COMPUTED_VALUE"""),46139.0)</f>
        <v>46139</v>
      </c>
      <c r="R33" s="2" t="str">
        <f>IFERROR(__xludf.DUMMYFUNCTION("""COMPUTED_VALUE"""),"x")</f>
        <v>x</v>
      </c>
      <c r="S33" s="142" t="str">
        <f>IFERROR(__xludf.DUMMYFUNCTION("""COMPUTED_VALUE"""),"x")</f>
        <v>x</v>
      </c>
      <c r="T33" s="142" t="str">
        <f>IFERROR(__xludf.DUMMYFUNCTION("""COMPUTED_VALUE"""),"x")</f>
        <v>x</v>
      </c>
      <c r="U33" s="142" t="str">
        <f>IFERROR(__xludf.DUMMYFUNCTION("""COMPUTED_VALUE"""),"x")</f>
        <v>x</v>
      </c>
      <c r="V33" s="142">
        <f>IFERROR(__xludf.DUMMYFUNCTION("""COMPUTED_VALUE"""),18.0)</f>
        <v>18</v>
      </c>
      <c r="W33" s="2" t="str">
        <f>IFERROR(__xludf.DUMMYFUNCTION("""COMPUTED_VALUE"""),"x - Giá bán 230000 - Ngày dự kiến thu tiền: x - Dự kiến ngày ra hết hàng: 30 ngày")</f>
        <v>x - Giá bán 230000 - Ngày dự kiến thu tiền: x - Dự kiến ngày ra hết hàng: 30 ngày</v>
      </c>
      <c r="X33" s="2"/>
      <c r="Y33" s="2" t="str">
        <f>IFERROR(__xludf.DUMMYFUNCTION("""COMPUTED_VALUE"""),"Hà Long")</f>
        <v>Hà Long</v>
      </c>
      <c r="Z33" s="2" t="str">
        <f>IFERROR(__xludf.DUMMYFUNCTION("""COMPUTED_VALUE"""),"Đã có lịch SX")</f>
        <v>Đã có lịch SX</v>
      </c>
      <c r="AA33" s="39">
        <f>IFERROR(__xludf.DUMMYFUNCTION("""COMPUTED_VALUE"""),46154.0)</f>
        <v>46154</v>
      </c>
      <c r="AB33" s="2" t="str">
        <f>IFERROR(__xludf.DUMMYFUNCTION("""COMPUTED_VALUE"""),"27/04 HL thiếu BTP 
15/05 HL báo dời hẹn sẳn kho 16/05
16/5 HL hết BTP - dự kiến 23/5 về btp
22/5 HL hẹn sẳn khi 05/06
28/5 Thiếu túi- đóng hết túi chẳn thùng
04/06 thiếu túi- 04/06 giao túi")</f>
        <v>27/04 HL thiếu BTP 
15/05 HL báo dời hẹn sẳn kho 16/05
16/5 HL hết BTP - dự kiến 23/5 về btp
22/5 HL hẹn sẳn khi 05/06
28/5 Thiếu túi- đóng hết túi chẳn thùng
04/06 thiếu túi- 04/06 giao túi</v>
      </c>
      <c r="AC33" s="146">
        <f>IFERROR(__xludf.DUMMYFUNCTION("""COMPUTED_VALUE"""),400.0)</f>
        <v>400</v>
      </c>
      <c r="AD33" s="2"/>
      <c r="AE33" s="143">
        <f>IFERROR(__xludf.DUMMYFUNCTION("""COMPUTED_VALUE"""),46178.0)</f>
        <v>46178</v>
      </c>
      <c r="AF33" s="146" t="str">
        <f>IFERROR(__xludf.DUMMYFUNCTION("""COMPUTED_VALUE"""),"")</f>
        <v/>
      </c>
      <c r="AG33" s="2"/>
      <c r="AH33" s="2"/>
      <c r="AI33" s="2"/>
      <c r="AJ33" s="2"/>
      <c r="AK33" s="2"/>
      <c r="AL33" s="2"/>
      <c r="AM33" s="2"/>
      <c r="AN33" s="2"/>
      <c r="AO33" s="2"/>
      <c r="AP33" s="2"/>
      <c r="AQ33" s="2"/>
      <c r="AR33" s="2"/>
      <c r="AS33" s="2"/>
      <c r="AT33" s="2"/>
      <c r="AU33" s="2"/>
      <c r="AV33" s="2"/>
      <c r="AW33" s="2"/>
      <c r="AX33" s="2"/>
      <c r="AY33" s="2"/>
      <c r="AZ33" s="2"/>
      <c r="BA33" s="2" t="str">
        <f>IFERROR(__xludf.DUMMYFUNCTION("""COMPUTED_VALUE"""),"Đủ điều kiện")</f>
        <v>Đủ điều kiện</v>
      </c>
      <c r="BB33" s="2" t="str">
        <f>IFERROR(__xludf.DUMMYFUNCTION("""COMPUTED_VALUE"""),"Duyệt")</f>
        <v>Duyệt</v>
      </c>
      <c r="BC33" s="143">
        <f>IFERROR(__xludf.DUMMYFUNCTION("""COMPUTED_VALUE"""),46126.0)</f>
        <v>46126</v>
      </c>
      <c r="BD33" s="2" t="str">
        <f>IFERROR(__xludf.DUMMYFUNCTION("""COMPUTED_VALUE"""),"Duyệt")</f>
        <v>Duyệt</v>
      </c>
      <c r="BE33" s="143">
        <f>IFERROR(__xludf.DUMMYFUNCTION("""COMPUTED_VALUE"""),46122.0)</f>
        <v>46122</v>
      </c>
      <c r="BF33" s="2" t="str">
        <f>IFERROR(__xludf.DUMMYFUNCTION("""COMPUTED_VALUE"""),"Đã xử lí giá")</f>
        <v>Đã xử lí giá</v>
      </c>
      <c r="BG33" s="2" t="str">
        <f>IFERROR(__xludf.DUMMYFUNCTION("""COMPUTED_VALUE"""),"Đóng theo đơn gần nhất  Bột xanh 230,000đ 9/4/2026")</f>
        <v>Đóng theo đơn gần nhất  Bột xanh 230,000đ 9/4/2026</v>
      </c>
      <c r="BH33" s="2"/>
      <c r="BI33" s="2"/>
      <c r="BJ33" s="2"/>
      <c r="BK33" s="2"/>
      <c r="BL33" s="2"/>
      <c r="BM33" s="2"/>
      <c r="BN33" s="2"/>
      <c r="BO33" s="2"/>
      <c r="BP33" s="2"/>
      <c r="BQ33" s="2"/>
    </row>
    <row r="34">
      <c r="A34" s="2">
        <f>IFERROR(__xludf.DUMMYFUNCTION("""COMPUTED_VALUE"""),31.0)</f>
        <v>31</v>
      </c>
      <c r="B34" s="2" t="str">
        <f>IFERROR(__xludf.DUMMYFUNCTION("""COMPUTED_VALUE"""),"Dego Cần Thơ")</f>
        <v>Dego Cần Thơ</v>
      </c>
      <c r="C34" s="2" t="str">
        <f>IFERROR(__xludf.DUMMYFUNCTION("""COMPUTED_VALUE"""),"ATP11042601")</f>
        <v>ATP11042601</v>
      </c>
      <c r="D34" s="39">
        <f>IFERROR(__xludf.DUMMYFUNCTION("""COMPUTED_VALUE"""),46123.0)</f>
        <v>46123</v>
      </c>
      <c r="E34" s="2" t="str">
        <f>IFERROR(__xludf.DUMMYFUNCTION("""COMPUTED_VALUE"""),"Đã duyệt")</f>
        <v>Đã duyệt</v>
      </c>
      <c r="F34" s="2" t="str">
        <f>IFERROR(__xludf.DUMMYFUNCTION("""COMPUTED_VALUE"""),"ABA")</f>
        <v>ABA</v>
      </c>
      <c r="G34" s="2" t="str">
        <f>IFERROR(__xludf.DUMMYFUNCTION("""COMPUTED_VALUE"""),"HH4672")</f>
        <v>HH4672</v>
      </c>
      <c r="H34" s="2" t="str">
        <f>IFERROR(__xludf.DUMMYFUNCTION("""COMPUTED_VALUE"""),"LOT ABA - V - 4672 - THIÊN AN - NEW AMINO (Nước nâu đen) - 500ml - 30")</f>
        <v>LOT ABA - V - 4672 - THIÊN AN - NEW AMINO (Nước nâu đen) - 500ml - 30</v>
      </c>
      <c r="I34" s="2" t="str">
        <f>IFERROR(__xludf.DUMMYFUNCTION("""COMPUTED_VALUE"""),"Phân bón")</f>
        <v>Phân bón</v>
      </c>
      <c r="J34" s="142" t="str">
        <f>IFERROR(__xludf.DUMMYFUNCTION("""COMPUTED_VALUE"""),"Hữu cơ Organic BM Gold  FW")</f>
        <v>Hữu cơ Organic BM Gold  FW</v>
      </c>
      <c r="K34" s="2" t="str">
        <f>IFERROR(__xludf.DUMMYFUNCTION("""COMPUTED_VALUE"""),"Cùng ruột HH2776")</f>
        <v>Cùng ruột HH2776</v>
      </c>
      <c r="L34" s="2" t="str">
        <f>IFERROR(__xludf.DUMMYFUNCTION("""COMPUTED_VALUE"""),"Nước nâu đen")</f>
        <v>Nước nâu đen</v>
      </c>
      <c r="M34" s="2" t="str">
        <f>IFERROR(__xludf.DUMMYFUNCTION("""COMPUTED_VALUE"""),"Chai")</f>
        <v>Chai</v>
      </c>
      <c r="N34" s="142">
        <f>IFERROR(__xludf.DUMMYFUNCTION("""COMPUTED_VALUE"""),30.0)</f>
        <v>30</v>
      </c>
      <c r="O34" s="142">
        <f>IFERROR(__xludf.DUMMYFUNCTION("""COMPUTED_VALUE"""),16.0)</f>
        <v>16</v>
      </c>
      <c r="P34" s="142">
        <f>IFERROR(__xludf.DUMMYFUNCTION("""COMPUTED_VALUE"""),480.0)</f>
        <v>480</v>
      </c>
      <c r="Q34" s="143">
        <f>IFERROR(__xludf.DUMMYFUNCTION("""COMPUTED_VALUE"""),46130.0)</f>
        <v>46130</v>
      </c>
      <c r="R34" s="2"/>
      <c r="S34" s="142" t="str">
        <f>IFERROR(__xludf.DUMMYFUNCTION("""COMPUTED_VALUE"""),"lấy chẳn thùng
đóng hết nhãn tròn thùng
ưu tiên xử lý do 13/4 hêt hạn thuê")</f>
        <v>lấy chẳn thùng
đóng hết nhãn tròn thùng
ưu tiên xử lý do 13/4 hêt hạn thuê</v>
      </c>
      <c r="T34" s="2"/>
      <c r="U34" s="2"/>
      <c r="V34" s="2"/>
      <c r="W34" s="2" t="str">
        <f>IFERROR(__xludf.DUMMYFUNCTION("""COMPUTED_VALUE"""),"THIÊN AN - Giá bán 49.000,00 đ - Ngày dự kiến thu tiền:  - Dự kiến ngày ra hết hàng: ")</f>
        <v>THIÊN AN - Giá bán 49.000,00 đ - Ngày dự kiến thu tiền:  - Dự kiến ngày ra hết hàng: </v>
      </c>
      <c r="X34" s="2"/>
      <c r="Y34" s="2" t="str">
        <f>IFERROR(__xludf.DUMMYFUNCTION("""COMPUTED_VALUE"""),"Dego Cần Thơ")</f>
        <v>Dego Cần Thơ</v>
      </c>
      <c r="Z34" s="2" t="str">
        <f>IFERROR(__xludf.DUMMYFUNCTION("""COMPUTED_VALUE"""),"Chưa có lịch SX")</f>
        <v>Chưa có lịch SX</v>
      </c>
      <c r="AA34" s="2"/>
      <c r="AB34" s="2" t="str">
        <f>IFERROR(__xludf.DUMMYFUNCTION("""COMPUTED_VALUE"""),"chưa gửi phiếu
có 5 thùng +24 chai bị lôi xì chai, lem nhãn đang lên đơn xử lý lại
Lượng hàng còn lại sẽ gom làm chung với hàng xử lý")</f>
        <v>chưa gửi phiếu
có 5 thùng +24 chai bị lôi xì chai, lem nhãn đang lên đơn xử lý lại
Lượng hàng còn lại sẽ gom làm chung với hàng xử lý</v>
      </c>
      <c r="AC34" s="142">
        <f>IFERROR(__xludf.DUMMYFUNCTION("""COMPUTED_VALUE"""),95.0)</f>
        <v>95</v>
      </c>
      <c r="AD34" s="146">
        <f>IFERROR(__xludf.DUMMYFUNCTION("""COMPUTED_VALUE"""),387.0)</f>
        <v>387</v>
      </c>
      <c r="AE34" s="2" t="str">
        <f>IFERROR(__xludf.DUMMYFUNCTION("""COMPUTED_VALUE"""),"đã bàn giao cho nhà máy 23/05")</f>
        <v>đã bàn giao cho nhà máy 23/05</v>
      </c>
      <c r="AF34" s="146" t="str">
        <f>IFERROR(__xludf.DUMMYFUNCTION("""COMPUTED_VALUE"""),"Đủ điều kiện nhận hàng")</f>
        <v>Đủ điều kiện nhận hàng</v>
      </c>
      <c r="AG34" s="143">
        <f>IFERROR(__xludf.DUMMYFUNCTION("""COMPUTED_VALUE"""),46133.0)</f>
        <v>46133</v>
      </c>
      <c r="AH34" s="146">
        <f>IFERROR(__xludf.DUMMYFUNCTION("""COMPUTED_VALUE"""),387.0)</f>
        <v>387</v>
      </c>
      <c r="AI34" s="2"/>
      <c r="AJ34" s="2"/>
      <c r="AK34" s="2"/>
      <c r="AL34" s="2"/>
      <c r="AM34" s="2"/>
      <c r="AN34" s="2"/>
      <c r="AO34" s="2"/>
      <c r="AP34" s="2"/>
      <c r="AQ34" s="2"/>
      <c r="AR34" s="2">
        <f>IFERROR(__xludf.DUMMYFUNCTION("""COMPUTED_VALUE"""),170426.0)</f>
        <v>170426</v>
      </c>
      <c r="AS34" s="143">
        <f>IFERROR(__xludf.DUMMYFUNCTION("""COMPUTED_VALUE"""),46120.0)</f>
        <v>46120</v>
      </c>
      <c r="AT34" s="2"/>
      <c r="AU34" s="142">
        <f>IFERROR(__xludf.DUMMYFUNCTION("""COMPUTED_VALUE"""),384.0)</f>
        <v>384</v>
      </c>
      <c r="AV34" s="2" t="str">
        <f>IFERROR(__xludf.DUMMYFUNCTION("""COMPUTED_VALUE"""),"23/04/2026 đã giao 12t+25 chai")</f>
        <v>23/04/2026 đã giao 12t+25 chai</v>
      </c>
      <c r="AW34" s="2"/>
      <c r="AX34" s="2"/>
      <c r="AY34" s="2"/>
      <c r="AZ34" s="2" t="str">
        <f>IFERROR(__xludf.DUMMYFUNCTION("""COMPUTED_VALUE"""),"#REF!")</f>
        <v>#REF!</v>
      </c>
      <c r="BA34" s="2" t="str">
        <f>IFERROR(__xludf.DUMMYFUNCTION("""COMPUTED_VALUE"""),"Đủ điều kiện")</f>
        <v>Đủ điều kiện</v>
      </c>
      <c r="BB34" s="2" t="str">
        <f>IFERROR(__xludf.DUMMYFUNCTION("""COMPUTED_VALUE"""),"Duyệt")</f>
        <v>Duyệt</v>
      </c>
      <c r="BC34" s="148">
        <f>IFERROR(__xludf.DUMMYFUNCTION("""COMPUTED_VALUE"""),46123.0)</f>
        <v>46123</v>
      </c>
      <c r="BD34" s="2" t="str">
        <f>IFERROR(__xludf.DUMMYFUNCTION("""COMPUTED_VALUE"""),"Duyệt")</f>
        <v>Duyệt</v>
      </c>
      <c r="BE34" s="2" t="str">
        <f>IFERROR(__xludf.DUMMYFUNCTION("""COMPUTED_VALUE"""),"xlg 11/04
11/04")</f>
        <v>xlg 11/04
11/04</v>
      </c>
      <c r="BF34" s="2" t="str">
        <f>IFERROR(__xludf.DUMMYFUNCTION("""COMPUTED_VALUE"""),"Đã xử lí giá")</f>
        <v>Đã xử lí giá</v>
      </c>
      <c r="BG34" s="2" t="str">
        <f>IFERROR(__xludf.DUMMYFUNCTION("""COMPUTED_VALUE"""),"Cùng ruột HH2776 Nước nâu đen 49,000đ 11/4/2026")</f>
        <v>Cùng ruột HH2776 Nước nâu đen 49,000đ 11/4/2026</v>
      </c>
      <c r="BH34" s="2"/>
      <c r="BI34" s="2"/>
      <c r="BJ34" s="2"/>
      <c r="BK34" s="2"/>
      <c r="BL34" s="2"/>
      <c r="BM34" s="2"/>
      <c r="BN34" s="2"/>
      <c r="BO34" s="2"/>
      <c r="BP34" s="2"/>
      <c r="BQ34" s="2"/>
    </row>
    <row r="35">
      <c r="A35" s="2">
        <f>IFERROR(__xludf.DUMMYFUNCTION("""COMPUTED_VALUE"""),32.0)</f>
        <v>32</v>
      </c>
      <c r="B35" s="2" t="str">
        <f>IFERROR(__xludf.DUMMYFUNCTION("""COMPUTED_VALUE"""),"Thu Loan")</f>
        <v>Thu Loan</v>
      </c>
      <c r="C35" s="2" t="str">
        <f>IFERROR(__xludf.DUMMYFUNCTION("""COMPUTED_VALUE"""),"ATP17042603")</f>
        <v>ATP17042603</v>
      </c>
      <c r="D35" s="39">
        <f>IFERROR(__xludf.DUMMYFUNCTION("""COMPUTED_VALUE"""),46129.0)</f>
        <v>46129</v>
      </c>
      <c r="E35" s="2" t="str">
        <f>IFERROR(__xludf.DUMMYFUNCTION("""COMPUTED_VALUE"""),"Đã duyệt")</f>
        <v>Đã duyệt</v>
      </c>
      <c r="F35" s="2" t="str">
        <f>IFERROR(__xludf.DUMMYFUNCTION("""COMPUTED_VALUE"""),"ABA")</f>
        <v>ABA</v>
      </c>
      <c r="G35" s="2" t="str">
        <f>IFERROR(__xludf.DUMMYFUNCTION("""COMPUTED_VALUE"""),"HH4948")</f>
        <v>HH4948</v>
      </c>
      <c r="H35" s="2" t="str">
        <f>IFERROR(__xludf.DUMMYFUNCTION("""COMPUTED_VALUE"""),"GC - V - 4948 - AGROCHEM KOREA - ABA DIE - OC (Nước nâu đen) - 400ml - 40")</f>
        <v>GC - V - 4948 - AGROCHEM KOREA - ABA DIE - OC (Nước nâu đen) - 400ml - 40</v>
      </c>
      <c r="I35" s="2" t="str">
        <f>IFERROR(__xludf.DUMMYFUNCTION("""COMPUTED_VALUE"""),"Thuốc trừ sâu")</f>
        <v>Thuốc trừ sâu</v>
      </c>
      <c r="J35" s="142" t="str">
        <f>IFERROR(__xludf.DUMMYFUNCTION("""COMPUTED_VALUE"""),"HAIHAMEC 3.6EC")</f>
        <v>HAIHAMEC 3.6EC</v>
      </c>
      <c r="K35" s="2" t="str">
        <f>IFERROR(__xludf.DUMMYFUNCTION("""COMPUTED_VALUE"""),"Dòng V1")</f>
        <v>Dòng V1</v>
      </c>
      <c r="L35" s="2" t="str">
        <f>IFERROR(__xludf.DUMMYFUNCTION("""COMPUTED_VALUE"""),"Nước nâu đen")</f>
        <v>Nước nâu đen</v>
      </c>
      <c r="M35" s="2" t="str">
        <f>IFERROR(__xludf.DUMMYFUNCTION("""COMPUTED_VALUE"""),"Chai")</f>
        <v>Chai</v>
      </c>
      <c r="N35" s="142">
        <f>IFERROR(__xludf.DUMMYFUNCTION("""COMPUTED_VALUE"""),40.0)</f>
        <v>40</v>
      </c>
      <c r="O35" s="142">
        <f>IFERROR(__xludf.DUMMYFUNCTION("""COMPUTED_VALUE"""),30.0)</f>
        <v>30</v>
      </c>
      <c r="P35" s="142">
        <f>IFERROR(__xludf.DUMMYFUNCTION("""COMPUTED_VALUE"""),1200.0)</f>
        <v>1200</v>
      </c>
      <c r="Q35" s="143">
        <f>IFERROR(__xludf.DUMMYFUNCTION("""COMPUTED_VALUE"""),46171.0)</f>
        <v>46171</v>
      </c>
      <c r="R35" s="2"/>
      <c r="S35" s="142" t="str">
        <f>IFERROR(__xludf.DUMMYFUNCTION("""COMPUTED_VALUE"""),"lấy chẳn thùng")</f>
        <v>lấy chẳn thùng</v>
      </c>
      <c r="T35" s="2"/>
      <c r="U35" s="2"/>
      <c r="V35" s="2"/>
      <c r="W35" s="2" t="str">
        <f>IFERROR(__xludf.DUMMYFUNCTION("""COMPUTED_VALUE"""),"KOREA - Giá bán 42.500,00 đ - Ngày dự kiến thu tiền:  - Dự kiến ngày ra hết hàng: ")</f>
        <v>KOREA - Giá bán 42.500,00 đ - Ngày dự kiến thu tiền:  - Dự kiến ngày ra hết hàng: </v>
      </c>
      <c r="X35" s="2"/>
      <c r="Y35" s="2" t="str">
        <f>IFERROR(__xludf.DUMMYFUNCTION("""COMPUTED_VALUE"""),"Thu Loan")</f>
        <v>Thu Loan</v>
      </c>
      <c r="Z35" s="2" t="str">
        <f>IFERROR(__xludf.DUMMYFUNCTION("""COMPUTED_VALUE"""),"Chờ lấy hoá đơn")</f>
        <v>Chờ lấy hoá đơn</v>
      </c>
      <c r="AA35" s="2"/>
      <c r="AB35" s="2" t="str">
        <f>IFERROR(__xludf.DUMMYFUNCTION("""COMPUTED_VALUE"""),"Chưa đủ BTP --&gt; chưa duyệt giá --&gt; chưa gửi đơn
09/05 đã đủ điều kiện, dã gửi đơn
chờ lấy hóa đơn, còn ký hđ lại với ncc do chưa ký dòng 400ml")</f>
        <v>Chưa đủ BTP --&gt; chưa duyệt giá --&gt; chưa gửi đơn
09/05 đã đủ điều kiện, dã gửi đơn
chờ lấy hóa đơn, còn ký hđ lại với ncc do chưa ký dòng 400ml</v>
      </c>
      <c r="AC35" s="2"/>
      <c r="AD35" s="2">
        <f>IFERROR(__xludf.DUMMYFUNCTION("""COMPUTED_VALUE"""),1201.0)</f>
        <v>1201</v>
      </c>
      <c r="AE35" s="143">
        <f>IFERROR(__xludf.DUMMYFUNCTION("""COMPUTED_VALUE"""),46167.0)</f>
        <v>46167</v>
      </c>
      <c r="AF35" s="146" t="str">
        <f>IFERROR(__xludf.DUMMYFUNCTION("""COMPUTED_VALUE"""),"Không đủ điều kiện nhận hàng")</f>
        <v>Không đủ điều kiện nhận hàng</v>
      </c>
      <c r="AG35" s="143">
        <f>IFERROR(__xludf.DUMMYFUNCTION("""COMPUTED_VALUE"""),46167.0)</f>
        <v>46167</v>
      </c>
      <c r="AH35" s="2">
        <f>IFERROR(__xludf.DUMMYFUNCTION("""COMPUTED_VALUE"""),1201.0)</f>
        <v>1201</v>
      </c>
      <c r="AI35" s="2"/>
      <c r="AJ35" s="2"/>
      <c r="AK35" s="2"/>
      <c r="AL35" s="2"/>
      <c r="AM35" s="2">
        <f>IFERROR(__xludf.DUMMYFUNCTION("""COMPUTED_VALUE"""),1201.0)</f>
        <v>1201</v>
      </c>
      <c r="AN35" s="2"/>
      <c r="AO35" s="2"/>
      <c r="AP35" s="2"/>
      <c r="AQ35" s="2"/>
      <c r="AR35" s="2"/>
      <c r="AS35" s="2" t="str">
        <f>IFERROR(__xludf.DUMMYFUNCTION("""COMPUTED_VALUE"""),"nsx: 27/03/2026
ndc: 21/05/2026")</f>
        <v>nsx: 27/03/2026
ndc: 21/05/2026</v>
      </c>
      <c r="AT35" s="2"/>
      <c r="AU35" s="2"/>
      <c r="AV35" s="2"/>
      <c r="AW35" s="2"/>
      <c r="AX35" s="2"/>
      <c r="AY35" s="2"/>
      <c r="AZ35" s="2"/>
      <c r="BA35" s="2" t="str">
        <f>IFERROR(__xludf.DUMMYFUNCTION("""COMPUTED_VALUE"""),"Đủ điều kiện")</f>
        <v>Đủ điều kiện</v>
      </c>
      <c r="BB35" s="2" t="str">
        <f>IFERROR(__xludf.DUMMYFUNCTION("""COMPUTED_VALUE"""),"Duyệt")</f>
        <v>Duyệt</v>
      </c>
      <c r="BC35" s="2"/>
      <c r="BD35" s="2" t="str">
        <f>IFERROR(__xludf.DUMMYFUNCTION("""COMPUTED_VALUE"""),"Duyệt")</f>
        <v>Duyệt</v>
      </c>
      <c r="BE35" s="2" t="str">
        <f>IFERROR(__xludf.DUMMYFUNCTION("""COMPUTED_VALUE"""),"xlg 08/05
09/05")</f>
        <v>xlg 08/05
09/05</v>
      </c>
      <c r="BF35" s="2" t="str">
        <f>IFERROR(__xludf.DUMMYFUNCTION("""COMPUTED_VALUE"""),"Đã xử lí giá")</f>
        <v>Đã xử lí giá</v>
      </c>
      <c r="BG35" s="2" t="str">
        <f>IFERROR(__xludf.DUMMYFUNCTION("""COMPUTED_VALUE"""),"Dòng V1 Nước nâu đen 42,500đ 17/4/2026
Cho đi đơn trước về có BTP đóng sau 8/5/2026 (đã chuyển 7,200L")</f>
        <v>Dòng V1 Nước nâu đen 42,500đ 17/4/2026
Cho đi đơn trước về có BTP đóng sau 8/5/2026 (đã chuyển 7,200L</v>
      </c>
      <c r="BH35" s="2"/>
      <c r="BI35" s="2"/>
      <c r="BJ35" s="2"/>
      <c r="BK35" s="2"/>
      <c r="BL35" s="2"/>
      <c r="BM35" s="2"/>
      <c r="BN35" s="2"/>
      <c r="BO35" s="2"/>
      <c r="BP35" s="2"/>
      <c r="BQ35" s="2"/>
    </row>
    <row r="36">
      <c r="A36" s="2">
        <f>IFERROR(__xludf.DUMMYFUNCTION("""COMPUTED_VALUE"""),33.0)</f>
        <v>33</v>
      </c>
      <c r="B36" s="2" t="str">
        <f>IFERROR(__xludf.DUMMYFUNCTION("""COMPUTED_VALUE"""),"Thu Loan")</f>
        <v>Thu Loan</v>
      </c>
      <c r="C36" s="2" t="str">
        <f>IFERROR(__xludf.DUMMYFUNCTION("""COMPUTED_VALUE"""),"ATP17042604")</f>
        <v>ATP17042604</v>
      </c>
      <c r="D36" s="39">
        <f>IFERROR(__xludf.DUMMYFUNCTION("""COMPUTED_VALUE"""),46129.0)</f>
        <v>46129</v>
      </c>
      <c r="E36" s="2" t="str">
        <f>IFERROR(__xludf.DUMMYFUNCTION("""COMPUTED_VALUE"""),"Đã duyệt")</f>
        <v>Đã duyệt</v>
      </c>
      <c r="F36" s="2" t="str">
        <f>IFERROR(__xludf.DUMMYFUNCTION("""COMPUTED_VALUE"""),"ABA")</f>
        <v>ABA</v>
      </c>
      <c r="G36" s="2" t="str">
        <f>IFERROR(__xludf.DUMMYFUNCTION("""COMPUTED_VALUE"""),"HH4949")</f>
        <v>HH4949</v>
      </c>
      <c r="H36" s="2" t="str">
        <f>IFERROR(__xludf.DUMMYFUNCTION("""COMPUTED_VALUE"""),"GC - V - 4949 - AGROCHEM KOREA - TATOC 4.6 (Nước nâu đen) - 450ml - 40")</f>
        <v>GC - V - 4949 - AGROCHEM KOREA - TATOC 4.6 (Nước nâu đen) - 450ml - 40</v>
      </c>
      <c r="I36" s="2" t="str">
        <f>IFERROR(__xludf.DUMMYFUNCTION("""COMPUTED_VALUE"""),"Thuốc trừ sâu")</f>
        <v>Thuốc trừ sâu</v>
      </c>
      <c r="J36" s="142" t="str">
        <f>IFERROR(__xludf.DUMMYFUNCTION("""COMPUTED_VALUE"""),"HAIHAMEC 3.6EC")</f>
        <v>HAIHAMEC 3.6EC</v>
      </c>
      <c r="K36" s="2" t="str">
        <f>IFERROR(__xludf.DUMMYFUNCTION("""COMPUTED_VALUE"""),"Dòng V1")</f>
        <v>Dòng V1</v>
      </c>
      <c r="L36" s="2" t="str">
        <f>IFERROR(__xludf.DUMMYFUNCTION("""COMPUTED_VALUE"""),"Nước nâu đen")</f>
        <v>Nước nâu đen</v>
      </c>
      <c r="M36" s="2" t="str">
        <f>IFERROR(__xludf.DUMMYFUNCTION("""COMPUTED_VALUE"""),"Chai")</f>
        <v>Chai</v>
      </c>
      <c r="N36" s="142">
        <f>IFERROR(__xludf.DUMMYFUNCTION("""COMPUTED_VALUE"""),40.0)</f>
        <v>40</v>
      </c>
      <c r="O36" s="142">
        <f>IFERROR(__xludf.DUMMYFUNCTION("""COMPUTED_VALUE"""),30.0)</f>
        <v>30</v>
      </c>
      <c r="P36" s="142">
        <f>IFERROR(__xludf.DUMMYFUNCTION("""COMPUTED_VALUE"""),1200.0)</f>
        <v>1200</v>
      </c>
      <c r="Q36" s="143">
        <f>IFERROR(__xludf.DUMMYFUNCTION("""COMPUTED_VALUE"""),46156.0)</f>
        <v>46156</v>
      </c>
      <c r="R36" s="2"/>
      <c r="S36" s="142" t="str">
        <f>IFERROR(__xludf.DUMMYFUNCTION("""COMPUTED_VALUE"""),"lấy chẳn thùng")</f>
        <v>lấy chẳn thùng</v>
      </c>
      <c r="T36" s="2"/>
      <c r="U36" s="2"/>
      <c r="V36" s="2"/>
      <c r="W36" s="2" t="str">
        <f>IFERROR(__xludf.DUMMYFUNCTION("""COMPUTED_VALUE"""),"KOREA - Giá bán 42.500,00 đ - Ngày dự kiến thu tiền:  - Dự kiến ngày ra hết hàng: ")</f>
        <v>KOREA - Giá bán 42.500,00 đ - Ngày dự kiến thu tiền:  - Dự kiến ngày ra hết hàng: </v>
      </c>
      <c r="X36" s="2"/>
      <c r="Y36" s="2" t="str">
        <f>IFERROR(__xludf.DUMMYFUNCTION("""COMPUTED_VALUE"""),"Thu Loan")</f>
        <v>Thu Loan</v>
      </c>
      <c r="Z36" s="2" t="str">
        <f>IFERROR(__xludf.DUMMYFUNCTION("""COMPUTED_VALUE"""),"Chờ lấy hoá đơn")</f>
        <v>Chờ lấy hoá đơn</v>
      </c>
      <c r="AA36" s="2"/>
      <c r="AB36" s="2" t="str">
        <f>IFERROR(__xludf.DUMMYFUNCTION("""COMPUTED_VALUE"""),"Chưa đủ BTP --&gt; chưa duyệt giá --&gt; chưa gửi đơn
09/05 đã đủ điều kiện, dã gửi đơn")</f>
        <v>Chưa đủ BTP --&gt; chưa duyệt giá --&gt; chưa gửi đơn
09/05 đã đủ điều kiện, dã gửi đơn</v>
      </c>
      <c r="AC36" s="2"/>
      <c r="AD36" s="2">
        <f>IFERROR(__xludf.DUMMYFUNCTION("""COMPUTED_VALUE"""),1201.0)</f>
        <v>1201</v>
      </c>
      <c r="AE36" s="143">
        <f>IFERROR(__xludf.DUMMYFUNCTION("""COMPUTED_VALUE"""),46177.0)</f>
        <v>46177</v>
      </c>
      <c r="AF36" s="146" t="str">
        <f>IFERROR(__xludf.DUMMYFUNCTION("""COMPUTED_VALUE"""),"Không đủ điều kiện nhận hàng")</f>
        <v>Không đủ điều kiện nhận hàng</v>
      </c>
      <c r="AG36" s="143">
        <f>IFERROR(__xludf.DUMMYFUNCTION("""COMPUTED_VALUE"""),46177.0)</f>
        <v>46177</v>
      </c>
      <c r="AH36" s="2">
        <f>IFERROR(__xludf.DUMMYFUNCTION("""COMPUTED_VALUE"""),1201.0)</f>
        <v>1201</v>
      </c>
      <c r="AI36" s="2"/>
      <c r="AJ36" s="2"/>
      <c r="AK36" s="2"/>
      <c r="AL36" s="2"/>
      <c r="AM36" s="2">
        <f>IFERROR(__xludf.DUMMYFUNCTION("""COMPUTED_VALUE"""),1201.0)</f>
        <v>1201</v>
      </c>
      <c r="AN36" s="2"/>
      <c r="AO36" s="2"/>
      <c r="AP36" s="2"/>
      <c r="AQ36" s="2"/>
      <c r="AR36" s="2"/>
      <c r="AS36" s="2" t="str">
        <f>IFERROR(__xludf.DUMMYFUNCTION("""COMPUTED_VALUE"""),"nsx: 27/03/2026
ndc: 25/05/2026")</f>
        <v>nsx: 27/03/2026
ndc: 25/05/2026</v>
      </c>
      <c r="AT36" s="2"/>
      <c r="AU36" s="2"/>
      <c r="AV36" s="2"/>
      <c r="AW36" s="2"/>
      <c r="AX36" s="2"/>
      <c r="AY36" s="2"/>
      <c r="AZ36" s="2"/>
      <c r="BA36" s="2" t="str">
        <f>IFERROR(__xludf.DUMMYFUNCTION("""COMPUTED_VALUE"""),"Đủ điều kiện")</f>
        <v>Đủ điều kiện</v>
      </c>
      <c r="BB36" s="2" t="str">
        <f>IFERROR(__xludf.DUMMYFUNCTION("""COMPUTED_VALUE"""),"Duyệt")</f>
        <v>Duyệt</v>
      </c>
      <c r="BC36" s="2"/>
      <c r="BD36" s="2" t="str">
        <f>IFERROR(__xludf.DUMMYFUNCTION("""COMPUTED_VALUE"""),"Duyệt")</f>
        <v>Duyệt</v>
      </c>
      <c r="BE36" s="2" t="str">
        <f>IFERROR(__xludf.DUMMYFUNCTION("""COMPUTED_VALUE"""),"xlg 08/05
09/05")</f>
        <v>xlg 08/05
09/05</v>
      </c>
      <c r="BF36" s="2" t="str">
        <f>IFERROR(__xludf.DUMMYFUNCTION("""COMPUTED_VALUE"""),"Đã xử lí giá")</f>
        <v>Đã xử lí giá</v>
      </c>
      <c r="BG36" s="2" t="str">
        <f>IFERROR(__xludf.DUMMYFUNCTION("""COMPUTED_VALUE"""),"Dòng V1 Nước nâu đen 42,500đ 17/4/2026
Cho đi đơn trước về có BTP đóng sau 8/5/2026 (đã chuyển 7,200L")</f>
        <v>Dòng V1 Nước nâu đen 42,500đ 17/4/2026
Cho đi đơn trước về có BTP đóng sau 8/5/2026 (đã chuyển 7,200L</v>
      </c>
      <c r="BH36" s="2"/>
      <c r="BI36" s="2"/>
      <c r="BJ36" s="2"/>
      <c r="BK36" s="2"/>
      <c r="BL36" s="2"/>
      <c r="BM36" s="2"/>
      <c r="BN36" s="2"/>
      <c r="BO36" s="2"/>
      <c r="BP36" s="2"/>
      <c r="BQ36" s="2"/>
    </row>
    <row r="37">
      <c r="A37" s="2">
        <f>IFERROR(__xludf.DUMMYFUNCTION("""COMPUTED_VALUE"""),34.0)</f>
        <v>34</v>
      </c>
      <c r="B37" s="2" t="str">
        <f>IFERROR(__xludf.DUMMYFUNCTION("""COMPUTED_VALUE"""),"Hà Long")</f>
        <v>Hà Long</v>
      </c>
      <c r="C37" s="2" t="str">
        <f>IFERROR(__xludf.DUMMYFUNCTION("""COMPUTED_VALUE"""),"ITP21042602")</f>
        <v>ITP21042602</v>
      </c>
      <c r="D37" s="39">
        <f>IFERROR(__xludf.DUMMYFUNCTION("""COMPUTED_VALUE"""),46133.0)</f>
        <v>46133</v>
      </c>
      <c r="E37" s="2"/>
      <c r="F37" s="2" t="str">
        <f>IFERROR(__xludf.DUMMYFUNCTION("""COMPUTED_VALUE"""),"IDA")</f>
        <v>IDA</v>
      </c>
      <c r="G37" s="2" t="str">
        <f>IFERROR(__xludf.DUMMYFUNCTION("""COMPUTED_VALUE"""),"HH3488")</f>
        <v>HH3488</v>
      </c>
      <c r="H37" s="2" t="str">
        <f>IFERROR(__xludf.DUMMYFUNCTION("""COMPUTED_VALUE"""),"IDA Global - I - 3488 - LA - FORTAZEB 72WP (Bột xanh) - 1kg - 20")</f>
        <v>IDA Global - I - 3488 - LA - FORTAZEB 72WP (Bột xanh) - 1kg - 20</v>
      </c>
      <c r="I37" s="2" t="str">
        <f>IFERROR(__xludf.DUMMYFUNCTION("""COMPUTED_VALUE"""),"Thuốc trừ bệnh")</f>
        <v>Thuốc trừ bệnh</v>
      </c>
      <c r="J37" s="142" t="str">
        <f>IFERROR(__xludf.DUMMYFUNCTION("""COMPUTED_VALUE"""),"FORTAZEB 72WP")</f>
        <v>FORTAZEB 72WP</v>
      </c>
      <c r="K37" s="2" t="str">
        <f>IFERROR(__xludf.DUMMYFUNCTION("""COMPUTED_VALUE"""),"Chung ruột HH4762")</f>
        <v>Chung ruột HH4762</v>
      </c>
      <c r="L37" s="2" t="str">
        <f>IFERROR(__xludf.DUMMYFUNCTION("""COMPUTED_VALUE"""),"Bột xanh")</f>
        <v>Bột xanh</v>
      </c>
      <c r="M37" s="2" t="str">
        <f>IFERROR(__xludf.DUMMYFUNCTION("""COMPUTED_VALUE"""),"Túi/Gói")</f>
        <v>Túi/Gói</v>
      </c>
      <c r="N37" s="142">
        <f>IFERROR(__xludf.DUMMYFUNCTION("""COMPUTED_VALUE"""),20.0)</f>
        <v>20</v>
      </c>
      <c r="O37" s="142">
        <f>IFERROR(__xludf.DUMMYFUNCTION("""COMPUTED_VALUE"""),20.0)</f>
        <v>20</v>
      </c>
      <c r="P37" s="142">
        <f>IFERROR(__xludf.DUMMYFUNCTION("""COMPUTED_VALUE"""),400.0)</f>
        <v>400</v>
      </c>
      <c r="Q37" s="143">
        <f>IFERROR(__xludf.DUMMYFUNCTION("""COMPUTED_VALUE"""),46146.0)</f>
        <v>46146</v>
      </c>
      <c r="R37" s="2" t="str">
        <f>IFERROR(__xludf.DUMMYFUNCTION("""COMPUTED_VALUE"""),"x")</f>
        <v>x</v>
      </c>
      <c r="S37" s="142" t="str">
        <f>IFERROR(__xludf.DUMMYFUNCTION("""COMPUTED_VALUE"""),"lấy  nguyên liệu của đơn 4762 đóng qua 20 thùng")</f>
        <v>lấy  nguyên liệu của đơn 4762 đóng qua 20 thùng</v>
      </c>
      <c r="T37" s="142" t="str">
        <f>IFERROR(__xludf.DUMMYFUNCTION("""COMPUTED_VALUE"""),"x")</f>
        <v>x</v>
      </c>
      <c r="U37" s="142" t="str">
        <f>IFERROR(__xludf.DUMMYFUNCTION("""COMPUTED_VALUE"""),"x")</f>
        <v>x</v>
      </c>
      <c r="V37" s="142">
        <f>IFERROR(__xludf.DUMMYFUNCTION("""COMPUTED_VALUE"""),13.0)</f>
        <v>13</v>
      </c>
      <c r="W37" s="2" t="str">
        <f>IFERROR(__xludf.DUMMYFUNCTION("""COMPUTED_VALUE"""),"x - Giá bán 230000 - Ngày dự kiến thu tiền: x - Dự kiến ngày ra hết hàng: 30 ngày")</f>
        <v>x - Giá bán 230000 - Ngày dự kiến thu tiền: x - Dự kiến ngày ra hết hàng: 30 ngày</v>
      </c>
      <c r="X37" s="2"/>
      <c r="Y37" s="2" t="str">
        <f>IFERROR(__xludf.DUMMYFUNCTION("""COMPUTED_VALUE"""),"Hà Long")</f>
        <v>Hà Long</v>
      </c>
      <c r="Z37" s="2" t="str">
        <f>IFERROR(__xludf.DUMMYFUNCTION("""COMPUTED_VALUE"""),"Đã có lịch SX")</f>
        <v>Đã có lịch SX</v>
      </c>
      <c r="AA37" s="39">
        <f>IFERROR(__xludf.DUMMYFUNCTION("""COMPUTED_VALUE"""),46164.0)</f>
        <v>46164</v>
      </c>
      <c r="AB37" s="2" t="str">
        <f>IFERROR(__xludf.DUMMYFUNCTION("""COMPUTED_VALUE"""),"27/04 HL thiếu BTP 
22/05 HL hết BTP - dk 23/05 có btp
Đang đẩy lịch ghép đóng chung với 4762, dự kiến 05/06
26/05 đẩy lịch 2/06")</f>
        <v>27/04 HL thiếu BTP 
22/05 HL hết BTP - dk 23/05 có btp
Đang đẩy lịch ghép đóng chung với 4762, dự kiến 05/06
26/05 đẩy lịch 2/06</v>
      </c>
      <c r="AC37" s="146">
        <f>IFERROR(__xludf.DUMMYFUNCTION("""COMPUTED_VALUE"""),400.0)</f>
        <v>400</v>
      </c>
      <c r="AD37" s="2"/>
      <c r="AE37" s="143">
        <f>IFERROR(__xludf.DUMMYFUNCTION("""COMPUTED_VALUE"""),46187.0)</f>
        <v>46187</v>
      </c>
      <c r="AF37" s="146" t="str">
        <f>IFERROR(__xludf.DUMMYFUNCTION("""COMPUTED_VALUE"""),"")</f>
        <v/>
      </c>
      <c r="AG37" s="2"/>
      <c r="AH37" s="2"/>
      <c r="AI37" s="2"/>
      <c r="AJ37" s="2"/>
      <c r="AK37" s="2"/>
      <c r="AL37" s="2"/>
      <c r="AM37" s="2"/>
      <c r="AN37" s="2"/>
      <c r="AO37" s="2"/>
      <c r="AP37" s="2"/>
      <c r="AQ37" s="2"/>
      <c r="AR37" s="2"/>
      <c r="AS37" s="2"/>
      <c r="AT37" s="2"/>
      <c r="AU37" s="2"/>
      <c r="AV37" s="2"/>
      <c r="AW37" s="2"/>
      <c r="AX37" s="2"/>
      <c r="AY37" s="2"/>
      <c r="AZ37" s="2"/>
      <c r="BA37" s="2" t="str">
        <f>IFERROR(__xludf.DUMMYFUNCTION("""COMPUTED_VALUE"""),"Đủ điều kiện")</f>
        <v>Đủ điều kiện</v>
      </c>
      <c r="BB37" s="2" t="str">
        <f>IFERROR(__xludf.DUMMYFUNCTION("""COMPUTED_VALUE"""),"Duyệt")</f>
        <v>Duyệt</v>
      </c>
      <c r="BC37" s="143">
        <f>IFERROR(__xludf.DUMMYFUNCTION("""COMPUTED_VALUE"""),46135.0)</f>
        <v>46135</v>
      </c>
      <c r="BD37" s="2" t="str">
        <f>IFERROR(__xludf.DUMMYFUNCTION("""COMPUTED_VALUE"""),"Duyệt")</f>
        <v>Duyệt</v>
      </c>
      <c r="BE37" s="143">
        <f>IFERROR(__xludf.DUMMYFUNCTION("""COMPUTED_VALUE"""),46102.0)</f>
        <v>46102</v>
      </c>
      <c r="BF37" s="2" t="str">
        <f>IFERROR(__xludf.DUMMYFUNCTION("""COMPUTED_VALUE"""),"Đã xử lí giá")</f>
        <v>Đã xử lí giá</v>
      </c>
      <c r="BG37" s="2" t="str">
        <f>IFERROR(__xludf.DUMMYFUNCTION("""COMPUTED_VALUE"""),"Chung ruột HH4762 Bột xanh 230,000đ 21/4/2026")</f>
        <v>Chung ruột HH4762 Bột xanh 230,000đ 21/4/2026</v>
      </c>
      <c r="BH37" s="2"/>
      <c r="BI37" s="2"/>
      <c r="BJ37" s="2"/>
      <c r="BK37" s="2"/>
      <c r="BL37" s="2"/>
      <c r="BM37" s="2"/>
      <c r="BN37" s="2"/>
      <c r="BO37" s="2"/>
      <c r="BP37" s="2"/>
      <c r="BQ37" s="2"/>
    </row>
    <row r="38">
      <c r="A38" s="2">
        <f>IFERROR(__xludf.DUMMYFUNCTION("""COMPUTED_VALUE"""),35.0)</f>
        <v>35</v>
      </c>
      <c r="B38" s="2" t="str">
        <f>IFERROR(__xludf.DUMMYFUNCTION("""COMPUTED_VALUE"""),"Thu Loan")</f>
        <v>Thu Loan</v>
      </c>
      <c r="C38" s="2" t="str">
        <f>IFERROR(__xludf.DUMMYFUNCTION("""COMPUTED_VALUE"""),"ITP23042603")</f>
        <v>ITP23042603</v>
      </c>
      <c r="D38" s="39">
        <f>IFERROR(__xludf.DUMMYFUNCTION("""COMPUTED_VALUE"""),46135.0)</f>
        <v>46135</v>
      </c>
      <c r="E38" s="2"/>
      <c r="F38" s="2" t="str">
        <f>IFERROR(__xludf.DUMMYFUNCTION("""COMPUTED_VALUE"""),"IDA")</f>
        <v>IDA</v>
      </c>
      <c r="G38" s="2" t="str">
        <f>IFERROR(__xludf.DUMMYFUNCTION("""COMPUTED_VALUE"""),"HH4925")</f>
        <v>HH4925</v>
      </c>
      <c r="H38" s="2" t="str">
        <f>IFERROR(__xludf.DUMMYFUNCTION("""COMPUTED_VALUE"""),"LOT IDA - I - 4925 - CHITIN 3.6EC (nước nâu đen) - 450ml - 40")</f>
        <v>LOT IDA - I - 4925 - CHITIN 3.6EC (nước nâu đen) - 450ml - 40</v>
      </c>
      <c r="I38" s="2" t="str">
        <f>IFERROR(__xludf.DUMMYFUNCTION("""COMPUTED_VALUE"""),"Thuốc trừ sâu")</f>
        <v>Thuốc trừ sâu</v>
      </c>
      <c r="J38" s="142" t="str">
        <f>IFERROR(__xludf.DUMMYFUNCTION("""COMPUTED_VALUE"""),"Chitin 3.6EC")</f>
        <v>Chitin 3.6EC</v>
      </c>
      <c r="K38" s="2" t="str">
        <f>IFERROR(__xludf.DUMMYFUNCTION("""COMPUTED_VALUE"""),"Đóng theo đơn gần nhất")</f>
        <v>Đóng theo đơn gần nhất</v>
      </c>
      <c r="L38" s="2" t="str">
        <f>IFERROR(__xludf.DUMMYFUNCTION("""COMPUTED_VALUE"""),"Nước nâu đen")</f>
        <v>Nước nâu đen</v>
      </c>
      <c r="M38" s="2" t="str">
        <f>IFERROR(__xludf.DUMMYFUNCTION("""COMPUTED_VALUE"""),"Chai")</f>
        <v>Chai</v>
      </c>
      <c r="N38" s="142">
        <f>IFERROR(__xludf.DUMMYFUNCTION("""COMPUTED_VALUE"""),40.0)</f>
        <v>40</v>
      </c>
      <c r="O38" s="142">
        <f>IFERROR(__xludf.DUMMYFUNCTION("""COMPUTED_VALUE"""),40.0)</f>
        <v>40</v>
      </c>
      <c r="P38" s="142">
        <f>IFERROR(__xludf.DUMMYFUNCTION("""COMPUTED_VALUE"""),1600.0)</f>
        <v>1600</v>
      </c>
      <c r="Q38" s="143">
        <f>IFERROR(__xludf.DUMMYFUNCTION("""COMPUTED_VALUE"""),46147.0)</f>
        <v>46147</v>
      </c>
      <c r="R38" s="2" t="str">
        <f>IFERROR(__xludf.DUMMYFUNCTION("""COMPUTED_VALUE"""),"x")</f>
        <v>x</v>
      </c>
      <c r="S38" s="142" t="str">
        <f>IFERROR(__xludf.DUMMYFUNCTION("""COMPUTED_VALUE"""),"Có sớm trước lễ nhận sớm")</f>
        <v>Có sớm trước lễ nhận sớm</v>
      </c>
      <c r="T38" s="142" t="str">
        <f>IFERROR(__xludf.DUMMYFUNCTION("""COMPUTED_VALUE"""),"x")</f>
        <v>x</v>
      </c>
      <c r="U38" s="142" t="str">
        <f>IFERROR(__xludf.DUMMYFUNCTION("""COMPUTED_VALUE"""),"x")</f>
        <v>x</v>
      </c>
      <c r="V38" s="142">
        <f>IFERROR(__xludf.DUMMYFUNCTION("""COMPUTED_VALUE"""),12.0)</f>
        <v>12</v>
      </c>
      <c r="W38" s="2" t="str">
        <f>IFERROR(__xludf.DUMMYFUNCTION("""COMPUTED_VALUE"""),"x - Giá bán 45000 - Ngày dự kiến thu tiền: x - Dự kiến ngày ra hết hàng: 30 ngày")</f>
        <v>x - Giá bán 45000 - Ngày dự kiến thu tiền: x - Dự kiến ngày ra hết hàng: 30 ngày</v>
      </c>
      <c r="X38" s="2"/>
      <c r="Y38" s="2" t="str">
        <f>IFERROR(__xludf.DUMMYFUNCTION("""COMPUTED_VALUE"""),"Thu Loan")</f>
        <v>Thu Loan</v>
      </c>
      <c r="Z38" s="2" t="str">
        <f>IFERROR(__xludf.DUMMYFUNCTION("""COMPUTED_VALUE"""),"Chờ lấy hoá đơn")</f>
        <v>Chờ lấy hoá đơn</v>
      </c>
      <c r="AA38" s="2"/>
      <c r="AB38" s="2" t="str">
        <f>IFERROR(__xludf.DUMMYFUNCTION("""COMPUTED_VALUE"""),"đổi thành thùng 277
chưa gửi dơn do còn vướn pháp lý ghi nhãn, chưa duyệt pháp lý dc
chị Huỳnh duyệt pháp lý 07/05, đã gửi đơn 7/5")</f>
        <v>đổi thành thùng 277
chưa gửi dơn do còn vướn pháp lý ghi nhãn, chưa duyệt pháp lý dc
chị Huỳnh duyệt pháp lý 07/05, đã gửi đơn 7/5</v>
      </c>
      <c r="AC38" s="2"/>
      <c r="AD38" s="2">
        <f>IFERROR(__xludf.DUMMYFUNCTION("""COMPUTED_VALUE"""),1601.0)</f>
        <v>1601</v>
      </c>
      <c r="AE38" s="143">
        <f>IFERROR(__xludf.DUMMYFUNCTION("""COMPUTED_VALUE"""),46177.0)</f>
        <v>46177</v>
      </c>
      <c r="AF38" s="146" t="str">
        <f>IFERROR(__xludf.DUMMYFUNCTION("""COMPUTED_VALUE"""),"Không đủ điều kiện nhận hàng")</f>
        <v>Không đủ điều kiện nhận hàng</v>
      </c>
      <c r="AG38" s="143">
        <f>IFERROR(__xludf.DUMMYFUNCTION("""COMPUTED_VALUE"""),46177.0)</f>
        <v>46177</v>
      </c>
      <c r="AH38" s="2">
        <f>IFERROR(__xludf.DUMMYFUNCTION("""COMPUTED_VALUE"""),1601.0)</f>
        <v>1601</v>
      </c>
      <c r="AI38" s="2"/>
      <c r="AJ38" s="2"/>
      <c r="AK38" s="2"/>
      <c r="AL38" s="2"/>
      <c r="AM38" s="2">
        <f>IFERROR(__xludf.DUMMYFUNCTION("""COMPUTED_VALUE"""),1601.0)</f>
        <v>1601</v>
      </c>
      <c r="AN38" s="2"/>
      <c r="AO38" s="2"/>
      <c r="AP38" s="2"/>
      <c r="AQ38" s="2"/>
      <c r="AR38" s="2"/>
      <c r="AS38" s="2" t="str">
        <f>IFERROR(__xludf.DUMMYFUNCTION("""COMPUTED_VALUE"""),"nsx: 27/03/2026
ndc:01/06/2026")</f>
        <v>nsx: 27/03/2026
ndc:01/06/2026</v>
      </c>
      <c r="AT38" s="2"/>
      <c r="AU38" s="2"/>
      <c r="AV38" s="2"/>
      <c r="AW38" s="2"/>
      <c r="AX38" s="2"/>
      <c r="AY38" s="2"/>
      <c r="AZ38" s="2"/>
      <c r="BA38" s="2" t="str">
        <f>IFERROR(__xludf.DUMMYFUNCTION("""COMPUTED_VALUE"""),"Đủ điều kiện")</f>
        <v>Đủ điều kiện</v>
      </c>
      <c r="BB38" s="2" t="str">
        <f>IFERROR(__xludf.DUMMYFUNCTION("""COMPUTED_VALUE"""),"Duyệt")</f>
        <v>Duyệt</v>
      </c>
      <c r="BC38" s="2">
        <f>IFERROR(__xludf.DUMMYFUNCTION("""COMPUTED_VALUE"""),46137.0)</f>
        <v>46137</v>
      </c>
      <c r="BD38" s="2" t="str">
        <f>IFERROR(__xludf.DUMMYFUNCTION("""COMPUTED_VALUE"""),"Duyệt")</f>
        <v>Duyệt</v>
      </c>
      <c r="BE38" s="2" t="str">
        <f>IFERROR(__xludf.DUMMYFUNCTION("""COMPUTED_VALUE"""),"xlg 25/04
29/04")</f>
        <v>xlg 25/04
29/04</v>
      </c>
      <c r="BF38" s="2" t="str">
        <f>IFERROR(__xludf.DUMMYFUNCTION("""COMPUTED_VALUE"""),"Đã xử lí giá")</f>
        <v>Đã xử lí giá</v>
      </c>
      <c r="BG38" s="2" t="str">
        <f>IFERROR(__xludf.DUMMYFUNCTION("""COMPUTED_VALUE"""),"Đóng theo đơn gần nhất Nước nâu đen 45,000đ 23/4/2026")</f>
        <v>Đóng theo đơn gần nhất Nước nâu đen 45,000đ 23/4/2026</v>
      </c>
      <c r="BH38" s="2"/>
      <c r="BI38" s="2"/>
      <c r="BJ38" s="2"/>
      <c r="BK38" s="2"/>
      <c r="BL38" s="2"/>
      <c r="BM38" s="2"/>
      <c r="BN38" s="2"/>
      <c r="BO38" s="2"/>
      <c r="BP38" s="2"/>
      <c r="BQ38" s="2"/>
    </row>
    <row r="39">
      <c r="A39" s="2">
        <f>IFERROR(__xludf.DUMMYFUNCTION("""COMPUTED_VALUE"""),36.0)</f>
        <v>36</v>
      </c>
      <c r="B39" s="2" t="str">
        <f>IFERROR(__xludf.DUMMYFUNCTION("""COMPUTED_VALUE"""),"Thu Loan")</f>
        <v>Thu Loan</v>
      </c>
      <c r="C39" s="2" t="str">
        <f>IFERROR(__xludf.DUMMYFUNCTION("""COMPUTED_VALUE"""),"ITP23042604")</f>
        <v>ITP23042604</v>
      </c>
      <c r="D39" s="39">
        <f>IFERROR(__xludf.DUMMYFUNCTION("""COMPUTED_VALUE"""),46135.0)</f>
        <v>46135</v>
      </c>
      <c r="E39" s="2"/>
      <c r="F39" s="2" t="str">
        <f>IFERROR(__xludf.DUMMYFUNCTION("""COMPUTED_VALUE"""),"DEGO")</f>
        <v>DEGO</v>
      </c>
      <c r="G39" s="2" t="str">
        <f>IFERROR(__xludf.DUMMYFUNCTION("""COMPUTED_VALUE"""),"HH4927")</f>
        <v>HH4927</v>
      </c>
      <c r="H39" s="2" t="str">
        <f>IFERROR(__xludf.DUMMYFUNCTION("""COMPUTED_VALUE"""),"LOT IDA - I - 4927 - HAIHAMEC 3.6C (AG1) (Nước nâu đen) - 450ml - 40")</f>
        <v>LOT IDA - I - 4927 - HAIHAMEC 3.6C (AG1) (Nước nâu đen) - 450ml - 40</v>
      </c>
      <c r="I39" s="2" t="str">
        <f>IFERROR(__xludf.DUMMYFUNCTION("""COMPUTED_VALUE"""),"Thuốc trừ sâu")</f>
        <v>Thuốc trừ sâu</v>
      </c>
      <c r="J39" s="142" t="str">
        <f>IFERROR(__xludf.DUMMYFUNCTION("""COMPUTED_VALUE"""),"HAIHAMEC 3.6EC")</f>
        <v>HAIHAMEC 3.6EC</v>
      </c>
      <c r="K39" s="2" t="str">
        <f>IFERROR(__xludf.DUMMYFUNCTION("""COMPUTED_VALUE"""),"Đóng theo đơn gần nhất")</f>
        <v>Đóng theo đơn gần nhất</v>
      </c>
      <c r="L39" s="2" t="str">
        <f>IFERROR(__xludf.DUMMYFUNCTION("""COMPUTED_VALUE"""),"Nước nâu đen")</f>
        <v>Nước nâu đen</v>
      </c>
      <c r="M39" s="2" t="str">
        <f>IFERROR(__xludf.DUMMYFUNCTION("""COMPUTED_VALUE"""),"Chai")</f>
        <v>Chai</v>
      </c>
      <c r="N39" s="142">
        <f>IFERROR(__xludf.DUMMYFUNCTION("""COMPUTED_VALUE"""),40.0)</f>
        <v>40</v>
      </c>
      <c r="O39" s="142">
        <f>IFERROR(__xludf.DUMMYFUNCTION("""COMPUTED_VALUE"""),20.0)</f>
        <v>20</v>
      </c>
      <c r="P39" s="142">
        <f>IFERROR(__xludf.DUMMYFUNCTION("""COMPUTED_VALUE"""),800.0)</f>
        <v>800</v>
      </c>
      <c r="Q39" s="143">
        <f>IFERROR(__xludf.DUMMYFUNCTION("""COMPUTED_VALUE"""),46147.0)</f>
        <v>46147</v>
      </c>
      <c r="R39" s="2" t="str">
        <f>IFERROR(__xludf.DUMMYFUNCTION("""COMPUTED_VALUE"""),"x")</f>
        <v>x</v>
      </c>
      <c r="S39" s="142" t="str">
        <f>IFERROR(__xludf.DUMMYFUNCTION("""COMPUTED_VALUE"""),"x")</f>
        <v>x</v>
      </c>
      <c r="T39" s="142" t="str">
        <f>IFERROR(__xludf.DUMMYFUNCTION("""COMPUTED_VALUE"""),"x")</f>
        <v>x</v>
      </c>
      <c r="U39" s="142" t="str">
        <f>IFERROR(__xludf.DUMMYFUNCTION("""COMPUTED_VALUE"""),"x")</f>
        <v>x</v>
      </c>
      <c r="V39" s="142">
        <f>IFERROR(__xludf.DUMMYFUNCTION("""COMPUTED_VALUE"""),12.0)</f>
        <v>12</v>
      </c>
      <c r="W39" s="2" t="str">
        <f>IFERROR(__xludf.DUMMYFUNCTION("""COMPUTED_VALUE"""),"x - Giá bán x - Ngày dự kiến thu tiền: x - Dự kiến ngày ra hết hàng: 30 ngày")</f>
        <v>x - Giá bán x - Ngày dự kiến thu tiền: x - Dự kiến ngày ra hết hàng: 30 ngày</v>
      </c>
      <c r="X39" s="2"/>
      <c r="Y39" s="2" t="str">
        <f>IFERROR(__xludf.DUMMYFUNCTION("""COMPUTED_VALUE"""),"Thu Loan")</f>
        <v>Thu Loan</v>
      </c>
      <c r="Z39" s="2" t="str">
        <f>IFERROR(__xludf.DUMMYFUNCTION("""COMPUTED_VALUE"""),"Chưa có lịch SX")</f>
        <v>Chưa có lịch SX</v>
      </c>
      <c r="AA39" s="2"/>
      <c r="AB39" s="2" t="str">
        <f>IFERROR(__xludf.DUMMYFUNCTION("""COMPUTED_VALUE"""),"chưa gửi dơn do còn vướn pháp lý ghi nhãn, chưa duyệt pháp lý dc
chị Huỳnh duyệt pháp lý 07/05, đã gửi đơn 7/5")</f>
        <v>chưa gửi dơn do còn vướn pháp lý ghi nhãn, chưa duyệt pháp lý dc
chị Huỳnh duyệt pháp lý 07/05, đã gửi đơn 7/5</v>
      </c>
      <c r="AC39" s="146">
        <f>IFERROR(__xludf.DUMMYFUNCTION("""COMPUTED_VALUE"""),800.0)</f>
        <v>800</v>
      </c>
      <c r="AD39" s="2"/>
      <c r="AE39" s="143" t="str">
        <f>IFERROR(__xludf.DUMMYFUNCTION("""COMPUTED_VALUE"""),"Chưa chốt lịch")</f>
        <v>Chưa chốt lịch</v>
      </c>
      <c r="AF39" s="146" t="str">
        <f>IFERROR(__xludf.DUMMYFUNCTION("""COMPUTED_VALUE"""),"")</f>
        <v/>
      </c>
      <c r="AG39" s="2"/>
      <c r="AH39" s="2"/>
      <c r="AI39" s="2"/>
      <c r="AJ39" s="2"/>
      <c r="AK39" s="2"/>
      <c r="AL39" s="2"/>
      <c r="AM39" s="2"/>
      <c r="AN39" s="2"/>
      <c r="AO39" s="2"/>
      <c r="AP39" s="2"/>
      <c r="AQ39" s="2"/>
      <c r="AR39" s="2"/>
      <c r="AS39" s="2"/>
      <c r="AT39" s="2"/>
      <c r="AU39" s="2"/>
      <c r="AV39" s="2"/>
      <c r="AW39" s="2"/>
      <c r="AX39" s="2"/>
      <c r="AY39" s="2"/>
      <c r="AZ39" s="2"/>
      <c r="BA39" s="2" t="str">
        <f>IFERROR(__xludf.DUMMYFUNCTION("""COMPUTED_VALUE"""),"Đủ điều kiện")</f>
        <v>Đủ điều kiện</v>
      </c>
      <c r="BB39" s="2" t="str">
        <f>IFERROR(__xludf.DUMMYFUNCTION("""COMPUTED_VALUE"""),"Duyệt")</f>
        <v>Duyệt</v>
      </c>
      <c r="BC39" s="148">
        <f>IFERROR(__xludf.DUMMYFUNCTION("""COMPUTED_VALUE"""),46137.0)</f>
        <v>46137</v>
      </c>
      <c r="BD39" s="2" t="str">
        <f>IFERROR(__xludf.DUMMYFUNCTION("""COMPUTED_VALUE"""),"Duyệt")</f>
        <v>Duyệt</v>
      </c>
      <c r="BE39" s="2" t="str">
        <f>IFERROR(__xludf.DUMMYFUNCTION("""COMPUTED_VALUE"""),"xlg 25/04
29/04")</f>
        <v>xlg 25/04
29/04</v>
      </c>
      <c r="BF39" s="2" t="str">
        <f>IFERROR(__xludf.DUMMYFUNCTION("""COMPUTED_VALUE"""),"Đã xử lí giá")</f>
        <v>Đã xử lí giá</v>
      </c>
      <c r="BG39" s="2" t="str">
        <f>IFERROR(__xludf.DUMMYFUNCTION("""COMPUTED_VALUE"""),"Đóng theo đơn gần nhất Nước nâu đen kd không cập nhật giá 23/4/2026")</f>
        <v>Đóng theo đơn gần nhất Nước nâu đen kd không cập nhật giá 23/4/2026</v>
      </c>
      <c r="BH39" s="2"/>
      <c r="BI39" s="2"/>
      <c r="BJ39" s="2"/>
      <c r="BK39" s="2"/>
      <c r="BL39" s="2"/>
      <c r="BM39" s="2"/>
      <c r="BN39" s="2"/>
      <c r="BO39" s="2"/>
      <c r="BP39" s="2"/>
      <c r="BQ39" s="2"/>
    </row>
    <row r="40">
      <c r="A40" s="2">
        <f>IFERROR(__xludf.DUMMYFUNCTION("""COMPUTED_VALUE"""),37.0)</f>
        <v>37</v>
      </c>
      <c r="B40" s="2" t="str">
        <f>IFERROR(__xludf.DUMMYFUNCTION("""COMPUTED_VALUE"""),"Hà Long")</f>
        <v>Hà Long</v>
      </c>
      <c r="C40" s="2" t="str">
        <f>IFERROR(__xludf.DUMMYFUNCTION("""COMPUTED_VALUE"""),"ATP24042606")</f>
        <v>ATP24042606</v>
      </c>
      <c r="D40" s="39">
        <f>IFERROR(__xludf.DUMMYFUNCTION("""COMPUTED_VALUE"""),46136.0)</f>
        <v>46136</v>
      </c>
      <c r="E40" s="2" t="str">
        <f>IFERROR(__xludf.DUMMYFUNCTION("""COMPUTED_VALUE"""),"Đã duyệt")</f>
        <v>Đã duyệt</v>
      </c>
      <c r="F40" s="2" t="str">
        <f>IFERROR(__xludf.DUMMYFUNCTION("""COMPUTED_VALUE"""),"ABA")</f>
        <v>ABA</v>
      </c>
      <c r="G40" s="2" t="str">
        <f>IFERROR(__xludf.DUMMYFUNCTION("""COMPUTED_VALUE"""),"HH4980")</f>
        <v>HH4980</v>
      </c>
      <c r="H40" s="2" t="str">
        <f>IFERROR(__xludf.DUMMYFUNCTION("""COMPUTED_VALUE"""),"GC - V - 4980 - CTY AGRITECH - FAST KILL SNAIL (Bột vàng nghệ) - 70gr - 150")</f>
        <v>GC - V - 4980 - CTY AGRITECH - FAST KILL SNAIL (Bột vàng nghệ) - 70gr - 150</v>
      </c>
      <c r="I40" s="2" t="str">
        <f>IFERROR(__xludf.DUMMYFUNCTION("""COMPUTED_VALUE"""),"Thuốc trừ ốc")</f>
        <v>Thuốc trừ ốc</v>
      </c>
      <c r="J40" s="142" t="str">
        <f>IFERROR(__xludf.DUMMYFUNCTION("""COMPUTED_VALUE"""),"NP SNAILICIDE 700WP")</f>
        <v>NP SNAILICIDE 700WP</v>
      </c>
      <c r="K40" s="2" t="str">
        <f>IFERROR(__xludf.DUMMYFUNCTION("""COMPUTED_VALUE"""),"Dòng V1")</f>
        <v>Dòng V1</v>
      </c>
      <c r="L40" s="2" t="str">
        <f>IFERROR(__xludf.DUMMYFUNCTION("""COMPUTED_VALUE"""),"Bột vàng nghệ")</f>
        <v>Bột vàng nghệ</v>
      </c>
      <c r="M40" s="2" t="str">
        <f>IFERROR(__xludf.DUMMYFUNCTION("""COMPUTED_VALUE"""),"Túi/Gói")</f>
        <v>Túi/Gói</v>
      </c>
      <c r="N40" s="142">
        <f>IFERROR(__xludf.DUMMYFUNCTION("""COMPUTED_VALUE"""),150.0)</f>
        <v>150</v>
      </c>
      <c r="O40" s="142">
        <f>IFERROR(__xludf.DUMMYFUNCTION("""COMPUTED_VALUE"""),20.0)</f>
        <v>20</v>
      </c>
      <c r="P40" s="142">
        <f>IFERROR(__xludf.DUMMYFUNCTION("""COMPUTED_VALUE"""),3000.0)</f>
        <v>3000</v>
      </c>
      <c r="Q40" s="143">
        <f>IFERROR(__xludf.DUMMYFUNCTION("""COMPUTED_VALUE"""),46151.0)</f>
        <v>46151</v>
      </c>
      <c r="R40" s="2"/>
      <c r="S40" s="142" t="str">
        <f>IFERROR(__xludf.DUMMYFUNCTION("""COMPUTED_VALUE"""),"lấy chẳn thùng")</f>
        <v>lấy chẳn thùng</v>
      </c>
      <c r="T40" s="2"/>
      <c r="U40" s="2"/>
      <c r="V40" s="2"/>
      <c r="W40" s="2" t="str">
        <f>IFERROR(__xludf.DUMMYFUNCTION("""COMPUTED_VALUE"""),"AGRITECH - Giá bán 17.000,00 đ - Ngày dự kiến thu tiền:  - Dự kiến ngày ra hết hàng: ")</f>
        <v>AGRITECH - Giá bán 17.000,00 đ - Ngày dự kiến thu tiền:  - Dự kiến ngày ra hết hàng: </v>
      </c>
      <c r="X40" s="2"/>
      <c r="Y40" s="2" t="str">
        <f>IFERROR(__xludf.DUMMYFUNCTION("""COMPUTED_VALUE"""),"Hà Long")</f>
        <v>Hà Long</v>
      </c>
      <c r="Z40" s="2" t="str">
        <f>IFERROR(__xludf.DUMMYFUNCTION("""COMPUTED_VALUE"""),"Hàng sẵn kho")</f>
        <v>Hàng sẵn kho</v>
      </c>
      <c r="AA40" s="39">
        <f>IFERROR(__xludf.DUMMYFUNCTION("""COMPUTED_VALUE"""),46160.0)</f>
        <v>46160</v>
      </c>
      <c r="AB40" s="2" t="str">
        <f>IFERROR(__xludf.DUMMYFUNCTION("""COMPUTED_VALUE"""),"Thiếu nhãn- DK 9/5 giao ")</f>
        <v>Thiếu nhãn- DK 9/5 giao </v>
      </c>
      <c r="AC40" s="146">
        <f>IFERROR(__xludf.DUMMYFUNCTION("""COMPUTED_VALUE"""),3000.0)</f>
        <v>3000</v>
      </c>
      <c r="AD40" s="2"/>
      <c r="AE40" s="143">
        <f>IFERROR(__xludf.DUMMYFUNCTION("""COMPUTED_VALUE"""),46175.0)</f>
        <v>46175</v>
      </c>
      <c r="AF40" s="146" t="str">
        <f>IFERROR(__xludf.DUMMYFUNCTION("""COMPUTED_VALUE"""),"Đủ điều kiện nhận hàng")</f>
        <v>Đủ điều kiện nhận hàng</v>
      </c>
      <c r="AG40" s="143">
        <f>IFERROR(__xludf.DUMMYFUNCTION("""COMPUTED_VALUE"""),46175.0)</f>
        <v>46175</v>
      </c>
      <c r="AH40" s="146" t="str">
        <f>IFERROR(__xludf.DUMMYFUNCTION("""COMPUTED_VALUE"""),"3001")</f>
        <v>3001</v>
      </c>
      <c r="AI40" s="2"/>
      <c r="AJ40" s="2"/>
      <c r="AK40" s="2"/>
      <c r="AL40" s="2"/>
      <c r="AM40" s="142">
        <f>IFERROR(__xludf.DUMMYFUNCTION("""COMPUTED_VALUE"""),3001.0)</f>
        <v>3001</v>
      </c>
      <c r="AN40" s="2"/>
      <c r="AO40" s="2"/>
      <c r="AP40" s="2"/>
      <c r="AQ40" s="2"/>
      <c r="AR40" s="2"/>
      <c r="AS40" s="2"/>
      <c r="AT40" s="2"/>
      <c r="AU40" s="2"/>
      <c r="AV40" s="2"/>
      <c r="AW40" s="2"/>
      <c r="AX40" s="2"/>
      <c r="AY40" s="2"/>
      <c r="AZ40" s="2"/>
      <c r="BA40" s="2" t="str">
        <f>IFERROR(__xludf.DUMMYFUNCTION("""COMPUTED_VALUE"""),"Đủ điều kiện")</f>
        <v>Đủ điều kiện</v>
      </c>
      <c r="BB40" s="2" t="str">
        <f>IFERROR(__xludf.DUMMYFUNCTION("""COMPUTED_VALUE"""),"Duyệt")</f>
        <v>Duyệt</v>
      </c>
      <c r="BC40" s="143">
        <f>IFERROR(__xludf.DUMMYFUNCTION("""COMPUTED_VALUE"""),46140.0)</f>
        <v>46140</v>
      </c>
      <c r="BD40" s="2" t="str">
        <f>IFERROR(__xludf.DUMMYFUNCTION("""COMPUTED_VALUE"""),"Duyệt")</f>
        <v>Duyệt</v>
      </c>
      <c r="BE40" s="143">
        <f>IFERROR(__xludf.DUMMYFUNCTION("""COMPUTED_VALUE"""),46139.0)</f>
        <v>46139</v>
      </c>
      <c r="BF40" s="2" t="str">
        <f>IFERROR(__xludf.DUMMYFUNCTION("""COMPUTED_VALUE"""),"Đã xử lí giá")</f>
        <v>Đã xử lí giá</v>
      </c>
      <c r="BG40" s="2" t="str">
        <f>IFERROR(__xludf.DUMMYFUNCTION("""COMPUTED_VALUE"""),"Dòng V1 Bột vàng nghệ 17,000đ 25/4/2026")</f>
        <v>Dòng V1 Bột vàng nghệ 17,000đ 25/4/2026</v>
      </c>
      <c r="BH40" s="2"/>
      <c r="BI40" s="2"/>
      <c r="BJ40" s="2"/>
      <c r="BK40" s="2"/>
      <c r="BL40" s="2"/>
      <c r="BM40" s="2"/>
      <c r="BN40" s="2"/>
      <c r="BO40" s="2"/>
      <c r="BP40" s="2"/>
      <c r="BQ40" s="2"/>
    </row>
    <row r="41">
      <c r="A41" s="2">
        <f>IFERROR(__xludf.DUMMYFUNCTION("""COMPUTED_VALUE"""),38.0)</f>
        <v>38</v>
      </c>
      <c r="B41" s="2" t="str">
        <f>IFERROR(__xludf.DUMMYFUNCTION("""COMPUTED_VALUE"""),"Dego Cần Thơ")</f>
        <v>Dego Cần Thơ</v>
      </c>
      <c r="C41" s="2" t="str">
        <f>IFERROR(__xludf.DUMMYFUNCTION("""COMPUTED_VALUE"""),"ATP24042608")</f>
        <v>ATP24042608</v>
      </c>
      <c r="D41" s="39">
        <f>IFERROR(__xludf.DUMMYFUNCTION("""COMPUTED_VALUE"""),46136.0)</f>
        <v>46136</v>
      </c>
      <c r="E41" s="2" t="str">
        <f>IFERROR(__xludf.DUMMYFUNCTION("""COMPUTED_VALUE"""),"Đã duyệt")</f>
        <v>Đã duyệt</v>
      </c>
      <c r="F41" s="2" t="str">
        <f>IFERROR(__xludf.DUMMYFUNCTION("""COMPUTED_VALUE"""),"ABA")</f>
        <v>ABA</v>
      </c>
      <c r="G41" s="2" t="str">
        <f>IFERROR(__xludf.DUMMYFUNCTION("""COMPUTED_VALUE"""),"HH4908")</f>
        <v>HH4908</v>
      </c>
      <c r="H41" s="2" t="str">
        <f>IFERROR(__xludf.DUMMYFUNCTION("""COMPUTED_VALUE"""),"GC - V - 4908 - HÓA NÔNG SHINO - CỨNG CÂY K40 (Nước nâu đen) - 450ml - 30")</f>
        <v>GC - V - 4908 - HÓA NÔNG SHINO - CỨNG CÂY K40 (Nước nâu đen) - 450ml - 30</v>
      </c>
      <c r="I41" s="2" t="str">
        <f>IFERROR(__xludf.DUMMYFUNCTION("""COMPUTED_VALUE"""),"Phân bón")</f>
        <v>Phân bón</v>
      </c>
      <c r="J41" s="142" t="str">
        <f>IFERROR(__xludf.DUMMYFUNCTION("""COMPUTED_VALUE"""),"Vi Lượng G.A 05")</f>
        <v>Vi Lượng G.A 05</v>
      </c>
      <c r="K41" s="2" t="str">
        <f>IFERROR(__xludf.DUMMYFUNCTION("""COMPUTED_VALUE"""),"A02090426")</f>
        <v>A02090426</v>
      </c>
      <c r="L41" s="2" t="str">
        <f>IFERROR(__xludf.DUMMYFUNCTION("""COMPUTED_VALUE"""),"Nước nâu đen")</f>
        <v>Nước nâu đen</v>
      </c>
      <c r="M41" s="2" t="str">
        <f>IFERROR(__xludf.DUMMYFUNCTION("""COMPUTED_VALUE"""),"Chai")</f>
        <v>Chai</v>
      </c>
      <c r="N41" s="142">
        <f>IFERROR(__xludf.DUMMYFUNCTION("""COMPUTED_VALUE"""),30.0)</f>
        <v>30</v>
      </c>
      <c r="O41" s="142">
        <f>IFERROR(__xludf.DUMMYFUNCTION("""COMPUTED_VALUE"""),15.0)</f>
        <v>15</v>
      </c>
      <c r="P41" s="142">
        <f>IFERROR(__xludf.DUMMYFUNCTION("""COMPUTED_VALUE"""),450.0)</f>
        <v>450</v>
      </c>
      <c r="Q41" s="143">
        <f>IFERROR(__xludf.DUMMYFUNCTION("""COMPUTED_VALUE"""),46155.0)</f>
        <v>46155</v>
      </c>
      <c r="R41" s="2"/>
      <c r="S41" s="142" t="str">
        <f>IFERROR(__xludf.DUMMYFUNCTION("""COMPUTED_VALUE"""),"lấy chẳn thùng")</f>
        <v>lấy chẳn thùng</v>
      </c>
      <c r="T41" s="2"/>
      <c r="U41" s="2"/>
      <c r="V41" s="2"/>
      <c r="W41" s="2" t="str">
        <f>IFERROR(__xludf.DUMMYFUNCTION("""COMPUTED_VALUE"""),"SHINO - Giá bán 57.000,00 đ - Ngày dự kiến thu tiền:  - Dự kiến ngày ra hết hàng: ")</f>
        <v>SHINO - Giá bán 57.000,00 đ - Ngày dự kiến thu tiền:  - Dự kiến ngày ra hết hàng: </v>
      </c>
      <c r="X41" s="2"/>
      <c r="Y41" s="2" t="str">
        <f>IFERROR(__xludf.DUMMYFUNCTION("""COMPUTED_VALUE"""),"Dego Cần Thơ")</f>
        <v>Dego Cần Thơ</v>
      </c>
      <c r="Z41" s="2" t="str">
        <f>IFERROR(__xludf.DUMMYFUNCTION("""COMPUTED_VALUE"""),"Hàng sẵn kho")</f>
        <v>Hàng sẵn kho</v>
      </c>
      <c r="AA41" s="2"/>
      <c r="AB41" s="2" t="str">
        <f>IFERROR(__xludf.DUMMYFUNCTION("""COMPUTED_VALUE"""),"chờ xử lý giá  24/04
Kd tăng đơn lên 15 thùng 29/04
chai 7/5 giao, dự kiến 9/5 chiết
có 1 NL test hàm lượng không đạt, hiện đang tìm NCC khác để test lại mẫu, dự kiến mất trên 15 ngày
đã có lịch dự kiến 22/05 chiết")</f>
        <v>chờ xử lý giá  24/04
Kd tăng đơn lên 15 thùng 29/04
chai 7/5 giao, dự kiến 9/5 chiết
có 1 NL test hàm lượng không đạt, hiện đang tìm NCC khác để test lại mẫu, dự kiến mất trên 15 ngày
đã có lịch dự kiến 22/05 chiết</v>
      </c>
      <c r="AC41" s="2"/>
      <c r="AD41" s="146">
        <f>IFERROR(__xludf.DUMMYFUNCTION("""COMPUTED_VALUE"""),452.0)</f>
        <v>452</v>
      </c>
      <c r="AE41" s="2" t="str">
        <f>IFERROR(__xludf.DUMMYFUNCTION("""COMPUTED_VALUE"""),"đã bàn giao cho nhà máy 23/05")</f>
        <v>đã bàn giao cho nhà máy 23/05</v>
      </c>
      <c r="AF41" s="146" t="str">
        <f>IFERROR(__xludf.DUMMYFUNCTION("""COMPUTED_VALUE"""),"ATP24042608")</f>
        <v>ATP24042608</v>
      </c>
      <c r="AG41" s="143">
        <f>IFERROR(__xludf.DUMMYFUNCTION("""COMPUTED_VALUE"""),46163.0)</f>
        <v>46163</v>
      </c>
      <c r="AH41" s="146">
        <f>IFERROR(__xludf.DUMMYFUNCTION("""COMPUTED_VALUE"""),452.0)</f>
        <v>452</v>
      </c>
      <c r="AI41" s="2"/>
      <c r="AJ41" s="2"/>
      <c r="AK41" s="2"/>
      <c r="AL41" s="2"/>
      <c r="AM41" s="142">
        <f>IFERROR(__xludf.DUMMYFUNCTION("""COMPUTED_VALUE"""),450.0)</f>
        <v>450</v>
      </c>
      <c r="AN41" s="2"/>
      <c r="AO41" s="2"/>
      <c r="AP41" s="2"/>
      <c r="AQ41" s="2"/>
      <c r="AR41" s="2" t="str">
        <f>IFERROR(__xludf.DUMMYFUNCTION("""COMPUTED_VALUE"""),"020526")</f>
        <v>020526</v>
      </c>
      <c r="AS41" s="143">
        <f>IFERROR(__xludf.DUMMYFUNCTION("""COMPUTED_VALUE"""),46163.0)</f>
        <v>46163</v>
      </c>
      <c r="AT41" s="2"/>
      <c r="AU41" s="2"/>
      <c r="AV41" s="2"/>
      <c r="AW41" s="2"/>
      <c r="AX41" s="2"/>
      <c r="AY41" s="2"/>
      <c r="AZ41" s="2" t="str">
        <f>IFERROR(__xludf.DUMMYFUNCTION("""COMPUTED_VALUE"""),"#REF!")</f>
        <v>#REF!</v>
      </c>
      <c r="BA41" s="2" t="str">
        <f>IFERROR(__xludf.DUMMYFUNCTION("""COMPUTED_VALUE"""),"Đủ điều kiện")</f>
        <v>Đủ điều kiện</v>
      </c>
      <c r="BB41" s="2" t="str">
        <f>IFERROR(__xludf.DUMMYFUNCTION("""COMPUTED_VALUE"""),"Duyệt")</f>
        <v>Duyệt</v>
      </c>
      <c r="BC41" s="148">
        <f>IFERROR(__xludf.DUMMYFUNCTION("""COMPUTED_VALUE"""),46136.0)</f>
        <v>46136</v>
      </c>
      <c r="BD41" s="2" t="str">
        <f>IFERROR(__xludf.DUMMYFUNCTION("""COMPUTED_VALUE"""),"Duyệt")</f>
        <v>Duyệt</v>
      </c>
      <c r="BE41" s="2" t="str">
        <f>IFERROR(__xludf.DUMMYFUNCTION("""COMPUTED_VALUE"""),"xlg 25/04
27/04")</f>
        <v>xlg 25/04
27/04</v>
      </c>
      <c r="BF41" s="2" t="str">
        <f>IFERROR(__xludf.DUMMYFUNCTION("""COMPUTED_VALUE"""),"Đã xử lí giá")</f>
        <v>Đã xử lí giá</v>
      </c>
      <c r="BG41" s="2" t="str">
        <f>IFERROR(__xludf.DUMMYFUNCTION("""COMPUTED_VALUE"""),"A02090426 Nước nâu đen 57,000đ 25/4/2026")</f>
        <v>A02090426 Nước nâu đen 57,000đ 25/4/2026</v>
      </c>
      <c r="BH41" s="2"/>
      <c r="BI41" s="2"/>
      <c r="BJ41" s="2"/>
      <c r="BK41" s="2"/>
      <c r="BL41" s="2"/>
      <c r="BM41" s="2"/>
      <c r="BN41" s="2"/>
      <c r="BO41" s="2"/>
      <c r="BP41" s="2"/>
      <c r="BQ41" s="2"/>
    </row>
    <row r="42">
      <c r="A42" s="2">
        <f>IFERROR(__xludf.DUMMYFUNCTION("""COMPUTED_VALUE"""),39.0)</f>
        <v>39</v>
      </c>
      <c r="B42" s="2" t="str">
        <f>IFERROR(__xludf.DUMMYFUNCTION("""COMPUTED_VALUE"""),"Dego Cần Thơ")</f>
        <v>Dego Cần Thơ</v>
      </c>
      <c r="C42" s="2" t="str">
        <f>IFERROR(__xludf.DUMMYFUNCTION("""COMPUTED_VALUE"""),"STP24042601")</f>
        <v>STP24042601</v>
      </c>
      <c r="D42" s="39">
        <f>IFERROR(__xludf.DUMMYFUNCTION("""COMPUTED_VALUE"""),46136.0)</f>
        <v>46136</v>
      </c>
      <c r="E42" s="2"/>
      <c r="F42" s="2" t="str">
        <f>IFERROR(__xludf.DUMMYFUNCTION("""COMPUTED_VALUE"""),"N2SBIO")</f>
        <v>N2SBIO</v>
      </c>
      <c r="G42" s="2" t="str">
        <f>IFERROR(__xludf.DUMMYFUNCTION("""COMPUTED_VALUE"""),"HH4968")</f>
        <v>HH4968</v>
      </c>
      <c r="H42" s="2" t="str">
        <f>IFERROR(__xludf.DUMMYFUNCTION("""COMPUTED_VALUE"""),"GC - IX - 4968 - N2SBIO - N2 HYPER SHIELD (Nước hồng) - 50ml - 300")</f>
        <v>GC - IX - 4968 - N2SBIO - N2 HYPER SHIELD (Nước hồng) - 50ml - 300</v>
      </c>
      <c r="I42" s="2" t="str">
        <f>IFERROR(__xludf.DUMMYFUNCTION("""COMPUTED_VALUE"""),"Phân bón")</f>
        <v>Phân bón</v>
      </c>
      <c r="J42" s="142" t="str">
        <f>IFERROR(__xludf.DUMMYFUNCTION("""COMPUTED_VALUE"""),"Vi lượng Run Fast")</f>
        <v>Vi lượng Run Fast</v>
      </c>
      <c r="K42" s="2" t="str">
        <f>IFERROR(__xludf.DUMMYFUNCTION("""COMPUTED_VALUE"""),"N06230326")</f>
        <v>N06230326</v>
      </c>
      <c r="L42" s="2" t="str">
        <f>IFERROR(__xludf.DUMMYFUNCTION("""COMPUTED_VALUE"""),"Nước hồng")</f>
        <v>Nước hồng</v>
      </c>
      <c r="M42" s="2" t="str">
        <f>IFERROR(__xludf.DUMMYFUNCTION("""COMPUTED_VALUE"""),"Túi/Gói")</f>
        <v>Túi/Gói</v>
      </c>
      <c r="N42" s="142">
        <f>IFERROR(__xludf.DUMMYFUNCTION("""COMPUTED_VALUE"""),300.0)</f>
        <v>300</v>
      </c>
      <c r="O42" s="142">
        <f>IFERROR(__xludf.DUMMYFUNCTION("""COMPUTED_VALUE"""),15.0)</f>
        <v>15</v>
      </c>
      <c r="P42" s="142">
        <f>IFERROR(__xludf.DUMMYFUNCTION("""COMPUTED_VALUE"""),4500.0)</f>
        <v>4500</v>
      </c>
      <c r="Q42" s="143">
        <f>IFERROR(__xludf.DUMMYFUNCTION("""COMPUTED_VALUE"""),46146.0)</f>
        <v>46146</v>
      </c>
      <c r="R42" s="2" t="str">
        <f>IFERROR(__xludf.DUMMYFUNCTION("""COMPUTED_VALUE"""),"x")</f>
        <v>x</v>
      </c>
      <c r="S42" s="142" t="str">
        <f>IFERROR(__xludf.DUMMYFUNCTION("""COMPUTED_VALUE"""),"x")</f>
        <v>x</v>
      </c>
      <c r="T42" s="142" t="str">
        <f>IFERROR(__xludf.DUMMYFUNCTION("""COMPUTED_VALUE"""),"x")</f>
        <v>x</v>
      </c>
      <c r="U42" s="142" t="str">
        <f>IFERROR(__xludf.DUMMYFUNCTION("""COMPUTED_VALUE"""),"x")</f>
        <v>x</v>
      </c>
      <c r="V42" s="142">
        <f>IFERROR(__xludf.DUMMYFUNCTION("""COMPUTED_VALUE"""),10.0)</f>
        <v>10</v>
      </c>
      <c r="W42" s="2" t="str">
        <f>IFERROR(__xludf.DUMMYFUNCTION("""COMPUTED_VALUE""")," - Giá bán 45.000 đ - Ngày dự kiến thu tiền:  - Dự kiến ngày ra hết hàng: ")</f>
        <v> - Giá bán 45.000 đ - Ngày dự kiến thu tiền:  - Dự kiến ngày ra hết hàng: </v>
      </c>
      <c r="X42" s="2"/>
      <c r="Y42" s="2" t="str">
        <f>IFERROR(__xludf.DUMMYFUNCTION("""COMPUTED_VALUE"""),"Dego Cần Thơ")</f>
        <v>Dego Cần Thơ</v>
      </c>
      <c r="Z42" s="2" t="str">
        <f>IFERROR(__xludf.DUMMYFUNCTION("""COMPUTED_VALUE"""),"Hàng sẵn kho")</f>
        <v>Hàng sẵn kho</v>
      </c>
      <c r="AA42" s="2"/>
      <c r="AB42" s="2" t="str">
        <f>IFERROR(__xludf.DUMMYFUNCTION("""COMPUTED_VALUE"""),"Dự kiến NL ngày 09/05 về. Nếu lab test đạt ngày 11 phối, theo dõi 24h và ngày 13/05 chiết
đã lấy hóa đơn 16/05
ngày 18/05 giao 7 thùng, lượng còn lại nhà máy kiểm tra lại dường hàn, sẽ lấy cho đợt kế tiếp")</f>
        <v>Dự kiến NL ngày 09/05 về. Nếu lab test đạt ngày 11 phối, theo dõi 24h và ngày 13/05 chiết
đã lấy hóa đơn 16/05
ngày 18/05 giao 7 thùng, lượng còn lại nhà máy kiểm tra lại dường hàn, sẽ lấy cho đợt kế tiếp</v>
      </c>
      <c r="AC42" s="2"/>
      <c r="AD42" s="146">
        <f>IFERROR(__xludf.DUMMYFUNCTION("""COMPUTED_VALUE"""),4745.0)</f>
        <v>4745</v>
      </c>
      <c r="AE42" s="2" t="str">
        <f>IFERROR(__xludf.DUMMYFUNCTION("""COMPUTED_VALUE"""),"đã bàn giao cho nhà máy 23/05")</f>
        <v>đã bàn giao cho nhà máy 23/05</v>
      </c>
      <c r="AF42" s="146" t="str">
        <f>IFERROR(__xludf.DUMMYFUNCTION("""COMPUTED_VALUE"""),"STP24042601")</f>
        <v>STP24042601</v>
      </c>
      <c r="AG42" s="143">
        <f>IFERROR(__xludf.DUMMYFUNCTION("""COMPUTED_VALUE"""),46156.0)</f>
        <v>46156</v>
      </c>
      <c r="AH42" s="146">
        <f>IFERROR(__xludf.DUMMYFUNCTION("""COMPUTED_VALUE"""),4745.0)</f>
        <v>4745</v>
      </c>
      <c r="AI42" s="2"/>
      <c r="AJ42" s="2"/>
      <c r="AK42" s="2"/>
      <c r="AL42" s="2"/>
      <c r="AM42" s="142">
        <f>IFERROR(__xludf.DUMMYFUNCTION("""COMPUTED_VALUE"""),2643.0)</f>
        <v>2643</v>
      </c>
      <c r="AN42" s="2"/>
      <c r="AO42" s="2"/>
      <c r="AP42" s="2"/>
      <c r="AQ42" s="2"/>
      <c r="AR42" s="2">
        <f>IFERROR(__xludf.DUMMYFUNCTION("""COMPUTED_VALUE"""),390426.0)</f>
        <v>390426</v>
      </c>
      <c r="AS42" s="143">
        <f>IFERROR(__xludf.DUMMYFUNCTION("""COMPUTED_VALUE"""),46156.0)</f>
        <v>46156</v>
      </c>
      <c r="AT42" s="2"/>
      <c r="AU42" s="2"/>
      <c r="AV42" s="2"/>
      <c r="AW42" s="2"/>
      <c r="AX42" s="2"/>
      <c r="AY42" s="2"/>
      <c r="AZ42" s="2" t="str">
        <f>IFERROR(__xludf.DUMMYFUNCTION("""COMPUTED_VALUE"""),"#REF!")</f>
        <v>#REF!</v>
      </c>
      <c r="BA42" s="2" t="str">
        <f>IFERROR(__xludf.DUMMYFUNCTION("""COMPUTED_VALUE"""),"Đủ điều kiện")</f>
        <v>Đủ điều kiện</v>
      </c>
      <c r="BB42" s="2" t="str">
        <f>IFERROR(__xludf.DUMMYFUNCTION("""COMPUTED_VALUE"""),"Duyệt")</f>
        <v>Duyệt</v>
      </c>
      <c r="BC42" s="148">
        <f>IFERROR(__xludf.DUMMYFUNCTION("""COMPUTED_VALUE"""),46136.0)</f>
        <v>46136</v>
      </c>
      <c r="BD42" s="2" t="str">
        <f>IFERROR(__xludf.DUMMYFUNCTION("""COMPUTED_VALUE"""),"Duyệt")</f>
        <v>Duyệt</v>
      </c>
      <c r="BE42" s="2" t="str">
        <f>IFERROR(__xludf.DUMMYFUNCTION("""COMPUTED_VALUE"""),"27/04 cho đi đơn trước , sẽ xử lý giá sau
xlg 29/04
29/04")</f>
        <v>27/04 cho đi đơn trước , sẽ xử lý giá sau
xlg 29/04
29/04</v>
      </c>
      <c r="BF42" s="2" t="str">
        <f>IFERROR(__xludf.DUMMYFUNCTION("""COMPUTED_VALUE"""),"Đã xử lí giá")</f>
        <v>Đã xử lí giá</v>
      </c>
      <c r="BG42" s="2" t="str">
        <f>IFERROR(__xludf.DUMMYFUNCTION("""COMPUTED_VALUE"""),"N06230326 Nước hồng chưa có giá bán khách hàng 25/4/2026
Hiện tại chưa có giá vốn, tuy nhiên chị Ngân đã duyệt cho đi đơn để chuẩn bị NL/BTP, nhằm kịp xử lý đơn hàng ngày 27/04/2026")</f>
        <v>N06230326 Nước hồng chưa có giá bán khách hàng 25/4/2026
Hiện tại chưa có giá vốn, tuy nhiên chị Ngân đã duyệt cho đi đơn để chuẩn bị NL/BTP, nhằm kịp xử lý đơn hàng ngày 27/04/2026</v>
      </c>
      <c r="BH42" s="2"/>
      <c r="BI42" s="2"/>
      <c r="BJ42" s="2"/>
      <c r="BK42" s="2"/>
      <c r="BL42" s="2"/>
      <c r="BM42" s="2"/>
      <c r="BN42" s="2"/>
      <c r="BO42" s="2"/>
      <c r="BP42" s="2"/>
      <c r="BQ42" s="2"/>
    </row>
    <row r="43">
      <c r="A43" s="2">
        <f>IFERROR(__xludf.DUMMYFUNCTION("""COMPUTED_VALUE"""),40.0)</f>
        <v>40</v>
      </c>
      <c r="B43" s="2" t="str">
        <f>IFERROR(__xludf.DUMMYFUNCTION("""COMPUTED_VALUE"""),"Thu Loan")</f>
        <v>Thu Loan</v>
      </c>
      <c r="C43" s="2" t="str">
        <f>IFERROR(__xludf.DUMMYFUNCTION("""COMPUTED_VALUE"""),"ITP29042602")</f>
        <v>ITP29042602</v>
      </c>
      <c r="D43" s="39">
        <f>IFERROR(__xludf.DUMMYFUNCTION("""COMPUTED_VALUE"""),46141.0)</f>
        <v>46141</v>
      </c>
      <c r="E43" s="2"/>
      <c r="F43" s="2" t="str">
        <f>IFERROR(__xludf.DUMMYFUNCTION("""COMPUTED_VALUE"""),"DEGO")</f>
        <v>DEGO</v>
      </c>
      <c r="G43" s="2" t="str">
        <f>IFERROR(__xludf.DUMMYFUNCTION("""COMPUTED_VALUE"""),"HH4927")</f>
        <v>HH4927</v>
      </c>
      <c r="H43" s="2" t="str">
        <f>IFERROR(__xludf.DUMMYFUNCTION("""COMPUTED_VALUE"""),"LOT IDA - I - 4927 - HAIHAMEC 3.6C (AG1) (Nước nâu đen) - 450ml - 40")</f>
        <v>LOT IDA - I - 4927 - HAIHAMEC 3.6C (AG1) (Nước nâu đen) - 450ml - 40</v>
      </c>
      <c r="I43" s="2" t="str">
        <f>IFERROR(__xludf.DUMMYFUNCTION("""COMPUTED_VALUE"""),"Thuốc trừ sâu")</f>
        <v>Thuốc trừ sâu</v>
      </c>
      <c r="J43" s="142" t="str">
        <f>IFERROR(__xludf.DUMMYFUNCTION("""COMPUTED_VALUE"""),"HAIHAMEC 3.6EC")</f>
        <v>HAIHAMEC 3.6EC</v>
      </c>
      <c r="K43" s="2" t="str">
        <f>IFERROR(__xludf.DUMMYFUNCTION("""COMPUTED_VALUE"""),"3.6 nước nâu")</f>
        <v>3.6 nước nâu</v>
      </c>
      <c r="L43" s="2" t="str">
        <f>IFERROR(__xludf.DUMMYFUNCTION("""COMPUTED_VALUE"""),"Nước nâu đen")</f>
        <v>Nước nâu đen</v>
      </c>
      <c r="M43" s="2" t="str">
        <f>IFERROR(__xludf.DUMMYFUNCTION("""COMPUTED_VALUE"""),"Chai")</f>
        <v>Chai</v>
      </c>
      <c r="N43" s="142">
        <f>IFERROR(__xludf.DUMMYFUNCTION("""COMPUTED_VALUE"""),40.0)</f>
        <v>40</v>
      </c>
      <c r="O43" s="142">
        <f>IFERROR(__xludf.DUMMYFUNCTION("""COMPUTED_VALUE"""),20.0)</f>
        <v>20</v>
      </c>
      <c r="P43" s="142">
        <f>IFERROR(__xludf.DUMMYFUNCTION("""COMPUTED_VALUE"""),800.0)</f>
        <v>800</v>
      </c>
      <c r="Q43" s="143">
        <f>IFERROR(__xludf.DUMMYFUNCTION("""COMPUTED_VALUE"""),46155.0)</f>
        <v>46155</v>
      </c>
      <c r="R43" s="2" t="str">
        <f>IFERROR(__xludf.DUMMYFUNCTION("""COMPUTED_VALUE"""),"x")</f>
        <v>x</v>
      </c>
      <c r="S43" s="142" t="str">
        <f>IFERROR(__xludf.DUMMYFUNCTION("""COMPUTED_VALUE"""),"x")</f>
        <v>x</v>
      </c>
      <c r="T43" s="142" t="str">
        <f>IFERROR(__xludf.DUMMYFUNCTION("""COMPUTED_VALUE"""),"x")</f>
        <v>x</v>
      </c>
      <c r="U43" s="142" t="str">
        <f>IFERROR(__xludf.DUMMYFUNCTION("""COMPUTED_VALUE"""),"x")</f>
        <v>x</v>
      </c>
      <c r="V43" s="142">
        <f>IFERROR(__xludf.DUMMYFUNCTION("""COMPUTED_VALUE"""),14.0)</f>
        <v>14</v>
      </c>
      <c r="W43" s="2" t="str">
        <f>IFERROR(__xludf.DUMMYFUNCTION("""COMPUTED_VALUE"""),"x - Giá bán 46000 - Ngày dự kiến thu tiền: x - Dự kiến ngày ra hết hàng: 30 ngày")</f>
        <v>x - Giá bán 46000 - Ngày dự kiến thu tiền: x - Dự kiến ngày ra hết hàng: 30 ngày</v>
      </c>
      <c r="X43" s="2"/>
      <c r="Y43" s="2" t="str">
        <f>IFERROR(__xludf.DUMMYFUNCTION("""COMPUTED_VALUE"""),"Thu Loan")</f>
        <v>Thu Loan</v>
      </c>
      <c r="Z43" s="2" t="str">
        <f>IFERROR(__xludf.DUMMYFUNCTION("""COMPUTED_VALUE"""),"Chưa có lịch SX")</f>
        <v>Chưa có lịch SX</v>
      </c>
      <c r="AA43" s="2" t="str">
        <f>IFERROR(__xludf.DUMMYFUNCTION("""COMPUTED_VALUE""")," ")</f>
        <v> </v>
      </c>
      <c r="AB43" s="2" t="str">
        <f>IFERROR(__xludf.DUMMYFUNCTION("""COMPUTED_VALUE"""),"chưa gửi dơn do còn vướn pháp lý ghi nhãn, chưa duyệt pháp lý dc
chị Huỳnh duyệt pháp lý 07/05, đã gửi đơn 7/5")</f>
        <v>chưa gửi dơn do còn vướn pháp lý ghi nhãn, chưa duyệt pháp lý dc
chị Huỳnh duyệt pháp lý 07/05, đã gửi đơn 7/5</v>
      </c>
      <c r="AC43" s="146">
        <f>IFERROR(__xludf.DUMMYFUNCTION("""COMPUTED_VALUE"""),800.0)</f>
        <v>800</v>
      </c>
      <c r="AD43" s="2"/>
      <c r="AE43" s="143" t="str">
        <f>IFERROR(__xludf.DUMMYFUNCTION("""COMPUTED_VALUE"""),"Chưa chốt lịch")</f>
        <v>Chưa chốt lịch</v>
      </c>
      <c r="AF43" s="146" t="str">
        <f>IFERROR(__xludf.DUMMYFUNCTION("""COMPUTED_VALUE"""),"")</f>
        <v/>
      </c>
      <c r="AG43" s="2"/>
      <c r="AH43" s="2"/>
      <c r="AI43" s="2"/>
      <c r="AJ43" s="2"/>
      <c r="AK43" s="2"/>
      <c r="AL43" s="2"/>
      <c r="AM43" s="2"/>
      <c r="AN43" s="2"/>
      <c r="AO43" s="2"/>
      <c r="AP43" s="2"/>
      <c r="AQ43" s="2"/>
      <c r="AR43" s="2"/>
      <c r="AS43" s="2"/>
      <c r="AT43" s="2"/>
      <c r="AU43" s="2"/>
      <c r="AV43" s="2"/>
      <c r="AW43" s="2"/>
      <c r="AX43" s="2"/>
      <c r="AY43" s="2"/>
      <c r="AZ43" s="2"/>
      <c r="BA43" s="2" t="str">
        <f>IFERROR(__xludf.DUMMYFUNCTION("""COMPUTED_VALUE"""),"Đủ điều kiện")</f>
        <v>Đủ điều kiện</v>
      </c>
      <c r="BB43" s="2" t="str">
        <f>IFERROR(__xludf.DUMMYFUNCTION("""COMPUTED_VALUE"""),"Duyệt")</f>
        <v>Duyệt</v>
      </c>
      <c r="BC43" s="148">
        <f>IFERROR(__xludf.DUMMYFUNCTION("""COMPUTED_VALUE"""),46147.0)</f>
        <v>46147</v>
      </c>
      <c r="BD43" s="2" t="str">
        <f>IFERROR(__xludf.DUMMYFUNCTION("""COMPUTED_VALUE"""),"Duyệt")</f>
        <v>Duyệt</v>
      </c>
      <c r="BE43" s="2" t="str">
        <f>IFERROR(__xludf.DUMMYFUNCTION("""COMPUTED_VALUE"""),"xlg 28/04
04/05")</f>
        <v>xlg 28/04
04/05</v>
      </c>
      <c r="BF43" s="2" t="str">
        <f>IFERROR(__xludf.DUMMYFUNCTION("""COMPUTED_VALUE"""),"Đã xử lí giá")</f>
        <v>Đã xử lí giá</v>
      </c>
      <c r="BG43" s="2" t="str">
        <f>IFERROR(__xludf.DUMMYFUNCTION("""COMPUTED_VALUE"""),"3.6 nước nâu Nước nâu đen 46,000đ 4/5/2026")</f>
        <v>3.6 nước nâu Nước nâu đen 46,000đ 4/5/2026</v>
      </c>
      <c r="BH43" s="2"/>
      <c r="BI43" s="2"/>
      <c r="BJ43" s="2"/>
      <c r="BK43" s="2"/>
      <c r="BL43" s="2"/>
      <c r="BM43" s="2"/>
      <c r="BN43" s="2"/>
      <c r="BO43" s="2"/>
      <c r="BP43" s="2"/>
      <c r="BQ43" s="2"/>
    </row>
    <row r="44">
      <c r="A44" s="2">
        <f>IFERROR(__xludf.DUMMYFUNCTION("""COMPUTED_VALUE"""),41.0)</f>
        <v>41</v>
      </c>
      <c r="B44" s="2" t="str">
        <f>IFERROR(__xludf.DUMMYFUNCTION("""COMPUTED_VALUE"""),"Dego Cần Thơ")</f>
        <v>Dego Cần Thơ</v>
      </c>
      <c r="C44" s="2" t="str">
        <f>IFERROR(__xludf.DUMMYFUNCTION("""COMPUTED_VALUE"""),"ITP29042605")</f>
        <v>ITP29042605</v>
      </c>
      <c r="D44" s="39">
        <f>IFERROR(__xludf.DUMMYFUNCTION("""COMPUTED_VALUE"""),46141.0)</f>
        <v>46141</v>
      </c>
      <c r="E44" s="2"/>
      <c r="F44" s="2" t="str">
        <f>IFERROR(__xludf.DUMMYFUNCTION("""COMPUTED_VALUE"""),"BAMBOO")</f>
        <v>BAMBOO</v>
      </c>
      <c r="G44" s="2" t="str">
        <f>IFERROR(__xludf.DUMMYFUNCTION("""COMPUTED_VALUE"""),"HH4375")</f>
        <v>HH4375</v>
      </c>
      <c r="H44" s="2" t="str">
        <f>IFERROR(__xludf.DUMMYFUNCTION("""COMPUTED_VALUE"""),"BAMBOO - VI - 4375 - BAMBOO CANXI BO MASTER (Nước trắng sữa) - 1L - 20")</f>
        <v>BAMBOO - VI - 4375 - BAMBOO CANXI BO MASTER (Nước trắng sữa) - 1L - 20</v>
      </c>
      <c r="I44" s="2" t="str">
        <f>IFERROR(__xludf.DUMMYFUNCTION("""COMPUTED_VALUE"""),"Phân bón")</f>
        <v>Phân bón</v>
      </c>
      <c r="J44" s="142" t="str">
        <f>IFERROR(__xludf.DUMMYFUNCTION("""COMPUTED_VALUE"""),"Vi lượng AGAMA-CANXI BO")</f>
        <v>Vi lượng AGAMA-CANXI BO</v>
      </c>
      <c r="K44" s="2" t="str">
        <f>IFERROR(__xludf.DUMMYFUNCTION("""COMPUTED_VALUE"""),"Đóng theo đơn gần nhất")</f>
        <v>Đóng theo đơn gần nhất</v>
      </c>
      <c r="L44" s="2" t="str">
        <f>IFERROR(__xludf.DUMMYFUNCTION("""COMPUTED_VALUE"""),"Nước trắng sữa")</f>
        <v>Nước trắng sữa</v>
      </c>
      <c r="M44" s="2" t="str">
        <f>IFERROR(__xludf.DUMMYFUNCTION("""COMPUTED_VALUE"""),"Chai")</f>
        <v>Chai</v>
      </c>
      <c r="N44" s="142">
        <f>IFERROR(__xludf.DUMMYFUNCTION("""COMPUTED_VALUE"""),20.0)</f>
        <v>20</v>
      </c>
      <c r="O44" s="142">
        <f>IFERROR(__xludf.DUMMYFUNCTION("""COMPUTED_VALUE"""),100.0)</f>
        <v>100</v>
      </c>
      <c r="P44" s="142">
        <f>IFERROR(__xludf.DUMMYFUNCTION("""COMPUTED_VALUE"""),2000.0)</f>
        <v>2000</v>
      </c>
      <c r="Q44" s="143">
        <f>IFERROR(__xludf.DUMMYFUNCTION("""COMPUTED_VALUE"""),46156.0)</f>
        <v>46156</v>
      </c>
      <c r="R44" s="2" t="str">
        <f>IFERROR(__xludf.DUMMYFUNCTION("""COMPUTED_VALUE"""),"x")</f>
        <v>x</v>
      </c>
      <c r="S44" s="142" t="str">
        <f>IFERROR(__xludf.DUMMYFUNCTION("""COMPUTED_VALUE"""),"x")</f>
        <v>x</v>
      </c>
      <c r="T44" s="142" t="str">
        <f>IFERROR(__xludf.DUMMYFUNCTION("""COMPUTED_VALUE"""),"x")</f>
        <v>x</v>
      </c>
      <c r="U44" s="142" t="str">
        <f>IFERROR(__xludf.DUMMYFUNCTION("""COMPUTED_VALUE"""),"x")</f>
        <v>x</v>
      </c>
      <c r="V44" s="142">
        <f>IFERROR(__xludf.DUMMYFUNCTION("""COMPUTED_VALUE"""),15.0)</f>
        <v>15</v>
      </c>
      <c r="W44" s="2" t="str">
        <f>IFERROR(__xludf.DUMMYFUNCTION("""COMPUTED_VALUE"""),"x - Giá bán 250000 - Ngày dự kiến thu tiền: x - Dự kiến ngày ra hết hàng: 30 ngày")</f>
        <v>x - Giá bán 250000 - Ngày dự kiến thu tiền: x - Dự kiến ngày ra hết hàng: 30 ngày</v>
      </c>
      <c r="X44" s="2"/>
      <c r="Y44" s="2" t="str">
        <f>IFERROR(__xludf.DUMMYFUNCTION("""COMPUTED_VALUE"""),"Dego Cần Thơ")</f>
        <v>Dego Cần Thơ</v>
      </c>
      <c r="Z44" s="2" t="str">
        <f>IFERROR(__xludf.DUMMYFUNCTION("""COMPUTED_VALUE"""),"Hàng sẵn kho")</f>
        <v>Hàng sẵn kho</v>
      </c>
      <c r="AA44" s="2"/>
      <c r="AB44" s="2" t="str">
        <f>IFERROR(__xludf.DUMMYFUNCTION("""COMPUTED_VALUE"""),"đủ vtbb")</f>
        <v>đủ vtbb</v>
      </c>
      <c r="AC44" s="146">
        <f>IFERROR(__xludf.DUMMYFUNCTION("""COMPUTED_VALUE"""),506.0)</f>
        <v>506</v>
      </c>
      <c r="AD44" s="146">
        <f>IFERROR(__xludf.DUMMYFUNCTION("""COMPUTED_VALUE"""),1498.0)</f>
        <v>1498</v>
      </c>
      <c r="AE44" s="2" t="str">
        <f>IFERROR(__xludf.DUMMYFUNCTION("""COMPUTED_VALUE"""),"đã bàn giao cho nhà máy 23/05")</f>
        <v>đã bàn giao cho nhà máy 23/05</v>
      </c>
      <c r="AF44" s="146" t="str">
        <f>IFERROR(__xludf.DUMMYFUNCTION("""COMPUTED_VALUE"""),"ITP29042605")</f>
        <v>ITP29042605</v>
      </c>
      <c r="AG44" s="143">
        <f>IFERROR(__xludf.DUMMYFUNCTION("""COMPUTED_VALUE"""),46153.0)</f>
        <v>46153</v>
      </c>
      <c r="AH44" s="146">
        <f>IFERROR(__xludf.DUMMYFUNCTION("""COMPUTED_VALUE"""),434.0)</f>
        <v>434</v>
      </c>
      <c r="AI44" s="143">
        <f>IFERROR(__xludf.DUMMYFUNCTION("""COMPUTED_VALUE"""),46154.0)</f>
        <v>46154</v>
      </c>
      <c r="AJ44" s="146">
        <f>IFERROR(__xludf.DUMMYFUNCTION("""COMPUTED_VALUE"""),1064.0)</f>
        <v>1064</v>
      </c>
      <c r="AK44" s="2"/>
      <c r="AL44" s="2"/>
      <c r="AM44" s="142">
        <f>IFERROR(__xludf.DUMMYFUNCTION("""COMPUTED_VALUE"""),612.0)</f>
        <v>612</v>
      </c>
      <c r="AN44" s="2"/>
      <c r="AO44" s="2"/>
      <c r="AP44" s="2"/>
      <c r="AQ44" s="2"/>
      <c r="AR44" s="2" t="str">
        <f>IFERROR(__xludf.DUMMYFUNCTION("""COMPUTED_VALUE"""),"300526 (53 thùng + 2 chai + 2 mẫu)
110526 (21 thùng + 12 chai + 2 mẫu)")</f>
        <v>300526 (53 thùng + 2 chai + 2 mẫu)
110526 (21 thùng + 12 chai + 2 mẫu)</v>
      </c>
      <c r="AS44" s="2" t="str">
        <f>IFERROR(__xludf.DUMMYFUNCTION("""COMPUTED_VALUE"""),"12/05/2026 (53 thùng + 2 chai + 2 mẫu)
11/05/2026 (21 thùng + 12 chai + 2 mẫu)")</f>
        <v>12/05/2026 (53 thùng + 2 chai + 2 mẫu)
11/05/2026 (21 thùng + 12 chai + 2 mẫu)</v>
      </c>
      <c r="AT44" s="2"/>
      <c r="AU44" s="142">
        <f>IFERROR(__xludf.DUMMYFUNCTION("""COMPUTED_VALUE"""),882.0)</f>
        <v>882</v>
      </c>
      <c r="AV44" s="2" t="str">
        <f>IFERROR(__xludf.DUMMYFUNCTION("""COMPUTED_VALUE"""),"16/05/2026 đã giao 44t+2 chai")</f>
        <v>16/05/2026 đã giao 44t+2 chai</v>
      </c>
      <c r="AW44" s="2"/>
      <c r="AX44" s="2"/>
      <c r="AY44" s="2"/>
      <c r="AZ44" s="2" t="str">
        <f>IFERROR(__xludf.DUMMYFUNCTION("""COMPUTED_VALUE"""),"#REF!")</f>
        <v>#REF!</v>
      </c>
      <c r="BA44" s="2" t="str">
        <f>IFERROR(__xludf.DUMMYFUNCTION("""COMPUTED_VALUE"""),"Đủ điều kiện")</f>
        <v>Đủ điều kiện</v>
      </c>
      <c r="BB44" s="2" t="str">
        <f>IFERROR(__xludf.DUMMYFUNCTION("""COMPUTED_VALUE"""),"Duyệt")</f>
        <v>Duyệt</v>
      </c>
      <c r="BC44" s="148">
        <f>IFERROR(__xludf.DUMMYFUNCTION("""COMPUTED_VALUE"""),46147.0)</f>
        <v>46147</v>
      </c>
      <c r="BD44" s="2" t="str">
        <f>IFERROR(__xludf.DUMMYFUNCTION("""COMPUTED_VALUE"""),"Duyệt")</f>
        <v>Duyệt</v>
      </c>
      <c r="BE44" s="2" t="str">
        <f>IFERROR(__xludf.DUMMYFUNCTION("""COMPUTED_VALUE"""),"xlg 29/04
04/05")</f>
        <v>xlg 29/04
04/05</v>
      </c>
      <c r="BF44" s="2" t="str">
        <f>IFERROR(__xludf.DUMMYFUNCTION("""COMPUTED_VALUE"""),"Đã xử lí giá")</f>
        <v>Đã xử lí giá</v>
      </c>
      <c r="BG44" s="2" t="str">
        <f>IFERROR(__xludf.DUMMYFUNCTION("""COMPUTED_VALUE"""),"Đóng theo đơn gần nhất Nước trắng sữa 250,000đ 29/4/2026")</f>
        <v>Đóng theo đơn gần nhất Nước trắng sữa 250,000đ 29/4/2026</v>
      </c>
      <c r="BH44" s="2"/>
      <c r="BI44" s="2"/>
      <c r="BJ44" s="2"/>
      <c r="BK44" s="2"/>
      <c r="BL44" s="2"/>
      <c r="BM44" s="2"/>
      <c r="BN44" s="2"/>
      <c r="BO44" s="2"/>
      <c r="BP44" s="2"/>
      <c r="BQ44" s="2"/>
    </row>
    <row r="45">
      <c r="A45" s="2">
        <f>IFERROR(__xludf.DUMMYFUNCTION("""COMPUTED_VALUE"""),42.0)</f>
        <v>42</v>
      </c>
      <c r="B45" s="2" t="str">
        <f>IFERROR(__xludf.DUMMYFUNCTION("""COMPUTED_VALUE"""),"Dego Cần Thơ")</f>
        <v>Dego Cần Thơ</v>
      </c>
      <c r="C45" s="2" t="str">
        <f>IFERROR(__xludf.DUMMYFUNCTION("""COMPUTED_VALUE"""),"ITP29042606")</f>
        <v>ITP29042606</v>
      </c>
      <c r="D45" s="39">
        <f>IFERROR(__xludf.DUMMYFUNCTION("""COMPUTED_VALUE"""),46141.0)</f>
        <v>46141</v>
      </c>
      <c r="E45" s="2"/>
      <c r="F45" s="2" t="str">
        <f>IFERROR(__xludf.DUMMYFUNCTION("""COMPUTED_VALUE"""),"BAMBOO")</f>
        <v>BAMBOO</v>
      </c>
      <c r="G45" s="2" t="str">
        <f>IFERROR(__xludf.DUMMYFUNCTION("""COMPUTED_VALUE"""),"HH4375")</f>
        <v>HH4375</v>
      </c>
      <c r="H45" s="2" t="str">
        <f>IFERROR(__xludf.DUMMYFUNCTION("""COMPUTED_VALUE"""),"BAMBOO - VI - 4375 - BAMBOO CANXI BO MASTER (Nước trắng sữa) - 1L - 20")</f>
        <v>BAMBOO - VI - 4375 - BAMBOO CANXI BO MASTER (Nước trắng sữa) - 1L - 20</v>
      </c>
      <c r="I45" s="2" t="str">
        <f>IFERROR(__xludf.DUMMYFUNCTION("""COMPUTED_VALUE"""),"Phân bón")</f>
        <v>Phân bón</v>
      </c>
      <c r="J45" s="142" t="str">
        <f>IFERROR(__xludf.DUMMYFUNCTION("""COMPUTED_VALUE"""),"Vi lượng AGAMA-CANXI BO")</f>
        <v>Vi lượng AGAMA-CANXI BO</v>
      </c>
      <c r="K45" s="2" t="str">
        <f>IFERROR(__xludf.DUMMYFUNCTION("""COMPUTED_VALUE"""),"Đóng theo đơn gần nhất")</f>
        <v>Đóng theo đơn gần nhất</v>
      </c>
      <c r="L45" s="2" t="str">
        <f>IFERROR(__xludf.DUMMYFUNCTION("""COMPUTED_VALUE"""),"Nước trắng sữa")</f>
        <v>Nước trắng sữa</v>
      </c>
      <c r="M45" s="2" t="str">
        <f>IFERROR(__xludf.DUMMYFUNCTION("""COMPUTED_VALUE"""),"Chai")</f>
        <v>Chai</v>
      </c>
      <c r="N45" s="142">
        <f>IFERROR(__xludf.DUMMYFUNCTION("""COMPUTED_VALUE"""),20.0)</f>
        <v>20</v>
      </c>
      <c r="O45" s="142">
        <f>IFERROR(__xludf.DUMMYFUNCTION("""COMPUTED_VALUE"""),100.0)</f>
        <v>100</v>
      </c>
      <c r="P45" s="142">
        <f>IFERROR(__xludf.DUMMYFUNCTION("""COMPUTED_VALUE"""),2000.0)</f>
        <v>2000</v>
      </c>
      <c r="Q45" s="143">
        <f>IFERROR(__xludf.DUMMYFUNCTION("""COMPUTED_VALUE"""),46160.0)</f>
        <v>46160</v>
      </c>
      <c r="R45" s="2" t="str">
        <f>IFERROR(__xludf.DUMMYFUNCTION("""COMPUTED_VALUE"""),"x")</f>
        <v>x</v>
      </c>
      <c r="S45" s="142" t="str">
        <f>IFERROR(__xludf.DUMMYFUNCTION("""COMPUTED_VALUE"""),"x")</f>
        <v>x</v>
      </c>
      <c r="T45" s="142" t="str">
        <f>IFERROR(__xludf.DUMMYFUNCTION("""COMPUTED_VALUE"""),"x")</f>
        <v>x</v>
      </c>
      <c r="U45" s="142" t="str">
        <f>IFERROR(__xludf.DUMMYFUNCTION("""COMPUTED_VALUE"""),"x")</f>
        <v>x</v>
      </c>
      <c r="V45" s="142">
        <f>IFERROR(__xludf.DUMMYFUNCTION("""COMPUTED_VALUE"""),19.0)</f>
        <v>19</v>
      </c>
      <c r="W45" s="2" t="str">
        <f>IFERROR(__xludf.DUMMYFUNCTION("""COMPUTED_VALUE"""),"x - Giá bán 250000 - Ngày dự kiến thu tiền: x - Dự kiến ngày ra hết hàng: 30 ngày")</f>
        <v>x - Giá bán 250000 - Ngày dự kiến thu tiền: x - Dự kiến ngày ra hết hàng: 30 ngày</v>
      </c>
      <c r="X45" s="2"/>
      <c r="Y45" s="2" t="str">
        <f>IFERROR(__xludf.DUMMYFUNCTION("""COMPUTED_VALUE"""),"Dego Cần Thơ")</f>
        <v>Dego Cần Thơ</v>
      </c>
      <c r="Z45" s="2" t="str">
        <f>IFERROR(__xludf.DUMMYFUNCTION("""COMPUTED_VALUE"""),"Đã có lịch SX")</f>
        <v>Đã có lịch SX</v>
      </c>
      <c r="AA45" s="2"/>
      <c r="AB45" s="2" t="str">
        <f>IFERROR(__xludf.DUMMYFUNCTION("""COMPUTED_VALUE"""),"đủ vtbb")</f>
        <v>đủ vtbb</v>
      </c>
      <c r="AC45" s="146">
        <f>IFERROR(__xludf.DUMMYFUNCTION("""COMPUTED_VALUE"""),2000.0)</f>
        <v>2000</v>
      </c>
      <c r="AD45" s="2"/>
      <c r="AE45" s="2" t="str">
        <f>IFERROR(__xludf.DUMMYFUNCTION("""COMPUTED_VALUE"""),"đã bàn giao cho nhà máy 23/05")</f>
        <v>đã bàn giao cho nhà máy 23/05</v>
      </c>
      <c r="AF45" s="146" t="str">
        <f>IFERROR(__xludf.DUMMYFUNCTION("""COMPUTED_VALUE"""),"")</f>
        <v/>
      </c>
      <c r="AG45" s="2"/>
      <c r="AH45" s="2"/>
      <c r="AI45" s="2"/>
      <c r="AJ45" s="2"/>
      <c r="AK45" s="2"/>
      <c r="AL45" s="2"/>
      <c r="AM45" s="2"/>
      <c r="AN45" s="2"/>
      <c r="AO45" s="2"/>
      <c r="AP45" s="2"/>
      <c r="AQ45" s="2"/>
      <c r="AR45" s="2"/>
      <c r="AS45" s="2"/>
      <c r="AT45" s="2"/>
      <c r="AU45" s="2"/>
      <c r="AV45" s="2"/>
      <c r="AW45" s="2"/>
      <c r="AX45" s="2"/>
      <c r="AY45" s="2"/>
      <c r="AZ45" s="2" t="str">
        <f>IFERROR(__xludf.DUMMYFUNCTION("""COMPUTED_VALUE"""),"#REF!")</f>
        <v>#REF!</v>
      </c>
      <c r="BA45" s="2" t="str">
        <f>IFERROR(__xludf.DUMMYFUNCTION("""COMPUTED_VALUE"""),"Đủ điều kiện")</f>
        <v>Đủ điều kiện</v>
      </c>
      <c r="BB45" s="2" t="str">
        <f>IFERROR(__xludf.DUMMYFUNCTION("""COMPUTED_VALUE"""),"Duyệt")</f>
        <v>Duyệt</v>
      </c>
      <c r="BC45" s="148">
        <f>IFERROR(__xludf.DUMMYFUNCTION("""COMPUTED_VALUE"""),46147.0)</f>
        <v>46147</v>
      </c>
      <c r="BD45" s="2" t="str">
        <f>IFERROR(__xludf.DUMMYFUNCTION("""COMPUTED_VALUE"""),"Duyệt")</f>
        <v>Duyệt</v>
      </c>
      <c r="BE45" s="2" t="str">
        <f>IFERROR(__xludf.DUMMYFUNCTION("""COMPUTED_VALUE"""),"xlg 29/04
04/05")</f>
        <v>xlg 29/04
04/05</v>
      </c>
      <c r="BF45" s="2" t="str">
        <f>IFERROR(__xludf.DUMMYFUNCTION("""COMPUTED_VALUE"""),"Đã xử lí giá")</f>
        <v>Đã xử lí giá</v>
      </c>
      <c r="BG45" s="2" t="str">
        <f>IFERROR(__xludf.DUMMYFUNCTION("""COMPUTED_VALUE"""),"Đóng theo đơn gần nhất Nước trắng sữa 250,000đ 29/4/2026")</f>
        <v>Đóng theo đơn gần nhất Nước trắng sữa 250,000đ 29/4/2026</v>
      </c>
      <c r="BH45" s="2"/>
      <c r="BI45" s="2"/>
      <c r="BJ45" s="2"/>
      <c r="BK45" s="2"/>
      <c r="BL45" s="2"/>
      <c r="BM45" s="2"/>
      <c r="BN45" s="2"/>
      <c r="BO45" s="2"/>
      <c r="BP45" s="2"/>
      <c r="BQ45" s="2"/>
    </row>
    <row r="46">
      <c r="A46" s="2">
        <f>IFERROR(__xludf.DUMMYFUNCTION("""COMPUTED_VALUE"""),43.0)</f>
        <v>43</v>
      </c>
      <c r="B46" s="2" t="str">
        <f>IFERROR(__xludf.DUMMYFUNCTION("""COMPUTED_VALUE"""),"Dego Cần Thơ")</f>
        <v>Dego Cần Thơ</v>
      </c>
      <c r="C46" s="2" t="str">
        <f>IFERROR(__xludf.DUMMYFUNCTION("""COMPUTED_VALUE"""),"ITP29042607")</f>
        <v>ITP29042607</v>
      </c>
      <c r="D46" s="39">
        <f>IFERROR(__xludf.DUMMYFUNCTION("""COMPUTED_VALUE"""),46141.0)</f>
        <v>46141</v>
      </c>
      <c r="E46" s="2"/>
      <c r="F46" s="2" t="str">
        <f>IFERROR(__xludf.DUMMYFUNCTION("""COMPUTED_VALUE"""),"BAMBOO")</f>
        <v>BAMBOO</v>
      </c>
      <c r="G46" s="2" t="str">
        <f>IFERROR(__xludf.DUMMYFUNCTION("""COMPUTED_VALUE"""),"HH4375")</f>
        <v>HH4375</v>
      </c>
      <c r="H46" s="2" t="str">
        <f>IFERROR(__xludf.DUMMYFUNCTION("""COMPUTED_VALUE"""),"BAMBOO - VI - 4375 - BAMBOO CANXI BO MASTER (Nước trắng sữa) - 1L - 20")</f>
        <v>BAMBOO - VI - 4375 - BAMBOO CANXI BO MASTER (Nước trắng sữa) - 1L - 20</v>
      </c>
      <c r="I46" s="2" t="str">
        <f>IFERROR(__xludf.DUMMYFUNCTION("""COMPUTED_VALUE"""),"Phân bón")</f>
        <v>Phân bón</v>
      </c>
      <c r="J46" s="142" t="str">
        <f>IFERROR(__xludf.DUMMYFUNCTION("""COMPUTED_VALUE"""),"Vi lượng AGAMA-CANXI BO")</f>
        <v>Vi lượng AGAMA-CANXI BO</v>
      </c>
      <c r="K46" s="2" t="str">
        <f>IFERROR(__xludf.DUMMYFUNCTION("""COMPUTED_VALUE"""),"Đóng theo đơn gần nhất")</f>
        <v>Đóng theo đơn gần nhất</v>
      </c>
      <c r="L46" s="2" t="str">
        <f>IFERROR(__xludf.DUMMYFUNCTION("""COMPUTED_VALUE"""),"Nước trắng sữa")</f>
        <v>Nước trắng sữa</v>
      </c>
      <c r="M46" s="2" t="str">
        <f>IFERROR(__xludf.DUMMYFUNCTION("""COMPUTED_VALUE"""),"Chai")</f>
        <v>Chai</v>
      </c>
      <c r="N46" s="142">
        <f>IFERROR(__xludf.DUMMYFUNCTION("""COMPUTED_VALUE"""),20.0)</f>
        <v>20</v>
      </c>
      <c r="O46" s="142">
        <f>IFERROR(__xludf.DUMMYFUNCTION("""COMPUTED_VALUE"""),100.0)</f>
        <v>100</v>
      </c>
      <c r="P46" s="142">
        <f>IFERROR(__xludf.DUMMYFUNCTION("""COMPUTED_VALUE"""),2000.0)</f>
        <v>2000</v>
      </c>
      <c r="Q46" s="143">
        <f>IFERROR(__xludf.DUMMYFUNCTION("""COMPUTED_VALUE"""),46167.0)</f>
        <v>46167</v>
      </c>
      <c r="R46" s="2" t="str">
        <f>IFERROR(__xludf.DUMMYFUNCTION("""COMPUTED_VALUE"""),"x")</f>
        <v>x</v>
      </c>
      <c r="S46" s="142" t="str">
        <f>IFERROR(__xludf.DUMMYFUNCTION("""COMPUTED_VALUE"""),"x")</f>
        <v>x</v>
      </c>
      <c r="T46" s="142" t="str">
        <f>IFERROR(__xludf.DUMMYFUNCTION("""COMPUTED_VALUE"""),"x")</f>
        <v>x</v>
      </c>
      <c r="U46" s="142" t="str">
        <f>IFERROR(__xludf.DUMMYFUNCTION("""COMPUTED_VALUE"""),"x")</f>
        <v>x</v>
      </c>
      <c r="V46" s="142">
        <f>IFERROR(__xludf.DUMMYFUNCTION("""COMPUTED_VALUE"""),26.0)</f>
        <v>26</v>
      </c>
      <c r="W46" s="2" t="str">
        <f>IFERROR(__xludf.DUMMYFUNCTION("""COMPUTED_VALUE"""),"x - Giá bán 250000 - Ngày dự kiến thu tiền: x - Dự kiến ngày ra hết hàng: 30 ngày")</f>
        <v>x - Giá bán 250000 - Ngày dự kiến thu tiền: x - Dự kiến ngày ra hết hàng: 30 ngày</v>
      </c>
      <c r="X46" s="2"/>
      <c r="Y46" s="2" t="str">
        <f>IFERROR(__xludf.DUMMYFUNCTION("""COMPUTED_VALUE"""),"Dego Cần Thơ")</f>
        <v>Dego Cần Thơ</v>
      </c>
      <c r="Z46" s="2" t="str">
        <f>IFERROR(__xludf.DUMMYFUNCTION("""COMPUTED_VALUE"""),"Đã có lịch SX")</f>
        <v>Đã có lịch SX</v>
      </c>
      <c r="AA46" s="2"/>
      <c r="AB46" s="2" t="str">
        <f>IFERROR(__xludf.DUMMYFUNCTION("""COMPUTED_VALUE"""),"đủ vtbb")</f>
        <v>đủ vtbb</v>
      </c>
      <c r="AC46" s="146">
        <f>IFERROR(__xludf.DUMMYFUNCTION("""COMPUTED_VALUE"""),2000.0)</f>
        <v>2000</v>
      </c>
      <c r="AD46" s="2"/>
      <c r="AE46" s="2" t="str">
        <f>IFERROR(__xludf.DUMMYFUNCTION("""COMPUTED_VALUE"""),"đã bàn giao cho nhà máy 23/05")</f>
        <v>đã bàn giao cho nhà máy 23/05</v>
      </c>
      <c r="AF46" s="146" t="str">
        <f>IFERROR(__xludf.DUMMYFUNCTION("""COMPUTED_VALUE"""),"")</f>
        <v/>
      </c>
      <c r="AG46" s="2"/>
      <c r="AH46" s="2"/>
      <c r="AI46" s="2"/>
      <c r="AJ46" s="2"/>
      <c r="AK46" s="2"/>
      <c r="AL46" s="2"/>
      <c r="AM46" s="2"/>
      <c r="AN46" s="2"/>
      <c r="AO46" s="2"/>
      <c r="AP46" s="2"/>
      <c r="AQ46" s="2"/>
      <c r="AR46" s="2"/>
      <c r="AS46" s="2"/>
      <c r="AT46" s="2"/>
      <c r="AU46" s="2"/>
      <c r="AV46" s="2"/>
      <c r="AW46" s="2"/>
      <c r="AX46" s="2"/>
      <c r="AY46" s="2"/>
      <c r="AZ46" s="2" t="str">
        <f>IFERROR(__xludf.DUMMYFUNCTION("""COMPUTED_VALUE"""),"#REF!")</f>
        <v>#REF!</v>
      </c>
      <c r="BA46" s="2" t="str">
        <f>IFERROR(__xludf.DUMMYFUNCTION("""COMPUTED_VALUE"""),"Đủ điều kiện")</f>
        <v>Đủ điều kiện</v>
      </c>
      <c r="BB46" s="2" t="str">
        <f>IFERROR(__xludf.DUMMYFUNCTION("""COMPUTED_VALUE"""),"Duyệt")</f>
        <v>Duyệt</v>
      </c>
      <c r="BC46" s="148">
        <f>IFERROR(__xludf.DUMMYFUNCTION("""COMPUTED_VALUE"""),46147.0)</f>
        <v>46147</v>
      </c>
      <c r="BD46" s="2" t="str">
        <f>IFERROR(__xludf.DUMMYFUNCTION("""COMPUTED_VALUE"""),"Duyệt")</f>
        <v>Duyệt</v>
      </c>
      <c r="BE46" s="2" t="str">
        <f>IFERROR(__xludf.DUMMYFUNCTION("""COMPUTED_VALUE"""),"xlg 29/04
04/05")</f>
        <v>xlg 29/04
04/05</v>
      </c>
      <c r="BF46" s="2" t="str">
        <f>IFERROR(__xludf.DUMMYFUNCTION("""COMPUTED_VALUE"""),"Đã xử lí giá")</f>
        <v>Đã xử lí giá</v>
      </c>
      <c r="BG46" s="2" t="str">
        <f>IFERROR(__xludf.DUMMYFUNCTION("""COMPUTED_VALUE"""),"Đóng theo đơn gần nhất Nước trắng sữa 250,000đ 29/4/2026")</f>
        <v>Đóng theo đơn gần nhất Nước trắng sữa 250,000đ 29/4/2026</v>
      </c>
      <c r="BH46" s="2"/>
      <c r="BI46" s="2"/>
      <c r="BJ46" s="2"/>
      <c r="BK46" s="2"/>
      <c r="BL46" s="2"/>
      <c r="BM46" s="2"/>
      <c r="BN46" s="2"/>
      <c r="BO46" s="2"/>
      <c r="BP46" s="2"/>
      <c r="BQ46" s="2"/>
    </row>
    <row r="47">
      <c r="A47" s="2">
        <f>IFERROR(__xludf.DUMMYFUNCTION("""COMPUTED_VALUE"""),44.0)</f>
        <v>44</v>
      </c>
      <c r="B47" s="2" t="str">
        <f>IFERROR(__xludf.DUMMYFUNCTION("""COMPUTED_VALUE"""),"Hà Long")</f>
        <v>Hà Long</v>
      </c>
      <c r="C47" s="2" t="str">
        <f>IFERROR(__xludf.DUMMYFUNCTION("""COMPUTED_VALUE"""),"ATP04052602")</f>
        <v>ATP04052602</v>
      </c>
      <c r="D47" s="39">
        <f>IFERROR(__xludf.DUMMYFUNCTION("""COMPUTED_VALUE"""),46146.0)</f>
        <v>46146</v>
      </c>
      <c r="E47" s="2" t="str">
        <f>IFERROR(__xludf.DUMMYFUNCTION("""COMPUTED_VALUE"""),"Đã duyệt")</f>
        <v>Đã duyệt</v>
      </c>
      <c r="F47" s="2" t="str">
        <f>IFERROR(__xludf.DUMMYFUNCTION("""COMPUTED_VALUE"""),"ABA")</f>
        <v>ABA</v>
      </c>
      <c r="G47" s="2" t="str">
        <f>IFERROR(__xludf.DUMMYFUNCTION("""COMPUTED_VALUE"""),"HH4622")</f>
        <v>HH4622</v>
      </c>
      <c r="H47" s="2" t="str">
        <f>IFERROR(__xludf.DUMMYFUNCTION("""COMPUTED_VALUE""")," GC - IV - 4622 - CTY NEWTEX - CITTIZEN 333SC (Nước cam sữa) - 240ml - 40")</f>
        <v> GC - IV - 4622 - CTY NEWTEX - CITTIZEN 333SC (Nước cam sữa) - 240ml - 40</v>
      </c>
      <c r="I47" s="2" t="str">
        <f>IFERROR(__xludf.DUMMYFUNCTION("""COMPUTED_VALUE"""),"Thuốc trừ bệnh")</f>
        <v>Thuốc trừ bệnh</v>
      </c>
      <c r="J47" s="142" t="str">
        <f>IFERROR(__xludf.DUMMYFUNCTION("""COMPUTED_VALUE"""),"CITTIZEN 333SC")</f>
        <v>CITTIZEN 333SC</v>
      </c>
      <c r="K47" s="2" t="str">
        <f>IFERROR(__xludf.DUMMYFUNCTION("""COMPUTED_VALUE"""),"Dòng V2")</f>
        <v>Dòng V2</v>
      </c>
      <c r="L47" s="2" t="str">
        <f>IFERROR(__xludf.DUMMYFUNCTION("""COMPUTED_VALUE"""),"Nước cam sữa")</f>
        <v>Nước cam sữa</v>
      </c>
      <c r="M47" s="2" t="str">
        <f>IFERROR(__xludf.DUMMYFUNCTION("""COMPUTED_VALUE"""),"Chai")</f>
        <v>Chai</v>
      </c>
      <c r="N47" s="142">
        <f>IFERROR(__xludf.DUMMYFUNCTION("""COMPUTED_VALUE"""),40.0)</f>
        <v>40</v>
      </c>
      <c r="O47" s="142">
        <f>IFERROR(__xludf.DUMMYFUNCTION("""COMPUTED_VALUE"""),14.0)</f>
        <v>14</v>
      </c>
      <c r="P47" s="142">
        <f>IFERROR(__xludf.DUMMYFUNCTION("""COMPUTED_VALUE"""),560.0)</f>
        <v>560</v>
      </c>
      <c r="Q47" s="143">
        <f>IFERROR(__xludf.DUMMYFUNCTION("""COMPUTED_VALUE"""),46158.0)</f>
        <v>46158</v>
      </c>
      <c r="R47" s="2"/>
      <c r="S47" s="142" t="str">
        <f>IFERROR(__xludf.DUMMYFUNCTION("""COMPUTED_VALUE"""),"lấy chẳn thùng")</f>
        <v>lấy chẳn thùng</v>
      </c>
      <c r="T47" s="2"/>
      <c r="U47" s="2"/>
      <c r="V47" s="2"/>
      <c r="W47" s="2" t="str">
        <f>IFERROR(__xludf.DUMMYFUNCTION("""COMPUTED_VALUE"""),"NEWTEX - Giá bán 51.000,00 đ - Ngày dự kiến thu tiền:  - Dự kiến ngày ra hết hàng: ")</f>
        <v>NEWTEX - Giá bán 51.000,00 đ - Ngày dự kiến thu tiền:  - Dự kiến ngày ra hết hàng: </v>
      </c>
      <c r="X47" s="2"/>
      <c r="Y47" s="2" t="str">
        <f>IFERROR(__xludf.DUMMYFUNCTION("""COMPUTED_VALUE"""),"Hà Long")</f>
        <v>Hà Long</v>
      </c>
      <c r="Z47" s="2" t="str">
        <f>IFERROR(__xludf.DUMMYFUNCTION("""COMPUTED_VALUE"""),"Hoàn thành")</f>
        <v>Hoàn thành</v>
      </c>
      <c r="AA47" s="39">
        <f>IFERROR(__xludf.DUMMYFUNCTION("""COMPUTED_VALUE"""),46150.0)</f>
        <v>46150</v>
      </c>
      <c r="AB47" s="2" t="str">
        <f>IFERROR(__xludf.DUMMYFUNCTION("""COMPUTED_VALUE"""),"11/5 xưởng HL chưa cập nhật lịch chính xác
27/05 HL đóng nhầm BTP đang đợi p.án
28/05 giao chai từ YMT qua- hẹn sẳn kho 03/06
01/06 đã sẳn kho")</f>
        <v>11/5 xưởng HL chưa cập nhật lịch chính xác
27/05 HL đóng nhầm BTP đang đợi p.án
28/05 giao chai từ YMT qua- hẹn sẳn kho 03/06
01/06 đã sẳn kho</v>
      </c>
      <c r="AC47" s="146">
        <f>IFERROR(__xludf.DUMMYFUNCTION("""COMPUTED_VALUE"""),560.0)</f>
        <v>560</v>
      </c>
      <c r="AD47" s="2"/>
      <c r="AE47" s="143">
        <f>IFERROR(__xludf.DUMMYFUNCTION("""COMPUTED_VALUE"""),46169.0)</f>
        <v>46169</v>
      </c>
      <c r="AF47" s="146" t="str">
        <f>IFERROR(__xludf.DUMMYFUNCTION("""COMPUTED_VALUE"""),"Đủ điều kiện nhận hàng")</f>
        <v>Đủ điều kiện nhận hàng</v>
      </c>
      <c r="AG47" s="143">
        <f>IFERROR(__xludf.DUMMYFUNCTION("""COMPUTED_VALUE"""),46169.0)</f>
        <v>46169</v>
      </c>
      <c r="AH47" s="146" t="str">
        <f>IFERROR(__xludf.DUMMYFUNCTION("""COMPUTED_VALUE"""),"600")</f>
        <v>600</v>
      </c>
      <c r="AI47" s="2"/>
      <c r="AJ47" s="2"/>
      <c r="AK47" s="2"/>
      <c r="AL47" s="2"/>
      <c r="AM47" s="142">
        <f>IFERROR(__xludf.DUMMYFUNCTION("""COMPUTED_VALUE"""),600.0)</f>
        <v>600</v>
      </c>
      <c r="AN47" s="2"/>
      <c r="AO47" s="2"/>
      <c r="AP47" s="2"/>
      <c r="AQ47" s="2"/>
      <c r="AR47" s="2"/>
      <c r="AS47" s="143">
        <f>IFERROR(__xludf.DUMMYFUNCTION("""COMPUTED_VALUE"""),46174.0)</f>
        <v>46174</v>
      </c>
      <c r="AT47" s="2"/>
      <c r="AU47" s="142">
        <f>IFERROR(__xludf.DUMMYFUNCTION("""COMPUTED_VALUE"""),600.0)</f>
        <v>600</v>
      </c>
      <c r="AV47" s="2" t="str">
        <f>IFERROR(__xludf.DUMMYFUNCTION("""COMPUTED_VALUE"""),"03/06/2026 nhận 15th")</f>
        <v>03/06/2026 nhận 15th</v>
      </c>
      <c r="AW47" s="2"/>
      <c r="AX47" s="2"/>
      <c r="AY47" s="2"/>
      <c r="AZ47" s="2"/>
      <c r="BA47" s="2" t="str">
        <f>IFERROR(__xludf.DUMMYFUNCTION("""COMPUTED_VALUE"""),"Đủ điều kiện")</f>
        <v>Đủ điều kiện</v>
      </c>
      <c r="BB47" s="2" t="str">
        <f>IFERROR(__xludf.DUMMYFUNCTION("""COMPUTED_VALUE"""),"Duyệt")</f>
        <v>Duyệt</v>
      </c>
      <c r="BC47" s="143">
        <f>IFERROR(__xludf.DUMMYFUNCTION("""COMPUTED_VALUE"""),46151.0)</f>
        <v>46151</v>
      </c>
      <c r="BD47" s="2" t="str">
        <f>IFERROR(__xludf.DUMMYFUNCTION("""COMPUTED_VALUE"""),"Duyệt")</f>
        <v>Duyệt</v>
      </c>
      <c r="BE47" s="143">
        <f>IFERROR(__xludf.DUMMYFUNCTION("""COMPUTED_VALUE"""),46146.0)</f>
        <v>46146</v>
      </c>
      <c r="BF47" s="2" t="str">
        <f>IFERROR(__xludf.DUMMYFUNCTION("""COMPUTED_VALUE"""),"Đã xử lí giá")</f>
        <v>Đã xử lí giá</v>
      </c>
      <c r="BG47" s="2" t="str">
        <f>IFERROR(__xludf.DUMMYFUNCTION("""COMPUTED_VALUE"""),"Dòng V2 Nước cam sữa 51,000đ 4/5/2026")</f>
        <v>Dòng V2 Nước cam sữa 51,000đ 4/5/2026</v>
      </c>
      <c r="BH47" s="2"/>
      <c r="BI47" s="2"/>
      <c r="BJ47" s="2"/>
      <c r="BK47" s="2"/>
      <c r="BL47" s="2"/>
      <c r="BM47" s="2"/>
      <c r="BN47" s="2"/>
      <c r="BO47" s="2"/>
      <c r="BP47" s="2"/>
      <c r="BQ47" s="2"/>
    </row>
    <row r="48">
      <c r="A48" s="2">
        <f>IFERROR(__xludf.DUMMYFUNCTION("""COMPUTED_VALUE"""),45.0)</f>
        <v>45</v>
      </c>
      <c r="B48" s="2" t="str">
        <f>IFERROR(__xludf.DUMMYFUNCTION("""COMPUTED_VALUE"""),"Hà Long")</f>
        <v>Hà Long</v>
      </c>
      <c r="C48" s="2" t="str">
        <f>IFERROR(__xludf.DUMMYFUNCTION("""COMPUTED_VALUE"""),"ATP04052603")</f>
        <v>ATP04052603</v>
      </c>
      <c r="D48" s="39">
        <f>IFERROR(__xludf.DUMMYFUNCTION("""COMPUTED_VALUE"""),46146.0)</f>
        <v>46146</v>
      </c>
      <c r="E48" s="2" t="str">
        <f>IFERROR(__xludf.DUMMYFUNCTION("""COMPUTED_VALUE"""),"Đã duyệt")</f>
        <v>Đã duyệt</v>
      </c>
      <c r="F48" s="2" t="str">
        <f>IFERROR(__xludf.DUMMYFUNCTION("""COMPUTED_VALUE"""),"ABA")</f>
        <v>ABA</v>
      </c>
      <c r="G48" s="2" t="str">
        <f>IFERROR(__xludf.DUMMYFUNCTION("""COMPUTED_VALUE"""),"HH4085")</f>
        <v>HH4085</v>
      </c>
      <c r="H48" s="2" t="str">
        <f>IFERROR(__xludf.DUMMYFUNCTION("""COMPUTED_VALUE"""),"GC - V - 4085 - CTY XNK O2L - Abamectin 3.6 (Ốc Vàng - Nhãn Đen) (Nước nâu đen) - 450ml - 40")</f>
        <v>GC - V - 4085 - CTY XNK O2L - Abamectin 3.6 (Ốc Vàng - Nhãn Đen) (Nước nâu đen) - 450ml - 40</v>
      </c>
      <c r="I48" s="2" t="str">
        <f>IFERROR(__xludf.DUMMYFUNCTION("""COMPUTED_VALUE"""),"Thuốc trừ sâu")</f>
        <v>Thuốc trừ sâu</v>
      </c>
      <c r="J48" s="142" t="str">
        <f>IFERROR(__xludf.DUMMYFUNCTION("""COMPUTED_VALUE"""),"Chitin 3.6EC")</f>
        <v>Chitin 3.6EC</v>
      </c>
      <c r="K48" s="2" t="str">
        <f>IFERROR(__xludf.DUMMYFUNCTION("""COMPUTED_VALUE"""),"Dòng V1")</f>
        <v>Dòng V1</v>
      </c>
      <c r="L48" s="2" t="str">
        <f>IFERROR(__xludf.DUMMYFUNCTION("""COMPUTED_VALUE"""),"Nước nâu đen")</f>
        <v>Nước nâu đen</v>
      </c>
      <c r="M48" s="2" t="str">
        <f>IFERROR(__xludf.DUMMYFUNCTION("""COMPUTED_VALUE"""),"Chai")</f>
        <v>Chai</v>
      </c>
      <c r="N48" s="142">
        <f>IFERROR(__xludf.DUMMYFUNCTION("""COMPUTED_VALUE"""),40.0)</f>
        <v>40</v>
      </c>
      <c r="O48" s="142">
        <f>IFERROR(__xludf.DUMMYFUNCTION("""COMPUTED_VALUE"""),18.0)</f>
        <v>18</v>
      </c>
      <c r="P48" s="142">
        <f>IFERROR(__xludf.DUMMYFUNCTION("""COMPUTED_VALUE"""),720.0)</f>
        <v>720</v>
      </c>
      <c r="Q48" s="143">
        <f>IFERROR(__xludf.DUMMYFUNCTION("""COMPUTED_VALUE"""),46158.0)</f>
        <v>46158</v>
      </c>
      <c r="R48" s="2"/>
      <c r="S48" s="142" t="str">
        <f>IFERROR(__xludf.DUMMYFUNCTION("""COMPUTED_VALUE"""),"lấy chẳn thùng
đóng hết nhãn tròn thùng")</f>
        <v>lấy chẳn thùng
đóng hết nhãn tròn thùng</v>
      </c>
      <c r="T48" s="2"/>
      <c r="U48" s="2"/>
      <c r="V48" s="2"/>
      <c r="W48" s="2" t="str">
        <f>IFERROR(__xludf.DUMMYFUNCTION("""COMPUTED_VALUE"""),"O2L - Giá bán 43.800,00 đ - Ngày dự kiến thu tiền:  - Dự kiến ngày ra hết hàng: ")</f>
        <v>O2L - Giá bán 43.800,00 đ - Ngày dự kiến thu tiền:  - Dự kiến ngày ra hết hàng: </v>
      </c>
      <c r="X48" s="2"/>
      <c r="Y48" s="2" t="str">
        <f>IFERROR(__xludf.DUMMYFUNCTION("""COMPUTED_VALUE"""),"Hà Long")</f>
        <v>Hà Long</v>
      </c>
      <c r="Z48" s="2" t="str">
        <f>IFERROR(__xludf.DUMMYFUNCTION("""COMPUTED_VALUE"""),"Hàng sẵn kho")</f>
        <v>Hàng sẵn kho</v>
      </c>
      <c r="AA48" s="39">
        <f>IFERROR(__xludf.DUMMYFUNCTION("""COMPUTED_VALUE"""),46171.0)</f>
        <v>46171</v>
      </c>
      <c r="AB48" s="2" t="str">
        <f>IFERROR(__xludf.DUMMYFUNCTION("""COMPUTED_VALUE"""),"Đủ NVL - đang đẩy lịch 28/05 có hàng
26/05 HL báo lạc nhẫn
27/05 IDA in lại nhãn- DK 28/5 gửi tới HL 
29/05 đã giao nhãn")</f>
        <v>Đủ NVL - đang đẩy lịch 28/05 có hàng
26/05 HL báo lạc nhẫn
27/05 IDA in lại nhãn- DK 28/5 gửi tới HL 
29/05 đã giao nhãn</v>
      </c>
      <c r="AC48" s="146">
        <f>IFERROR(__xludf.DUMMYFUNCTION("""COMPUTED_VALUE"""),720.0)</f>
        <v>720</v>
      </c>
      <c r="AD48" s="2"/>
      <c r="AE48" s="143">
        <f>IFERROR(__xludf.DUMMYFUNCTION("""COMPUTED_VALUE"""),46176.0)</f>
        <v>46176</v>
      </c>
      <c r="AF48" s="146" t="str">
        <f>IFERROR(__xludf.DUMMYFUNCTION("""COMPUTED_VALUE"""),"Đủ điều kiện nhận hàng")</f>
        <v>Đủ điều kiện nhận hàng</v>
      </c>
      <c r="AG48" s="143">
        <f>IFERROR(__xludf.DUMMYFUNCTION("""COMPUTED_VALUE"""),46176.0)</f>
        <v>46176</v>
      </c>
      <c r="AH48" s="146" t="str">
        <f>IFERROR(__xludf.DUMMYFUNCTION("""COMPUTED_VALUE"""),"721")</f>
        <v>721</v>
      </c>
      <c r="AI48" s="2"/>
      <c r="AJ48" s="2"/>
      <c r="AK48" s="2"/>
      <c r="AL48" s="2"/>
      <c r="AM48" s="142">
        <f>IFERROR(__xludf.DUMMYFUNCTION("""COMPUTED_VALUE"""),721.0)</f>
        <v>721</v>
      </c>
      <c r="AN48" s="2"/>
      <c r="AO48" s="2"/>
      <c r="AP48" s="2"/>
      <c r="AQ48" s="2"/>
      <c r="AR48" s="2"/>
      <c r="AS48" s="2"/>
      <c r="AT48" s="2"/>
      <c r="AU48" s="2"/>
      <c r="AV48" s="2"/>
      <c r="AW48" s="2"/>
      <c r="AX48" s="2"/>
      <c r="AY48" s="2"/>
      <c r="AZ48" s="2"/>
      <c r="BA48" s="2" t="str">
        <f>IFERROR(__xludf.DUMMYFUNCTION("""COMPUTED_VALUE"""),"Đủ điều kiện")</f>
        <v>Đủ điều kiện</v>
      </c>
      <c r="BB48" s="2" t="str">
        <f>IFERROR(__xludf.DUMMYFUNCTION("""COMPUTED_VALUE"""),"Duyệt")</f>
        <v>Duyệt</v>
      </c>
      <c r="BC48" s="143">
        <f>IFERROR(__xludf.DUMMYFUNCTION("""COMPUTED_VALUE"""),46151.0)</f>
        <v>46151</v>
      </c>
      <c r="BD48" s="2" t="str">
        <f>IFERROR(__xludf.DUMMYFUNCTION("""COMPUTED_VALUE"""),"Duyệt")</f>
        <v>Duyệt</v>
      </c>
      <c r="BE48" s="143">
        <f>IFERROR(__xludf.DUMMYFUNCTION("""COMPUTED_VALUE"""),46146.0)</f>
        <v>46146</v>
      </c>
      <c r="BF48" s="2" t="str">
        <f>IFERROR(__xludf.DUMMYFUNCTION("""COMPUTED_VALUE"""),"Đã xử lí giá")</f>
        <v>Đã xử lí giá</v>
      </c>
      <c r="BG48" s="2" t="str">
        <f>IFERROR(__xludf.DUMMYFUNCTION("""COMPUTED_VALUE"""),"Dòng V1 Nước nâu đen 43,800đ 4/5/2026")</f>
        <v>Dòng V1 Nước nâu đen 43,800đ 4/5/2026</v>
      </c>
      <c r="BH48" s="2"/>
      <c r="BI48" s="2"/>
      <c r="BJ48" s="2"/>
      <c r="BK48" s="2"/>
      <c r="BL48" s="2"/>
      <c r="BM48" s="2"/>
      <c r="BN48" s="2"/>
      <c r="BO48" s="2"/>
      <c r="BP48" s="2"/>
      <c r="BQ48" s="2"/>
    </row>
    <row r="49">
      <c r="A49" s="2">
        <f>IFERROR(__xludf.DUMMYFUNCTION("""COMPUTED_VALUE"""),46.0)</f>
        <v>46</v>
      </c>
      <c r="B49" s="2" t="str">
        <f>IFERROR(__xludf.DUMMYFUNCTION("""COMPUTED_VALUE"""),"Dego Cần Thơ")</f>
        <v>Dego Cần Thơ</v>
      </c>
      <c r="C49" s="2" t="str">
        <f>IFERROR(__xludf.DUMMYFUNCTION("""COMPUTED_VALUE"""),"ATP05052604")</f>
        <v>ATP05052604</v>
      </c>
      <c r="D49" s="39">
        <f>IFERROR(__xludf.DUMMYFUNCTION("""COMPUTED_VALUE"""),46147.0)</f>
        <v>46147</v>
      </c>
      <c r="E49" s="2" t="str">
        <f>IFERROR(__xludf.DUMMYFUNCTION("""COMPUTED_VALUE"""),"Đã duyệt")</f>
        <v>Đã duyệt</v>
      </c>
      <c r="F49" s="2" t="str">
        <f>IFERROR(__xludf.DUMMYFUNCTION("""COMPUTED_VALUE"""),"ABA")</f>
        <v>ABA</v>
      </c>
      <c r="G49" s="2" t="str">
        <f>IFERROR(__xludf.DUMMYFUNCTION("""COMPUTED_VALUE"""),"HH4976")</f>
        <v>HH4976</v>
      </c>
      <c r="H49" s="2" t="str">
        <f>IFERROR(__xludf.DUMMYFUNCTION("""COMPUTED_VALUE"""),"GC - V - 4976 - CTY AN LẠC - GROW 7-7-7 + TE (Gel xanh lơ) - 50ml - 300")</f>
        <v>GC - V - 4976 - CTY AN LẠC - GROW 7-7-7 + TE (Gel xanh lơ) - 50ml - 300</v>
      </c>
      <c r="I49" s="2" t="str">
        <f>IFERROR(__xludf.DUMMYFUNCTION("""COMPUTED_VALUE"""),"Phân bón")</f>
        <v>Phân bón</v>
      </c>
      <c r="J49" s="142" t="str">
        <f>IFERROR(__xludf.DUMMYFUNCTION("""COMPUTED_VALUE"""),"lá NPK-vi lượng GNC19")</f>
        <v>lá NPK-vi lượng GNC19</v>
      </c>
      <c r="K49" s="2" t="str">
        <f>IFERROR(__xludf.DUMMYFUNCTION("""COMPUTED_VALUE"""),"A07290725")</f>
        <v>A07290725</v>
      </c>
      <c r="L49" s="2" t="str">
        <f>IFERROR(__xludf.DUMMYFUNCTION("""COMPUTED_VALUE"""),"Gel xanh lơ")</f>
        <v>Gel xanh lơ</v>
      </c>
      <c r="M49" s="2" t="str">
        <f>IFERROR(__xludf.DUMMYFUNCTION("""COMPUTED_VALUE"""),"Túi/Gói")</f>
        <v>Túi/Gói</v>
      </c>
      <c r="N49" s="142">
        <f>IFERROR(__xludf.DUMMYFUNCTION("""COMPUTED_VALUE"""),300.0)</f>
        <v>300</v>
      </c>
      <c r="O49" s="142">
        <f>IFERROR(__xludf.DUMMYFUNCTION("""COMPUTED_VALUE"""),15.0)</f>
        <v>15</v>
      </c>
      <c r="P49" s="142">
        <f>IFERROR(__xludf.DUMMYFUNCTION("""COMPUTED_VALUE"""),4500.0)</f>
        <v>4500</v>
      </c>
      <c r="Q49" s="143">
        <f>IFERROR(__xludf.DUMMYFUNCTION("""COMPUTED_VALUE"""),46158.0)</f>
        <v>46158</v>
      </c>
      <c r="R49" s="2"/>
      <c r="S49" s="142" t="str">
        <f>IFERROR(__xludf.DUMMYFUNCTION("""COMPUTED_VALUE"""),"lấy chẳn thùng
hàng cần gấp")</f>
        <v>lấy chẳn thùng
hàng cần gấp</v>
      </c>
      <c r="T49" s="2"/>
      <c r="U49" s="2"/>
      <c r="V49" s="2"/>
      <c r="W49" s="2" t="str">
        <f>IFERROR(__xludf.DUMMYFUNCTION("""COMPUTED_VALUE"""),"AN LẠC - Giá bán 4.300,00 đ - Ngày dự kiến thu tiền:  - Dự kiến ngày ra hết hàng: ")</f>
        <v>AN LẠC - Giá bán 4.300,00 đ - Ngày dự kiến thu tiền:  - Dự kiến ngày ra hết hàng: </v>
      </c>
      <c r="X49" s="2"/>
      <c r="Y49" s="2" t="str">
        <f>IFERROR(__xludf.DUMMYFUNCTION("""COMPUTED_VALUE"""),"Dego Cần Thơ")</f>
        <v>Dego Cần Thơ</v>
      </c>
      <c r="Z49" s="2" t="str">
        <f>IFERROR(__xludf.DUMMYFUNCTION("""COMPUTED_VALUE"""),"Hàng sẵn kho")</f>
        <v>Hàng sẵn kho</v>
      </c>
      <c r="AA49" s="2"/>
      <c r="AB49" s="2" t="str">
        <f>IFERROR(__xludf.DUMMYFUNCTION("""COMPUTED_VALUE"""),"chờ chị Huỳnh chờ duyệt giá 07/05-08/05
đã đủ dk 11/05
đã có hóa đơn 25/05 lấy hàng được")</f>
        <v>chờ chị Huỳnh chờ duyệt giá 07/05-08/05
đã đủ dk 11/05
đã có hóa đơn 25/05 lấy hàng được</v>
      </c>
      <c r="AC49" s="2"/>
      <c r="AD49" s="146">
        <f>IFERROR(__xludf.DUMMYFUNCTION("""COMPUTED_VALUE"""),4785.0)</f>
        <v>4785</v>
      </c>
      <c r="AE49" s="2" t="str">
        <f>IFERROR(__xludf.DUMMYFUNCTION("""COMPUTED_VALUE"""),"đã bàn giao cho nhà máy 23/05")</f>
        <v>đã bàn giao cho nhà máy 23/05</v>
      </c>
      <c r="AF49" s="146" t="str">
        <f>IFERROR(__xludf.DUMMYFUNCTION("""COMPUTED_VALUE"""),"ATP05052604")</f>
        <v>ATP05052604</v>
      </c>
      <c r="AG49" s="143">
        <f>IFERROR(__xludf.DUMMYFUNCTION("""COMPUTED_VALUE"""),46164.0)</f>
        <v>46164</v>
      </c>
      <c r="AH49" s="146">
        <f>IFERROR(__xludf.DUMMYFUNCTION("""COMPUTED_VALUE"""),4785.0)</f>
        <v>4785</v>
      </c>
      <c r="AI49" s="2"/>
      <c r="AJ49" s="2"/>
      <c r="AK49" s="2"/>
      <c r="AL49" s="2"/>
      <c r="AM49" s="142">
        <f>IFERROR(__xludf.DUMMYFUNCTION("""COMPUTED_VALUE"""),4783.0)</f>
        <v>4783</v>
      </c>
      <c r="AN49" s="2"/>
      <c r="AO49" s="2"/>
      <c r="AP49" s="2"/>
      <c r="AQ49" s="2"/>
      <c r="AR49" s="2">
        <f>IFERROR(__xludf.DUMMYFUNCTION("""COMPUTED_VALUE"""),200526.0)</f>
        <v>200526</v>
      </c>
      <c r="AS49" s="143">
        <f>IFERROR(__xludf.DUMMYFUNCTION("""COMPUTED_VALUE"""),46162.0)</f>
        <v>46162</v>
      </c>
      <c r="AT49" s="2"/>
      <c r="AU49" s="2"/>
      <c r="AV49" s="2"/>
      <c r="AW49" s="2"/>
      <c r="AX49" s="2"/>
      <c r="AY49" s="2"/>
      <c r="AZ49" s="2" t="str">
        <f>IFERROR(__xludf.DUMMYFUNCTION("""COMPUTED_VALUE"""),"#REF!")</f>
        <v>#REF!</v>
      </c>
      <c r="BA49" s="2" t="str">
        <f>IFERROR(__xludf.DUMMYFUNCTION("""COMPUTED_VALUE"""),"Đủ điều kiện")</f>
        <v>Đủ điều kiện</v>
      </c>
      <c r="BB49" s="2" t="str">
        <f>IFERROR(__xludf.DUMMYFUNCTION("""COMPUTED_VALUE"""),"Duyệt")</f>
        <v>Duyệt</v>
      </c>
      <c r="BC49" s="148">
        <f>IFERROR(__xludf.DUMMYFUNCTION("""COMPUTED_VALUE"""),46148.0)</f>
        <v>46148</v>
      </c>
      <c r="BD49" s="2" t="str">
        <f>IFERROR(__xludf.DUMMYFUNCTION("""COMPUTED_VALUE"""),"Duyệt")</f>
        <v>Duyệt</v>
      </c>
      <c r="BE49" s="2" t="str">
        <f>IFERROR(__xludf.DUMMYFUNCTION("""COMPUTED_VALUE"""),"xlg 07/05
09/05")</f>
        <v>xlg 07/05
09/05</v>
      </c>
      <c r="BF49" s="2" t="str">
        <f>IFERROR(__xludf.DUMMYFUNCTION("""COMPUTED_VALUE"""),"Đã xử lí giá")</f>
        <v>Đã xử lí giá</v>
      </c>
      <c r="BG49" s="2" t="str">
        <f>IFERROR(__xludf.DUMMYFUNCTION("""COMPUTED_VALUE"""),"A07290725 Gel xanh lơ 4,300đ 7/5//2026")</f>
        <v>A07290725 Gel xanh lơ 4,300đ 7/5//2026</v>
      </c>
      <c r="BH49" s="2"/>
      <c r="BI49" s="2"/>
      <c r="BJ49" s="2"/>
      <c r="BK49" s="2"/>
      <c r="BL49" s="2"/>
      <c r="BM49" s="2"/>
      <c r="BN49" s="2"/>
      <c r="BO49" s="2"/>
      <c r="BP49" s="2"/>
      <c r="BQ49" s="2"/>
    </row>
    <row r="50">
      <c r="A50" s="2">
        <f>IFERROR(__xludf.DUMMYFUNCTION("""COMPUTED_VALUE"""),47.0)</f>
        <v>47</v>
      </c>
      <c r="B50" s="2" t="str">
        <f>IFERROR(__xludf.DUMMYFUNCTION("""COMPUTED_VALUE"""),"Hà Long")</f>
        <v>Hà Long</v>
      </c>
      <c r="C50" s="2" t="str">
        <f>IFERROR(__xludf.DUMMYFUNCTION("""COMPUTED_VALUE"""),"ATP06052601")</f>
        <v>ATP06052601</v>
      </c>
      <c r="D50" s="39">
        <f>IFERROR(__xludf.DUMMYFUNCTION("""COMPUTED_VALUE"""),46148.0)</f>
        <v>46148</v>
      </c>
      <c r="E50" s="2" t="str">
        <f>IFERROR(__xludf.DUMMYFUNCTION("""COMPUTED_VALUE"""),"Đã duyệt")</f>
        <v>Đã duyệt</v>
      </c>
      <c r="F50" s="2" t="str">
        <f>IFERROR(__xludf.DUMMYFUNCTION("""COMPUTED_VALUE"""),"ABA")</f>
        <v>ABA</v>
      </c>
      <c r="G50" s="2" t="str">
        <f>IFERROR(__xludf.DUMMYFUNCTION("""COMPUTED_VALUE"""),"HH4275")</f>
        <v>HH4275</v>
      </c>
      <c r="H50" s="2" t="str">
        <f>IFERROR(__xludf.DUMMYFUNCTION("""COMPUTED_VALUE"""),"GC - IV - 4275 - Cty Hóa Nông Shino - OC 666 (Nước nâu đen) - 450ml - 30")</f>
        <v>GC - IV - 4275 - Cty Hóa Nông Shino - OC 666 (Nước nâu đen) - 450ml - 30</v>
      </c>
      <c r="I50" s="2" t="str">
        <f>IFERROR(__xludf.DUMMYFUNCTION("""COMPUTED_VALUE"""),"Thuốc trừ sâu")</f>
        <v>Thuốc trừ sâu</v>
      </c>
      <c r="J50" s="142" t="str">
        <f>IFERROR(__xludf.DUMMYFUNCTION("""COMPUTED_VALUE"""),"HAIHAMEC 3.6EC")</f>
        <v>HAIHAMEC 3.6EC</v>
      </c>
      <c r="K50" s="2" t="str">
        <f>IFERROR(__xludf.DUMMYFUNCTION("""COMPUTED_VALUE"""),"Dòng V1")</f>
        <v>Dòng V1</v>
      </c>
      <c r="L50" s="2" t="str">
        <f>IFERROR(__xludf.DUMMYFUNCTION("""COMPUTED_VALUE"""),"Nước nâu đen")</f>
        <v>Nước nâu đen</v>
      </c>
      <c r="M50" s="2" t="str">
        <f>IFERROR(__xludf.DUMMYFUNCTION("""COMPUTED_VALUE"""),"Chai")</f>
        <v>Chai</v>
      </c>
      <c r="N50" s="142">
        <f>IFERROR(__xludf.DUMMYFUNCTION("""COMPUTED_VALUE"""),30.0)</f>
        <v>30</v>
      </c>
      <c r="O50" s="142">
        <f>IFERROR(__xludf.DUMMYFUNCTION("""COMPUTED_VALUE"""),20.0)</f>
        <v>20</v>
      </c>
      <c r="P50" s="142">
        <f>IFERROR(__xludf.DUMMYFUNCTION("""COMPUTED_VALUE"""),600.0)</f>
        <v>600</v>
      </c>
      <c r="Q50" s="143">
        <f>IFERROR(__xludf.DUMMYFUNCTION("""COMPUTED_VALUE"""),46155.0)</f>
        <v>46155</v>
      </c>
      <c r="R50" s="2"/>
      <c r="S50" s="142" t="str">
        <f>IFERROR(__xludf.DUMMYFUNCTION("""COMPUTED_VALUE"""),"lấy chẳn thùng
hàng cần gấp, mượn nguyên liệu IDA")</f>
        <v>lấy chẳn thùng
hàng cần gấp, mượn nguyên liệu IDA</v>
      </c>
      <c r="T50" s="2"/>
      <c r="U50" s="2"/>
      <c r="V50" s="2"/>
      <c r="W50" s="2" t="str">
        <f>IFERROR(__xludf.DUMMYFUNCTION("""COMPUTED_VALUE"""),"SHINO - Giá bán 43.500,00 đ - Ngày dự kiến thu tiền:  - Dự kiến ngày ra hết hàng: ")</f>
        <v>SHINO - Giá bán 43.500,00 đ - Ngày dự kiến thu tiền:  - Dự kiến ngày ra hết hàng: </v>
      </c>
      <c r="X50" s="2"/>
      <c r="Y50" s="2" t="str">
        <f>IFERROR(__xludf.DUMMYFUNCTION("""COMPUTED_VALUE"""),"Hà Long")</f>
        <v>Hà Long</v>
      </c>
      <c r="Z50" s="2" t="str">
        <f>IFERROR(__xludf.DUMMYFUNCTION("""COMPUTED_VALUE"""),"Hủy đơn")</f>
        <v>Hủy đơn</v>
      </c>
      <c r="AA50" s="39">
        <f>IFERROR(__xludf.DUMMYFUNCTION("""COMPUTED_VALUE"""),46160.0)</f>
        <v>46160</v>
      </c>
      <c r="AB50" s="2" t="str">
        <f>IFERROR(__xludf.DUMMYFUNCTION("""COMPUTED_VALUE"""),"09/05 đẩy đơn lần 1- HL không đẩy đơn
12/05 đẩy đơn lần t2 - HL không đẩy đơn
14/5 đẩy đơn lần 3- HL không đẩy đơn
18/05 đẩy đơn lần t4- HL đẩy đơn
19/05 HL chưa đẩy lên chuyền sx nên chưa có lịch cụ thể
21/05 HL lạc nhãn- đóng hết nhãn chẳn thùng
22/05 h"&amp;"uỷ đơn do HL trễ hẹn khách k nhận đơn")</f>
        <v>09/05 đẩy đơn lần 1- HL không đẩy đơn
12/05 đẩy đơn lần t2 - HL không đẩy đơn
14/5 đẩy đơn lần 3- HL không đẩy đơn
18/05 đẩy đơn lần t4- HL đẩy đơn
19/05 HL chưa đẩy lên chuyền sx nên chưa có lịch cụ thể
21/05 HL lạc nhãn- đóng hết nhãn chẳn thùng
22/05 huỷ đơn do HL trễ hẹn khách k nhận đơn</v>
      </c>
      <c r="AC50" s="146">
        <f>IFERROR(__xludf.DUMMYFUNCTION("""COMPUTED_VALUE"""),600.0)</f>
        <v>600</v>
      </c>
      <c r="AD50" s="2"/>
      <c r="AE50" s="143" t="str">
        <f>IFERROR(__xludf.DUMMYFUNCTION("""COMPUTED_VALUE"""),"Chưa chốt lịch")</f>
        <v>Chưa chốt lịch</v>
      </c>
      <c r="AF50" s="146" t="str">
        <f>IFERROR(__xludf.DUMMYFUNCTION("""COMPUTED_VALUE"""),"")</f>
        <v/>
      </c>
      <c r="AG50" s="2"/>
      <c r="AH50" s="2"/>
      <c r="AI50" s="2"/>
      <c r="AJ50" s="2"/>
      <c r="AK50" s="2"/>
      <c r="AL50" s="2"/>
      <c r="AM50" s="2"/>
      <c r="AN50" s="2"/>
      <c r="AO50" s="2"/>
      <c r="AP50" s="2"/>
      <c r="AQ50" s="2"/>
      <c r="AR50" s="2"/>
      <c r="AS50" s="2"/>
      <c r="AT50" s="2"/>
      <c r="AU50" s="2"/>
      <c r="AV50" s="2"/>
      <c r="AW50" s="2"/>
      <c r="AX50" s="2"/>
      <c r="AY50" s="2"/>
      <c r="AZ50" s="2"/>
      <c r="BA50" s="2" t="str">
        <f>IFERROR(__xludf.DUMMYFUNCTION("""COMPUTED_VALUE"""),"Đủ điều kiện")</f>
        <v>Đủ điều kiện</v>
      </c>
      <c r="BB50" s="2" t="str">
        <f>IFERROR(__xludf.DUMMYFUNCTION("""COMPUTED_VALUE"""),"Duyệt")</f>
        <v>Duyệt</v>
      </c>
      <c r="BC50" s="143">
        <f>IFERROR(__xludf.DUMMYFUNCTION("""COMPUTED_VALUE"""),46154.0)</f>
        <v>46154</v>
      </c>
      <c r="BD50" s="2" t="str">
        <f>IFERROR(__xludf.DUMMYFUNCTION("""COMPUTED_VALUE"""),"Duyệt")</f>
        <v>Duyệt</v>
      </c>
      <c r="BE50" s="143">
        <f>IFERROR(__xludf.DUMMYFUNCTION("""COMPUTED_VALUE"""),46146.0)</f>
        <v>46146</v>
      </c>
      <c r="BF50" s="2" t="str">
        <f>IFERROR(__xludf.DUMMYFUNCTION("""COMPUTED_VALUE"""),"Đã xử lí giá")</f>
        <v>Đã xử lí giá</v>
      </c>
      <c r="BG50" s="2" t="str">
        <f>IFERROR(__xludf.DUMMYFUNCTION("""COMPUTED_VALUE"""),"Dòng V1 Nước nâu đen 43,500đ 6/5/2026")</f>
        <v>Dòng V1 Nước nâu đen 43,500đ 6/5/2026</v>
      </c>
      <c r="BH50" s="2"/>
      <c r="BI50" s="2"/>
      <c r="BJ50" s="2"/>
      <c r="BK50" s="2"/>
      <c r="BL50" s="2"/>
      <c r="BM50" s="2"/>
      <c r="BN50" s="2"/>
      <c r="BO50" s="2"/>
      <c r="BP50" s="2"/>
      <c r="BQ50" s="2"/>
    </row>
    <row r="51">
      <c r="A51" s="2">
        <f>IFERROR(__xludf.DUMMYFUNCTION("""COMPUTED_VALUE"""),48.0)</f>
        <v>48</v>
      </c>
      <c r="B51" s="2" t="str">
        <f>IFERROR(__xludf.DUMMYFUNCTION("""COMPUTED_VALUE"""),"ATC")</f>
        <v>ATC</v>
      </c>
      <c r="C51" s="2" t="str">
        <f>IFERROR(__xludf.DUMMYFUNCTION("""COMPUTED_VALUE"""),"ATP07052603")</f>
        <v>ATP07052603</v>
      </c>
      <c r="D51" s="39">
        <f>IFERROR(__xludf.DUMMYFUNCTION("""COMPUTED_VALUE"""),46149.0)</f>
        <v>46149</v>
      </c>
      <c r="E51" s="2" t="str">
        <f>IFERROR(__xludf.DUMMYFUNCTION("""COMPUTED_VALUE"""),"Đã duyệt")</f>
        <v>Đã duyệt</v>
      </c>
      <c r="F51" s="2" t="str">
        <f>IFERROR(__xludf.DUMMYFUNCTION("""COMPUTED_VALUE"""),"ABA")</f>
        <v>ABA</v>
      </c>
      <c r="G51" s="2" t="str">
        <f>IFERROR(__xludf.DUMMYFUNCTION("""COMPUTED_VALUE"""),"HH4613")</f>
        <v>HH4613</v>
      </c>
      <c r="H51" s="2" t="str">
        <f>IFERROR(__xludf.DUMMYFUNCTION("""COMPUTED_VALUE"""),"GC - V - 4613 - CTY R3 - NINNA-MAX (Nước vàng) - 450ml - 40")</f>
        <v>GC - V - 4613 - CTY R3 - NINNA-MAX (Nước vàng) - 450ml - 40</v>
      </c>
      <c r="I51" s="2" t="str">
        <f>IFERROR(__xludf.DUMMYFUNCTION("""COMPUTED_VALUE"""),"Thuốc trừ bệnh")</f>
        <v>Thuốc trừ bệnh</v>
      </c>
      <c r="J51" s="142" t="str">
        <f>IFERROR(__xludf.DUMMYFUNCTION("""COMPUTED_VALUE"""),"Pyramos 40SL")</f>
        <v>Pyramos 40SL</v>
      </c>
      <c r="K51" s="2" t="str">
        <f>IFERROR(__xludf.DUMMYFUNCTION("""COMPUTED_VALUE"""),"Dòng V1")</f>
        <v>Dòng V1</v>
      </c>
      <c r="L51" s="2" t="str">
        <f>IFERROR(__xludf.DUMMYFUNCTION("""COMPUTED_VALUE"""),"Nước vàng")</f>
        <v>Nước vàng</v>
      </c>
      <c r="M51" s="2" t="str">
        <f>IFERROR(__xludf.DUMMYFUNCTION("""COMPUTED_VALUE"""),"Chai")</f>
        <v>Chai</v>
      </c>
      <c r="N51" s="142">
        <f>IFERROR(__xludf.DUMMYFUNCTION("""COMPUTED_VALUE"""),40.0)</f>
        <v>40</v>
      </c>
      <c r="O51" s="142">
        <f>IFERROR(__xludf.DUMMYFUNCTION("""COMPUTED_VALUE"""),30.0)</f>
        <v>30</v>
      </c>
      <c r="P51" s="142">
        <f>IFERROR(__xludf.DUMMYFUNCTION("""COMPUTED_VALUE"""),1200.0)</f>
        <v>1200</v>
      </c>
      <c r="Q51" s="143">
        <f>IFERROR(__xludf.DUMMYFUNCTION("""COMPUTED_VALUE"""),46176.0)</f>
        <v>46176</v>
      </c>
      <c r="R51" s="2"/>
      <c r="S51" s="142" t="str">
        <f>IFERROR(__xludf.DUMMYFUNCTION("""COMPUTED_VALUE"""),"lấy chẳn thùng
chốt màu vàng 27/5/2026")</f>
        <v>lấy chẳn thùng
chốt màu vàng 27/5/2026</v>
      </c>
      <c r="T51" s="2"/>
      <c r="U51" s="2"/>
      <c r="V51" s="2"/>
      <c r="W51" s="2" t="str">
        <f>IFERROR(__xludf.DUMMYFUNCTION("""COMPUTED_VALUE"""),"CTY R3 - Giá bán 38500 - Ngày dự kiến thu tiền:  - Dự kiến ngày ra hết hàng: ")</f>
        <v>CTY R3 - Giá bán 38500 - Ngày dự kiến thu tiền:  - Dự kiến ngày ra hết hàng: </v>
      </c>
      <c r="X51" s="2"/>
      <c r="Y51" s="2" t="str">
        <f>IFERROR(__xludf.DUMMYFUNCTION("""COMPUTED_VALUE"""),"ATC")</f>
        <v>ATC</v>
      </c>
      <c r="Z51" s="2" t="str">
        <f>IFERROR(__xludf.DUMMYFUNCTION("""COMPUTED_VALUE"""),"Chưa có lịch SX")</f>
        <v>Chưa có lịch SX</v>
      </c>
      <c r="AA51" s="2"/>
      <c r="AB51" s="2" t="str">
        <f>IFERROR(__xludf.DUMMYFUNCTION("""COMPUTED_VALUE"""),"chưa gửi đơn, chưa có giá vốn (7-13/05)
chị Huỳnh duyệt cho gửi đơn, đã gửi đơn 18/05
27/05 chốt sd màu nước vàng")</f>
        <v>chưa gửi đơn, chưa có giá vốn (7-13/05)
chị Huỳnh duyệt cho gửi đơn, đã gửi đơn 18/05
27/05 chốt sd màu nước vàng</v>
      </c>
      <c r="AC51" s="146">
        <f>IFERROR(__xludf.DUMMYFUNCTION("""COMPUTED_VALUE"""),1200.0)</f>
        <v>1200</v>
      </c>
      <c r="AD51" s="2"/>
      <c r="AE51" s="143" t="str">
        <f>IFERROR(__xludf.DUMMYFUNCTION("""COMPUTED_VALUE"""),"Chưa chốt lịch")</f>
        <v>Chưa chốt lịch</v>
      </c>
      <c r="AF51" s="146" t="str">
        <f>IFERROR(__xludf.DUMMYFUNCTION("""COMPUTED_VALUE"""),"")</f>
        <v/>
      </c>
      <c r="AG51" s="2"/>
      <c r="AH51" s="2"/>
      <c r="AI51" s="2"/>
      <c r="AJ51" s="2"/>
      <c r="AK51" s="2"/>
      <c r="AL51" s="2"/>
      <c r="AM51" s="2"/>
      <c r="AN51" s="2"/>
      <c r="AO51" s="2"/>
      <c r="AP51" s="2"/>
      <c r="AQ51" s="2"/>
      <c r="AR51" s="2"/>
      <c r="AS51" s="2"/>
      <c r="AT51" s="2"/>
      <c r="AU51" s="2"/>
      <c r="AV51" s="2"/>
      <c r="AW51" s="2"/>
      <c r="AX51" s="2"/>
      <c r="AY51" s="2"/>
      <c r="AZ51" s="2"/>
      <c r="BA51" s="2" t="str">
        <f>IFERROR(__xludf.DUMMYFUNCTION("""COMPUTED_VALUE"""),"Không đủ điều kiện")</f>
        <v>Không đủ điều kiện</v>
      </c>
      <c r="BB51" s="2" t="str">
        <f>IFERROR(__xludf.DUMMYFUNCTION("""COMPUTED_VALUE"""),"Duyệt")</f>
        <v>Duyệt</v>
      </c>
      <c r="BC51" s="148">
        <f>IFERROR(__xludf.DUMMYFUNCTION("""COMPUTED_VALUE"""),46150.0)</f>
        <v>46150</v>
      </c>
      <c r="BD51" s="2" t="str">
        <f>IFERROR(__xludf.DUMMYFUNCTION("""COMPUTED_VALUE"""),"Duyệt")</f>
        <v>Duyệt</v>
      </c>
      <c r="BE51" s="2" t="str">
        <f>IFERROR(__xludf.DUMMYFUNCTION("""COMPUTED_VALUE"""),"xlg 18/05")</f>
        <v>xlg 18/05</v>
      </c>
      <c r="BF51" s="2" t="str">
        <f>IFERROR(__xludf.DUMMYFUNCTION("""COMPUTED_VALUE"""),"Đã xử lí giá")</f>
        <v>Đã xử lí giá</v>
      </c>
      <c r="BG51" s="2" t="str">
        <f>IFERROR(__xludf.DUMMYFUNCTION("""COMPUTED_VALUE"""),"Dòng V1 Nước xanh dương  Chưa có giá bán 7/5/2026
Đã báo giá vốn 18/5/2026")</f>
        <v>Dòng V1 Nước xanh dương  Chưa có giá bán 7/5/2026
Đã báo giá vốn 18/5/2026</v>
      </c>
      <c r="BH51" s="2"/>
      <c r="BI51" s="2"/>
      <c r="BJ51" s="2"/>
      <c r="BK51" s="2"/>
      <c r="BL51" s="2"/>
      <c r="BM51" s="2"/>
      <c r="BN51" s="2"/>
      <c r="BO51" s="2"/>
      <c r="BP51" s="2"/>
      <c r="BQ51" s="2"/>
    </row>
    <row r="52">
      <c r="A52" s="2">
        <f>IFERROR(__xludf.DUMMYFUNCTION("""COMPUTED_VALUE"""),49.0)</f>
        <v>49</v>
      </c>
      <c r="B52" s="2" t="str">
        <f>IFERROR(__xludf.DUMMYFUNCTION("""COMPUTED_VALUE"""),"Dego Cần Thơ")</f>
        <v>Dego Cần Thơ</v>
      </c>
      <c r="C52" s="2" t="str">
        <f>IFERROR(__xludf.DUMMYFUNCTION("""COMPUTED_VALUE"""),"ITP07052601")</f>
        <v>ITP07052601</v>
      </c>
      <c r="D52" s="39">
        <f>IFERROR(__xludf.DUMMYFUNCTION("""COMPUTED_VALUE"""),46149.0)</f>
        <v>46149</v>
      </c>
      <c r="E52" s="2"/>
      <c r="F52" s="2" t="str">
        <f>IFERROR(__xludf.DUMMYFUNCTION("""COMPUTED_VALUE"""),"BAMBOO")</f>
        <v>BAMBOO</v>
      </c>
      <c r="G52" s="2" t="str">
        <f>IFERROR(__xludf.DUMMYFUNCTION("""COMPUTED_VALUE"""),"HH4311")</f>
        <v>HH4311</v>
      </c>
      <c r="H52" s="2" t="str">
        <f>IFERROR(__xludf.DUMMYFUNCTION("""COMPUTED_VALUE"""),"BAMBOO - VI - 4311 - BAMBOO 777 TE (nước xanh lơ) - 1L - 20")</f>
        <v>BAMBOO - VI - 4311 - BAMBOO 777 TE (nước xanh lơ) - 1L - 20</v>
      </c>
      <c r="I52" s="2" t="str">
        <f>IFERROR(__xludf.DUMMYFUNCTION("""COMPUTED_VALUE"""),"Phân bón")</f>
        <v>Phân bón</v>
      </c>
      <c r="J52" s="142" t="str">
        <f>IFERROR(__xludf.DUMMYFUNCTION("""COMPUTED_VALUE"""),"lá NPK-vi lượng GNC19")</f>
        <v>lá NPK-vi lượng GNC19</v>
      </c>
      <c r="K52" s="2" t="str">
        <f>IFERROR(__xludf.DUMMYFUNCTION("""COMPUTED_VALUE"""),"Đóng theo đơn gần nhất")</f>
        <v>Đóng theo đơn gần nhất</v>
      </c>
      <c r="L52" s="2" t="str">
        <f>IFERROR(__xludf.DUMMYFUNCTION("""COMPUTED_VALUE"""),"Nước xanh lơ")</f>
        <v>Nước xanh lơ</v>
      </c>
      <c r="M52" s="2" t="str">
        <f>IFERROR(__xludf.DUMMYFUNCTION("""COMPUTED_VALUE"""),"Chai")</f>
        <v>Chai</v>
      </c>
      <c r="N52" s="142">
        <f>IFERROR(__xludf.DUMMYFUNCTION("""COMPUTED_VALUE"""),20.0)</f>
        <v>20</v>
      </c>
      <c r="O52" s="142">
        <f>IFERROR(__xludf.DUMMYFUNCTION("""COMPUTED_VALUE"""),35.0)</f>
        <v>35</v>
      </c>
      <c r="P52" s="142">
        <f>IFERROR(__xludf.DUMMYFUNCTION("""COMPUTED_VALUE"""),700.0)</f>
        <v>700</v>
      </c>
      <c r="Q52" s="143">
        <f>IFERROR(__xludf.DUMMYFUNCTION("""COMPUTED_VALUE"""),46155.0)</f>
        <v>46155</v>
      </c>
      <c r="R52" s="2" t="str">
        <f>IFERROR(__xludf.DUMMYFUNCTION("""COMPUTED_VALUE"""),"x")</f>
        <v>x</v>
      </c>
      <c r="S52" s="142" t="str">
        <f>IFERROR(__xludf.DUMMYFUNCTION("""COMPUTED_VALUE""")," nhận lẻ thùng")</f>
        <v> nhận lẻ thùng</v>
      </c>
      <c r="T52" s="142" t="str">
        <f>IFERROR(__xludf.DUMMYFUNCTION("""COMPUTED_VALUE"""),"x")</f>
        <v>x</v>
      </c>
      <c r="U52" s="142" t="str">
        <f>IFERROR(__xludf.DUMMYFUNCTION("""COMPUTED_VALUE"""),"x")</f>
        <v>x</v>
      </c>
      <c r="V52" s="142">
        <f>IFERROR(__xludf.DUMMYFUNCTION("""COMPUTED_VALUE"""),6.0)</f>
        <v>6</v>
      </c>
      <c r="W52" s="2" t="str">
        <f>IFERROR(__xludf.DUMMYFUNCTION("""COMPUTED_VALUE"""),"x - Giá bán 290000 - Ngày dự kiến thu tiền: x - Dự kiến ngày ra hết hàng: 30 ngày")</f>
        <v>x - Giá bán 290000 - Ngày dự kiến thu tiền: x - Dự kiến ngày ra hết hàng: 30 ngày</v>
      </c>
      <c r="X52" s="2"/>
      <c r="Y52" s="2" t="str">
        <f>IFERROR(__xludf.DUMMYFUNCTION("""COMPUTED_VALUE"""),"Dego Cần Thơ")</f>
        <v>Dego Cần Thơ</v>
      </c>
      <c r="Z52" s="2" t="str">
        <f>IFERROR(__xludf.DUMMYFUNCTION("""COMPUTED_VALUE"""),"Hàng sẵn kho")</f>
        <v>Hàng sẵn kho</v>
      </c>
      <c r="AA52" s="2"/>
      <c r="AB52" s="2" t="str">
        <f>IFERROR(__xludf.DUMMYFUNCTION("""COMPUTED_VALUE"""),"chưa gửi đơn, chưa duyệt giá (7-9/5)")</f>
        <v>chưa gửi đơn, chưa duyệt giá (7-9/5)</v>
      </c>
      <c r="AC52" s="2"/>
      <c r="AD52" s="146">
        <f>IFERROR(__xludf.DUMMYFUNCTION("""COMPUTED_VALUE"""),685.0)</f>
        <v>685</v>
      </c>
      <c r="AE52" s="2" t="str">
        <f>IFERROR(__xludf.DUMMYFUNCTION("""COMPUTED_VALUE"""),"đã bàn giao cho nhà máy 23/05")</f>
        <v>đã bàn giao cho nhà máy 23/05</v>
      </c>
      <c r="AF52" s="146" t="str">
        <f>IFERROR(__xludf.DUMMYFUNCTION("""COMPUTED_VALUE"""),"ITP07052601")</f>
        <v>ITP07052601</v>
      </c>
      <c r="AG52" s="143">
        <f>IFERROR(__xludf.DUMMYFUNCTION("""COMPUTED_VALUE"""),46160.0)</f>
        <v>46160</v>
      </c>
      <c r="AH52" s="146">
        <f>IFERROR(__xludf.DUMMYFUNCTION("""COMPUTED_VALUE"""),685.0)</f>
        <v>685</v>
      </c>
      <c r="AI52" s="2"/>
      <c r="AJ52" s="2"/>
      <c r="AK52" s="2"/>
      <c r="AL52" s="2"/>
      <c r="AM52" s="142">
        <f>IFERROR(__xludf.DUMMYFUNCTION("""COMPUTED_VALUE"""),683.0)</f>
        <v>683</v>
      </c>
      <c r="AN52" s="2"/>
      <c r="AO52" s="2"/>
      <c r="AP52" s="2"/>
      <c r="AQ52" s="2"/>
      <c r="AR52" s="2">
        <f>IFERROR(__xludf.DUMMYFUNCTION("""COMPUTED_VALUE"""),240526.0)</f>
        <v>240526</v>
      </c>
      <c r="AS52" s="143">
        <f>IFERROR(__xludf.DUMMYFUNCTION("""COMPUTED_VALUE"""),46160.0)</f>
        <v>46160</v>
      </c>
      <c r="AT52" s="2"/>
      <c r="AU52" s="2"/>
      <c r="AV52" s="2"/>
      <c r="AW52" s="2"/>
      <c r="AX52" s="2"/>
      <c r="AY52" s="2"/>
      <c r="AZ52" s="2" t="str">
        <f>IFERROR(__xludf.DUMMYFUNCTION("""COMPUTED_VALUE"""),"#REF!")</f>
        <v>#REF!</v>
      </c>
      <c r="BA52" s="2" t="str">
        <f>IFERROR(__xludf.DUMMYFUNCTION("""COMPUTED_VALUE"""),"Đủ điều kiện")</f>
        <v>Đủ điều kiện</v>
      </c>
      <c r="BB52" s="2" t="str">
        <f>IFERROR(__xludf.DUMMYFUNCTION("""COMPUTED_VALUE"""),"Duyệt")</f>
        <v>Duyệt</v>
      </c>
      <c r="BC52" s="148">
        <f>IFERROR(__xludf.DUMMYFUNCTION("""COMPUTED_VALUE"""),46150.0)</f>
        <v>46150</v>
      </c>
      <c r="BD52" s="2" t="str">
        <f>IFERROR(__xludf.DUMMYFUNCTION("""COMPUTED_VALUE"""),"Duyệt")</f>
        <v>Duyệt</v>
      </c>
      <c r="BE52" s="2" t="str">
        <f>IFERROR(__xludf.DUMMYFUNCTION("""COMPUTED_VALUE"""),"xlg 09/05
11/05")</f>
        <v>xlg 09/05
11/05</v>
      </c>
      <c r="BF52" s="2" t="str">
        <f>IFERROR(__xludf.DUMMYFUNCTION("""COMPUTED_VALUE"""),"Đã xử lí giá")</f>
        <v>Đã xử lí giá</v>
      </c>
      <c r="BG52" s="2" t="str">
        <f>IFERROR(__xludf.DUMMYFUNCTION("""COMPUTED_VALUE"""),"Đóng theo đơn gần nhất Nước xanh lơ 290,000đ 8/5/2026")</f>
        <v>Đóng theo đơn gần nhất Nước xanh lơ 290,000đ 8/5/2026</v>
      </c>
      <c r="BH52" s="2"/>
      <c r="BI52" s="2"/>
      <c r="BJ52" s="2"/>
      <c r="BK52" s="2"/>
      <c r="BL52" s="2"/>
      <c r="BM52" s="2"/>
      <c r="BN52" s="2"/>
      <c r="BO52" s="2"/>
      <c r="BP52" s="2"/>
      <c r="BQ52" s="2"/>
    </row>
    <row r="53">
      <c r="A53" s="2">
        <f>IFERROR(__xludf.DUMMYFUNCTION("""COMPUTED_VALUE"""),50.0)</f>
        <v>50</v>
      </c>
      <c r="B53" s="2" t="str">
        <f>IFERROR(__xludf.DUMMYFUNCTION("""COMPUTED_VALUE"""),"ATC")</f>
        <v>ATC</v>
      </c>
      <c r="C53" s="2" t="str">
        <f>IFERROR(__xludf.DUMMYFUNCTION("""COMPUTED_VALUE"""),"ATP08052601")</f>
        <v>ATP08052601</v>
      </c>
      <c r="D53" s="39">
        <f>IFERROR(__xludf.DUMMYFUNCTION("""COMPUTED_VALUE"""),46150.0)</f>
        <v>46150</v>
      </c>
      <c r="E53" s="2" t="str">
        <f>IFERROR(__xludf.DUMMYFUNCTION("""COMPUTED_VALUE"""),"Đã duyệt")</f>
        <v>Đã duyệt</v>
      </c>
      <c r="F53" s="2" t="str">
        <f>IFERROR(__xludf.DUMMYFUNCTION("""COMPUTED_VALUE"""),"ABA")</f>
        <v>ABA</v>
      </c>
      <c r="G53" s="2" t="str">
        <f>IFERROR(__xludf.DUMMYFUNCTION("""COMPUTED_VALUE"""),"HH5005")</f>
        <v>HH5005</v>
      </c>
      <c r="H53" s="2" t="str">
        <f>IFERROR(__xludf.DUMMYFUNCTION("""COMPUTED_VALUE"""),"GC - V - 5005 - CTY NHP GROUP (HTX NÔNG NGHIỆP MỸ THIỆN) - MT PACLO (Nước trắng sữa) - 1L - 20")</f>
        <v>GC - V - 5005 - CTY NHP GROUP (HTX NÔNG NGHIỆP MỸ THIỆN) - MT PACLO (Nước trắng sữa) - 1L - 20</v>
      </c>
      <c r="I53" s="2" t="str">
        <f>IFERROR(__xludf.DUMMYFUNCTION("""COMPUTED_VALUE"""),"Thuốc kích thích sinh trưởng")</f>
        <v>Thuốc kích thích sinh trưởng</v>
      </c>
      <c r="J53" s="142" t="str">
        <f>IFERROR(__xludf.DUMMYFUNCTION("""COMPUTED_VALUE"""),"VT-BUZZ 250SC")</f>
        <v>VT-BUZZ 250SC</v>
      </c>
      <c r="K53" s="2" t="str">
        <f>IFERROR(__xludf.DUMMYFUNCTION("""COMPUTED_VALUE"""),"Dòng V1")</f>
        <v>Dòng V1</v>
      </c>
      <c r="L53" s="2" t="str">
        <f>IFERROR(__xludf.DUMMYFUNCTION("""COMPUTED_VALUE"""),"Nước trắng sữa")</f>
        <v>Nước trắng sữa</v>
      </c>
      <c r="M53" s="2" t="str">
        <f>IFERROR(__xludf.DUMMYFUNCTION("""COMPUTED_VALUE"""),"Chai")</f>
        <v>Chai</v>
      </c>
      <c r="N53" s="142">
        <f>IFERROR(__xludf.DUMMYFUNCTION("""COMPUTED_VALUE"""),20.0)</f>
        <v>20</v>
      </c>
      <c r="O53" s="142">
        <f>IFERROR(__xludf.DUMMYFUNCTION("""COMPUTED_VALUE"""),20.0)</f>
        <v>20</v>
      </c>
      <c r="P53" s="142">
        <f>IFERROR(__xludf.DUMMYFUNCTION("""COMPUTED_VALUE"""),400.0)</f>
        <v>400</v>
      </c>
      <c r="Q53" s="143">
        <f>IFERROR(__xludf.DUMMYFUNCTION("""COMPUTED_VALUE"""),46169.0)</f>
        <v>46169</v>
      </c>
      <c r="R53" s="2"/>
      <c r="S53" s="142" t="str">
        <f>IFERROR(__xludf.DUMMYFUNCTION("""COMPUTED_VALUE"""),"lấy chẳn thùng")</f>
        <v>lấy chẳn thùng</v>
      </c>
      <c r="T53" s="2"/>
      <c r="U53" s="2"/>
      <c r="V53" s="2"/>
      <c r="W53" s="2" t="str">
        <f>IFERROR(__xludf.DUMMYFUNCTION("""COMPUTED_VALUE"""),"MỸ THIỆN - Giá bán 145000 - Ngày dự kiến thu tiền:  - Dự kiến ngày ra hết hàng: ")</f>
        <v>MỸ THIỆN - Giá bán 145000 - Ngày dự kiến thu tiền:  - Dự kiến ngày ra hết hàng: </v>
      </c>
      <c r="X53" s="2"/>
      <c r="Y53" s="2" t="str">
        <f>IFERROR(__xludf.DUMMYFUNCTION("""COMPUTED_VALUE"""),"ATC")</f>
        <v>ATC</v>
      </c>
      <c r="Z53" s="2" t="str">
        <f>IFERROR(__xludf.DUMMYFUNCTION("""COMPUTED_VALUE"""),"Chờ lấy hoá đơn")</f>
        <v>Chờ lấy hoá đơn</v>
      </c>
      <c r="AA53" s="2"/>
      <c r="AB53" s="2" t="str">
        <f>IFERROR(__xludf.DUMMYFUNCTION("""COMPUTED_VALUE"""),"chưa gửi đơn, chưa có giá vốn (7-13/05)
chị Huỳnh duyệt cho gửi đơn, , đã gửi đơn 18/05
")</f>
        <v>chưa gửi đơn, chưa có giá vốn (7-13/05)
chị Huỳnh duyệt cho gửi đơn, , đã gửi đơn 18/05
</v>
      </c>
      <c r="AC53" s="2"/>
      <c r="AD53" s="2">
        <f>IFERROR(__xludf.DUMMYFUNCTION("""COMPUTED_VALUE"""),401.0)</f>
        <v>401</v>
      </c>
      <c r="AE53" s="143">
        <f>IFERROR(__xludf.DUMMYFUNCTION("""COMPUTED_VALUE"""),46175.0)</f>
        <v>46175</v>
      </c>
      <c r="AF53" s="146" t="str">
        <f>IFERROR(__xludf.DUMMYFUNCTION("""COMPUTED_VALUE"""),"")</f>
        <v/>
      </c>
      <c r="AG53" s="143">
        <f>IFERROR(__xludf.DUMMYFUNCTION("""COMPUTED_VALUE"""),46175.0)</f>
        <v>46175</v>
      </c>
      <c r="AH53" s="146" t="str">
        <f>IFERROR(__xludf.DUMMYFUNCTION("""COMPUTED_VALUE"""),"401")</f>
        <v>401</v>
      </c>
      <c r="AI53" s="2"/>
      <c r="AJ53" s="2"/>
      <c r="AK53" s="2"/>
      <c r="AL53" s="2"/>
      <c r="AM53" s="146" t="str">
        <f>IFERROR(__xludf.DUMMYFUNCTION("""COMPUTED_VALUE"""),"401")</f>
        <v>401</v>
      </c>
      <c r="AN53" s="2"/>
      <c r="AO53" s="2"/>
      <c r="AP53" s="2"/>
      <c r="AQ53" s="2"/>
      <c r="AR53" s="2"/>
      <c r="AS53" s="2"/>
      <c r="AT53" s="2"/>
      <c r="AU53" s="2"/>
      <c r="AV53" s="2"/>
      <c r="AW53" s="2"/>
      <c r="AX53" s="2"/>
      <c r="AY53" s="2"/>
      <c r="AZ53" s="2"/>
      <c r="BA53" s="2" t="str">
        <f>IFERROR(__xludf.DUMMYFUNCTION("""COMPUTED_VALUE"""),"Không đủ điều kiện")</f>
        <v>Không đủ điều kiện</v>
      </c>
      <c r="BB53" s="2" t="str">
        <f>IFERROR(__xludf.DUMMYFUNCTION("""COMPUTED_VALUE"""),"Duyệt")</f>
        <v>Duyệt</v>
      </c>
      <c r="BC53" s="148">
        <f>IFERROR(__xludf.DUMMYFUNCTION("""COMPUTED_VALUE"""),46150.0)</f>
        <v>46150</v>
      </c>
      <c r="BD53" s="2" t="str">
        <f>IFERROR(__xludf.DUMMYFUNCTION("""COMPUTED_VALUE"""),"Duyệt")</f>
        <v>Duyệt</v>
      </c>
      <c r="BE53" s="2" t="str">
        <f>IFERROR(__xludf.DUMMYFUNCTION("""COMPUTED_VALUE"""),"xlg 18/05")</f>
        <v>xlg 18/05</v>
      </c>
      <c r="BF53" s="2" t="str">
        <f>IFERROR(__xludf.DUMMYFUNCTION("""COMPUTED_VALUE"""),"Đã xử lí giá")</f>
        <v>Đã xử lí giá</v>
      </c>
      <c r="BG53" s="2" t="str">
        <f>IFERROR(__xludf.DUMMYFUNCTION("""COMPUTED_VALUE"""),"Dòng V1 Nước trắng sữa 145,000Đ 8/5/2026
Đã báo giá vốn 18/5/2026")</f>
        <v>Dòng V1 Nước trắng sữa 145,000Đ 8/5/2026
Đã báo giá vốn 18/5/2026</v>
      </c>
      <c r="BH53" s="2"/>
      <c r="BI53" s="2"/>
      <c r="BJ53" s="2"/>
      <c r="BK53" s="2"/>
      <c r="BL53" s="2"/>
      <c r="BM53" s="2"/>
      <c r="BN53" s="2"/>
      <c r="BO53" s="2"/>
      <c r="BP53" s="2"/>
      <c r="BQ53" s="2"/>
    </row>
    <row r="54">
      <c r="A54" s="2">
        <f>IFERROR(__xludf.DUMMYFUNCTION("""COMPUTED_VALUE"""),51.0)</f>
        <v>51</v>
      </c>
      <c r="B54" s="2" t="str">
        <f>IFERROR(__xludf.DUMMYFUNCTION("""COMPUTED_VALUE"""),"Dego Cần Thơ")</f>
        <v>Dego Cần Thơ</v>
      </c>
      <c r="C54" s="2" t="str">
        <f>IFERROR(__xludf.DUMMYFUNCTION("""COMPUTED_VALUE"""),"ATP08052602")</f>
        <v>ATP08052602</v>
      </c>
      <c r="D54" s="39">
        <f>IFERROR(__xludf.DUMMYFUNCTION("""COMPUTED_VALUE"""),46150.0)</f>
        <v>46150</v>
      </c>
      <c r="E54" s="2" t="str">
        <f>IFERROR(__xludf.DUMMYFUNCTION("""COMPUTED_VALUE"""),"Đã duyệt")</f>
        <v>Đã duyệt</v>
      </c>
      <c r="F54" s="2" t="str">
        <f>IFERROR(__xludf.DUMMYFUNCTION("""COMPUTED_VALUE"""),"ABA")</f>
        <v>ABA</v>
      </c>
      <c r="G54" s="2" t="str">
        <f>IFERROR(__xludf.DUMMYFUNCTION("""COMPUTED_VALUE"""),"HH4694")</f>
        <v>HH4694</v>
      </c>
      <c r="H54" s="2" t="str">
        <f>IFERROR(__xludf.DUMMYFUNCTION("""COMPUTED_VALUE"""),"GC - V - 4694 - Cty Newtex - VÔ GẠO T9 (Dạng SC - Xanh lá) - 500ml - 40")</f>
        <v>GC - V - 4694 - Cty Newtex - VÔ GẠO T9 (Dạng SC - Xanh lá) - 500ml - 40</v>
      </c>
      <c r="I54" s="2" t="str">
        <f>IFERROR(__xludf.DUMMYFUNCTION("""COMPUTED_VALUE"""),"Phân bón")</f>
        <v>Phân bón</v>
      </c>
      <c r="J54" s="142" t="str">
        <f>IFERROR(__xludf.DUMMYFUNCTION("""COMPUTED_VALUE"""),"Hỗn hợp NPK GNC 101")</f>
        <v>Hỗn hợp NPK GNC 101</v>
      </c>
      <c r="K54" s="2" t="str">
        <f>IFERROR(__xludf.DUMMYFUNCTION("""COMPUTED_VALUE"""),"A01020426")</f>
        <v>A01020426</v>
      </c>
      <c r="L54" s="2" t="str">
        <f>IFERROR(__xludf.DUMMYFUNCTION("""COMPUTED_VALUE"""),"Dạng SC - Xanh lá")</f>
        <v>Dạng SC - Xanh lá</v>
      </c>
      <c r="M54" s="2" t="str">
        <f>IFERROR(__xludf.DUMMYFUNCTION("""COMPUTED_VALUE"""),"Chai")</f>
        <v>Chai</v>
      </c>
      <c r="N54" s="142">
        <f>IFERROR(__xludf.DUMMYFUNCTION("""COMPUTED_VALUE"""),40.0)</f>
        <v>40</v>
      </c>
      <c r="O54" s="144">
        <f>IFERROR(__xludf.DUMMYFUNCTION("""COMPUTED_VALUE"""),52.5)</f>
        <v>52.5</v>
      </c>
      <c r="P54" s="142">
        <f>IFERROR(__xludf.DUMMYFUNCTION("""COMPUTED_VALUE"""),2100.0)</f>
        <v>2100</v>
      </c>
      <c r="Q54" s="143">
        <f>IFERROR(__xludf.DUMMYFUNCTION("""COMPUTED_VALUE"""),46160.0)</f>
        <v>46160</v>
      </c>
      <c r="R54" s="2"/>
      <c r="S54" s="142" t="str">
        <f>IFERROR(__xludf.DUMMYFUNCTION("""COMPUTED_VALUE"""),"lấy chẳn thùng
lấy đúng 52 thùng 20 chai")</f>
        <v>lấy chẳn thùng
lấy đúng 52 thùng 20 chai</v>
      </c>
      <c r="T54" s="2"/>
      <c r="U54" s="2"/>
      <c r="V54" s="2"/>
      <c r="W54" s="2" t="str">
        <f>IFERROR(__xludf.DUMMYFUNCTION("""COMPUTED_VALUE"""),"NEWTEX - Giá bán 75000 - Ngày dự kiến thu tiền:  - Dự kiến ngày ra hết hàng: ")</f>
        <v>NEWTEX - Giá bán 75000 - Ngày dự kiến thu tiền:  - Dự kiến ngày ra hết hàng: </v>
      </c>
      <c r="X54" s="2"/>
      <c r="Y54" s="2" t="str">
        <f>IFERROR(__xludf.DUMMYFUNCTION("""COMPUTED_VALUE"""),"Dego Cần Thơ")</f>
        <v>Dego Cần Thơ</v>
      </c>
      <c r="Z54" s="2" t="str">
        <f>IFERROR(__xludf.DUMMYFUNCTION("""COMPUTED_VALUE"""),"Hàng sẵn kho")</f>
        <v>Hàng sẵn kho</v>
      </c>
      <c r="AA54" s="2"/>
      <c r="AB54" s="2" t="str">
        <f>IFERROR(__xludf.DUMMYFUNCTION("""COMPUTED_VALUE"""),"đã có hóa đơn 25/05 lấy hàng được")</f>
        <v>đã có hóa đơn 25/05 lấy hàng được</v>
      </c>
      <c r="AC54" s="146">
        <f>IFERROR(__xludf.DUMMYFUNCTION("""COMPUTED_VALUE"""),153.0)</f>
        <v>153</v>
      </c>
      <c r="AD54" s="146">
        <f>IFERROR(__xludf.DUMMYFUNCTION("""COMPUTED_VALUE"""),1951.0)</f>
        <v>1951</v>
      </c>
      <c r="AE54" s="2" t="str">
        <f>IFERROR(__xludf.DUMMYFUNCTION("""COMPUTED_VALUE"""),"đã bàn giao cho nhà máy 23/05")</f>
        <v>đã bàn giao cho nhà máy 23/05</v>
      </c>
      <c r="AF54" s="146" t="str">
        <f>IFERROR(__xludf.DUMMYFUNCTION("""COMPUTED_VALUE"""),"ATP08052602")</f>
        <v>ATP08052602</v>
      </c>
      <c r="AG54" s="143">
        <f>IFERROR(__xludf.DUMMYFUNCTION("""COMPUTED_VALUE"""),46162.0)</f>
        <v>46162</v>
      </c>
      <c r="AH54" s="146">
        <f>IFERROR(__xludf.DUMMYFUNCTION("""COMPUTED_VALUE"""),1951.0)</f>
        <v>1951</v>
      </c>
      <c r="AI54" s="2"/>
      <c r="AJ54" s="2"/>
      <c r="AK54" s="2"/>
      <c r="AL54" s="2"/>
      <c r="AM54" s="142">
        <f>IFERROR(__xludf.DUMMYFUNCTION("""COMPUTED_VALUE"""),1947.0)</f>
        <v>1947</v>
      </c>
      <c r="AN54" s="2"/>
      <c r="AO54" s="2"/>
      <c r="AP54" s="2"/>
      <c r="AQ54" s="2"/>
      <c r="AR54" s="2">
        <f>IFERROR(__xludf.DUMMYFUNCTION("""COMPUTED_VALUE"""),380526.0)</f>
        <v>380526</v>
      </c>
      <c r="AS54" s="143">
        <f>IFERROR(__xludf.DUMMYFUNCTION("""COMPUTED_VALUE"""),46162.0)</f>
        <v>46162</v>
      </c>
      <c r="AT54" s="2"/>
      <c r="AU54" s="2"/>
      <c r="AV54" s="2"/>
      <c r="AW54" s="2"/>
      <c r="AX54" s="2" t="str">
        <f>IFERROR(__xludf.DUMMYFUNCTION("""COMPUTED_VALUE""")," ")</f>
        <v> </v>
      </c>
      <c r="AY54" s="2"/>
      <c r="AZ54" s="2" t="str">
        <f>IFERROR(__xludf.DUMMYFUNCTION("""COMPUTED_VALUE"""),"#REF!")</f>
        <v>#REF!</v>
      </c>
      <c r="BA54" s="2" t="str">
        <f>IFERROR(__xludf.DUMMYFUNCTION("""COMPUTED_VALUE"""),"Đủ điều kiện")</f>
        <v>Đủ điều kiện</v>
      </c>
      <c r="BB54" s="2" t="str">
        <f>IFERROR(__xludf.DUMMYFUNCTION("""COMPUTED_VALUE"""),"Duyệt")</f>
        <v>Duyệt</v>
      </c>
      <c r="BC54" s="148">
        <f>IFERROR(__xludf.DUMMYFUNCTION("""COMPUTED_VALUE"""),46150.0)</f>
        <v>46150</v>
      </c>
      <c r="BD54" s="2" t="str">
        <f>IFERROR(__xludf.DUMMYFUNCTION("""COMPUTED_VALUE"""),"Duyệt")</f>
        <v>Duyệt</v>
      </c>
      <c r="BE54" s="2" t="str">
        <f>IFERROR(__xludf.DUMMYFUNCTION("""COMPUTED_VALUE"""),"xlg 09/05
11/05")</f>
        <v>xlg 09/05
11/05</v>
      </c>
      <c r="BF54" s="2" t="str">
        <f>IFERROR(__xludf.DUMMYFUNCTION("""COMPUTED_VALUE"""),"Đã xử lí giá")</f>
        <v>Đã xử lí giá</v>
      </c>
      <c r="BG54" s="2" t="str">
        <f>IFERROR(__xludf.DUMMYFUNCTION("""COMPUTED_VALUE"""),"A01020426 Dạng SC - Xanh lá 75,000đ 8/5/2026")</f>
        <v>A01020426 Dạng SC - Xanh lá 75,000đ 8/5/2026</v>
      </c>
      <c r="BH54" s="2"/>
      <c r="BI54" s="2"/>
      <c r="BJ54" s="2"/>
      <c r="BK54" s="2"/>
      <c r="BL54" s="2"/>
      <c r="BM54" s="2"/>
      <c r="BN54" s="2"/>
      <c r="BO54" s="2"/>
      <c r="BP54" s="2"/>
      <c r="BQ54" s="2"/>
    </row>
    <row r="55">
      <c r="A55" s="2">
        <f>IFERROR(__xludf.DUMMYFUNCTION("""COMPUTED_VALUE"""),52.0)</f>
        <v>52</v>
      </c>
      <c r="B55" s="2" t="str">
        <f>IFERROR(__xludf.DUMMYFUNCTION("""COMPUTED_VALUE"""),"Hà Long")</f>
        <v>Hà Long</v>
      </c>
      <c r="C55" s="2" t="str">
        <f>IFERROR(__xludf.DUMMYFUNCTION("""COMPUTED_VALUE"""),"AYC08052601")</f>
        <v>AYC08052601</v>
      </c>
      <c r="D55" s="39">
        <f>IFERROR(__xludf.DUMMYFUNCTION("""COMPUTED_VALUE"""),46150.0)</f>
        <v>46150</v>
      </c>
      <c r="E55" s="2" t="str">
        <f>IFERROR(__xludf.DUMMYFUNCTION("""COMPUTED_VALUE"""),"Đã duyệt")</f>
        <v>Đã duyệt</v>
      </c>
      <c r="F55" s="2" t="str">
        <f>IFERROR(__xludf.DUMMYFUNCTION("""COMPUTED_VALUE"""),"ABA")</f>
        <v>ABA</v>
      </c>
      <c r="G55" s="2" t="str">
        <f>IFERROR(__xludf.DUMMYFUNCTION("""COMPUTED_VALUE"""),"HH5011")</f>
        <v>HH5011</v>
      </c>
      <c r="H55" s="2" t="str">
        <f>IFERROR(__xludf.DUMMYFUNCTION("""COMPUTED_VALUE"""),"GC - IV - 5011 - Cty Hóa Nông Shino - VIL SHINO (Nước trắng sữa) - 1L - 20")</f>
        <v>GC - IV - 5011 - Cty Hóa Nông Shino - VIL SHINO (Nước trắng sữa) - 1L - 20</v>
      </c>
      <c r="I55" s="2" t="str">
        <f>IFERROR(__xludf.DUMMYFUNCTION("""COMPUTED_VALUE"""),"Thuốc trừ bệnh")</f>
        <v>Thuốc trừ bệnh</v>
      </c>
      <c r="J55" s="142" t="str">
        <f>IFERROR(__xludf.DUMMYFUNCTION("""COMPUTED_VALUE"""),"JAPA VIL 110SC")</f>
        <v>JAPA VIL 110SC</v>
      </c>
      <c r="K55" s="2" t="str">
        <f>IFERROR(__xludf.DUMMYFUNCTION("""COMPUTED_VALUE"""),"Dòng V1")</f>
        <v>Dòng V1</v>
      </c>
      <c r="L55" s="2" t="str">
        <f>IFERROR(__xludf.DUMMYFUNCTION("""COMPUTED_VALUE"""),"Nước trắng sữa")</f>
        <v>Nước trắng sữa</v>
      </c>
      <c r="M55" s="2" t="str">
        <f>IFERROR(__xludf.DUMMYFUNCTION("""COMPUTED_VALUE"""),"Chai")</f>
        <v>Chai</v>
      </c>
      <c r="N55" s="142">
        <f>IFERROR(__xludf.DUMMYFUNCTION("""COMPUTED_VALUE"""),20.0)</f>
        <v>20</v>
      </c>
      <c r="O55" s="152">
        <f>IFERROR(__xludf.DUMMYFUNCTION("""COMPUTED_VALUE"""),5.45)</f>
        <v>5.45</v>
      </c>
      <c r="P55" s="142">
        <f>IFERROR(__xludf.DUMMYFUNCTION("""COMPUTED_VALUE"""),109.0)</f>
        <v>109</v>
      </c>
      <c r="Q55" s="143">
        <f>IFERROR(__xludf.DUMMYFUNCTION("""COMPUTED_VALUE"""),46158.0)</f>
        <v>46158</v>
      </c>
      <c r="R55" s="2"/>
      <c r="S55" s="142" t="str">
        <f>IFERROR(__xludf.DUMMYFUNCTION("""COMPUTED_VALUE"""),"Xử lý sự cố mộp chai 2672
Đổi qua chai dày và dán nhãn 5011")</f>
        <v>Xử lý sự cố mộp chai 2672
Đổi qua chai dày và dán nhãn 5011</v>
      </c>
      <c r="T55" s="2"/>
      <c r="U55" s="2"/>
      <c r="V55" s="2"/>
      <c r="W55" s="2" t="str">
        <f>IFERROR(__xludf.DUMMYFUNCTION("""COMPUTED_VALUE"""),"SHINO - Giá bán 68000 - Ngày dự kiến thu tiền:  - Dự kiến ngày ra hết hàng: ")</f>
        <v>SHINO - Giá bán 68000 - Ngày dự kiến thu tiền:  - Dự kiến ngày ra hết hàng: </v>
      </c>
      <c r="X55" s="2"/>
      <c r="Y55" s="2" t="str">
        <f>IFERROR(__xludf.DUMMYFUNCTION("""COMPUTED_VALUE"""),"Hà Long")</f>
        <v>Hà Long</v>
      </c>
      <c r="Z55" s="2" t="str">
        <f>IFERROR(__xludf.DUMMYFUNCTION("""COMPUTED_VALUE"""),"Chưa có lịch SX")</f>
        <v>Chưa có lịch SX</v>
      </c>
      <c r="AA55" s="2"/>
      <c r="AB55" s="2" t="str">
        <f>IFERROR(__xludf.DUMMYFUNCTION("""COMPUTED_VALUE"""),"08/05 đợi pháp lý
13/05 đợi PL
14/05 đóng lại date cũ
16/5 sự cố chưa có thông tin trả hàng
19/5 đã trả hàng HL
26/05 HL đang đổ thu BTP")</f>
        <v>08/05 đợi pháp lý
13/05 đợi PL
14/05 đóng lại date cũ
16/5 sự cố chưa có thông tin trả hàng
19/5 đã trả hàng HL
26/05 HL đang đổ thu BTP</v>
      </c>
      <c r="AC55" s="146">
        <f>IFERROR(__xludf.DUMMYFUNCTION("""COMPUTED_VALUE"""),109.0)</f>
        <v>109</v>
      </c>
      <c r="AD55" s="2"/>
      <c r="AE55" s="143" t="str">
        <f>IFERROR(__xludf.DUMMYFUNCTION("""COMPUTED_VALUE"""),"Chưa chốt lịch")</f>
        <v>Chưa chốt lịch</v>
      </c>
      <c r="AF55" s="146" t="str">
        <f>IFERROR(__xludf.DUMMYFUNCTION("""COMPUTED_VALUE"""),"")</f>
        <v/>
      </c>
      <c r="AG55" s="2"/>
      <c r="AH55" s="2"/>
      <c r="AI55" s="2"/>
      <c r="AJ55" s="2"/>
      <c r="AK55" s="2"/>
      <c r="AL55" s="2"/>
      <c r="AM55" s="2"/>
      <c r="AN55" s="2"/>
      <c r="AO55" s="2"/>
      <c r="AP55" s="2"/>
      <c r="AQ55" s="2"/>
      <c r="AR55" s="2"/>
      <c r="AS55" s="2"/>
      <c r="AT55" s="2"/>
      <c r="AU55" s="2"/>
      <c r="AV55" s="2"/>
      <c r="AW55" s="2"/>
      <c r="AX55" s="2"/>
      <c r="AY55" s="2"/>
      <c r="AZ55" s="2"/>
      <c r="BA55" s="2" t="str">
        <f>IFERROR(__xludf.DUMMYFUNCTION("""COMPUTED_VALUE"""),"Không đủ điều kiện")</f>
        <v>Không đủ điều kiện</v>
      </c>
      <c r="BB55" s="2" t="str">
        <f>IFERROR(__xludf.DUMMYFUNCTION("""COMPUTED_VALUE"""),"Duyệt")</f>
        <v>Duyệt</v>
      </c>
      <c r="BC55" s="143">
        <f>IFERROR(__xludf.DUMMYFUNCTION("""COMPUTED_VALUE"""),46156.0)</f>
        <v>46156</v>
      </c>
      <c r="BD55" s="2" t="str">
        <f>IFERROR(__xludf.DUMMYFUNCTION("""COMPUTED_VALUE"""),"Duyệt")</f>
        <v>Duyệt</v>
      </c>
      <c r="BE55" s="143">
        <f>IFERROR(__xludf.DUMMYFUNCTION("""COMPUTED_VALUE"""),46157.0)</f>
        <v>46157</v>
      </c>
      <c r="BF55" s="2" t="str">
        <f>IFERROR(__xludf.DUMMYFUNCTION("""COMPUTED_VALUE"""),"Hàng xử lý lại")</f>
        <v>Hàng xử lý lại</v>
      </c>
      <c r="BG55" s="2" t="str">
        <f>IFERROR(__xludf.DUMMYFUNCTION("""COMPUTED_VALUE"""),"AYC08052601 Dòng V1 Nước trắng sữa
Đơn hàng xử lý lại 8/5/2026")</f>
        <v>AYC08052601 Dòng V1 Nước trắng sữa
Đơn hàng xử lý lại 8/5/2026</v>
      </c>
      <c r="BH55" s="2"/>
      <c r="BI55" s="2"/>
      <c r="BJ55" s="2"/>
      <c r="BK55" s="2"/>
      <c r="BL55" s="2"/>
      <c r="BM55" s="2"/>
      <c r="BN55" s="2"/>
      <c r="BO55" s="2"/>
      <c r="BP55" s="2"/>
      <c r="BQ55" s="2"/>
    </row>
    <row r="56">
      <c r="A56" s="2">
        <f>IFERROR(__xludf.DUMMYFUNCTION("""COMPUTED_VALUE"""),53.0)</f>
        <v>53</v>
      </c>
      <c r="B56" s="2" t="str">
        <f>IFERROR(__xludf.DUMMYFUNCTION("""COMPUTED_VALUE"""),"Hà Long")</f>
        <v>Hà Long</v>
      </c>
      <c r="C56" s="2" t="str">
        <f>IFERROR(__xludf.DUMMYFUNCTION("""COMPUTED_VALUE"""),"ATP08052606")</f>
        <v>ATP08052606</v>
      </c>
      <c r="D56" s="39">
        <f>IFERROR(__xludf.DUMMYFUNCTION("""COMPUTED_VALUE"""),46150.0)</f>
        <v>46150</v>
      </c>
      <c r="E56" s="2" t="str">
        <f>IFERROR(__xludf.DUMMYFUNCTION("""COMPUTED_VALUE"""),"Đã duyệt")</f>
        <v>Đã duyệt</v>
      </c>
      <c r="F56" s="2" t="str">
        <f>IFERROR(__xludf.DUMMYFUNCTION("""COMPUTED_VALUE"""),"ABA")</f>
        <v>ABA</v>
      </c>
      <c r="G56" s="2" t="str">
        <f>IFERROR(__xludf.DUMMYFUNCTION("""COMPUTED_VALUE"""),"HH4531")</f>
        <v>HH4531</v>
      </c>
      <c r="H56" s="2" t="str">
        <f>IFERROR(__xludf.DUMMYFUNCTION("""COMPUTED_VALUE"""),"GC - V - 4531 - Cty Hóa Nông Shino - TOP EXTRA 390 (Nước xanh bơ sữa) - 250ml - 40")</f>
        <v>GC - V - 4531 - Cty Hóa Nông Shino - TOP EXTRA 390 (Nước xanh bơ sữa) - 250ml - 40</v>
      </c>
      <c r="I56" s="2" t="str">
        <f>IFERROR(__xludf.DUMMYFUNCTION("""COMPUTED_VALUE"""),"Thuốc trừ bệnh")</f>
        <v>Thuốc trừ bệnh</v>
      </c>
      <c r="J56" s="142" t="str">
        <f>IFERROR(__xludf.DUMMYFUNCTION("""COMPUTED_VALUE"""),"MITOP ONE 390SC")</f>
        <v>MITOP ONE 390SC</v>
      </c>
      <c r="K56" s="2" t="str">
        <f>IFERROR(__xludf.DUMMYFUNCTION("""COMPUTED_VALUE"""),"Dòng V2")</f>
        <v>Dòng V2</v>
      </c>
      <c r="L56" s="2" t="str">
        <f>IFERROR(__xludf.DUMMYFUNCTION("""COMPUTED_VALUE"""),"Nước xanh bơ sữa")</f>
        <v>Nước xanh bơ sữa</v>
      </c>
      <c r="M56" s="2" t="str">
        <f>IFERROR(__xludf.DUMMYFUNCTION("""COMPUTED_VALUE"""),"Chai")</f>
        <v>Chai</v>
      </c>
      <c r="N56" s="142">
        <f>IFERROR(__xludf.DUMMYFUNCTION("""COMPUTED_VALUE"""),40.0)</f>
        <v>40</v>
      </c>
      <c r="O56" s="142">
        <f>IFERROR(__xludf.DUMMYFUNCTION("""COMPUTED_VALUE"""),10.0)</f>
        <v>10</v>
      </c>
      <c r="P56" s="142">
        <f>IFERROR(__xludf.DUMMYFUNCTION("""COMPUTED_VALUE"""),400.0)</f>
        <v>400</v>
      </c>
      <c r="Q56" s="143">
        <f>IFERROR(__xludf.DUMMYFUNCTION("""COMPUTED_VALUE"""),46160.0)</f>
        <v>46160</v>
      </c>
      <c r="R56" s="2"/>
      <c r="S56" s="142" t="str">
        <f>IFERROR(__xludf.DUMMYFUNCTION("""COMPUTED_VALUE"""),"lấy chẳn thùng
HÀNG GẤP HỘI THẢO")</f>
        <v>lấy chẳn thùng
HÀNG GẤP HỘI THẢO</v>
      </c>
      <c r="T56" s="2"/>
      <c r="U56" s="2"/>
      <c r="V56" s="2"/>
      <c r="W56" s="2" t="str">
        <f>IFERROR(__xludf.DUMMYFUNCTION("""COMPUTED_VALUE"""),"SHINO - Giá bán 82000 - Ngày dự kiến thu tiền:  - Dự kiến ngày ra hết hàng: ")</f>
        <v>SHINO - Giá bán 82000 - Ngày dự kiến thu tiền:  - Dự kiến ngày ra hết hàng: </v>
      </c>
      <c r="X56" s="2"/>
      <c r="Y56" s="2" t="str">
        <f>IFERROR(__xludf.DUMMYFUNCTION("""COMPUTED_VALUE"""),"Hà Long")</f>
        <v>Hà Long</v>
      </c>
      <c r="Z56" s="2" t="str">
        <f>IFERROR(__xludf.DUMMYFUNCTION("""COMPUTED_VALUE"""),"Hàng sẵn kho")</f>
        <v>Hàng sẵn kho</v>
      </c>
      <c r="AA56" s="39">
        <f>IFERROR(__xludf.DUMMYFUNCTION("""COMPUTED_VALUE"""),46169.0)</f>
        <v>46169</v>
      </c>
      <c r="AB56" s="2" t="str">
        <f>IFERROR(__xludf.DUMMYFUNCTION("""COMPUTED_VALUE"""),"15//05 HL báo đang chờ NL
15/05 gửi YC phối BTP
18/5 thiếu NL phối btp- DK 21/5 chuyển NL
22/5 đợi phối BTP")</f>
        <v>15//05 HL báo đang chờ NL
15/05 gửi YC phối BTP
18/5 thiếu NL phối btp- DK 21/5 chuyển NL
22/5 đợi phối BTP</v>
      </c>
      <c r="AC56" s="146">
        <f>IFERROR(__xludf.DUMMYFUNCTION("""COMPUTED_VALUE"""),400.0)</f>
        <v>400</v>
      </c>
      <c r="AD56" s="2"/>
      <c r="AE56" s="143">
        <f>IFERROR(__xludf.DUMMYFUNCTION("""COMPUTED_VALUE"""),46175.0)</f>
        <v>46175</v>
      </c>
      <c r="AF56" s="146" t="str">
        <f>IFERROR(__xludf.DUMMYFUNCTION("""COMPUTED_VALUE"""),"Đủ điều kiện nhận hàng")</f>
        <v>Đủ điều kiện nhận hàng</v>
      </c>
      <c r="AG56" s="143">
        <f>IFERROR(__xludf.DUMMYFUNCTION("""COMPUTED_VALUE"""),46175.0)</f>
        <v>46175</v>
      </c>
      <c r="AH56" s="146" t="str">
        <f>IFERROR(__xludf.DUMMYFUNCTION("""COMPUTED_VALUE"""),"401")</f>
        <v>401</v>
      </c>
      <c r="AI56" s="2"/>
      <c r="AJ56" s="2"/>
      <c r="AK56" s="2"/>
      <c r="AL56" s="2"/>
      <c r="AM56" s="142">
        <f>IFERROR(__xludf.DUMMYFUNCTION("""COMPUTED_VALUE"""),401.0)</f>
        <v>401</v>
      </c>
      <c r="AN56" s="2"/>
      <c r="AO56" s="2"/>
      <c r="AP56" s="2"/>
      <c r="AQ56" s="2"/>
      <c r="AR56" s="2"/>
      <c r="AS56" s="2"/>
      <c r="AT56" s="2"/>
      <c r="AU56" s="2"/>
      <c r="AV56" s="2"/>
      <c r="AW56" s="2"/>
      <c r="AX56" s="2"/>
      <c r="AY56" s="2"/>
      <c r="AZ56" s="2"/>
      <c r="BA56" s="2" t="str">
        <f>IFERROR(__xludf.DUMMYFUNCTION("""COMPUTED_VALUE"""),"Đủ điều kiện")</f>
        <v>Đủ điều kiện</v>
      </c>
      <c r="BB56" s="2" t="str">
        <f>IFERROR(__xludf.DUMMYFUNCTION("""COMPUTED_VALUE"""),"Duyệt")</f>
        <v>Duyệt</v>
      </c>
      <c r="BC56" s="143">
        <f>IFERROR(__xludf.DUMMYFUNCTION("""COMPUTED_VALUE"""),46154.0)</f>
        <v>46154</v>
      </c>
      <c r="BD56" s="2" t="str">
        <f>IFERROR(__xludf.DUMMYFUNCTION("""COMPUTED_VALUE"""),"Duyệt")</f>
        <v>Duyệt</v>
      </c>
      <c r="BE56" s="143">
        <f>IFERROR(__xludf.DUMMYFUNCTION("""COMPUTED_VALUE"""),46168.0)</f>
        <v>46168</v>
      </c>
      <c r="BF56" s="2" t="str">
        <f>IFERROR(__xludf.DUMMYFUNCTION("""COMPUTED_VALUE"""),"Đã xử lí giá")</f>
        <v>Đã xử lí giá</v>
      </c>
      <c r="BG56" s="2" t="str">
        <f>IFERROR(__xludf.DUMMYFUNCTION("""COMPUTED_VALUE"""),"Dòng V2 Nước xanh bơ sữa KD cập nhật giá bán sau 8/5//2026")</f>
        <v>Dòng V2 Nước xanh bơ sữa KD cập nhật giá bán sau 8/5//2026</v>
      </c>
      <c r="BH56" s="2"/>
      <c r="BI56" s="2"/>
      <c r="BJ56" s="2"/>
      <c r="BK56" s="2"/>
      <c r="BL56" s="2"/>
      <c r="BM56" s="2"/>
      <c r="BN56" s="2"/>
      <c r="BO56" s="2"/>
      <c r="BP56" s="2"/>
      <c r="BQ56" s="2"/>
    </row>
    <row r="57">
      <c r="A57" s="2">
        <f>IFERROR(__xludf.DUMMYFUNCTION("""COMPUTED_VALUE"""),54.0)</f>
        <v>54</v>
      </c>
      <c r="B57" s="2" t="str">
        <f>IFERROR(__xludf.DUMMYFUNCTION("""COMPUTED_VALUE"""),"ATC")</f>
        <v>ATC</v>
      </c>
      <c r="C57" s="2" t="str">
        <f>IFERROR(__xludf.DUMMYFUNCTION("""COMPUTED_VALUE"""),"ATP08052609")</f>
        <v>ATP08052609</v>
      </c>
      <c r="D57" s="39">
        <f>IFERROR(__xludf.DUMMYFUNCTION("""COMPUTED_VALUE"""),46150.0)</f>
        <v>46150</v>
      </c>
      <c r="E57" s="2" t="str">
        <f>IFERROR(__xludf.DUMMYFUNCTION("""COMPUTED_VALUE"""),"Đã duyệt")</f>
        <v>Đã duyệt</v>
      </c>
      <c r="F57" s="2" t="str">
        <f>IFERROR(__xludf.DUMMYFUNCTION("""COMPUTED_VALUE"""),"ABA")</f>
        <v>ABA</v>
      </c>
      <c r="G57" s="2" t="str">
        <f>IFERROR(__xludf.DUMMYFUNCTION("""COMPUTED_VALUE"""),"HH4970")</f>
        <v>HH4970</v>
      </c>
      <c r="H57" s="2" t="str">
        <f>IFERROR(__xludf.DUMMYFUNCTION("""COMPUTED_VALUE"""),"GC - V - 4970 - CTY HÓA NÔNG SHINO - KHUẨN LẠNH (Nước vàng) - 450ml - 40")</f>
        <v>GC - V - 4970 - CTY HÓA NÔNG SHINO - KHUẨN LẠNH (Nước vàng) - 450ml - 40</v>
      </c>
      <c r="I57" s="2" t="str">
        <f>IFERROR(__xludf.DUMMYFUNCTION("""COMPUTED_VALUE"""),"Thuốc trừ bệnh")</f>
        <v>Thuốc trừ bệnh</v>
      </c>
      <c r="J57" s="142" t="str">
        <f>IFERROR(__xludf.DUMMYFUNCTION("""COMPUTED_VALUE"""),"Pyramos 40SL")</f>
        <v>Pyramos 40SL</v>
      </c>
      <c r="K57" s="2" t="str">
        <f>IFERROR(__xludf.DUMMYFUNCTION("""COMPUTED_VALUE"""),"Dòng V1")</f>
        <v>Dòng V1</v>
      </c>
      <c r="L57" s="2" t="str">
        <f>IFERROR(__xludf.DUMMYFUNCTION("""COMPUTED_VALUE"""),"Nước vàng")</f>
        <v>Nước vàng</v>
      </c>
      <c r="M57" s="2" t="str">
        <f>IFERROR(__xludf.DUMMYFUNCTION("""COMPUTED_VALUE"""),"Chai")</f>
        <v>Chai</v>
      </c>
      <c r="N57" s="142">
        <f>IFERROR(__xludf.DUMMYFUNCTION("""COMPUTED_VALUE"""),40.0)</f>
        <v>40</v>
      </c>
      <c r="O57" s="142">
        <f>IFERROR(__xludf.DUMMYFUNCTION("""COMPUTED_VALUE"""),10.0)</f>
        <v>10</v>
      </c>
      <c r="P57" s="142">
        <f>IFERROR(__xludf.DUMMYFUNCTION("""COMPUTED_VALUE"""),400.0)</f>
        <v>400</v>
      </c>
      <c r="Q57" s="143">
        <f>IFERROR(__xludf.DUMMYFUNCTION("""COMPUTED_VALUE"""),46176.0)</f>
        <v>46176</v>
      </c>
      <c r="R57" s="2"/>
      <c r="S57" s="142" t="str">
        <f>IFERROR(__xludf.DUMMYFUNCTION("""COMPUTED_VALUE"""),"lấy chẳn thùng
HÀNG GẤP HỘI THẢO
chốt màu vàng 27/5/2026")</f>
        <v>lấy chẳn thùng
HÀNG GẤP HỘI THẢO
chốt màu vàng 27/5/2026</v>
      </c>
      <c r="T57" s="2"/>
      <c r="U57" s="2"/>
      <c r="V57" s="2"/>
      <c r="W57" s="2" t="str">
        <f>IFERROR(__xludf.DUMMYFUNCTION("""COMPUTED_VALUE"""),"SHINO - Giá bán 37500 - Ngày dự kiến thu tiền:  - Dự kiến ngày ra hết hàng: ")</f>
        <v>SHINO - Giá bán 37500 - Ngày dự kiến thu tiền:  - Dự kiến ngày ra hết hàng: </v>
      </c>
      <c r="X57" s="2"/>
      <c r="Y57" s="2" t="str">
        <f>IFERROR(__xludf.DUMMYFUNCTION("""COMPUTED_VALUE"""),"ATC")</f>
        <v>ATC</v>
      </c>
      <c r="Z57" s="2" t="str">
        <f>IFERROR(__xludf.DUMMYFUNCTION("""COMPUTED_VALUE"""),"Chưa có lịch SX")</f>
        <v>Chưa có lịch SX</v>
      </c>
      <c r="AA57" s="2"/>
      <c r="AB57" s="2" t="str">
        <f>IFERROR(__xludf.DUMMYFUNCTION("""COMPUTED_VALUE"""),"chưa gửi đơn, chưa có giá vốn (7-13/05)
chưa có thông tin chai nắp
chị Huỳnh duyệt cho gửi đơn, đã gửi đơn 18/05
27/05 chốt sd màu nước vàng")</f>
        <v>chưa gửi đơn, chưa có giá vốn (7-13/05)
chưa có thông tin chai nắp
chị Huỳnh duyệt cho gửi đơn, đã gửi đơn 18/05
27/05 chốt sd màu nước vàng</v>
      </c>
      <c r="AC57" s="146">
        <f>IFERROR(__xludf.DUMMYFUNCTION("""COMPUTED_VALUE"""),400.0)</f>
        <v>400</v>
      </c>
      <c r="AD57" s="2"/>
      <c r="AE57" s="143" t="str">
        <f>IFERROR(__xludf.DUMMYFUNCTION("""COMPUTED_VALUE"""),"Chưa chốt lịch")</f>
        <v>Chưa chốt lịch</v>
      </c>
      <c r="AF57" s="2"/>
      <c r="AG57" s="2"/>
      <c r="AH57" s="2"/>
      <c r="AI57" s="2"/>
      <c r="AJ57" s="2"/>
      <c r="AK57" s="2"/>
      <c r="AL57" s="2"/>
      <c r="AM57" s="2"/>
      <c r="AN57" s="2"/>
      <c r="AO57" s="2"/>
      <c r="AP57" s="2"/>
      <c r="AQ57" s="2"/>
      <c r="AR57" s="2"/>
      <c r="AS57" s="2"/>
      <c r="AT57" s="2"/>
      <c r="AU57" s="2"/>
      <c r="AV57" s="2"/>
      <c r="AW57" s="2"/>
      <c r="AX57" s="2"/>
      <c r="AY57" s="2"/>
      <c r="AZ57" s="2"/>
      <c r="BA57" s="2" t="str">
        <f>IFERROR(__xludf.DUMMYFUNCTION("""COMPUTED_VALUE"""),"Không đủ điều kiện")</f>
        <v>Không đủ điều kiện</v>
      </c>
      <c r="BB57" s="2" t="str">
        <f>IFERROR(__xludf.DUMMYFUNCTION("""COMPUTED_VALUE"""),"Duyệt")</f>
        <v>Duyệt</v>
      </c>
      <c r="BC57" s="2"/>
      <c r="BD57" s="2" t="str">
        <f>IFERROR(__xludf.DUMMYFUNCTION("""COMPUTED_VALUE"""),"Duyệt")</f>
        <v>Duyệt</v>
      </c>
      <c r="BE57" s="2" t="str">
        <f>IFERROR(__xludf.DUMMYFUNCTION("""COMPUTED_VALUE"""),"xlg 18/05")</f>
        <v>xlg 18/05</v>
      </c>
      <c r="BF57" s="2" t="str">
        <f>IFERROR(__xludf.DUMMYFUNCTION("""COMPUTED_VALUE"""),"Đã xử lí giá")</f>
        <v>Đã xử lí giá</v>
      </c>
      <c r="BG57" s="2" t="str">
        <f>IFERROR(__xludf.DUMMYFUNCTION("""COMPUTED_VALUE"""),"Dòng V1 Nước xanh dương 37,500đ 8/5/2026
Đã báo giá vốn 18/5/2026")</f>
        <v>Dòng V1 Nước xanh dương 37,500đ 8/5/2026
Đã báo giá vốn 18/5/2026</v>
      </c>
      <c r="BH57" s="2"/>
      <c r="BI57" s="2"/>
      <c r="BJ57" s="2"/>
      <c r="BK57" s="2"/>
      <c r="BL57" s="2"/>
      <c r="BM57" s="2"/>
      <c r="BN57" s="2"/>
      <c r="BO57" s="2"/>
      <c r="BP57" s="2"/>
      <c r="BQ57" s="2"/>
    </row>
    <row r="58">
      <c r="A58" s="2">
        <f>IFERROR(__xludf.DUMMYFUNCTION("""COMPUTED_VALUE"""),55.0)</f>
        <v>55</v>
      </c>
      <c r="B58" s="2" t="str">
        <f>IFERROR(__xludf.DUMMYFUNCTION("""COMPUTED_VALUE"""),"Dego Cần Thơ")</f>
        <v>Dego Cần Thơ</v>
      </c>
      <c r="C58" s="2" t="str">
        <f>IFERROR(__xludf.DUMMYFUNCTION("""COMPUTED_VALUE"""),"AYC08052602")</f>
        <v>AYC08052602</v>
      </c>
      <c r="D58" s="39">
        <f>IFERROR(__xludf.DUMMYFUNCTION("""COMPUTED_VALUE"""),46150.0)</f>
        <v>46150</v>
      </c>
      <c r="E58" s="2" t="str">
        <f>IFERROR(__xludf.DUMMYFUNCTION("""COMPUTED_VALUE"""),"Đã duyệt")</f>
        <v>Đã duyệt</v>
      </c>
      <c r="F58" s="2" t="str">
        <f>IFERROR(__xludf.DUMMYFUNCTION("""COMPUTED_VALUE"""),"ABA")</f>
        <v>ABA</v>
      </c>
      <c r="G58" s="2" t="str">
        <f>IFERROR(__xludf.DUMMYFUNCTION("""COMPUTED_VALUE"""),"HH4672")</f>
        <v>HH4672</v>
      </c>
      <c r="H58" s="2" t="str">
        <f>IFERROR(__xludf.DUMMYFUNCTION("""COMPUTED_VALUE"""),"LOT ABA - V - 4672 - THIÊN AN - NEW AMINO (Nước nâu đen) - 500ml - 30")</f>
        <v>LOT ABA - V - 4672 - THIÊN AN - NEW AMINO (Nước nâu đen) - 500ml - 30</v>
      </c>
      <c r="I58" s="2" t="str">
        <f>IFERROR(__xludf.DUMMYFUNCTION("""COMPUTED_VALUE"""),"Phân bón")</f>
        <v>Phân bón</v>
      </c>
      <c r="J58" s="142" t="str">
        <f>IFERROR(__xludf.DUMMYFUNCTION("""COMPUTED_VALUE"""),"Hữu cơ Organic BM Gold  FW")</f>
        <v>Hữu cơ Organic BM Gold  FW</v>
      </c>
      <c r="K58" s="2" t="str">
        <f>IFERROR(__xludf.DUMMYFUNCTION("""COMPUTED_VALUE"""),"Cùng ruột HH2776")</f>
        <v>Cùng ruột HH2776</v>
      </c>
      <c r="L58" s="2" t="str">
        <f>IFERROR(__xludf.DUMMYFUNCTION("""COMPUTED_VALUE"""),"Nước nâu đen")</f>
        <v>Nước nâu đen</v>
      </c>
      <c r="M58" s="2" t="str">
        <f>IFERROR(__xludf.DUMMYFUNCTION("""COMPUTED_VALUE"""),"Chai")</f>
        <v>Chai</v>
      </c>
      <c r="N58" s="142">
        <f>IFERROR(__xludf.DUMMYFUNCTION("""COMPUTED_VALUE"""),30.0)</f>
        <v>30</v>
      </c>
      <c r="O58" s="144">
        <f>IFERROR(__xludf.DUMMYFUNCTION("""COMPUTED_VALUE"""),12.83333333)</f>
        <v>12.83333333</v>
      </c>
      <c r="P58" s="142">
        <f>IFERROR(__xludf.DUMMYFUNCTION("""COMPUTED_VALUE"""),385.0)</f>
        <v>385</v>
      </c>
      <c r="Q58" s="143">
        <f>IFERROR(__xludf.DUMMYFUNCTION("""COMPUTED_VALUE"""),46158.0)</f>
        <v>46158</v>
      </c>
      <c r="R58" s="2"/>
      <c r="S58" s="142" t="str">
        <f>IFERROR(__xludf.DUMMYFUNCTION("""COMPUTED_VALUE"""),"Xử lý hàng xì")</f>
        <v>Xử lý hàng xì</v>
      </c>
      <c r="T58" s="2"/>
      <c r="U58" s="2"/>
      <c r="V58" s="2"/>
      <c r="W58" s="2" t="str">
        <f>IFERROR(__xludf.DUMMYFUNCTION("""COMPUTED_VALUE"""),"THIÊN AN - Giá bán 49.000,00 đ - Ngày dự kiến thu tiền:  - Dự kiến ngày ra hết hàng: ")</f>
        <v>THIÊN AN - Giá bán 49.000,00 đ - Ngày dự kiến thu tiền:  - Dự kiến ngày ra hết hàng: </v>
      </c>
      <c r="X58" s="2"/>
      <c r="Y58" s="2" t="str">
        <f>IFERROR(__xludf.DUMMYFUNCTION("""COMPUTED_VALUE"""),"Dego Cần Thơ")</f>
        <v>Dego Cần Thơ</v>
      </c>
      <c r="Z58" s="2" t="str">
        <f>IFERROR(__xludf.DUMMYFUNCTION("""COMPUTED_VALUE"""),"Chưa có lịch SX")</f>
        <v>Chưa có lịch SX</v>
      </c>
      <c r="AA58" s="2"/>
      <c r="AB58" s="2" t="str">
        <f>IFERROR(__xludf.DUMMYFUNCTION("""COMPUTED_VALUE"""),"chưa gửi đơn, chưa duyệt giá, chưa duyệt pháp lý(8-9/5)
đã trả hàng lỗi về nhà máy 11/05
Phương án:
- Đổ thu BTP, phối lại
- Đóng thay chai nhãn nắp thùng mã HH4672
- Đóng lại date cũ: 08/04/2026
- LSX +L02
đã có phương án")</f>
        <v>chưa gửi đơn, chưa duyệt giá, chưa duyệt pháp lý(8-9/5)
đã trả hàng lỗi về nhà máy 11/05
Phương án:
- Đổ thu BTP, phối lại
- Đóng thay chai nhãn nắp thùng mã HH4672
- Đóng lại date cũ: 08/04/2026
- LSX +L02
đã có phương án</v>
      </c>
      <c r="AC58" s="146">
        <f>IFERROR(__xludf.DUMMYFUNCTION("""COMPUTED_VALUE"""),385.0)</f>
        <v>385</v>
      </c>
      <c r="AD58" s="2"/>
      <c r="AE58" s="2" t="str">
        <f>IFERROR(__xludf.DUMMYFUNCTION("""COMPUTED_VALUE"""),"đã bàn giao cho nhà máy 23/05")</f>
        <v>đã bàn giao cho nhà máy 23/05</v>
      </c>
      <c r="AF58" s="146" t="str">
        <f>IFERROR(__xludf.DUMMYFUNCTION("""COMPUTED_VALUE"""),"")</f>
        <v/>
      </c>
      <c r="AG58" s="2"/>
      <c r="AH58" s="2"/>
      <c r="AI58" s="2"/>
      <c r="AJ58" s="2"/>
      <c r="AK58" s="2"/>
      <c r="AL58" s="2"/>
      <c r="AM58" s="2"/>
      <c r="AN58" s="2"/>
      <c r="AO58" s="2"/>
      <c r="AP58" s="2"/>
      <c r="AQ58" s="2"/>
      <c r="AR58" s="2"/>
      <c r="AS58" s="2"/>
      <c r="AT58" s="2"/>
      <c r="AU58" s="2"/>
      <c r="AV58" s="2"/>
      <c r="AW58" s="2"/>
      <c r="AX58" s="2"/>
      <c r="AY58" s="2"/>
      <c r="AZ58" s="2" t="str">
        <f>IFERROR(__xludf.DUMMYFUNCTION("""COMPUTED_VALUE"""),"#REF!")</f>
        <v>#REF!</v>
      </c>
      <c r="BA58" s="2" t="str">
        <f>IFERROR(__xludf.DUMMYFUNCTION("""COMPUTED_VALUE"""),"Đủ điều kiện")</f>
        <v>Đủ điều kiện</v>
      </c>
      <c r="BB58" s="2" t="str">
        <f>IFERROR(__xludf.DUMMYFUNCTION("""COMPUTED_VALUE"""),"Duyệt")</f>
        <v>Duyệt</v>
      </c>
      <c r="BC58" s="148">
        <f>IFERROR(__xludf.DUMMYFUNCTION("""COMPUTED_VALUE"""),46150.0)</f>
        <v>46150</v>
      </c>
      <c r="BD58" s="2" t="str">
        <f>IFERROR(__xludf.DUMMYFUNCTION("""COMPUTED_VALUE"""),"Duyệt")</f>
        <v>Duyệt</v>
      </c>
      <c r="BE58" s="2" t="str">
        <f>IFERROR(__xludf.DUMMYFUNCTION("""COMPUTED_VALUE"""),"xlg 08/05
12/05")</f>
        <v>xlg 08/05
12/05</v>
      </c>
      <c r="BF58" s="2" t="str">
        <f>IFERROR(__xludf.DUMMYFUNCTION("""COMPUTED_VALUE"""),"Hàng xử lý lại")</f>
        <v>Hàng xử lý lại</v>
      </c>
      <c r="BG58" s="2" t="str">
        <f>IFERROR(__xludf.DUMMYFUNCTION("""COMPUTED_VALUE"""),"AYC08052602 Cùng ruột HH2776 Nước nâu đen 49,000đ 8/5/2026")</f>
        <v>AYC08052602 Cùng ruột HH2776 Nước nâu đen 49,000đ 8/5/2026</v>
      </c>
      <c r="BH58" s="2"/>
      <c r="BI58" s="2"/>
      <c r="BJ58" s="2"/>
      <c r="BK58" s="2"/>
      <c r="BL58" s="2"/>
      <c r="BM58" s="2"/>
      <c r="BN58" s="2"/>
      <c r="BO58" s="2"/>
      <c r="BP58" s="2"/>
      <c r="BQ58" s="2"/>
    </row>
    <row r="59">
      <c r="A59" s="2">
        <f>IFERROR(__xludf.DUMMYFUNCTION("""COMPUTED_VALUE"""),56.0)</f>
        <v>56</v>
      </c>
      <c r="B59" s="2" t="str">
        <f>IFERROR(__xludf.DUMMYFUNCTION("""COMPUTED_VALUE"""),"Dego Cần Thơ")</f>
        <v>Dego Cần Thơ</v>
      </c>
      <c r="C59" s="2" t="str">
        <f>IFERROR(__xludf.DUMMYFUNCTION("""COMPUTED_VALUE"""),"ATP08052611")</f>
        <v>ATP08052611</v>
      </c>
      <c r="D59" s="39">
        <f>IFERROR(__xludf.DUMMYFUNCTION("""COMPUTED_VALUE"""),46150.0)</f>
        <v>46150</v>
      </c>
      <c r="E59" s="2" t="str">
        <f>IFERROR(__xludf.DUMMYFUNCTION("""COMPUTED_VALUE"""),"Đã duyệt")</f>
        <v>Đã duyệt</v>
      </c>
      <c r="F59" s="2" t="str">
        <f>IFERROR(__xludf.DUMMYFUNCTION("""COMPUTED_VALUE"""),"ABA")</f>
        <v>ABA</v>
      </c>
      <c r="G59" s="2" t="str">
        <f>IFERROR(__xludf.DUMMYFUNCTION("""COMPUTED_VALUE"""),"HH4380")</f>
        <v>HH4380</v>
      </c>
      <c r="H59" s="2" t="str">
        <f>IFERROR(__xludf.DUMMYFUNCTION("""COMPUTED_VALUE"""),"GC - V - 4380 - Cty Thành Công Agri - MASTER STOP (nước nâu đen V2) - 1L - 20")</f>
        <v>GC - V - 4380 - Cty Thành Công Agri - MASTER STOP (nước nâu đen V2) - 1L - 20</v>
      </c>
      <c r="I59" s="2" t="str">
        <f>IFERROR(__xludf.DUMMYFUNCTION("""COMPUTED_VALUE"""),"Phân bón")</f>
        <v>Phân bón</v>
      </c>
      <c r="J59" s="142" t="str">
        <f>IFERROR(__xludf.DUMMYFUNCTION("""COMPUTED_VALUE"""),"Vi lượng Quantity New")</f>
        <v>Vi lượng Quantity New</v>
      </c>
      <c r="K59" s="2" t="str">
        <f>IFERROR(__xludf.DUMMYFUNCTION("""COMPUTED_VALUE"""),"CHẶN ĐỌT 
DÒNG V2")</f>
        <v>CHẶN ĐỌT 
DÒNG V2</v>
      </c>
      <c r="L59" s="2" t="str">
        <f>IFERROR(__xludf.DUMMYFUNCTION("""COMPUTED_VALUE"""),"Nước nâu đen")</f>
        <v>Nước nâu đen</v>
      </c>
      <c r="M59" s="2" t="str">
        <f>IFERROR(__xludf.DUMMYFUNCTION("""COMPUTED_VALUE"""),"Chai")</f>
        <v>Chai</v>
      </c>
      <c r="N59" s="142">
        <f>IFERROR(__xludf.DUMMYFUNCTION("""COMPUTED_VALUE"""),20.0)</f>
        <v>20</v>
      </c>
      <c r="O59" s="142">
        <f>IFERROR(__xludf.DUMMYFUNCTION("""COMPUTED_VALUE"""),25.0)</f>
        <v>25</v>
      </c>
      <c r="P59" s="142">
        <f>IFERROR(__xludf.DUMMYFUNCTION("""COMPUTED_VALUE"""),500.0)</f>
        <v>500</v>
      </c>
      <c r="Q59" s="143">
        <f>IFERROR(__xludf.DUMMYFUNCTION("""COMPUTED_VALUE"""),46158.0)</f>
        <v>46158</v>
      </c>
      <c r="R59" s="2"/>
      <c r="S59" s="142" t="str">
        <f>IFERROR(__xludf.DUMMYFUNCTION("""COMPUTED_VALUE"""),"lấy chẳn thùng")</f>
        <v>lấy chẳn thùng</v>
      </c>
      <c r="T59" s="2"/>
      <c r="U59" s="2"/>
      <c r="V59" s="2"/>
      <c r="W59" s="2" t="str">
        <f>IFERROR(__xludf.DUMMYFUNCTION("""COMPUTED_VALUE"""),"THÀNH CÔNG - Giá bán 115.500,00 đ - Ngày dự kiến thu tiền:  - Dự kiến ngày ra hết hàng: ")</f>
        <v>THÀNH CÔNG - Giá bán 115.500,00 đ - Ngày dự kiến thu tiền:  - Dự kiến ngày ra hết hàng: </v>
      </c>
      <c r="X59" s="2"/>
      <c r="Y59" s="2" t="str">
        <f>IFERROR(__xludf.DUMMYFUNCTION("""COMPUTED_VALUE"""),"Dego Cần Thơ")</f>
        <v>Dego Cần Thơ</v>
      </c>
      <c r="Z59" s="2" t="str">
        <f>IFERROR(__xludf.DUMMYFUNCTION("""COMPUTED_VALUE"""),"Hàng sẵn kho")</f>
        <v>Hàng sẵn kho</v>
      </c>
      <c r="AA59" s="2"/>
      <c r="AB59" s="2" t="str">
        <f>IFERROR(__xludf.DUMMYFUNCTION("""COMPUTED_VALUE"""),"chưa gửi đơn, chưa duyệt giá (8-9/5)
đã lấy hóa đơn 16/05
")</f>
        <v>chưa gửi đơn, chưa duyệt giá (8-9/5)
đã lấy hóa đơn 16/05
</v>
      </c>
      <c r="AC59" s="2"/>
      <c r="AD59" s="146">
        <f>IFERROR(__xludf.DUMMYFUNCTION("""COMPUTED_VALUE"""),503.0)</f>
        <v>503</v>
      </c>
      <c r="AE59" s="2" t="str">
        <f>IFERROR(__xludf.DUMMYFUNCTION("""COMPUTED_VALUE"""),"đã bàn giao cho nhà máy 23/05")</f>
        <v>đã bàn giao cho nhà máy 23/05</v>
      </c>
      <c r="AF59" s="146" t="str">
        <f>IFERROR(__xludf.DUMMYFUNCTION("""COMPUTED_VALUE"""),"ATP08052611")</f>
        <v>ATP08052611</v>
      </c>
      <c r="AG59" s="143">
        <f>IFERROR(__xludf.DUMMYFUNCTION("""COMPUTED_VALUE"""),46156.0)</f>
        <v>46156</v>
      </c>
      <c r="AH59" s="146">
        <f>IFERROR(__xludf.DUMMYFUNCTION("""COMPUTED_VALUE"""),110.0)</f>
        <v>110</v>
      </c>
      <c r="AI59" s="143">
        <f>IFERROR(__xludf.DUMMYFUNCTION("""COMPUTED_VALUE"""),46157.0)</f>
        <v>46157</v>
      </c>
      <c r="AJ59" s="146">
        <f>IFERROR(__xludf.DUMMYFUNCTION("""COMPUTED_VALUE"""),393.0)</f>
        <v>393</v>
      </c>
      <c r="AK59" s="2"/>
      <c r="AL59" s="2"/>
      <c r="AM59" s="142">
        <f>IFERROR(__xludf.DUMMYFUNCTION("""COMPUTED_VALUE"""),200.0)</f>
        <v>200</v>
      </c>
      <c r="AN59" s="2"/>
      <c r="AO59" s="2"/>
      <c r="AP59" s="2"/>
      <c r="AQ59" s="2"/>
      <c r="AR59" s="2" t="str">
        <f>IFERROR(__xludf.DUMMYFUNCTION("""COMPUTED_VALUE"""),"350326 (5 thùng + 9 chai + 1 mẫu)
330526 (19 thùng + 11 chai + 2 mẫu)")</f>
        <v>350326 (5 thùng + 9 chai + 1 mẫu)
330526 (19 thùng + 11 chai + 2 mẫu)</v>
      </c>
      <c r="AS59" s="143">
        <f>IFERROR(__xludf.DUMMYFUNCTION("""COMPUTED_VALUE"""),46156.0)</f>
        <v>46156</v>
      </c>
      <c r="AT59" s="2"/>
      <c r="AU59" s="142">
        <f>IFERROR(__xludf.DUMMYFUNCTION("""COMPUTED_VALUE"""),300.0)</f>
        <v>300</v>
      </c>
      <c r="AV59" s="2" t="str">
        <f>IFERROR(__xludf.DUMMYFUNCTION("""COMPUTED_VALUE"""),"18/05/2026 đã giao 10t
19/05/2026 đã giao 5t")</f>
        <v>18/05/2026 đã giao 10t
19/05/2026 đã giao 5t</v>
      </c>
      <c r="AW59" s="2"/>
      <c r="AX59" s="2"/>
      <c r="AY59" s="2"/>
      <c r="AZ59" s="2" t="str">
        <f>IFERROR(__xludf.DUMMYFUNCTION("""COMPUTED_VALUE"""),"#REF!")</f>
        <v>#REF!</v>
      </c>
      <c r="BA59" s="2" t="str">
        <f>IFERROR(__xludf.DUMMYFUNCTION("""COMPUTED_VALUE"""),"Đủ điều kiện")</f>
        <v>Đủ điều kiện</v>
      </c>
      <c r="BB59" s="2" t="str">
        <f>IFERROR(__xludf.DUMMYFUNCTION("""COMPUTED_VALUE"""),"Duyệt")</f>
        <v>Duyệt</v>
      </c>
      <c r="BC59" s="148">
        <f>IFERROR(__xludf.DUMMYFUNCTION("""COMPUTED_VALUE"""),46150.0)</f>
        <v>46150</v>
      </c>
      <c r="BD59" s="2" t="str">
        <f>IFERROR(__xludf.DUMMYFUNCTION("""COMPUTED_VALUE"""),"Duyệt")</f>
        <v>Duyệt</v>
      </c>
      <c r="BE59" s="2" t="str">
        <f>IFERROR(__xludf.DUMMYFUNCTION("""COMPUTED_VALUE"""),"xlg 09/05
11/05")</f>
        <v>xlg 09/05
11/05</v>
      </c>
      <c r="BF59" s="2" t="str">
        <f>IFERROR(__xludf.DUMMYFUNCTION("""COMPUTED_VALUE"""),"Đã xử lí giá")</f>
        <v>Đã xử lí giá</v>
      </c>
      <c r="BG59" s="2" t="str">
        <f>IFERROR(__xludf.DUMMYFUNCTION("""COMPUTED_VALUE"""),"CHẶN ĐỌT 
DÒNG V2 Nước nâu đen 115,500đ 8/5/2026")</f>
        <v>CHẶN ĐỌT 
DÒNG V2 Nước nâu đen 115,500đ 8/5/2026</v>
      </c>
      <c r="BH59" s="2"/>
      <c r="BI59" s="2"/>
      <c r="BJ59" s="2"/>
      <c r="BK59" s="2"/>
      <c r="BL59" s="2"/>
      <c r="BM59" s="2"/>
      <c r="BN59" s="2"/>
      <c r="BO59" s="2"/>
      <c r="BP59" s="2"/>
      <c r="BQ59" s="2"/>
    </row>
    <row r="60">
      <c r="A60" s="2">
        <f>IFERROR(__xludf.DUMMYFUNCTION("""COMPUTED_VALUE"""),57.0)</f>
        <v>57</v>
      </c>
      <c r="B60" s="2" t="str">
        <f>IFERROR(__xludf.DUMMYFUNCTION("""COMPUTED_VALUE"""),"Dego Cần Thơ")</f>
        <v>Dego Cần Thơ</v>
      </c>
      <c r="C60" s="2" t="str">
        <f>IFERROR(__xludf.DUMMYFUNCTION("""COMPUTED_VALUE"""),"STP09052601")</f>
        <v>STP09052601</v>
      </c>
      <c r="D60" s="39">
        <f>IFERROR(__xludf.DUMMYFUNCTION("""COMPUTED_VALUE"""),46151.0)</f>
        <v>46151</v>
      </c>
      <c r="E60" s="2"/>
      <c r="F60" s="2" t="str">
        <f>IFERROR(__xludf.DUMMYFUNCTION("""COMPUTED_VALUE"""),"N2SBIO")</f>
        <v>N2SBIO</v>
      </c>
      <c r="G60" s="2" t="str">
        <f>IFERROR(__xludf.DUMMYFUNCTION("""COMPUTED_VALUE"""),"HH4988")</f>
        <v>HH4988</v>
      </c>
      <c r="H60" s="2" t="str">
        <f>IFERROR(__xludf.DUMMYFUNCTION("""COMPUTED_VALUE"""),"GC - IX - 4988 - N2SBIO - N2 AMINO 100 (Gel nâu đen) - 250ml - 40")</f>
        <v>GC - IX - 4988 - N2SBIO - N2 AMINO 100 (Gel nâu đen) - 250ml - 40</v>
      </c>
      <c r="I60" s="2" t="str">
        <f>IFERROR(__xludf.DUMMYFUNCTION("""COMPUTED_VALUE"""),"Phân bón")</f>
        <v>Phân bón</v>
      </c>
      <c r="J60" s="142" t="str">
        <f>IFERROR(__xludf.DUMMYFUNCTION("""COMPUTED_VALUE"""),"LÁ VÔ CƠ NHIỀU THÀNH PHẦN NBC-ALCROP")</f>
        <v>LÁ VÔ CƠ NHIỀU THÀNH PHẦN NBC-ALCROP</v>
      </c>
      <c r="K60" s="2" t="str">
        <f>IFERROR(__xludf.DUMMYFUNCTION("""COMPUTED_VALUE"""),"N05230326")</f>
        <v>N05230326</v>
      </c>
      <c r="L60" s="2" t="str">
        <f>IFERROR(__xludf.DUMMYFUNCTION("""COMPUTED_VALUE"""),"Gel nâu đen")</f>
        <v>Gel nâu đen</v>
      </c>
      <c r="M60" s="2" t="str">
        <f>IFERROR(__xludf.DUMMYFUNCTION("""COMPUTED_VALUE"""),"Chai")</f>
        <v>Chai</v>
      </c>
      <c r="N60" s="142">
        <f>IFERROR(__xludf.DUMMYFUNCTION("""COMPUTED_VALUE"""),40.0)</f>
        <v>40</v>
      </c>
      <c r="O60" s="142">
        <f>IFERROR(__xludf.DUMMYFUNCTION("""COMPUTED_VALUE"""),20.0)</f>
        <v>20</v>
      </c>
      <c r="P60" s="142">
        <f>IFERROR(__xludf.DUMMYFUNCTION("""COMPUTED_VALUE"""),800.0)</f>
        <v>800</v>
      </c>
      <c r="Q60" s="143">
        <f>IFERROR(__xludf.DUMMYFUNCTION("""COMPUTED_VALUE"""),46158.0)</f>
        <v>46158</v>
      </c>
      <c r="R60" s="2" t="str">
        <f>IFERROR(__xludf.DUMMYFUNCTION("""COMPUTED_VALUE"""),"x")</f>
        <v>x</v>
      </c>
      <c r="S60" s="142" t="str">
        <f>IFERROR(__xludf.DUMMYFUNCTION("""COMPUTED_VALUE"""),"x")</f>
        <v>x</v>
      </c>
      <c r="T60" s="142" t="str">
        <f>IFERROR(__xludf.DUMMYFUNCTION("""COMPUTED_VALUE"""),"x")</f>
        <v>x</v>
      </c>
      <c r="U60" s="142" t="str">
        <f>IFERROR(__xludf.DUMMYFUNCTION("""COMPUTED_VALUE"""),"x")</f>
        <v>x</v>
      </c>
      <c r="V60" s="142">
        <f>IFERROR(__xludf.DUMMYFUNCTION("""COMPUTED_VALUE"""),7.0)</f>
        <v>7</v>
      </c>
      <c r="W60" s="2" t="str">
        <f>IFERROR(__xludf.DUMMYFUNCTION("""COMPUTED_VALUE""")," - Giá bán  - Ngày dự kiến thu tiền:  - Dự kiến ngày ra hết hàng: ")</f>
        <v> - Giá bán  - Ngày dự kiến thu tiền:  - Dự kiến ngày ra hết hàng: </v>
      </c>
      <c r="X60" s="2"/>
      <c r="Y60" s="2" t="str">
        <f>IFERROR(__xludf.DUMMYFUNCTION("""COMPUTED_VALUE"""),"Dego Cần Thơ")</f>
        <v>Dego Cần Thơ</v>
      </c>
      <c r="Z60" s="2" t="str">
        <f>IFERROR(__xludf.DUMMYFUNCTION("""COMPUTED_VALUE"""),"Chưa có lịch SX")</f>
        <v>Chưa có lịch SX</v>
      </c>
      <c r="AA60" s="2"/>
      <c r="AB60" s="2" t="str">
        <f>IFERROR(__xludf.DUMMYFUNCTION("""COMPUTED_VALUE"""),"chưa gửi đơn, chưa duyệt giá (8-9/5)
chưa có NL về, nào có báo thông tin ngày xong hàng với KD ")</f>
        <v>chưa gửi đơn, chưa duyệt giá (8-9/5)
chưa có NL về, nào có báo thông tin ngày xong hàng với KD </v>
      </c>
      <c r="AC60" s="146">
        <f>IFERROR(__xludf.DUMMYFUNCTION("""COMPUTED_VALUE"""),800.0)</f>
        <v>800</v>
      </c>
      <c r="AD60" s="2"/>
      <c r="AE60" s="2" t="str">
        <f>IFERROR(__xludf.DUMMYFUNCTION("""COMPUTED_VALUE"""),"đã bàn giao cho nhà máy 23/05")</f>
        <v>đã bàn giao cho nhà máy 23/05</v>
      </c>
      <c r="AF60" s="146" t="str">
        <f>IFERROR(__xludf.DUMMYFUNCTION("""COMPUTED_VALUE"""),"")</f>
        <v/>
      </c>
      <c r="AG60" s="2"/>
      <c r="AH60" s="2"/>
      <c r="AI60" s="2"/>
      <c r="AJ60" s="2"/>
      <c r="AK60" s="2"/>
      <c r="AL60" s="2"/>
      <c r="AM60" s="2"/>
      <c r="AN60" s="2"/>
      <c r="AO60" s="2"/>
      <c r="AP60" s="2"/>
      <c r="AQ60" s="2"/>
      <c r="AR60" s="2"/>
      <c r="AS60" s="2"/>
      <c r="AT60" s="2"/>
      <c r="AU60" s="2"/>
      <c r="AV60" s="2"/>
      <c r="AW60" s="2"/>
      <c r="AX60" s="2"/>
      <c r="AY60" s="2"/>
      <c r="AZ60" s="2" t="str">
        <f>IFERROR(__xludf.DUMMYFUNCTION("""COMPUTED_VALUE"""),"#REF!")</f>
        <v>#REF!</v>
      </c>
      <c r="BA60" s="2" t="str">
        <f>IFERROR(__xludf.DUMMYFUNCTION("""COMPUTED_VALUE"""),"Đủ điều kiện")</f>
        <v>Đủ điều kiện</v>
      </c>
      <c r="BB60" s="2" t="str">
        <f>IFERROR(__xludf.DUMMYFUNCTION("""COMPUTED_VALUE"""),"Duyệt")</f>
        <v>Duyệt</v>
      </c>
      <c r="BC60" s="148">
        <f>IFERROR(__xludf.DUMMYFUNCTION("""COMPUTED_VALUE"""),46151.0)</f>
        <v>46151</v>
      </c>
      <c r="BD60" s="2" t="str">
        <f>IFERROR(__xludf.DUMMYFUNCTION("""COMPUTED_VALUE"""),"Duyệt")</f>
        <v>Duyệt</v>
      </c>
      <c r="BE60" s="2" t="str">
        <f>IFERROR(__xludf.DUMMYFUNCTION("""COMPUTED_VALUE"""),"xlg 12/05")</f>
        <v>xlg 12/05</v>
      </c>
      <c r="BF60" s="2" t="str">
        <f>IFERROR(__xludf.DUMMYFUNCTION("""COMPUTED_VALUE"""),"Đã xử lí giá")</f>
        <v>Đã xử lí giá</v>
      </c>
      <c r="BG60" s="2" t="str">
        <f>IFERROR(__xludf.DUMMYFUNCTION("""COMPUTED_VALUE"""),"N05230326 Gel nâu đen Chưa có giá bán khách hàng 9/5/2026")</f>
        <v>N05230326 Gel nâu đen Chưa có giá bán khách hàng 9/5/2026</v>
      </c>
      <c r="BH60" s="2"/>
      <c r="BI60" s="2"/>
      <c r="BJ60" s="2"/>
      <c r="BK60" s="2"/>
      <c r="BL60" s="2"/>
      <c r="BM60" s="2"/>
      <c r="BN60" s="2"/>
      <c r="BO60" s="2"/>
      <c r="BP60" s="2"/>
      <c r="BQ60" s="2"/>
    </row>
    <row r="61">
      <c r="A61" s="2">
        <f>IFERROR(__xludf.DUMMYFUNCTION("""COMPUTED_VALUE"""),58.0)</f>
        <v>58</v>
      </c>
      <c r="B61" s="2" t="str">
        <f>IFERROR(__xludf.DUMMYFUNCTION("""COMPUTED_VALUE"""),"Dego Cần Thơ")</f>
        <v>Dego Cần Thơ</v>
      </c>
      <c r="C61" s="2" t="str">
        <f>IFERROR(__xludf.DUMMYFUNCTION("""COMPUTED_VALUE"""),"STP09052602")</f>
        <v>STP09052602</v>
      </c>
      <c r="D61" s="39">
        <f>IFERROR(__xludf.DUMMYFUNCTION("""COMPUTED_VALUE"""),46151.0)</f>
        <v>46151</v>
      </c>
      <c r="E61" s="2"/>
      <c r="F61" s="2" t="str">
        <f>IFERROR(__xludf.DUMMYFUNCTION("""COMPUTED_VALUE"""),"N2SBIO")</f>
        <v>N2SBIO</v>
      </c>
      <c r="G61" s="2" t="str">
        <f>IFERROR(__xludf.DUMMYFUNCTION("""COMPUTED_VALUE"""),"HH4442")</f>
        <v>HH4442</v>
      </c>
      <c r="H61" s="2" t="str">
        <f>IFERROR(__xludf.DUMMYFUNCTION("""COMPUTED_VALUE"""),"GC - IX - 4442 - N2SBIO - N2 MG ZN-70 (Nước xanh lá) - 500ml - 40")</f>
        <v>GC - IX - 4442 - N2SBIO - N2 MG ZN-70 (Nước xanh lá) - 500ml - 40</v>
      </c>
      <c r="I61" s="2" t="str">
        <f>IFERROR(__xludf.DUMMYFUNCTION("""COMPUTED_VALUE"""),"Phân bón")</f>
        <v>Phân bón</v>
      </c>
      <c r="J61" s="142" t="str">
        <f>IFERROR(__xludf.DUMMYFUNCTION("""COMPUTED_VALUE"""),"vi lượng Phú Sĩ FJ-09 Kẽm Mg")</f>
        <v>vi lượng Phú Sĩ FJ-09 Kẽm Mg</v>
      </c>
      <c r="K61" s="2" t="str">
        <f>IFERROR(__xludf.DUMMYFUNCTION("""COMPUTED_VALUE"""),"N01080825")</f>
        <v>N01080825</v>
      </c>
      <c r="L61" s="2" t="str">
        <f>IFERROR(__xludf.DUMMYFUNCTION("""COMPUTED_VALUE"""),"Nước xanh lá")</f>
        <v>Nước xanh lá</v>
      </c>
      <c r="M61" s="2" t="str">
        <f>IFERROR(__xludf.DUMMYFUNCTION("""COMPUTED_VALUE"""),"Chai")</f>
        <v>Chai</v>
      </c>
      <c r="N61" s="142">
        <f>IFERROR(__xludf.DUMMYFUNCTION("""COMPUTED_VALUE"""),40.0)</f>
        <v>40</v>
      </c>
      <c r="O61" s="142">
        <f>IFERROR(__xludf.DUMMYFUNCTION("""COMPUTED_VALUE"""),100.0)</f>
        <v>100</v>
      </c>
      <c r="P61" s="142">
        <f>IFERROR(__xludf.DUMMYFUNCTION("""COMPUTED_VALUE"""),4000.0)</f>
        <v>4000</v>
      </c>
      <c r="Q61" s="143">
        <f>IFERROR(__xludf.DUMMYFUNCTION("""COMPUTED_VALUE"""),46160.0)</f>
        <v>46160</v>
      </c>
      <c r="R61" s="2" t="str">
        <f>IFERROR(__xludf.DUMMYFUNCTION("""COMPUTED_VALUE"""),"x")</f>
        <v>x</v>
      </c>
      <c r="S61" s="142" t="str">
        <f>IFERROR(__xludf.DUMMYFUNCTION("""COMPUTED_VALUE"""),"x")</f>
        <v>x</v>
      </c>
      <c r="T61" s="142" t="str">
        <f>IFERROR(__xludf.DUMMYFUNCTION("""COMPUTED_VALUE"""),"x")</f>
        <v>x</v>
      </c>
      <c r="U61" s="142" t="str">
        <f>IFERROR(__xludf.DUMMYFUNCTION("""COMPUTED_VALUE"""),"x")</f>
        <v>x</v>
      </c>
      <c r="V61" s="142">
        <f>IFERROR(__xludf.DUMMYFUNCTION("""COMPUTED_VALUE"""),9.0)</f>
        <v>9</v>
      </c>
      <c r="W61" s="2" t="str">
        <f>IFERROR(__xludf.DUMMYFUNCTION("""COMPUTED_VALUE""")," - Giá bán  - Ngày dự kiến thu tiền:  - Dự kiến ngày ra hết hàng: ")</f>
        <v> - Giá bán  - Ngày dự kiến thu tiền:  - Dự kiến ngày ra hết hàng: </v>
      </c>
      <c r="X61" s="2"/>
      <c r="Y61" s="2" t="str">
        <f>IFERROR(__xludf.DUMMYFUNCTION("""COMPUTED_VALUE"""),"Dego Cần Thơ")</f>
        <v>Dego Cần Thơ</v>
      </c>
      <c r="Z61" s="2" t="str">
        <f>IFERROR(__xludf.DUMMYFUNCTION("""COMPUTED_VALUE"""),"Chờ lấy hoá đơn")</f>
        <v>Chờ lấy hoá đơn</v>
      </c>
      <c r="AA61" s="2"/>
      <c r="AB61" s="2" t="str">
        <f>IFERROR(__xludf.DUMMYFUNCTION("""COMPUTED_VALUE"""),"đã có hóa đơn 25/05")</f>
        <v>đã có hóa đơn 25/05</v>
      </c>
      <c r="AC61" s="146">
        <f>IFERROR(__xludf.DUMMYFUNCTION("""COMPUTED_VALUE"""),1791.0)</f>
        <v>1791</v>
      </c>
      <c r="AD61" s="146">
        <f>IFERROR(__xludf.DUMMYFUNCTION("""COMPUTED_VALUE"""),2209.0)</f>
        <v>2209</v>
      </c>
      <c r="AE61" s="2" t="str">
        <f>IFERROR(__xludf.DUMMYFUNCTION("""COMPUTED_VALUE"""),"đã bàn giao cho nhà máy 23/05")</f>
        <v>đã bàn giao cho nhà máy 23/05</v>
      </c>
      <c r="AF61" s="146" t="str">
        <f>IFERROR(__xludf.DUMMYFUNCTION("""COMPUTED_VALUE"""),"STP09052602")</f>
        <v>STP09052602</v>
      </c>
      <c r="AG61" s="143">
        <f>IFERROR(__xludf.DUMMYFUNCTION("""COMPUTED_VALUE"""),46156.0)</f>
        <v>46156</v>
      </c>
      <c r="AH61" s="146">
        <f>IFERROR(__xludf.DUMMYFUNCTION("""COMPUTED_VALUE"""),421.0)</f>
        <v>421</v>
      </c>
      <c r="AI61" s="143">
        <f>IFERROR(__xludf.DUMMYFUNCTION("""COMPUTED_VALUE"""),46165.0)</f>
        <v>46165</v>
      </c>
      <c r="AJ61" s="146">
        <f>IFERROR(__xludf.DUMMYFUNCTION("""COMPUTED_VALUE"""),1788.0)</f>
        <v>1788</v>
      </c>
      <c r="AK61" s="2"/>
      <c r="AL61" s="2"/>
      <c r="AM61" s="2"/>
      <c r="AN61" s="2"/>
      <c r="AO61" s="2"/>
      <c r="AP61" s="2"/>
      <c r="AQ61" s="2"/>
      <c r="AR61" s="2" t="str">
        <f>IFERROR(__xludf.DUMMYFUNCTION("""COMPUTED_VALUE"""),"490326 (10 thùng + 21 chai)")</f>
        <v>490326 (10 thùng + 21 chai)</v>
      </c>
      <c r="AS61" s="2" t="str">
        <f>IFERROR(__xludf.DUMMYFUNCTION("""COMPUTED_VALUE"""),"13/05/2026 (10 thùng + 21 chai)")</f>
        <v>13/05/2026 (10 thùng + 21 chai)</v>
      </c>
      <c r="AT61" s="2"/>
      <c r="AU61" s="142">
        <f>IFERROR(__xludf.DUMMYFUNCTION("""COMPUTED_VALUE"""),421.0)</f>
        <v>421</v>
      </c>
      <c r="AV61" s="2" t="str">
        <f>IFERROR(__xludf.DUMMYFUNCTION("""COMPUTED_VALUE"""),"18/05/2026 đã giao 10t+21 chai")</f>
        <v>18/05/2026 đã giao 10t+21 chai</v>
      </c>
      <c r="AW61" s="2"/>
      <c r="AX61" s="2"/>
      <c r="AY61" s="2"/>
      <c r="AZ61" s="2" t="str">
        <f>IFERROR(__xludf.DUMMYFUNCTION("""COMPUTED_VALUE"""),"#REF!")</f>
        <v>#REF!</v>
      </c>
      <c r="BA61" s="2" t="str">
        <f>IFERROR(__xludf.DUMMYFUNCTION("""COMPUTED_VALUE"""),"Đủ điều kiện")</f>
        <v>Đủ điều kiện</v>
      </c>
      <c r="BB61" s="2" t="str">
        <f>IFERROR(__xludf.DUMMYFUNCTION("""COMPUTED_VALUE"""),"Duyệt")</f>
        <v>Duyệt</v>
      </c>
      <c r="BC61" s="149">
        <f>IFERROR(__xludf.DUMMYFUNCTION("""COMPUTED_VALUE"""),46151.0)</f>
        <v>46151</v>
      </c>
      <c r="BD61" s="2" t="str">
        <f>IFERROR(__xludf.DUMMYFUNCTION("""COMPUTED_VALUE"""),"Duyệt")</f>
        <v>Duyệt</v>
      </c>
      <c r="BE61" s="2" t="str">
        <f>IFERROR(__xludf.DUMMYFUNCTION("""COMPUTED_VALUE"""),"xlg 09/05
11/05")</f>
        <v>xlg 09/05
11/05</v>
      </c>
      <c r="BF61" s="2" t="str">
        <f>IFERROR(__xludf.DUMMYFUNCTION("""COMPUTED_VALUE"""),"Đã xử lí giá")</f>
        <v>Đã xử lí giá</v>
      </c>
      <c r="BG61" s="2" t="str">
        <f>IFERROR(__xludf.DUMMYFUNCTION("""COMPUTED_VALUE"""),"N01080825 Nước xanh lá  Chưa có giá bán khách hàng 9/5/2026")</f>
        <v>N01080825 Nước xanh lá  Chưa có giá bán khách hàng 9/5/2026</v>
      </c>
      <c r="BH61" s="2"/>
      <c r="BI61" s="2"/>
      <c r="BJ61" s="2"/>
      <c r="BK61" s="2"/>
      <c r="BL61" s="2"/>
      <c r="BM61" s="2"/>
      <c r="BN61" s="2"/>
      <c r="BO61" s="2"/>
      <c r="BP61" s="2"/>
      <c r="BQ61" s="2"/>
    </row>
    <row r="62">
      <c r="A62" s="2">
        <f>IFERROR(__xludf.DUMMYFUNCTION("""COMPUTED_VALUE"""),59.0)</f>
        <v>59</v>
      </c>
      <c r="B62" s="2" t="str">
        <f>IFERROR(__xludf.DUMMYFUNCTION("""COMPUTED_VALUE"""),"Dego Cần Thơ")</f>
        <v>Dego Cần Thơ</v>
      </c>
      <c r="C62" s="2" t="str">
        <f>IFERROR(__xludf.DUMMYFUNCTION("""COMPUTED_VALUE"""),"STP09052603")</f>
        <v>STP09052603</v>
      </c>
      <c r="D62" s="39">
        <f>IFERROR(__xludf.DUMMYFUNCTION("""COMPUTED_VALUE"""),46151.0)</f>
        <v>46151</v>
      </c>
      <c r="E62" s="2"/>
      <c r="F62" s="2" t="str">
        <f>IFERROR(__xludf.DUMMYFUNCTION("""COMPUTED_VALUE"""),"N2SBIO")</f>
        <v>N2SBIO</v>
      </c>
      <c r="G62" s="2" t="str">
        <f>IFERROR(__xludf.DUMMYFUNCTION("""COMPUTED_VALUE"""),"HH4187")</f>
        <v>HH4187</v>
      </c>
      <c r="H62" s="2" t="str">
        <f>IFERROR(__xludf.DUMMYFUNCTION("""COMPUTED_VALUE"""),"GC - IX - 4187 - N2SBIO - N2 ULTRA LOCK (Dạng SC - Trắng sữa) - 500ml - 40")</f>
        <v>GC - IX - 4187 - N2SBIO - N2 ULTRA LOCK (Dạng SC - Trắng sữa) - 500ml - 40</v>
      </c>
      <c r="I62" s="2" t="str">
        <f>IFERROR(__xludf.DUMMYFUNCTION("""COMPUTED_VALUE"""),"Phân bón")</f>
        <v>Phân bón</v>
      </c>
      <c r="J62" s="142" t="str">
        <f>IFERROR(__xludf.DUMMYFUNCTION("""COMPUTED_VALUE"""),"Lá PK-Trung Lượng NBC-Photphonate")</f>
        <v>Lá PK-Trung Lượng NBC-Photphonate</v>
      </c>
      <c r="K62" s="2" t="str">
        <f>IFERROR(__xludf.DUMMYFUNCTION("""COMPUTED_VALUE"""),"N04290725")</f>
        <v>N04290725</v>
      </c>
      <c r="L62" s="2" t="str">
        <f>IFERROR(__xludf.DUMMYFUNCTION("""COMPUTED_VALUE"""),"Dạng SC - Trắng sữa")</f>
        <v>Dạng SC - Trắng sữa</v>
      </c>
      <c r="M62" s="2" t="str">
        <f>IFERROR(__xludf.DUMMYFUNCTION("""COMPUTED_VALUE"""),"Chai")</f>
        <v>Chai</v>
      </c>
      <c r="N62" s="142">
        <f>IFERROR(__xludf.DUMMYFUNCTION("""COMPUTED_VALUE"""),40.0)</f>
        <v>40</v>
      </c>
      <c r="O62" s="142">
        <f>IFERROR(__xludf.DUMMYFUNCTION("""COMPUTED_VALUE"""),100.0)</f>
        <v>100</v>
      </c>
      <c r="P62" s="142">
        <f>IFERROR(__xludf.DUMMYFUNCTION("""COMPUTED_VALUE"""),4000.0)</f>
        <v>4000</v>
      </c>
      <c r="Q62" s="143">
        <f>IFERROR(__xludf.DUMMYFUNCTION("""COMPUTED_VALUE"""),46158.0)</f>
        <v>46158</v>
      </c>
      <c r="R62" s="2" t="str">
        <f>IFERROR(__xludf.DUMMYFUNCTION("""COMPUTED_VALUE"""),"x")</f>
        <v>x</v>
      </c>
      <c r="S62" s="142" t="str">
        <f>IFERROR(__xludf.DUMMYFUNCTION("""COMPUTED_VALUE"""),"x")</f>
        <v>x</v>
      </c>
      <c r="T62" s="142" t="str">
        <f>IFERROR(__xludf.DUMMYFUNCTION("""COMPUTED_VALUE"""),"x")</f>
        <v>x</v>
      </c>
      <c r="U62" s="142" t="str">
        <f>IFERROR(__xludf.DUMMYFUNCTION("""COMPUTED_VALUE"""),"x")</f>
        <v>x</v>
      </c>
      <c r="V62" s="142">
        <f>IFERROR(__xludf.DUMMYFUNCTION("""COMPUTED_VALUE"""),7.0)</f>
        <v>7</v>
      </c>
      <c r="W62" s="2" t="str">
        <f>IFERROR(__xludf.DUMMYFUNCTION("""COMPUTED_VALUE""")," - Giá bán  - Ngày dự kiến thu tiền:  - Dự kiến ngày ra hết hàng: ")</f>
        <v> - Giá bán  - Ngày dự kiến thu tiền:  - Dự kiến ngày ra hết hàng: </v>
      </c>
      <c r="X62" s="2"/>
      <c r="Y62" s="2" t="str">
        <f>IFERROR(__xludf.DUMMYFUNCTION("""COMPUTED_VALUE"""),"Dego Cần Thơ")</f>
        <v>Dego Cần Thơ</v>
      </c>
      <c r="Z62" s="2" t="str">
        <f>IFERROR(__xludf.DUMMYFUNCTION("""COMPUTED_VALUE"""),"Hàng sẵn kho")</f>
        <v>Hàng sẵn kho</v>
      </c>
      <c r="AA62" s="2"/>
      <c r="AB62" s="2" t="str">
        <f>IFERROR(__xludf.DUMMYFUNCTION("""COMPUTED_VALUE"""),"chưa gửi đơn, chưa duyệt giá (8-9/5)
15-16/05 chiết được 35-40 thùng, để ra hàng lấy hóa đơn xong e báo lại a hả lấy hàng nha,  lượng còn lại đang đợi nguyên liệu mới về hiện chưa có ngày dự kiến
38 thùng +8 chai đã có hóa đơn
đã có hóa đơn 25/05 lấy hàng"&amp;" được")</f>
        <v>chưa gửi đơn, chưa duyệt giá (8-9/5)
15-16/05 chiết được 35-40 thùng, để ra hàng lấy hóa đơn xong e báo lại a hả lấy hàng nha,  lượng còn lại đang đợi nguyên liệu mới về hiện chưa có ngày dự kiến
38 thùng +8 chai đã có hóa đơn
đã có hóa đơn 25/05 lấy hàng được</v>
      </c>
      <c r="AC62" s="2"/>
      <c r="AD62" s="146">
        <f>IFERROR(__xludf.DUMMYFUNCTION("""COMPUTED_VALUE"""),4305.0)</f>
        <v>4305</v>
      </c>
      <c r="AE62" s="2" t="str">
        <f>IFERROR(__xludf.DUMMYFUNCTION("""COMPUTED_VALUE"""),"đã bàn giao cho nhà máy 23/05")</f>
        <v>đã bàn giao cho nhà máy 23/05</v>
      </c>
      <c r="AF62" s="146" t="str">
        <f>IFERROR(__xludf.DUMMYFUNCTION("""COMPUTED_VALUE"""),"STP09052603")</f>
        <v>STP09052603</v>
      </c>
      <c r="AG62" s="143">
        <f>IFERROR(__xludf.DUMMYFUNCTION("""COMPUTED_VALUE"""),46157.0)</f>
        <v>46157</v>
      </c>
      <c r="AH62" s="146">
        <f>IFERROR(__xludf.DUMMYFUNCTION("""COMPUTED_VALUE"""),1531.0)</f>
        <v>1531</v>
      </c>
      <c r="AI62" s="143">
        <f>IFERROR(__xludf.DUMMYFUNCTION("""COMPUTED_VALUE"""),46162.0)</f>
        <v>46162</v>
      </c>
      <c r="AJ62" s="146">
        <f>IFERROR(__xludf.DUMMYFUNCTION("""COMPUTED_VALUE"""),1530.0)</f>
        <v>1530</v>
      </c>
      <c r="AK62" s="143">
        <f>IFERROR(__xludf.DUMMYFUNCTION("""COMPUTED_VALUE"""),46163.0)</f>
        <v>46163</v>
      </c>
      <c r="AL62" s="142">
        <f>IFERROR(__xludf.DUMMYFUNCTION("""COMPUTED_VALUE"""),1244.0)</f>
        <v>1244</v>
      </c>
      <c r="AM62" s="142">
        <f>IFERROR(__xludf.DUMMYFUNCTION("""COMPUTED_VALUE"""),2770.0)</f>
        <v>2770</v>
      </c>
      <c r="AN62" s="2"/>
      <c r="AO62" s="2"/>
      <c r="AP62" s="2"/>
      <c r="AQ62" s="2"/>
      <c r="AR62" s="2">
        <f>IFERROR(__xludf.DUMMYFUNCTION("""COMPUTED_VALUE"""),280526.0)</f>
        <v>280526</v>
      </c>
      <c r="AS62" s="2" t="str">
        <f>IFERROR(__xludf.DUMMYFUNCTION("""COMPUTED_VALUE"""),"15/05/2026 (38 thùng + 89chai + 2 mẫu)
19/05/2026 (38 thùng + 8 chai + 2 mẫu)")</f>
        <v>15/05/2026 (38 thùng + 89chai + 2 mẫu)
19/05/2026 (38 thùng + 8 chai + 2 mẫu)</v>
      </c>
      <c r="AT62" s="2"/>
      <c r="AU62" s="142">
        <f>IFERROR(__xludf.DUMMYFUNCTION("""COMPUTED_VALUE"""),1529.0)</f>
        <v>1529</v>
      </c>
      <c r="AV62" s="2" t="str">
        <f>IFERROR(__xludf.DUMMYFUNCTION("""COMPUTED_VALUE"""),"19/05/2026 đã giao 38t+9 chai")</f>
        <v>19/05/2026 đã giao 38t+9 chai</v>
      </c>
      <c r="AW62" s="2"/>
      <c r="AX62" s="2"/>
      <c r="AY62" s="2"/>
      <c r="AZ62" s="2" t="str">
        <f>IFERROR(__xludf.DUMMYFUNCTION("""COMPUTED_VALUE"""),"#REF!")</f>
        <v>#REF!</v>
      </c>
      <c r="BA62" s="2" t="str">
        <f>IFERROR(__xludf.DUMMYFUNCTION("""COMPUTED_VALUE"""),"Đủ điều kiện")</f>
        <v>Đủ điều kiện</v>
      </c>
      <c r="BB62" s="2" t="str">
        <f>IFERROR(__xludf.DUMMYFUNCTION("""COMPUTED_VALUE"""),"Duyệt")</f>
        <v>Duyệt</v>
      </c>
      <c r="BC62" s="148">
        <f>IFERROR(__xludf.DUMMYFUNCTION("""COMPUTED_VALUE"""),46151.0)</f>
        <v>46151</v>
      </c>
      <c r="BD62" s="2" t="str">
        <f>IFERROR(__xludf.DUMMYFUNCTION("""COMPUTED_VALUE"""),"Duyệt")</f>
        <v>Duyệt</v>
      </c>
      <c r="BE62" s="2" t="str">
        <f>IFERROR(__xludf.DUMMYFUNCTION("""COMPUTED_VALUE"""),"xlg 09/05
11/05")</f>
        <v>xlg 09/05
11/05</v>
      </c>
      <c r="BF62" s="2" t="str">
        <f>IFERROR(__xludf.DUMMYFUNCTION("""COMPUTED_VALUE"""),"Đã xử lí giá")</f>
        <v>Đã xử lí giá</v>
      </c>
      <c r="BG62" s="2" t="str">
        <f>IFERROR(__xludf.DUMMYFUNCTION("""COMPUTED_VALUE"""),"N04290725Dạng SC - Trắng sữa  Chưa có giá bán khách hàng 9/5/2026")</f>
        <v>N04290725Dạng SC - Trắng sữa  Chưa có giá bán khách hàng 9/5/2026</v>
      </c>
      <c r="BH62" s="2"/>
      <c r="BI62" s="2"/>
      <c r="BJ62" s="2"/>
      <c r="BK62" s="2"/>
      <c r="BL62" s="2"/>
      <c r="BM62" s="2"/>
      <c r="BN62" s="2"/>
      <c r="BO62" s="2"/>
      <c r="BP62" s="2"/>
      <c r="BQ62" s="2"/>
    </row>
    <row r="63">
      <c r="A63" s="2">
        <f>IFERROR(__xludf.DUMMYFUNCTION("""COMPUTED_VALUE"""),60.0)</f>
        <v>60</v>
      </c>
      <c r="B63" s="2" t="str">
        <f>IFERROR(__xludf.DUMMYFUNCTION("""COMPUTED_VALUE"""),"Dego Cần Thơ")</f>
        <v>Dego Cần Thơ</v>
      </c>
      <c r="C63" s="2" t="str">
        <f>IFERROR(__xludf.DUMMYFUNCTION("""COMPUTED_VALUE"""),"ATP11052601")</f>
        <v>ATP11052601</v>
      </c>
      <c r="D63" s="39">
        <f>IFERROR(__xludf.DUMMYFUNCTION("""COMPUTED_VALUE"""),46153.0)</f>
        <v>46153</v>
      </c>
      <c r="E63" s="2" t="str">
        <f>IFERROR(__xludf.DUMMYFUNCTION("""COMPUTED_VALUE"""),"Đã duyệt")</f>
        <v>Đã duyệt</v>
      </c>
      <c r="F63" s="2" t="str">
        <f>IFERROR(__xludf.DUMMYFUNCTION("""COMPUTED_VALUE"""),"ABA")</f>
        <v>ABA</v>
      </c>
      <c r="G63" s="2" t="str">
        <f>IFERROR(__xludf.DUMMYFUNCTION("""COMPUTED_VALUE"""),"HH5010")</f>
        <v>HH5010</v>
      </c>
      <c r="H63" s="2" t="str">
        <f>IFERROR(__xludf.DUMMYFUNCTION("""COMPUTED_VALUE"""),"GC - V - 5010 - CTY CAPY GLOBAL - SUPER CU (Nước xanh dương) - 500ml - 40")</f>
        <v>GC - V - 5010 - CTY CAPY GLOBAL - SUPER CU (Nước xanh dương) - 500ml - 40</v>
      </c>
      <c r="I63" s="2" t="str">
        <f>IFERROR(__xludf.DUMMYFUNCTION("""COMPUTED_VALUE"""),"Phân bón")</f>
        <v>Phân bón</v>
      </c>
      <c r="J63" s="142" t="str">
        <f>IFERROR(__xludf.DUMMYFUNCTION("""COMPUTED_VALUE"""),"Vi lượng Agama - Cu")</f>
        <v>Vi lượng Agama - Cu</v>
      </c>
      <c r="K63" s="2" t="str">
        <f>IFERROR(__xludf.DUMMYFUNCTION("""COMPUTED_VALUE"""),"A02300524 Maxan-01")</f>
        <v>A02300524 Maxan-01</v>
      </c>
      <c r="L63" s="2" t="str">
        <f>IFERROR(__xludf.DUMMYFUNCTION("""COMPUTED_VALUE"""),"Nước xanh dương")</f>
        <v>Nước xanh dương</v>
      </c>
      <c r="M63" s="2" t="str">
        <f>IFERROR(__xludf.DUMMYFUNCTION("""COMPUTED_VALUE"""),"Chai")</f>
        <v>Chai</v>
      </c>
      <c r="N63" s="142">
        <f>IFERROR(__xludf.DUMMYFUNCTION("""COMPUTED_VALUE"""),40.0)</f>
        <v>40</v>
      </c>
      <c r="O63" s="142">
        <f>IFERROR(__xludf.DUMMYFUNCTION("""COMPUTED_VALUE"""),10.0)</f>
        <v>10</v>
      </c>
      <c r="P63" s="142">
        <f>IFERROR(__xludf.DUMMYFUNCTION("""COMPUTED_VALUE"""),400.0)</f>
        <v>400</v>
      </c>
      <c r="Q63" s="143">
        <f>IFERROR(__xludf.DUMMYFUNCTION("""COMPUTED_VALUE"""),46162.0)</f>
        <v>46162</v>
      </c>
      <c r="R63" s="2"/>
      <c r="S63" s="142" t="str">
        <f>IFERROR(__xludf.DUMMYFUNCTION("""COMPUTED_VALUE"""),"lấy chẳn thùng")</f>
        <v>lấy chẳn thùng</v>
      </c>
      <c r="T63" s="2"/>
      <c r="U63" s="2"/>
      <c r="V63" s="2"/>
      <c r="W63" s="2" t="str">
        <f>IFERROR(__xludf.DUMMYFUNCTION("""COMPUTED_VALUE"""),"CAPY - Giá bán 47250 - Ngày dự kiến thu tiền:  - Dự kiến ngày ra hết hàng: ")</f>
        <v>CAPY - Giá bán 47250 - Ngày dự kiến thu tiền:  - Dự kiến ngày ra hết hàng: </v>
      </c>
      <c r="X63" s="2"/>
      <c r="Y63" s="2" t="str">
        <f>IFERROR(__xludf.DUMMYFUNCTION("""COMPUTED_VALUE"""),"Dego Cần Thơ")</f>
        <v>Dego Cần Thơ</v>
      </c>
      <c r="Z63" s="2" t="str">
        <f>IFERROR(__xludf.DUMMYFUNCTION("""COMPUTED_VALUE"""),"Đã có lịch SX")</f>
        <v>Đã có lịch SX</v>
      </c>
      <c r="AA63" s="2"/>
      <c r="AB63" s="2" t="str">
        <f>IFERROR(__xludf.DUMMYFUNCTION("""COMPUTED_VALUE"""),"KD ok lấy hết lẻ")</f>
        <v>KD ok lấy hết lẻ</v>
      </c>
      <c r="AC63" s="146">
        <f>IFERROR(__xludf.DUMMYFUNCTION("""COMPUTED_VALUE"""),400.0)</f>
        <v>400</v>
      </c>
      <c r="AD63" s="2"/>
      <c r="AE63" s="2" t="str">
        <f>IFERROR(__xludf.DUMMYFUNCTION("""COMPUTED_VALUE"""),"đã bàn giao cho nhà máy 23/05")</f>
        <v>đã bàn giao cho nhà máy 23/05</v>
      </c>
      <c r="AF63" s="2"/>
      <c r="AG63" s="2"/>
      <c r="AH63" s="2"/>
      <c r="AI63" s="2"/>
      <c r="AJ63" s="2"/>
      <c r="AK63" s="2"/>
      <c r="AL63" s="2"/>
      <c r="AM63" s="2"/>
      <c r="AN63" s="2"/>
      <c r="AO63" s="2"/>
      <c r="AP63" s="2"/>
      <c r="AQ63" s="2"/>
      <c r="AR63" s="2"/>
      <c r="AS63" s="2"/>
      <c r="AT63" s="2"/>
      <c r="AU63" s="2"/>
      <c r="AV63" s="2"/>
      <c r="AW63" s="2"/>
      <c r="AX63" s="2"/>
      <c r="AY63" s="2"/>
      <c r="AZ63" s="2" t="str">
        <f>IFERROR(__xludf.DUMMYFUNCTION("""COMPUTED_VALUE"""),"#REF!")</f>
        <v>#REF!</v>
      </c>
      <c r="BA63" s="2" t="str">
        <f>IFERROR(__xludf.DUMMYFUNCTION("""COMPUTED_VALUE"""),"Đủ điều kiện")</f>
        <v>Đủ điều kiện</v>
      </c>
      <c r="BB63" s="2" t="str">
        <f>IFERROR(__xludf.DUMMYFUNCTION("""COMPUTED_VALUE"""),"Duyệt")</f>
        <v>Duyệt</v>
      </c>
      <c r="BC63" s="148">
        <f>IFERROR(__xludf.DUMMYFUNCTION("""COMPUTED_VALUE"""),46154.0)</f>
        <v>46154</v>
      </c>
      <c r="BD63" s="2" t="str">
        <f>IFERROR(__xludf.DUMMYFUNCTION("""COMPUTED_VALUE"""),"Duyệt")</f>
        <v>Duyệt</v>
      </c>
      <c r="BE63" s="2" t="str">
        <f>IFERROR(__xludf.DUMMYFUNCTION("""COMPUTED_VALUE"""),"xlg 13/05")</f>
        <v>xlg 13/05</v>
      </c>
      <c r="BF63" s="2" t="str">
        <f>IFERROR(__xludf.DUMMYFUNCTION("""COMPUTED_VALUE"""),"Đã xử lí giá")</f>
        <v>Đã xử lí giá</v>
      </c>
      <c r="BG63" s="2" t="str">
        <f>IFERROR(__xludf.DUMMYFUNCTION("""COMPUTED_VALUE"""),"A02300524 Maxan-01 Nước xanh dương 47,250đ 12/5/2026")</f>
        <v>A02300524 Maxan-01 Nước xanh dương 47,250đ 12/5/2026</v>
      </c>
      <c r="BH63" s="2"/>
      <c r="BI63" s="2"/>
      <c r="BJ63" s="2"/>
      <c r="BK63" s="2"/>
      <c r="BL63" s="2"/>
      <c r="BM63" s="2"/>
      <c r="BN63" s="2"/>
      <c r="BO63" s="2"/>
      <c r="BP63" s="2"/>
      <c r="BQ63" s="2"/>
    </row>
    <row r="64">
      <c r="A64" s="2">
        <f>IFERROR(__xludf.DUMMYFUNCTION("""COMPUTED_VALUE"""),61.0)</f>
        <v>61</v>
      </c>
      <c r="B64" s="2" t="str">
        <f>IFERROR(__xludf.DUMMYFUNCTION("""COMPUTED_VALUE"""),"Dego Cần Thơ")</f>
        <v>Dego Cần Thơ</v>
      </c>
      <c r="C64" s="2" t="str">
        <f>IFERROR(__xludf.DUMMYFUNCTION("""COMPUTED_VALUE"""),"ATP11052602")</f>
        <v>ATP11052602</v>
      </c>
      <c r="D64" s="39">
        <f>IFERROR(__xludf.DUMMYFUNCTION("""COMPUTED_VALUE"""),46153.0)</f>
        <v>46153</v>
      </c>
      <c r="E64" s="2" t="str">
        <f>IFERROR(__xludf.DUMMYFUNCTION("""COMPUTED_VALUE"""),"Đã duyệt")</f>
        <v>Đã duyệt</v>
      </c>
      <c r="F64" s="2" t="str">
        <f>IFERROR(__xludf.DUMMYFUNCTION("""COMPUTED_VALUE"""),"ABA")</f>
        <v>ABA</v>
      </c>
      <c r="G64" s="2" t="str">
        <f>IFERROR(__xludf.DUMMYFUNCTION("""COMPUTED_VALUE"""),"HH5014")</f>
        <v>HH5014</v>
      </c>
      <c r="H64" s="2" t="str">
        <f>IFERROR(__xludf.DUMMYFUNCTION("""COMPUTED_VALUE"""),"GC - X - 5014 - CSSX An Khang - TAK12 (Nước nâu vàng) - 500ml - 40")</f>
        <v>GC - X - 5014 - CSSX An Khang - TAK12 (Nước nâu vàng) - 500ml - 40</v>
      </c>
      <c r="I64" s="2" t="str">
        <f>IFERROR(__xludf.DUMMYFUNCTION("""COMPUTED_VALUE"""),"Phân bón")</f>
        <v>Phân bón</v>
      </c>
      <c r="J64" s="142" t="str">
        <f>IFERROR(__xludf.DUMMYFUNCTION("""COMPUTED_VALUE"""),"Lá Hỗn Hợp PK AGRI FOS AB")</f>
        <v>Lá Hỗn Hợp PK AGRI FOS AB</v>
      </c>
      <c r="K64" s="2" t="str">
        <f>IFERROR(__xludf.DUMMYFUNCTION("""COMPUTED_VALUE"""),"A07290925")</f>
        <v>A07290925</v>
      </c>
      <c r="L64" s="2" t="str">
        <f>IFERROR(__xludf.DUMMYFUNCTION("""COMPUTED_VALUE"""),"Nước nâu vàng")</f>
        <v>Nước nâu vàng</v>
      </c>
      <c r="M64" s="2" t="str">
        <f>IFERROR(__xludf.DUMMYFUNCTION("""COMPUTED_VALUE"""),"Chai")</f>
        <v>Chai</v>
      </c>
      <c r="N64" s="142">
        <f>IFERROR(__xludf.DUMMYFUNCTION("""COMPUTED_VALUE"""),40.0)</f>
        <v>40</v>
      </c>
      <c r="O64" s="142">
        <f>IFERROR(__xludf.DUMMYFUNCTION("""COMPUTED_VALUE"""),25.0)</f>
        <v>25</v>
      </c>
      <c r="P64" s="142">
        <f>IFERROR(__xludf.DUMMYFUNCTION("""COMPUTED_VALUE"""),1000.0)</f>
        <v>1000</v>
      </c>
      <c r="Q64" s="143">
        <f>IFERROR(__xludf.DUMMYFUNCTION("""COMPUTED_VALUE"""),46162.0)</f>
        <v>46162</v>
      </c>
      <c r="R64" s="2"/>
      <c r="S64" s="142" t="str">
        <f>IFERROR(__xludf.DUMMYFUNCTION("""COMPUTED_VALUE"""),"lấy chẳn thùng")</f>
        <v>lấy chẳn thùng</v>
      </c>
      <c r="T64" s="2"/>
      <c r="U64" s="2"/>
      <c r="V64" s="2"/>
      <c r="W64" s="2" t="str">
        <f>IFERROR(__xludf.DUMMYFUNCTION("""COMPUTED_VALUE"""),"CAPY - Giá bán 68000 - Ngày dự kiến thu tiền:  - Dự kiến ngày ra hết hàng: ")</f>
        <v>CAPY - Giá bán 68000 - Ngày dự kiến thu tiền:  - Dự kiến ngày ra hết hàng: </v>
      </c>
      <c r="X64" s="2"/>
      <c r="Y64" s="2" t="str">
        <f>IFERROR(__xludf.DUMMYFUNCTION("""COMPUTED_VALUE"""),"Dego Cần Thơ")</f>
        <v>Dego Cần Thơ</v>
      </c>
      <c r="Z64" s="2" t="str">
        <f>IFERROR(__xludf.DUMMYFUNCTION("""COMPUTED_VALUE"""),"Hàng sẵn kho")</f>
        <v>Hàng sẵn kho</v>
      </c>
      <c r="AA64" s="2"/>
      <c r="AB64" s="2" t="str">
        <f>IFERROR(__xludf.DUMMYFUNCTION("""COMPUTED_VALUE"""),"KD lấy lẻ
chốt 21 thùng +29 chai kết đơn
đã có hóa đơn 25/05 lấy hàng được")</f>
        <v>KD lấy lẻ
chốt 21 thùng +29 chai kết đơn
đã có hóa đơn 25/05 lấy hàng được</v>
      </c>
      <c r="AC64" s="2"/>
      <c r="AD64" s="146">
        <f>IFERROR(__xludf.DUMMYFUNCTION("""COMPUTED_VALUE"""),872.0)</f>
        <v>872</v>
      </c>
      <c r="AE64" s="2" t="str">
        <f>IFERROR(__xludf.DUMMYFUNCTION("""COMPUTED_VALUE"""),"đã bàn giao cho nhà máy 23/05")</f>
        <v>đã bàn giao cho nhà máy 23/05</v>
      </c>
      <c r="AF64" s="146" t="str">
        <f>IFERROR(__xludf.DUMMYFUNCTION("""COMPUTED_VALUE"""),"ATP11052602")</f>
        <v>ATP11052602</v>
      </c>
      <c r="AG64" s="143">
        <f>IFERROR(__xludf.DUMMYFUNCTION("""COMPUTED_VALUE"""),46164.0)</f>
        <v>46164</v>
      </c>
      <c r="AH64" s="146">
        <f>IFERROR(__xludf.DUMMYFUNCTION("""COMPUTED_VALUE"""),872.0)</f>
        <v>872</v>
      </c>
      <c r="AI64" s="2"/>
      <c r="AJ64" s="2"/>
      <c r="AK64" s="2"/>
      <c r="AL64" s="2"/>
      <c r="AM64" s="142">
        <f>IFERROR(__xludf.DUMMYFUNCTION("""COMPUTED_VALUE"""),869.0)</f>
        <v>869</v>
      </c>
      <c r="AN64" s="2"/>
      <c r="AO64" s="2"/>
      <c r="AP64" s="2"/>
      <c r="AQ64" s="2"/>
      <c r="AR64" s="2" t="str">
        <f>IFERROR(__xludf.DUMMYFUNCTION("""COMPUTED_VALUE"""),"401225 (7 thùng + 9 chai + 1 mẫu)
350526 (14 thùng + 10 chai + 2 mẫu)")</f>
        <v>401225 (7 thùng + 9 chai + 1 mẫu)
350526 (14 thùng + 10 chai + 2 mẫu)</v>
      </c>
      <c r="AS64" s="143">
        <f>IFERROR(__xludf.DUMMYFUNCTION("""COMPUTED_VALUE"""),46163.0)</f>
        <v>46163</v>
      </c>
      <c r="AT64" s="2"/>
      <c r="AU64" s="2"/>
      <c r="AV64" s="2"/>
      <c r="AW64" s="2"/>
      <c r="AX64" s="2"/>
      <c r="AY64" s="2"/>
      <c r="AZ64" s="2" t="str">
        <f>IFERROR(__xludf.DUMMYFUNCTION("""COMPUTED_VALUE"""),"#REF!")</f>
        <v>#REF!</v>
      </c>
      <c r="BA64" s="2" t="str">
        <f>IFERROR(__xludf.DUMMYFUNCTION("""COMPUTED_VALUE"""),"Đủ điều kiện")</f>
        <v>Đủ điều kiện</v>
      </c>
      <c r="BB64" s="2" t="str">
        <f>IFERROR(__xludf.DUMMYFUNCTION("""COMPUTED_VALUE"""),"Duyệt")</f>
        <v>Duyệt</v>
      </c>
      <c r="BC64" s="148">
        <f>IFERROR(__xludf.DUMMYFUNCTION("""COMPUTED_VALUE"""),46154.0)</f>
        <v>46154</v>
      </c>
      <c r="BD64" s="2" t="str">
        <f>IFERROR(__xludf.DUMMYFUNCTION("""COMPUTED_VALUE"""),"Duyệt")</f>
        <v>Duyệt</v>
      </c>
      <c r="BE64" s="2" t="str">
        <f>IFERROR(__xludf.DUMMYFUNCTION("""COMPUTED_VALUE"""),"xlg 13/05
14/05")</f>
        <v>xlg 13/05
14/05</v>
      </c>
      <c r="BF64" s="2" t="str">
        <f>IFERROR(__xludf.DUMMYFUNCTION("""COMPUTED_VALUE"""),"Đã xử lí giá")</f>
        <v>Đã xử lí giá</v>
      </c>
      <c r="BG64" s="2" t="str">
        <f>IFERROR(__xludf.DUMMYFUNCTION("""COMPUTED_VALUE"""),"A07290925 Nước nâu vàng 68,000đ 12/5/2026")</f>
        <v>A07290925 Nước nâu vàng 68,000đ 12/5/2026</v>
      </c>
      <c r="BH64" s="2"/>
      <c r="BI64" s="2"/>
      <c r="BJ64" s="2"/>
      <c r="BK64" s="2"/>
      <c r="BL64" s="2"/>
      <c r="BM64" s="2"/>
      <c r="BN64" s="2"/>
      <c r="BO64" s="2"/>
      <c r="BP64" s="2"/>
      <c r="BQ64" s="2"/>
    </row>
    <row r="65">
      <c r="A65" s="2">
        <f>IFERROR(__xludf.DUMMYFUNCTION("""COMPUTED_VALUE"""),62.0)</f>
        <v>62</v>
      </c>
      <c r="B65" s="2" t="str">
        <f>IFERROR(__xludf.DUMMYFUNCTION("""COMPUTED_VALUE"""),"Yamato")</f>
        <v>Yamato</v>
      </c>
      <c r="C65" s="2" t="str">
        <f>IFERROR(__xludf.DUMMYFUNCTION("""COMPUTED_VALUE"""),"ATP11052605")</f>
        <v>ATP11052605</v>
      </c>
      <c r="D65" s="39">
        <f>IFERROR(__xludf.DUMMYFUNCTION("""COMPUTED_VALUE"""),46153.0)</f>
        <v>46153</v>
      </c>
      <c r="E65" s="2" t="str">
        <f>IFERROR(__xludf.DUMMYFUNCTION("""COMPUTED_VALUE"""),"Đã duyệt")</f>
        <v>Đã duyệt</v>
      </c>
      <c r="F65" s="2" t="str">
        <f>IFERROR(__xludf.DUMMYFUNCTION("""COMPUTED_VALUE"""),"ABA")</f>
        <v>ABA</v>
      </c>
      <c r="G65" s="2" t="str">
        <f>IFERROR(__xludf.DUMMYFUNCTION("""COMPUTED_VALUE"""),"HH4329")</f>
        <v>HH4329</v>
      </c>
      <c r="H65" s="2" t="str">
        <f>IFERROR(__xludf.DUMMYFUNCTION("""COMPUTED_VALUE"""),"GC - V - 4329 - Agritech - AGRI KILL (Dạng cốm màu trắng ngà) - 100gr - 100")</f>
        <v>GC - V - 4329 - Agritech - AGRI KILL (Dạng cốm màu trắng ngà) - 100gr - 100</v>
      </c>
      <c r="I65" s="2" t="str">
        <f>IFERROR(__xludf.DUMMYFUNCTION("""COMPUTED_VALUE"""),"Thuốc trừ sâu")</f>
        <v>Thuốc trừ sâu</v>
      </c>
      <c r="J65" s="142" t="str">
        <f>IFERROR(__xludf.DUMMYFUNCTION("""COMPUTED_VALUE"""),"NOMIDA 700WG")</f>
        <v>NOMIDA 700WG</v>
      </c>
      <c r="K65" s="2" t="str">
        <f>IFERROR(__xludf.DUMMYFUNCTION("""COMPUTED_VALUE"""),"Dòng V1")</f>
        <v>Dòng V1</v>
      </c>
      <c r="L65" s="2" t="str">
        <f>IFERROR(__xludf.DUMMYFUNCTION("""COMPUTED_VALUE"""),"Dạng cốm màu trắng ngà")</f>
        <v>Dạng cốm màu trắng ngà</v>
      </c>
      <c r="M65" s="2" t="str">
        <f>IFERROR(__xludf.DUMMYFUNCTION("""COMPUTED_VALUE"""),"Túi/Gói")</f>
        <v>Túi/Gói</v>
      </c>
      <c r="N65" s="142">
        <f>IFERROR(__xludf.DUMMYFUNCTION("""COMPUTED_VALUE"""),100.0)</f>
        <v>100</v>
      </c>
      <c r="O65" s="142">
        <f>IFERROR(__xludf.DUMMYFUNCTION("""COMPUTED_VALUE"""),10.0)</f>
        <v>10</v>
      </c>
      <c r="P65" s="142">
        <f>IFERROR(__xludf.DUMMYFUNCTION("""COMPUTED_VALUE"""),1000.0)</f>
        <v>1000</v>
      </c>
      <c r="Q65" s="143">
        <f>IFERROR(__xludf.DUMMYFUNCTION("""COMPUTED_VALUE"""),46167.0)</f>
        <v>46167</v>
      </c>
      <c r="R65" s="2"/>
      <c r="S65" s="142" t="str">
        <f>IFERROR(__xludf.DUMMYFUNCTION("""COMPUTED_VALUE"""),"lấy chẳn thùng
đóng hết túi tròn thùng")</f>
        <v>lấy chẳn thùng
đóng hết túi tròn thùng</v>
      </c>
      <c r="T65" s="2"/>
      <c r="U65" s="2"/>
      <c r="V65" s="2"/>
      <c r="W65" s="2" t="str">
        <f>IFERROR(__xludf.DUMMYFUNCTION("""COMPUTED_VALUE"""),"AGRITECH - Giá bán 37500 - Ngày dự kiến thu tiền:  - Dự kiến ngày ra hết hàng: ")</f>
        <v>AGRITECH - Giá bán 37500 - Ngày dự kiến thu tiền:  - Dự kiến ngày ra hết hàng: </v>
      </c>
      <c r="X65" s="2"/>
      <c r="Y65" s="2" t="str">
        <f>IFERROR(__xludf.DUMMYFUNCTION("""COMPUTED_VALUE"""),"Yamato")</f>
        <v>Yamato</v>
      </c>
      <c r="Z65" s="2" t="str">
        <f>IFERROR(__xludf.DUMMYFUNCTION("""COMPUTED_VALUE"""),"Đã có lịch SX")</f>
        <v>Đã có lịch SX</v>
      </c>
      <c r="AA65" s="2"/>
      <c r="AB65" s="2" t="str">
        <f>IFERROR(__xludf.DUMMYFUNCTION("""COMPUTED_VALUE"""),"12/05 BTP tồn ở HL, YMT chưa đủ BTP
18/05 KD chốt chuyển nl
19/5 btp xuát kho HL
20/05 BTP nhập kho YMT- chưa được duyệt PL
21/05 đã gửi đơn")</f>
        <v>12/05 BTP tồn ở HL, YMT chưa đủ BTP
18/05 KD chốt chuyển nl
19/5 btp xuát kho HL
20/05 BTP nhập kho YMT- chưa được duyệt PL
21/05 đã gửi đơn</v>
      </c>
      <c r="AC65" s="146">
        <f>IFERROR(__xludf.DUMMYFUNCTION("""COMPUTED_VALUE"""),1000.0)</f>
        <v>1000</v>
      </c>
      <c r="AD65" s="2"/>
      <c r="AE65" s="143">
        <f>IFERROR(__xludf.DUMMYFUNCTION("""COMPUTED_VALUE"""),46173.0)</f>
        <v>46173</v>
      </c>
      <c r="AF65" s="146" t="str">
        <f>IFERROR(__xludf.DUMMYFUNCTION("""COMPUTED_VALUE"""),"")</f>
        <v/>
      </c>
      <c r="AG65" s="2"/>
      <c r="AH65" s="2"/>
      <c r="AI65" s="2"/>
      <c r="AJ65" s="2"/>
      <c r="AK65" s="2"/>
      <c r="AL65" s="2"/>
      <c r="AM65" s="2"/>
      <c r="AN65" s="2"/>
      <c r="AO65" s="2"/>
      <c r="AP65" s="2"/>
      <c r="AQ65" s="2"/>
      <c r="AR65" s="2"/>
      <c r="AS65" s="2"/>
      <c r="AT65" s="2"/>
      <c r="AU65" s="2"/>
      <c r="AV65" s="2"/>
      <c r="AW65" s="2"/>
      <c r="AX65" s="2"/>
      <c r="AY65" s="2"/>
      <c r="AZ65" s="2"/>
      <c r="BA65" s="2" t="str">
        <f>IFERROR(__xludf.DUMMYFUNCTION("""COMPUTED_VALUE"""),"Đủ điều kiện")</f>
        <v>Đủ điều kiện</v>
      </c>
      <c r="BB65" s="2" t="str">
        <f>IFERROR(__xludf.DUMMYFUNCTION("""COMPUTED_VALUE"""),"Duyệt")</f>
        <v>Duyệt</v>
      </c>
      <c r="BC65" s="143">
        <f>IFERROR(__xludf.DUMMYFUNCTION("""COMPUTED_VALUE"""),46153.0)</f>
        <v>46153</v>
      </c>
      <c r="BD65" s="2" t="str">
        <f>IFERROR(__xludf.DUMMYFUNCTION("""COMPUTED_VALUE"""),"Duyệt")</f>
        <v>Duyệt</v>
      </c>
      <c r="BE65" s="143">
        <f>IFERROR(__xludf.DUMMYFUNCTION("""COMPUTED_VALUE"""),46162.0)</f>
        <v>46162</v>
      </c>
      <c r="BF65" s="2" t="str">
        <f>IFERROR(__xludf.DUMMYFUNCTION("""COMPUTED_VALUE"""),"Đã xử lí giá")</f>
        <v>Đã xử lí giá</v>
      </c>
      <c r="BG65" s="2" t="str">
        <f>IFERROR(__xludf.DUMMYFUNCTION("""COMPUTED_VALUE"""),"Dòng V1 Dạng cốm màu trắng ngà 33,800đ đơn hàng hết tồn kho Yamato còn tồn kho ncc Hà Long 12/5/2026
chuyển kho từ Hà Long qua Yamato 100kg 20/5/2026 BTP về cho đóng đơn")</f>
        <v>Dòng V1 Dạng cốm màu trắng ngà 33,800đ đơn hàng hết tồn kho Yamato còn tồn kho ncc Hà Long 12/5/2026
chuyển kho từ Hà Long qua Yamato 100kg 20/5/2026 BTP về cho đóng đơn</v>
      </c>
      <c r="BH65" s="2"/>
      <c r="BI65" s="2"/>
      <c r="BJ65" s="2"/>
      <c r="BK65" s="2"/>
      <c r="BL65" s="2"/>
      <c r="BM65" s="2"/>
      <c r="BN65" s="2"/>
      <c r="BO65" s="2"/>
      <c r="BP65" s="2"/>
      <c r="BQ65" s="2"/>
    </row>
    <row r="66">
      <c r="A66" s="2">
        <f>IFERROR(__xludf.DUMMYFUNCTION("""COMPUTED_VALUE"""),63.0)</f>
        <v>63</v>
      </c>
      <c r="B66" s="2" t="str">
        <f>IFERROR(__xludf.DUMMYFUNCTION("""COMPUTED_VALUE"""),"Dego Cần Thơ")</f>
        <v>Dego Cần Thơ</v>
      </c>
      <c r="C66" s="2" t="str">
        <f>IFERROR(__xludf.DUMMYFUNCTION("""COMPUTED_VALUE"""),"ATP11052607")</f>
        <v>ATP11052607</v>
      </c>
      <c r="D66" s="39">
        <f>IFERROR(__xludf.DUMMYFUNCTION("""COMPUTED_VALUE"""),46153.0)</f>
        <v>46153</v>
      </c>
      <c r="E66" s="2" t="str">
        <f>IFERROR(__xludf.DUMMYFUNCTION("""COMPUTED_VALUE"""),"Đã duyệt")</f>
        <v>Đã duyệt</v>
      </c>
      <c r="F66" s="2" t="str">
        <f>IFERROR(__xludf.DUMMYFUNCTION("""COMPUTED_VALUE"""),"ABA")</f>
        <v>ABA</v>
      </c>
      <c r="G66" s="2" t="str">
        <f>IFERROR(__xludf.DUMMYFUNCTION("""COMPUTED_VALUE"""),"HH5006")</f>
        <v>HH5006</v>
      </c>
      <c r="H66" s="2" t="str">
        <f>IFERROR(__xludf.DUMMYFUNCTION("""COMPUTED_VALUE"""),"GC - V - 5006 - Cty Sen Hồng - ROOT+ (Gel xanh dương) - 500ml - 40")</f>
        <v>GC - V - 5006 - Cty Sen Hồng - ROOT+ (Gel xanh dương) - 500ml - 40</v>
      </c>
      <c r="I66" s="2" t="str">
        <f>IFERROR(__xludf.DUMMYFUNCTION("""COMPUTED_VALUE"""),"Phân bón")</f>
        <v>Phân bón</v>
      </c>
      <c r="J66" s="142" t="str">
        <f>IFERROR(__xludf.DUMMYFUNCTION("""COMPUTED_VALUE"""),"Hỗn Hợp NP AGAMA-AP")</f>
        <v>Hỗn Hợp NP AGAMA-AP</v>
      </c>
      <c r="K66" s="2" t="str">
        <f>IFERROR(__xludf.DUMMYFUNCTION("""COMPUTED_VALUE"""),"A06091025")</f>
        <v>A06091025</v>
      </c>
      <c r="L66" s="2" t="str">
        <f>IFERROR(__xludf.DUMMYFUNCTION("""COMPUTED_VALUE"""),"Gel xanh dương")</f>
        <v>Gel xanh dương</v>
      </c>
      <c r="M66" s="2" t="str">
        <f>IFERROR(__xludf.DUMMYFUNCTION("""COMPUTED_VALUE"""),"Chai")</f>
        <v>Chai</v>
      </c>
      <c r="N66" s="142">
        <f>IFERROR(__xludf.DUMMYFUNCTION("""COMPUTED_VALUE"""),40.0)</f>
        <v>40</v>
      </c>
      <c r="O66" s="142">
        <f>IFERROR(__xludf.DUMMYFUNCTION("""COMPUTED_VALUE"""),10.0)</f>
        <v>10</v>
      </c>
      <c r="P66" s="142">
        <f>IFERROR(__xludf.DUMMYFUNCTION("""COMPUTED_VALUE"""),400.0)</f>
        <v>400</v>
      </c>
      <c r="Q66" s="143">
        <f>IFERROR(__xludf.DUMMYFUNCTION("""COMPUTED_VALUE"""),46162.0)</f>
        <v>46162</v>
      </c>
      <c r="R66" s="2"/>
      <c r="S66" s="142" t="str">
        <f>IFERROR(__xludf.DUMMYFUNCTION("""COMPUTED_VALUE"""),"lấy chẳn thùng")</f>
        <v>lấy chẳn thùng</v>
      </c>
      <c r="T66" s="2"/>
      <c r="U66" s="2"/>
      <c r="V66" s="2"/>
      <c r="W66" s="2" t="str">
        <f>IFERROR(__xludf.DUMMYFUNCTION("""COMPUTED_VALUE"""),"SEN HỒNG - Giá bán 42000 - Ngày dự kiến thu tiền:  - Dự kiến ngày ra hết hàng: ")</f>
        <v>SEN HỒNG - Giá bán 42000 - Ngày dự kiến thu tiền:  - Dự kiến ngày ra hết hàng: </v>
      </c>
      <c r="X66" s="2"/>
      <c r="Y66" s="2" t="str">
        <f>IFERROR(__xludf.DUMMYFUNCTION("""COMPUTED_VALUE"""),"Dego Cần Thơ")</f>
        <v>Dego Cần Thơ</v>
      </c>
      <c r="Z66" s="2" t="str">
        <f>IFERROR(__xludf.DUMMYFUNCTION("""COMPUTED_VALUE"""),"Đã có lịch SX")</f>
        <v>Đã có lịch SX</v>
      </c>
      <c r="AA66" s="2"/>
      <c r="AB66" s="2"/>
      <c r="AC66" s="146">
        <f>IFERROR(__xludf.DUMMYFUNCTION("""COMPUTED_VALUE"""),400.0)</f>
        <v>400</v>
      </c>
      <c r="AD66" s="2"/>
      <c r="AE66" s="2" t="str">
        <f>IFERROR(__xludf.DUMMYFUNCTION("""COMPUTED_VALUE"""),"đã bàn giao cho nhà máy 23/05")</f>
        <v>đã bàn giao cho nhà máy 23/05</v>
      </c>
      <c r="AF66" s="146" t="str">
        <f>IFERROR(__xludf.DUMMYFUNCTION("""COMPUTED_VALUE"""),"")</f>
        <v/>
      </c>
      <c r="AG66" s="2"/>
      <c r="AH66" s="2"/>
      <c r="AI66" s="2"/>
      <c r="AJ66" s="2"/>
      <c r="AK66" s="2"/>
      <c r="AL66" s="2"/>
      <c r="AM66" s="2"/>
      <c r="AN66" s="2"/>
      <c r="AO66" s="2"/>
      <c r="AP66" s="2"/>
      <c r="AQ66" s="2"/>
      <c r="AR66" s="2"/>
      <c r="AS66" s="2"/>
      <c r="AT66" s="2"/>
      <c r="AU66" s="2"/>
      <c r="AV66" s="2"/>
      <c r="AW66" s="2"/>
      <c r="AX66" s="2"/>
      <c r="AY66" s="2"/>
      <c r="AZ66" s="2" t="str">
        <f>IFERROR(__xludf.DUMMYFUNCTION("""COMPUTED_VALUE"""),"#REF!")</f>
        <v>#REF!</v>
      </c>
      <c r="BA66" s="2" t="str">
        <f>IFERROR(__xludf.DUMMYFUNCTION("""COMPUTED_VALUE"""),"Đủ điều kiện")</f>
        <v>Đủ điều kiện</v>
      </c>
      <c r="BB66" s="2" t="str">
        <f>IFERROR(__xludf.DUMMYFUNCTION("""COMPUTED_VALUE"""),"Duyệt")</f>
        <v>Duyệt</v>
      </c>
      <c r="BC66" s="148">
        <f>IFERROR(__xludf.DUMMYFUNCTION("""COMPUTED_VALUE"""),46154.0)</f>
        <v>46154</v>
      </c>
      <c r="BD66" s="2" t="str">
        <f>IFERROR(__xludf.DUMMYFUNCTION("""COMPUTED_VALUE"""),"Duyệt")</f>
        <v>Duyệt</v>
      </c>
      <c r="BE66" s="2" t="str">
        <f>IFERROR(__xludf.DUMMYFUNCTION("""COMPUTED_VALUE"""),"xlg 13/05
14/05")</f>
        <v>xlg 13/05
14/05</v>
      </c>
      <c r="BF66" s="2" t="str">
        <f>IFERROR(__xludf.DUMMYFUNCTION("""COMPUTED_VALUE"""),"Đã xử lí giá")</f>
        <v>Đã xử lí giá</v>
      </c>
      <c r="BG66" s="2" t="str">
        <f>IFERROR(__xludf.DUMMYFUNCTION("""COMPUTED_VALUE"""),"A06091025 Gel xanh dương 42,000đ 12/5//2026")</f>
        <v>A06091025 Gel xanh dương 42,000đ 12/5//2026</v>
      </c>
      <c r="BH66" s="2"/>
      <c r="BI66" s="2"/>
      <c r="BJ66" s="2"/>
      <c r="BK66" s="2"/>
      <c r="BL66" s="2"/>
      <c r="BM66" s="2"/>
      <c r="BN66" s="2"/>
      <c r="BO66" s="2"/>
      <c r="BP66" s="2"/>
      <c r="BQ66" s="2"/>
    </row>
    <row r="67">
      <c r="A67" s="2">
        <f>IFERROR(__xludf.DUMMYFUNCTION("""COMPUTED_VALUE"""),64.0)</f>
        <v>64</v>
      </c>
      <c r="B67" s="2" t="str">
        <f>IFERROR(__xludf.DUMMYFUNCTION("""COMPUTED_VALUE"""),"Dego Cần Thơ")</f>
        <v>Dego Cần Thơ</v>
      </c>
      <c r="C67" s="2" t="str">
        <f>IFERROR(__xludf.DUMMYFUNCTION("""COMPUTED_VALUE"""),"ATP12052601")</f>
        <v>ATP12052601</v>
      </c>
      <c r="D67" s="39">
        <f>IFERROR(__xludf.DUMMYFUNCTION("""COMPUTED_VALUE"""),46154.0)</f>
        <v>46154</v>
      </c>
      <c r="E67" s="2" t="str">
        <f>IFERROR(__xludf.DUMMYFUNCTION("""COMPUTED_VALUE"""),"Đã duyệt")</f>
        <v>Đã duyệt</v>
      </c>
      <c r="F67" s="2" t="str">
        <f>IFERROR(__xludf.DUMMYFUNCTION("""COMPUTED_VALUE"""),"ABA")</f>
        <v>ABA</v>
      </c>
      <c r="G67" s="2" t="str">
        <f>IFERROR(__xludf.DUMMYFUNCTION("""COMPUTED_VALUE"""),"HH4876")</f>
        <v>HH4876</v>
      </c>
      <c r="H67" s="2" t="str">
        <f>IFERROR(__xludf.DUMMYFUNCTION("""COMPUTED_VALUE"""),"GC - V - 4876 - CTY AGRITECH - MEGA FRUIT (Nước nâu đen) - 20L - 1")</f>
        <v>GC - V - 4876 - CTY AGRITECH - MEGA FRUIT (Nước nâu đen) - 20L - 1</v>
      </c>
      <c r="I67" s="2" t="str">
        <f>IFERROR(__xludf.DUMMYFUNCTION("""COMPUTED_VALUE"""),"Phân bón")</f>
        <v>Phân bón</v>
      </c>
      <c r="J67" s="142" t="str">
        <f>IFERROR(__xludf.DUMMYFUNCTION("""COMPUTED_VALUE"""),"Hữu Cơ Organic ĐGP 01")</f>
        <v>Hữu Cơ Organic ĐGP 01</v>
      </c>
      <c r="K67" s="2" t="str">
        <f>IFERROR(__xludf.DUMMYFUNCTION("""COMPUTED_VALUE"""),"A05181225- 01")</f>
        <v>A05181225- 01</v>
      </c>
      <c r="L67" s="2" t="str">
        <f>IFERROR(__xludf.DUMMYFUNCTION("""COMPUTED_VALUE"""),"Nước nâu đen")</f>
        <v>Nước nâu đen</v>
      </c>
      <c r="M67" s="2" t="str">
        <f>IFERROR(__xludf.DUMMYFUNCTION("""COMPUTED_VALUE"""),"Xô")</f>
        <v>Xô</v>
      </c>
      <c r="N67" s="142">
        <f>IFERROR(__xludf.DUMMYFUNCTION("""COMPUTED_VALUE"""),1.0)</f>
        <v>1</v>
      </c>
      <c r="O67" s="142">
        <f>IFERROR(__xludf.DUMMYFUNCTION("""COMPUTED_VALUE"""),20.0)</f>
        <v>20</v>
      </c>
      <c r="P67" s="142">
        <f>IFERROR(__xludf.DUMMYFUNCTION("""COMPUTED_VALUE"""),20.0)</f>
        <v>20</v>
      </c>
      <c r="Q67" s="143">
        <f>IFERROR(__xludf.DUMMYFUNCTION("""COMPUTED_VALUE"""),46162.0)</f>
        <v>46162</v>
      </c>
      <c r="R67" s="2"/>
      <c r="S67" s="142" t="str">
        <f>IFERROR(__xludf.DUMMYFUNCTION("""COMPUTED_VALUE"""),"lấy chẳn thùng")</f>
        <v>lấy chẳn thùng</v>
      </c>
      <c r="T67" s="2"/>
      <c r="U67" s="2"/>
      <c r="V67" s="2"/>
      <c r="W67" s="2" t="str">
        <f>IFERROR(__xludf.DUMMYFUNCTION("""COMPUTED_VALUE"""),"AGRITECH - Giá bán 420.000,00 đ - Ngày dự kiến thu tiền:  - Dự kiến ngày ra hết hàng: ")</f>
        <v>AGRITECH - Giá bán 420.000,00 đ - Ngày dự kiến thu tiền:  - Dự kiến ngày ra hết hàng: </v>
      </c>
      <c r="X67" s="2"/>
      <c r="Y67" s="2" t="str">
        <f>IFERROR(__xludf.DUMMYFUNCTION("""COMPUTED_VALUE"""),"Dego Cần Thơ")</f>
        <v>Dego Cần Thơ</v>
      </c>
      <c r="Z67" s="2" t="str">
        <f>IFERROR(__xludf.DUMMYFUNCTION("""COMPUTED_VALUE"""),"Hàng sẵn kho")</f>
        <v>Hàng sẵn kho</v>
      </c>
      <c r="AA67" s="2"/>
      <c r="AB67" s="2" t="str">
        <f>IFERROR(__xludf.DUMMYFUNCTION("""COMPUTED_VALUE"""),"đã có hóa đơn 25/05 lấy hàng được")</f>
        <v>đã có hóa đơn 25/05 lấy hàng được</v>
      </c>
      <c r="AC67" s="2"/>
      <c r="AD67" s="2">
        <f>IFERROR(__xludf.DUMMYFUNCTION("""COMPUTED_VALUE"""),19.0)</f>
        <v>19</v>
      </c>
      <c r="AE67" s="2" t="str">
        <f>IFERROR(__xludf.DUMMYFUNCTION("""COMPUTED_VALUE"""),"đã bàn giao cho nhà máy 23/05")</f>
        <v>đã bàn giao cho nhà máy 23/05</v>
      </c>
      <c r="AF67" s="146" t="str">
        <f>IFERROR(__xludf.DUMMYFUNCTION("""COMPUTED_VALUE"""),"ATP12052601")</f>
        <v>ATP12052601</v>
      </c>
      <c r="AG67" s="143">
        <f>IFERROR(__xludf.DUMMYFUNCTION("""COMPUTED_VALUE"""),46163.0)</f>
        <v>46163</v>
      </c>
      <c r="AH67" s="2">
        <f>IFERROR(__xludf.DUMMYFUNCTION("""COMPUTED_VALUE"""),19.0)</f>
        <v>19</v>
      </c>
      <c r="AI67" s="2"/>
      <c r="AJ67" s="2"/>
      <c r="AK67" s="2"/>
      <c r="AL67" s="2"/>
      <c r="AM67" s="142">
        <f>IFERROR(__xludf.DUMMYFUNCTION("""COMPUTED_VALUE"""),19.0)</f>
        <v>19</v>
      </c>
      <c r="AN67" s="2"/>
      <c r="AO67" s="2"/>
      <c r="AP67" s="2"/>
      <c r="AQ67" s="2"/>
      <c r="AR67" s="2">
        <f>IFERROR(__xludf.DUMMYFUNCTION("""COMPUTED_VALUE"""),390526.0)</f>
        <v>390526</v>
      </c>
      <c r="AS67" s="143">
        <f>IFERROR(__xludf.DUMMYFUNCTION("""COMPUTED_VALUE"""),46163.0)</f>
        <v>46163</v>
      </c>
      <c r="AT67" s="2"/>
      <c r="AU67" s="2"/>
      <c r="AV67" s="2"/>
      <c r="AW67" s="2"/>
      <c r="AX67" s="2"/>
      <c r="AY67" s="2"/>
      <c r="AZ67" s="2" t="str">
        <f>IFERROR(__xludf.DUMMYFUNCTION("""COMPUTED_VALUE"""),"#REF!")</f>
        <v>#REF!</v>
      </c>
      <c r="BA67" s="2" t="str">
        <f>IFERROR(__xludf.DUMMYFUNCTION("""COMPUTED_VALUE"""),"Đủ điều kiện")</f>
        <v>Đủ điều kiện</v>
      </c>
      <c r="BB67" s="2" t="str">
        <f>IFERROR(__xludf.DUMMYFUNCTION("""COMPUTED_VALUE"""),"Duyệt")</f>
        <v>Duyệt</v>
      </c>
      <c r="BC67" s="148">
        <f>IFERROR(__xludf.DUMMYFUNCTION("""COMPUTED_VALUE"""),46156.0)</f>
        <v>46156</v>
      </c>
      <c r="BD67" s="2" t="str">
        <f>IFERROR(__xludf.DUMMYFUNCTION("""COMPUTED_VALUE"""),"Duyệt")</f>
        <v>Duyệt</v>
      </c>
      <c r="BE67" s="2" t="str">
        <f>IFERROR(__xludf.DUMMYFUNCTION("""COMPUTED_VALUE"""),"xlg 14/05")</f>
        <v>xlg 14/05</v>
      </c>
      <c r="BF67" s="2" t="str">
        <f>IFERROR(__xludf.DUMMYFUNCTION("""COMPUTED_VALUE"""),"Đã xử lí giá")</f>
        <v>Đã xử lí giá</v>
      </c>
      <c r="BG67" s="2" t="str">
        <f>IFERROR(__xludf.DUMMYFUNCTION("""COMPUTED_VALUE"""),"A05181225- 01 Nước nâu đen 420,000đ 12/5/2026")</f>
        <v>A05181225- 01 Nước nâu đen 420,000đ 12/5/2026</v>
      </c>
      <c r="BH67" s="2"/>
      <c r="BI67" s="2"/>
      <c r="BJ67" s="2"/>
      <c r="BK67" s="2"/>
      <c r="BL67" s="2"/>
      <c r="BM67" s="2"/>
      <c r="BN67" s="2"/>
      <c r="BO67" s="2"/>
      <c r="BP67" s="2"/>
      <c r="BQ67" s="2"/>
    </row>
    <row r="68">
      <c r="A68" s="2">
        <f>IFERROR(__xludf.DUMMYFUNCTION("""COMPUTED_VALUE"""),65.0)</f>
        <v>65</v>
      </c>
      <c r="B68" s="2" t="str">
        <f>IFERROR(__xludf.DUMMYFUNCTION("""COMPUTED_VALUE"""),"Hà Long")</f>
        <v>Hà Long</v>
      </c>
      <c r="C68" s="2" t="str">
        <f>IFERROR(__xludf.DUMMYFUNCTION("""COMPUTED_VALUE"""),"ATP12052602")</f>
        <v>ATP12052602</v>
      </c>
      <c r="D68" s="39">
        <f>IFERROR(__xludf.DUMMYFUNCTION("""COMPUTED_VALUE"""),46154.0)</f>
        <v>46154</v>
      </c>
      <c r="E68" s="2" t="str">
        <f>IFERROR(__xludf.DUMMYFUNCTION("""COMPUTED_VALUE"""),"Đã duyệt")</f>
        <v>Đã duyệt</v>
      </c>
      <c r="F68" s="2" t="str">
        <f>IFERROR(__xludf.DUMMYFUNCTION("""COMPUTED_VALUE"""),"ABA")</f>
        <v>ABA</v>
      </c>
      <c r="G68" s="2" t="str">
        <f>IFERROR(__xludf.DUMMYFUNCTION("""COMPUTED_VALUE"""),"HH5012")</f>
        <v>HH5012</v>
      </c>
      <c r="H68" s="2" t="str">
        <f>IFERROR(__xludf.DUMMYFUNCTION("""COMPUTED_VALUE"""),"GC - V - 5012 - CTY THIÊN DI - NOFARA 35WG (Dạng cốm màu trắng ngà) - 100gr - 100")</f>
        <v>GC - V - 5012 - CTY THIÊN DI - NOFARA 35WG (Dạng cốm màu trắng ngà) - 100gr - 100</v>
      </c>
      <c r="I68" s="2" t="str">
        <f>IFERROR(__xludf.DUMMYFUNCTION("""COMPUTED_VALUE"""),"Thuốc trừ sâu")</f>
        <v>Thuốc trừ sâu</v>
      </c>
      <c r="J68" s="142" t="str">
        <f>IFERROR(__xludf.DUMMYFUNCTION("""COMPUTED_VALUE"""),"NOFARA 35WG")</f>
        <v>NOFARA 35WG</v>
      </c>
      <c r="K68" s="2" t="str">
        <f>IFERROR(__xludf.DUMMYFUNCTION("""COMPUTED_VALUE"""),"Dòng V1")</f>
        <v>Dòng V1</v>
      </c>
      <c r="L68" s="2" t="str">
        <f>IFERROR(__xludf.DUMMYFUNCTION("""COMPUTED_VALUE"""),"Dạng cốm màu trắng ngà")</f>
        <v>Dạng cốm màu trắng ngà</v>
      </c>
      <c r="M68" s="2" t="str">
        <f>IFERROR(__xludf.DUMMYFUNCTION("""COMPUTED_VALUE"""),"Túi/Gói")</f>
        <v>Túi/Gói</v>
      </c>
      <c r="N68" s="142">
        <f>IFERROR(__xludf.DUMMYFUNCTION("""COMPUTED_VALUE"""),100.0)</f>
        <v>100</v>
      </c>
      <c r="O68" s="142">
        <f>IFERROR(__xludf.DUMMYFUNCTION("""COMPUTED_VALUE"""),20.0)</f>
        <v>20</v>
      </c>
      <c r="P68" s="142">
        <f>IFERROR(__xludf.DUMMYFUNCTION("""COMPUTED_VALUE"""),2000.0)</f>
        <v>2000</v>
      </c>
      <c r="Q68" s="143">
        <f>IFERROR(__xludf.DUMMYFUNCTION("""COMPUTED_VALUE"""),46169.0)</f>
        <v>46169</v>
      </c>
      <c r="R68" s="2"/>
      <c r="S68" s="142" t="str">
        <f>IFERROR(__xludf.DUMMYFUNCTION("""COMPUTED_VALUE"""),"lấy chẳn thùng")</f>
        <v>lấy chẳn thùng</v>
      </c>
      <c r="T68" s="2"/>
      <c r="U68" s="2"/>
      <c r="V68" s="2"/>
      <c r="W68" s="2" t="str">
        <f>IFERROR(__xludf.DUMMYFUNCTION("""COMPUTED_VALUE"""),"THIÊN DI - Giá bán 17900 - Ngày dự kiến thu tiền:  - Dự kiến ngày ra hết hàng: ")</f>
        <v>THIÊN DI - Giá bán 17900 - Ngày dự kiến thu tiền:  - Dự kiến ngày ra hết hàng: </v>
      </c>
      <c r="X68" s="2"/>
      <c r="Y68" s="2" t="str">
        <f>IFERROR(__xludf.DUMMYFUNCTION("""COMPUTED_VALUE"""),"Hà Long")</f>
        <v>Hà Long</v>
      </c>
      <c r="Z68" s="2" t="str">
        <f>IFERROR(__xludf.DUMMYFUNCTION("""COMPUTED_VALUE"""),"Hàng sẵn kho")</f>
        <v>Hàng sẵn kho</v>
      </c>
      <c r="AA68" s="39">
        <f>IFERROR(__xludf.DUMMYFUNCTION("""COMPUTED_VALUE"""),46167.0)</f>
        <v>46167</v>
      </c>
      <c r="AB68" s="2" t="str">
        <f>IFERROR(__xludf.DUMMYFUNCTION("""COMPUTED_VALUE"""),"14/05 thiếu túi- DK 24/05 có túi")</f>
        <v>14/05 thiếu túi- DK 24/05 có túi</v>
      </c>
      <c r="AC68" s="146">
        <f>IFERROR(__xludf.DUMMYFUNCTION("""COMPUTED_VALUE"""),2000.0)</f>
        <v>2000</v>
      </c>
      <c r="AD68" s="2"/>
      <c r="AE68" s="143">
        <f>IFERROR(__xludf.DUMMYFUNCTION("""COMPUTED_VALUE"""),46176.0)</f>
        <v>46176</v>
      </c>
      <c r="AF68" s="146" t="str">
        <f>IFERROR(__xludf.DUMMYFUNCTION("""COMPUTED_VALUE"""),"Đủ điều kiện nhận hàng")</f>
        <v>Đủ điều kiện nhận hàng</v>
      </c>
      <c r="AG68" s="143">
        <f>IFERROR(__xludf.DUMMYFUNCTION("""COMPUTED_VALUE"""),46176.0)</f>
        <v>46176</v>
      </c>
      <c r="AH68" s="146" t="str">
        <f>IFERROR(__xludf.DUMMYFUNCTION("""COMPUTED_VALUE"""),"2001")</f>
        <v>2001</v>
      </c>
      <c r="AI68" s="2"/>
      <c r="AJ68" s="2"/>
      <c r="AK68" s="2"/>
      <c r="AL68" s="2"/>
      <c r="AM68" s="146" t="str">
        <f>IFERROR(__xludf.DUMMYFUNCTION("""COMPUTED_VALUE"""),"2001")</f>
        <v>2001</v>
      </c>
      <c r="AN68" s="2"/>
      <c r="AO68" s="2"/>
      <c r="AP68" s="2"/>
      <c r="AQ68" s="2"/>
      <c r="AR68" s="2"/>
      <c r="AS68" s="2"/>
      <c r="AT68" s="2"/>
      <c r="AU68" s="2"/>
      <c r="AV68" s="2"/>
      <c r="AW68" s="2"/>
      <c r="AX68" s="2"/>
      <c r="AY68" s="2"/>
      <c r="AZ68" s="2"/>
      <c r="BA68" s="2" t="str">
        <f>IFERROR(__xludf.DUMMYFUNCTION("""COMPUTED_VALUE"""),"Đủ điều kiện")</f>
        <v>Đủ điều kiện</v>
      </c>
      <c r="BB68" s="2" t="str">
        <f>IFERROR(__xludf.DUMMYFUNCTION("""COMPUTED_VALUE"""),"Duyệt")</f>
        <v>Duyệt</v>
      </c>
      <c r="BC68" s="143">
        <f>IFERROR(__xludf.DUMMYFUNCTION("""COMPUTED_VALUE"""),46154.0)</f>
        <v>46154</v>
      </c>
      <c r="BD68" s="2" t="str">
        <f>IFERROR(__xludf.DUMMYFUNCTION("""COMPUTED_VALUE"""),"Duyệt")</f>
        <v>Duyệt</v>
      </c>
      <c r="BE68" s="143">
        <f>IFERROR(__xludf.DUMMYFUNCTION("""COMPUTED_VALUE"""),46168.0)</f>
        <v>46168</v>
      </c>
      <c r="BF68" s="2" t="str">
        <f>IFERROR(__xludf.DUMMYFUNCTION("""COMPUTED_VALUE"""),"Đã xử lí giá")</f>
        <v>Đã xử lí giá</v>
      </c>
      <c r="BG68" s="2" t="str">
        <f>IFERROR(__xludf.DUMMYFUNCTION("""COMPUTED_VALUE"""),"Dòng V1 Dạng cốm màu trắng ngà 17,900đ 12/5/2026")</f>
        <v>Dòng V1 Dạng cốm màu trắng ngà 17,900đ 12/5/2026</v>
      </c>
      <c r="BH68" s="2"/>
      <c r="BI68" s="2"/>
      <c r="BJ68" s="2"/>
      <c r="BK68" s="2"/>
      <c r="BL68" s="2"/>
      <c r="BM68" s="2"/>
      <c r="BN68" s="2"/>
      <c r="BO68" s="2"/>
      <c r="BP68" s="2"/>
      <c r="BQ68" s="2"/>
    </row>
    <row r="69">
      <c r="A69" s="2">
        <f>IFERROR(__xludf.DUMMYFUNCTION("""COMPUTED_VALUE"""),66.0)</f>
        <v>66</v>
      </c>
      <c r="B69" s="2" t="str">
        <f>IFERROR(__xludf.DUMMYFUNCTION("""COMPUTED_VALUE"""),"Dego Cần Thơ")</f>
        <v>Dego Cần Thơ</v>
      </c>
      <c r="C69" s="2" t="str">
        <f>IFERROR(__xludf.DUMMYFUNCTION("""COMPUTED_VALUE"""),"ATP12052603")</f>
        <v>ATP12052603</v>
      </c>
      <c r="D69" s="39">
        <f>IFERROR(__xludf.DUMMYFUNCTION("""COMPUTED_VALUE"""),46154.0)</f>
        <v>46154</v>
      </c>
      <c r="E69" s="2" t="str">
        <f>IFERROR(__xludf.DUMMYFUNCTION("""COMPUTED_VALUE"""),"Đã duyệt")</f>
        <v>Đã duyệt</v>
      </c>
      <c r="F69" s="2" t="str">
        <f>IFERROR(__xludf.DUMMYFUNCTION("""COMPUTED_VALUE"""),"ABA")</f>
        <v>ABA</v>
      </c>
      <c r="G69" s="2" t="str">
        <f>IFERROR(__xludf.DUMMYFUNCTION("""COMPUTED_VALUE"""),"HH4642")</f>
        <v>HH4642</v>
      </c>
      <c r="H69" s="2" t="str">
        <f>IFERROR(__xludf.DUMMYFUNCTION("""COMPUTED_VALUE"""),"GC - V - 4642 - CTY HÓA NÔNG ĐẤT VIỆT - ĐẤT VIỆT BIOGREEN (Nước nâu đen) - 20 lít - 1")</f>
        <v>GC - V - 4642 - CTY HÓA NÔNG ĐẤT VIỆT - ĐẤT VIỆT BIOGREEN (Nước nâu đen) - 20 lít - 1</v>
      </c>
      <c r="I69" s="2" t="str">
        <f>IFERROR(__xludf.DUMMYFUNCTION("""COMPUTED_VALUE"""),"Phân bón")</f>
        <v>Phân bón</v>
      </c>
      <c r="J69" s="142" t="str">
        <f>IFERROR(__xludf.DUMMYFUNCTION("""COMPUTED_VALUE"""),"Hữu Cơ Organic ĐGP 01")</f>
        <v>Hữu Cơ Organic ĐGP 01</v>
      </c>
      <c r="K69" s="2" t="str">
        <f>IFERROR(__xludf.DUMMYFUNCTION("""COMPUTED_VALUE"""),"A05181225- 01")</f>
        <v>A05181225- 01</v>
      </c>
      <c r="L69" s="2" t="str">
        <f>IFERROR(__xludf.DUMMYFUNCTION("""COMPUTED_VALUE"""),"Nước nâu đen")</f>
        <v>Nước nâu đen</v>
      </c>
      <c r="M69" s="2" t="str">
        <f>IFERROR(__xludf.DUMMYFUNCTION("""COMPUTED_VALUE"""),"Xô")</f>
        <v>Xô</v>
      </c>
      <c r="N69" s="142">
        <f>IFERROR(__xludf.DUMMYFUNCTION("""COMPUTED_VALUE"""),1.0)</f>
        <v>1</v>
      </c>
      <c r="O69" s="142">
        <f>IFERROR(__xludf.DUMMYFUNCTION("""COMPUTED_VALUE"""),50.0)</f>
        <v>50</v>
      </c>
      <c r="P69" s="142">
        <f>IFERROR(__xludf.DUMMYFUNCTION("""COMPUTED_VALUE"""),50.0)</f>
        <v>50</v>
      </c>
      <c r="Q69" s="143">
        <f>IFERROR(__xludf.DUMMYFUNCTION("""COMPUTED_VALUE"""),46161.0)</f>
        <v>46161</v>
      </c>
      <c r="R69" s="2"/>
      <c r="S69" s="142" t="str">
        <f>IFERROR(__xludf.DUMMYFUNCTION("""COMPUTED_VALUE"""),"lấy chẳn thùng")</f>
        <v>lấy chẳn thùng</v>
      </c>
      <c r="T69" s="2"/>
      <c r="U69" s="2"/>
      <c r="V69" s="2"/>
      <c r="W69" s="2" t="str">
        <f>IFERROR(__xludf.DUMMYFUNCTION("""COMPUTED_VALUE"""),"ĐẤT VIỆT - Giá bán 475.000,00 đ - Ngày dự kiến thu tiền:  - Dự kiến ngày ra hết hàng: ")</f>
        <v>ĐẤT VIỆT - Giá bán 475.000,00 đ - Ngày dự kiến thu tiền:  - Dự kiến ngày ra hết hàng: </v>
      </c>
      <c r="X69" s="2"/>
      <c r="Y69" s="2" t="str">
        <f>IFERROR(__xludf.DUMMYFUNCTION("""COMPUTED_VALUE"""),"Dego Cần Thơ")</f>
        <v>Dego Cần Thơ</v>
      </c>
      <c r="Z69" s="2" t="str">
        <f>IFERROR(__xludf.DUMMYFUNCTION("""COMPUTED_VALUE"""),"Hàng sẵn kho")</f>
        <v>Hàng sẵn kho</v>
      </c>
      <c r="AA69" s="2"/>
      <c r="AB69" s="2"/>
      <c r="AC69" s="2"/>
      <c r="AD69" s="2">
        <f>IFERROR(__xludf.DUMMYFUNCTION("""COMPUTED_VALUE"""),51.0)</f>
        <v>51</v>
      </c>
      <c r="AE69" s="2" t="str">
        <f>IFERROR(__xludf.DUMMYFUNCTION("""COMPUTED_VALUE"""),"đã bàn giao cho nhà máy 23/05")</f>
        <v>đã bàn giao cho nhà máy 23/05</v>
      </c>
      <c r="AF69" s="146" t="str">
        <f>IFERROR(__xludf.DUMMYFUNCTION("""COMPUTED_VALUE"""),"ATP12052603")</f>
        <v>ATP12052603</v>
      </c>
      <c r="AG69" s="143">
        <f>IFERROR(__xludf.DUMMYFUNCTION("""COMPUTED_VALUE"""),46160.0)</f>
        <v>46160</v>
      </c>
      <c r="AH69" s="2">
        <f>IFERROR(__xludf.DUMMYFUNCTION("""COMPUTED_VALUE"""),51.0)</f>
        <v>51</v>
      </c>
      <c r="AI69" s="2"/>
      <c r="AJ69" s="2"/>
      <c r="AK69" s="2"/>
      <c r="AL69" s="2"/>
      <c r="AM69" s="142">
        <f>IFERROR(__xludf.DUMMYFUNCTION("""COMPUTED_VALUE"""),51.0)</f>
        <v>51</v>
      </c>
      <c r="AN69" s="2"/>
      <c r="AO69" s="2"/>
      <c r="AP69" s="2"/>
      <c r="AQ69" s="2"/>
      <c r="AR69" s="2">
        <f>IFERROR(__xludf.DUMMYFUNCTION("""COMPUTED_VALUE"""),400526.0)</f>
        <v>400526</v>
      </c>
      <c r="AS69" s="143">
        <f>IFERROR(__xludf.DUMMYFUNCTION("""COMPUTED_VALUE"""),46160.0)</f>
        <v>46160</v>
      </c>
      <c r="AT69" s="2"/>
      <c r="AU69" s="2"/>
      <c r="AV69" s="2"/>
      <c r="AW69" s="2"/>
      <c r="AX69" s="2"/>
      <c r="AY69" s="2"/>
      <c r="AZ69" s="2" t="str">
        <f>IFERROR(__xludf.DUMMYFUNCTION("""COMPUTED_VALUE"""),"#REF!")</f>
        <v>#REF!</v>
      </c>
      <c r="BA69" s="2" t="str">
        <f>IFERROR(__xludf.DUMMYFUNCTION("""COMPUTED_VALUE"""),"Đủ điều kiện")</f>
        <v>Đủ điều kiện</v>
      </c>
      <c r="BB69" s="2" t="str">
        <f>IFERROR(__xludf.DUMMYFUNCTION("""COMPUTED_VALUE"""),"Duyệt")</f>
        <v>Duyệt</v>
      </c>
      <c r="BC69" s="148">
        <f>IFERROR(__xludf.DUMMYFUNCTION("""COMPUTED_VALUE"""),46156.0)</f>
        <v>46156</v>
      </c>
      <c r="BD69" s="2" t="str">
        <f>IFERROR(__xludf.DUMMYFUNCTION("""COMPUTED_VALUE"""),"Duyệt")</f>
        <v>Duyệt</v>
      </c>
      <c r="BE69" s="2" t="str">
        <f>IFERROR(__xludf.DUMMYFUNCTION("""COMPUTED_VALUE"""),"xlg 14/05")</f>
        <v>xlg 14/05</v>
      </c>
      <c r="BF69" s="2" t="str">
        <f>IFERROR(__xludf.DUMMYFUNCTION("""COMPUTED_VALUE"""),"Đã xử lí giá")</f>
        <v>Đã xử lí giá</v>
      </c>
      <c r="BG69" s="2" t="str">
        <f>IFERROR(__xludf.DUMMYFUNCTION("""COMPUTED_VALUE"""),"A05181225- 01 Nước nâu đen 420,000đ 12/5/2026")</f>
        <v>A05181225- 01 Nước nâu đen 420,000đ 12/5/2026</v>
      </c>
      <c r="BH69" s="2"/>
      <c r="BI69" s="2"/>
      <c r="BJ69" s="2"/>
      <c r="BK69" s="2"/>
      <c r="BL69" s="2"/>
      <c r="BM69" s="2"/>
      <c r="BN69" s="2"/>
      <c r="BO69" s="2"/>
      <c r="BP69" s="2"/>
      <c r="BQ69" s="2"/>
    </row>
    <row r="70">
      <c r="A70" s="2">
        <f>IFERROR(__xludf.DUMMYFUNCTION("""COMPUTED_VALUE"""),67.0)</f>
        <v>67</v>
      </c>
      <c r="B70" s="2" t="str">
        <f>IFERROR(__xludf.DUMMYFUNCTION("""COMPUTED_VALUE"""),"Hà Long")</f>
        <v>Hà Long</v>
      </c>
      <c r="C70" s="2" t="str">
        <f>IFERROR(__xludf.DUMMYFUNCTION("""COMPUTED_VALUE"""),"ATP13052601")</f>
        <v>ATP13052601</v>
      </c>
      <c r="D70" s="39">
        <f>IFERROR(__xludf.DUMMYFUNCTION("""COMPUTED_VALUE"""),46155.0)</f>
        <v>46155</v>
      </c>
      <c r="E70" s="2" t="str">
        <f>IFERROR(__xludf.DUMMYFUNCTION("""COMPUTED_VALUE"""),"Đã duyệt")</f>
        <v>Đã duyệt</v>
      </c>
      <c r="F70" s="2" t="str">
        <f>IFERROR(__xludf.DUMMYFUNCTION("""COMPUTED_VALUE"""),"ABA")</f>
        <v>ABA</v>
      </c>
      <c r="G70" s="2" t="str">
        <f>IFERROR(__xludf.DUMMYFUNCTION("""COMPUTED_VALUE"""),"HH5019")</f>
        <v>HH5019</v>
      </c>
      <c r="H70" s="2" t="str">
        <f>IFERROR(__xludf.DUMMYFUNCTION("""COMPUTED_VALUE"""),"GC - V - 5019 - Agritech - RAYMAX (Dạng cốm màu trắng ngà) - 100gr - 100")</f>
        <v>GC - V - 5019 - Agritech - RAYMAX (Dạng cốm màu trắng ngà) - 100gr - 100</v>
      </c>
      <c r="I70" s="2" t="str">
        <f>IFERROR(__xludf.DUMMYFUNCTION("""COMPUTED_VALUE"""),"Thuốc trừ sâu")</f>
        <v>Thuốc trừ sâu</v>
      </c>
      <c r="J70" s="142" t="str">
        <f>IFERROR(__xludf.DUMMYFUNCTION("""COMPUTED_VALUE"""),"NOFARA 35WG")</f>
        <v>NOFARA 35WG</v>
      </c>
      <c r="K70" s="2" t="str">
        <f>IFERROR(__xludf.DUMMYFUNCTION("""COMPUTED_VALUE"""),"Dòng V1")</f>
        <v>Dòng V1</v>
      </c>
      <c r="L70" s="2" t="str">
        <f>IFERROR(__xludf.DUMMYFUNCTION("""COMPUTED_VALUE"""),"Dạng cốm màu trắng ngà")</f>
        <v>Dạng cốm màu trắng ngà</v>
      </c>
      <c r="M70" s="2" t="str">
        <f>IFERROR(__xludf.DUMMYFUNCTION("""COMPUTED_VALUE"""),"Túi/Gói")</f>
        <v>Túi/Gói</v>
      </c>
      <c r="N70" s="142">
        <f>IFERROR(__xludf.DUMMYFUNCTION("""COMPUTED_VALUE"""),100.0)</f>
        <v>100</v>
      </c>
      <c r="O70" s="142">
        <f>IFERROR(__xludf.DUMMYFUNCTION("""COMPUTED_VALUE"""),10.0)</f>
        <v>10</v>
      </c>
      <c r="P70" s="142">
        <f>IFERROR(__xludf.DUMMYFUNCTION("""COMPUTED_VALUE"""),1000.0)</f>
        <v>1000</v>
      </c>
      <c r="Q70" s="143">
        <f>IFERROR(__xludf.DUMMYFUNCTION("""COMPUTED_VALUE"""),46171.0)</f>
        <v>46171</v>
      </c>
      <c r="R70" s="2"/>
      <c r="S70" s="142" t="str">
        <f>IFERROR(__xludf.DUMMYFUNCTION("""COMPUTED_VALUE"""),"lấy chẳn thùng")</f>
        <v>lấy chẳn thùng</v>
      </c>
      <c r="T70" s="2"/>
      <c r="U70" s="2"/>
      <c r="V70" s="2"/>
      <c r="W70" s="2" t="str">
        <f>IFERROR(__xludf.DUMMYFUNCTION("""COMPUTED_VALUE"""),"AGRITECH - Giá bán 19000 - Ngày dự kiến thu tiền:  - Dự kiến ngày ra hết hàng: ")</f>
        <v>AGRITECH - Giá bán 19000 - Ngày dự kiến thu tiền:  - Dự kiến ngày ra hết hàng: </v>
      </c>
      <c r="X70" s="2"/>
      <c r="Y70" s="2" t="str">
        <f>IFERROR(__xludf.DUMMYFUNCTION("""COMPUTED_VALUE"""),"Hà Long")</f>
        <v>Hà Long</v>
      </c>
      <c r="Z70" s="2" t="str">
        <f>IFERROR(__xludf.DUMMYFUNCTION("""COMPUTED_VALUE"""),"Hàng sẵn kho")</f>
        <v>Hàng sẵn kho</v>
      </c>
      <c r="AA70" s="39">
        <f>IFERROR(__xludf.DUMMYFUNCTION("""COMPUTED_VALUE"""),46167.0)</f>
        <v>46167</v>
      </c>
      <c r="AB70" s="2" t="str">
        <f>IFERROR(__xludf.DUMMYFUNCTION("""COMPUTED_VALUE"""),"14/05 thiếu túi- DK 25/05 có túi")</f>
        <v>14/05 thiếu túi- DK 25/05 có túi</v>
      </c>
      <c r="AC70" s="146">
        <f>IFERROR(__xludf.DUMMYFUNCTION("""COMPUTED_VALUE"""),1000.0)</f>
        <v>1000</v>
      </c>
      <c r="AD70" s="2"/>
      <c r="AE70" s="143">
        <f>IFERROR(__xludf.DUMMYFUNCTION("""COMPUTED_VALUE"""),46176.0)</f>
        <v>46176</v>
      </c>
      <c r="AF70" s="146" t="str">
        <f>IFERROR(__xludf.DUMMYFUNCTION("""COMPUTED_VALUE"""),"Đủ điều kiện nhận hàng")</f>
        <v>Đủ điều kiện nhận hàng</v>
      </c>
      <c r="AG70" s="143">
        <f>IFERROR(__xludf.DUMMYFUNCTION("""COMPUTED_VALUE"""),46176.0)</f>
        <v>46176</v>
      </c>
      <c r="AH70" s="146" t="str">
        <f>IFERROR(__xludf.DUMMYFUNCTION("""COMPUTED_VALUE"""),"1000")</f>
        <v>1000</v>
      </c>
      <c r="AI70" s="2"/>
      <c r="AJ70" s="2"/>
      <c r="AK70" s="2"/>
      <c r="AL70" s="2"/>
      <c r="AM70" s="142">
        <f>IFERROR(__xludf.DUMMYFUNCTION("""COMPUTED_VALUE"""),1000.0)</f>
        <v>1000</v>
      </c>
      <c r="AN70" s="2"/>
      <c r="AO70" s="2"/>
      <c r="AP70" s="2"/>
      <c r="AQ70" s="2"/>
      <c r="AR70" s="2"/>
      <c r="AS70" s="2"/>
      <c r="AT70" s="2"/>
      <c r="AU70" s="2"/>
      <c r="AV70" s="2"/>
      <c r="AW70" s="2"/>
      <c r="AX70" s="2"/>
      <c r="AY70" s="2"/>
      <c r="AZ70" s="2"/>
      <c r="BA70" s="2" t="str">
        <f>IFERROR(__xludf.DUMMYFUNCTION("""COMPUTED_VALUE"""),"Đủ điều kiện")</f>
        <v>Đủ điều kiện</v>
      </c>
      <c r="BB70" s="2" t="str">
        <f>IFERROR(__xludf.DUMMYFUNCTION("""COMPUTED_VALUE"""),"Duyệt")</f>
        <v>Duyệt</v>
      </c>
      <c r="BC70" s="143">
        <f>IFERROR(__xludf.DUMMYFUNCTION("""COMPUTED_VALUE"""),46157.0)</f>
        <v>46157</v>
      </c>
      <c r="BD70" s="2" t="str">
        <f>IFERROR(__xludf.DUMMYFUNCTION("""COMPUTED_VALUE"""),"Duyệt")</f>
        <v>Duyệt</v>
      </c>
      <c r="BE70" s="143">
        <f>IFERROR(__xludf.DUMMYFUNCTION("""COMPUTED_VALUE"""),46168.0)</f>
        <v>46168</v>
      </c>
      <c r="BF70" s="2" t="str">
        <f>IFERROR(__xludf.DUMMYFUNCTION("""COMPUTED_VALUE"""),"Đã xử lí giá")</f>
        <v>Đã xử lí giá</v>
      </c>
      <c r="BG70" s="2" t="str">
        <f>IFERROR(__xludf.DUMMYFUNCTION("""COMPUTED_VALUE"""),"Dòng V1 Dạng cốm màu trắng ngà 19,000đ 14/5/2026")</f>
        <v>Dòng V1 Dạng cốm màu trắng ngà 19,000đ 14/5/2026</v>
      </c>
      <c r="BH70" s="2"/>
      <c r="BI70" s="2"/>
      <c r="BJ70" s="2"/>
      <c r="BK70" s="2"/>
      <c r="BL70" s="2"/>
      <c r="BM70" s="2"/>
      <c r="BN70" s="2"/>
      <c r="BO70" s="2"/>
      <c r="BP70" s="2"/>
      <c r="BQ70" s="2"/>
    </row>
    <row r="71">
      <c r="A71" s="2">
        <f>IFERROR(__xludf.DUMMYFUNCTION("""COMPUTED_VALUE"""),68.0)</f>
        <v>68</v>
      </c>
      <c r="B71" s="2" t="str">
        <f>IFERROR(__xludf.DUMMYFUNCTION("""COMPUTED_VALUE"""),"Dego Cần Thơ")</f>
        <v>Dego Cần Thơ</v>
      </c>
      <c r="C71" s="2" t="str">
        <f>IFERROR(__xludf.DUMMYFUNCTION("""COMPUTED_VALUE"""),"ATP13052602")</f>
        <v>ATP13052602</v>
      </c>
      <c r="D71" s="39">
        <f>IFERROR(__xludf.DUMMYFUNCTION("""COMPUTED_VALUE"""),46155.0)</f>
        <v>46155</v>
      </c>
      <c r="E71" s="2" t="str">
        <f>IFERROR(__xludf.DUMMYFUNCTION("""COMPUTED_VALUE"""),"Đã duyệt")</f>
        <v>Đã duyệt</v>
      </c>
      <c r="F71" s="2" t="str">
        <f>IFERROR(__xludf.DUMMYFUNCTION("""COMPUTED_VALUE"""),"ABA")</f>
        <v>ABA</v>
      </c>
      <c r="G71" s="2" t="str">
        <f>IFERROR(__xludf.DUMMYFUNCTION("""COMPUTED_VALUE"""),"HH5020")</f>
        <v>HH5020</v>
      </c>
      <c r="H71" s="2" t="str">
        <f>IFERROR(__xludf.DUMMYFUNCTION("""COMPUTED_VALUE"""),"GC - V - 5020 - Agritech - Bio Organo (Nước nâu đen) - 5L - 4")</f>
        <v>GC - V - 5020 - Agritech - Bio Organo (Nước nâu đen) - 5L - 4</v>
      </c>
      <c r="I71" s="2" t="str">
        <f>IFERROR(__xludf.DUMMYFUNCTION("""COMPUTED_VALUE"""),"Phân bón")</f>
        <v>Phân bón</v>
      </c>
      <c r="J71" s="142" t="str">
        <f>IFERROR(__xludf.DUMMYFUNCTION("""COMPUTED_VALUE"""),"Vi lượng Quantity New")</f>
        <v>Vi lượng Quantity New</v>
      </c>
      <c r="K71" s="2" t="str">
        <f>IFERROR(__xludf.DUMMYFUNCTION("""COMPUTED_VALUE"""),"Cùng ruột 2233")</f>
        <v>Cùng ruột 2233</v>
      </c>
      <c r="L71" s="2" t="str">
        <f>IFERROR(__xludf.DUMMYFUNCTION("""COMPUTED_VALUE"""),"Nước nâu đen")</f>
        <v>Nước nâu đen</v>
      </c>
      <c r="M71" s="2" t="str">
        <f>IFERROR(__xludf.DUMMYFUNCTION("""COMPUTED_VALUE"""),"Can")</f>
        <v>Can</v>
      </c>
      <c r="N71" s="142">
        <f>IFERROR(__xludf.DUMMYFUNCTION("""COMPUTED_VALUE"""),4.0)</f>
        <v>4</v>
      </c>
      <c r="O71" s="142">
        <f>IFERROR(__xludf.DUMMYFUNCTION("""COMPUTED_VALUE"""),10.0)</f>
        <v>10</v>
      </c>
      <c r="P71" s="142">
        <f>IFERROR(__xludf.DUMMYFUNCTION("""COMPUTED_VALUE"""),40.0)</f>
        <v>40</v>
      </c>
      <c r="Q71" s="143">
        <f>IFERROR(__xludf.DUMMYFUNCTION("""COMPUTED_VALUE"""),46165.0)</f>
        <v>46165</v>
      </c>
      <c r="R71" s="2"/>
      <c r="S71" s="142" t="str">
        <f>IFERROR(__xludf.DUMMYFUNCTION("""COMPUTED_VALUE"""),"lấy chẳn thùng")</f>
        <v>lấy chẳn thùng</v>
      </c>
      <c r="T71" s="2"/>
      <c r="U71" s="2"/>
      <c r="V71" s="2"/>
      <c r="W71" s="2" t="str">
        <f>IFERROR(__xludf.DUMMYFUNCTION("""COMPUTED_VALUE"""),"AGRITECH - Giá bán 393750 - Ngày dự kiến thu tiền:  - Dự kiến ngày ra hết hàng: ")</f>
        <v>AGRITECH - Giá bán 393750 - Ngày dự kiến thu tiền:  - Dự kiến ngày ra hết hàng: </v>
      </c>
      <c r="X71" s="2"/>
      <c r="Y71" s="2" t="str">
        <f>IFERROR(__xludf.DUMMYFUNCTION("""COMPUTED_VALUE"""),"Dego Cần Thơ")</f>
        <v>Dego Cần Thơ</v>
      </c>
      <c r="Z71" s="2" t="str">
        <f>IFERROR(__xludf.DUMMYFUNCTION("""COMPUTED_VALUE"""),"Chưa có lịch SX")</f>
        <v>Chưa có lịch SX</v>
      </c>
      <c r="AA71" s="2"/>
      <c r="AB71" s="2"/>
      <c r="AC71" s="146">
        <f>IFERROR(__xludf.DUMMYFUNCTION("""COMPUTED_VALUE"""),40.0)</f>
        <v>40</v>
      </c>
      <c r="AD71" s="2"/>
      <c r="AE71" s="2" t="str">
        <f>IFERROR(__xludf.DUMMYFUNCTION("""COMPUTED_VALUE"""),"đã bàn giao cho nhà máy 23/05")</f>
        <v>đã bàn giao cho nhà máy 23/05</v>
      </c>
      <c r="AF71" s="2"/>
      <c r="AG71" s="2"/>
      <c r="AH71" s="2"/>
      <c r="AI71" s="2"/>
      <c r="AJ71" s="2"/>
      <c r="AK71" s="2"/>
      <c r="AL71" s="2"/>
      <c r="AM71" s="2"/>
      <c r="AN71" s="2"/>
      <c r="AO71" s="2"/>
      <c r="AP71" s="2"/>
      <c r="AQ71" s="2"/>
      <c r="AR71" s="2"/>
      <c r="AS71" s="2"/>
      <c r="AT71" s="2"/>
      <c r="AU71" s="2"/>
      <c r="AV71" s="2"/>
      <c r="AW71" s="2"/>
      <c r="AX71" s="2"/>
      <c r="AY71" s="2"/>
      <c r="AZ71" s="2" t="str">
        <f>IFERROR(__xludf.DUMMYFUNCTION("""COMPUTED_VALUE"""),"#REF!")</f>
        <v>#REF!</v>
      </c>
      <c r="BA71" s="2" t="str">
        <f>IFERROR(__xludf.DUMMYFUNCTION("""COMPUTED_VALUE"""),"Đủ điều kiện")</f>
        <v>Đủ điều kiện</v>
      </c>
      <c r="BB71" s="2" t="str">
        <f>IFERROR(__xludf.DUMMYFUNCTION("""COMPUTED_VALUE"""),"Duyệt")</f>
        <v>Duyệt</v>
      </c>
      <c r="BC71" s="148">
        <f>IFERROR(__xludf.DUMMYFUNCTION("""COMPUTED_VALUE"""),46157.0)</f>
        <v>46157</v>
      </c>
      <c r="BD71" s="2" t="str">
        <f>IFERROR(__xludf.DUMMYFUNCTION("""COMPUTED_VALUE"""),"Duyệt")</f>
        <v>Duyệt</v>
      </c>
      <c r="BE71" s="2" t="str">
        <f>IFERROR(__xludf.DUMMYFUNCTION("""COMPUTED_VALUE"""),"xlg 19/05")</f>
        <v>xlg 19/05</v>
      </c>
      <c r="BF71" s="2" t="str">
        <f>IFERROR(__xludf.DUMMYFUNCTION("""COMPUTED_VALUE"""),"Đã xử lí giá")</f>
        <v>Đã xử lí giá</v>
      </c>
      <c r="BG71" s="2" t="str">
        <f>IFERROR(__xludf.DUMMYFUNCTION("""COMPUTED_VALUE"""),"Cùng ruột 2233 Nước nâu đen 393,750đ 14/5/2026")</f>
        <v>Cùng ruột 2233 Nước nâu đen 393,750đ 14/5/2026</v>
      </c>
      <c r="BH71" s="2"/>
      <c r="BI71" s="2"/>
      <c r="BJ71" s="2"/>
      <c r="BK71" s="2"/>
      <c r="BL71" s="2"/>
      <c r="BM71" s="2"/>
      <c r="BN71" s="2"/>
      <c r="BO71" s="2"/>
      <c r="BP71" s="2"/>
      <c r="BQ71" s="2"/>
    </row>
    <row r="72">
      <c r="A72" s="2">
        <f>IFERROR(__xludf.DUMMYFUNCTION("""COMPUTED_VALUE"""),69.0)</f>
        <v>69</v>
      </c>
      <c r="B72" s="2" t="str">
        <f>IFERROR(__xludf.DUMMYFUNCTION("""COMPUTED_VALUE"""),"Dego Cần Thơ")</f>
        <v>Dego Cần Thơ</v>
      </c>
      <c r="C72" s="2" t="str">
        <f>IFERROR(__xludf.DUMMYFUNCTION("""COMPUTED_VALUE"""),"ATP14052602")</f>
        <v>ATP14052602</v>
      </c>
      <c r="D72" s="39">
        <f>IFERROR(__xludf.DUMMYFUNCTION("""COMPUTED_VALUE"""),46156.0)</f>
        <v>46156</v>
      </c>
      <c r="E72" s="2" t="str">
        <f>IFERROR(__xludf.DUMMYFUNCTION("""COMPUTED_VALUE"""),"Đã duyệt")</f>
        <v>Đã duyệt</v>
      </c>
      <c r="F72" s="2" t="str">
        <f>IFERROR(__xludf.DUMMYFUNCTION("""COMPUTED_VALUE"""),"ABA")</f>
        <v>ABA</v>
      </c>
      <c r="G72" s="2" t="str">
        <f>IFERROR(__xludf.DUMMYFUNCTION("""COMPUTED_VALUE"""),"HH5023")</f>
        <v>HH5023</v>
      </c>
      <c r="H72" s="2" t="str">
        <f>IFERROR(__xludf.DUMMYFUNCTION("""COMPUTED_VALUE"""),"GC - V - 5023 - CTY DONA VINA - GEL CỨNG CÂY (Nước nâu đen) - 500ml - 40")</f>
        <v>GC - V - 5023 - CTY DONA VINA - GEL CỨNG CÂY (Nước nâu đen) - 500ml - 40</v>
      </c>
      <c r="I72" s="2" t="str">
        <f>IFERROR(__xludf.DUMMYFUNCTION("""COMPUTED_VALUE"""),"Phân bón")</f>
        <v>Phân bón</v>
      </c>
      <c r="J72" s="142" t="str">
        <f>IFERROR(__xludf.DUMMYFUNCTION("""COMPUTED_VALUE"""),"Hữu Cơ Crops Care")</f>
        <v>Hữu Cơ Crops Care</v>
      </c>
      <c r="K72" s="2" t="str">
        <f>IFERROR(__xludf.DUMMYFUNCTION("""COMPUTED_VALUE"""),"A05301025")</f>
        <v>A05301025</v>
      </c>
      <c r="L72" s="2" t="str">
        <f>IFERROR(__xludf.DUMMYFUNCTION("""COMPUTED_VALUE"""),"Nước nâu đen")</f>
        <v>Nước nâu đen</v>
      </c>
      <c r="M72" s="2" t="str">
        <f>IFERROR(__xludf.DUMMYFUNCTION("""COMPUTED_VALUE"""),"Chai")</f>
        <v>Chai</v>
      </c>
      <c r="N72" s="142">
        <f>IFERROR(__xludf.DUMMYFUNCTION("""COMPUTED_VALUE"""),40.0)</f>
        <v>40</v>
      </c>
      <c r="O72" s="142">
        <f>IFERROR(__xludf.DUMMYFUNCTION("""COMPUTED_VALUE"""),10.0)</f>
        <v>10</v>
      </c>
      <c r="P72" s="142">
        <f>IFERROR(__xludf.DUMMYFUNCTION("""COMPUTED_VALUE"""),400.0)</f>
        <v>400</v>
      </c>
      <c r="Q72" s="143">
        <f>IFERROR(__xludf.DUMMYFUNCTION("""COMPUTED_VALUE"""),46165.0)</f>
        <v>46165</v>
      </c>
      <c r="R72" s="2"/>
      <c r="S72" s="142" t="str">
        <f>IFERROR(__xludf.DUMMYFUNCTION("""COMPUTED_VALUE"""),"lấy chẳn thùng")</f>
        <v>lấy chẳn thùng</v>
      </c>
      <c r="T72" s="2"/>
      <c r="U72" s="2"/>
      <c r="V72" s="2"/>
      <c r="W72" s="2" t="str">
        <f>IFERROR(__xludf.DUMMYFUNCTION("""COMPUTED_VALUE"""),"DONA - Giá bán 43000 - Ngày dự kiến thu tiền:  - Dự kiến ngày ra hết hàng: ")</f>
        <v>DONA - Giá bán 43000 - Ngày dự kiến thu tiền:  - Dự kiến ngày ra hết hàng: </v>
      </c>
      <c r="X72" s="2"/>
      <c r="Y72" s="2" t="str">
        <f>IFERROR(__xludf.DUMMYFUNCTION("""COMPUTED_VALUE"""),"Dego Cần Thơ")</f>
        <v>Dego Cần Thơ</v>
      </c>
      <c r="Z72" s="2" t="str">
        <f>IFERROR(__xludf.DUMMYFUNCTION("""COMPUTED_VALUE"""),"Chờ lấy hoá đơn")</f>
        <v>Chờ lấy hoá đơn</v>
      </c>
      <c r="AA72" s="2"/>
      <c r="AB72" s="2" t="str">
        <f>IFERROR(__xludf.DUMMYFUNCTION("""COMPUTED_VALUE"""),"KD lấy chẵn thùng
chờ lấy hóa đơn
đã có hóa đơn 25/05")</f>
        <v>KD lấy chẵn thùng
chờ lấy hóa đơn
đã có hóa đơn 25/05</v>
      </c>
      <c r="AC72" s="2"/>
      <c r="AD72" s="146">
        <f>IFERROR(__xludf.DUMMYFUNCTION("""COMPUTED_VALUE"""),500.0)</f>
        <v>500</v>
      </c>
      <c r="AE72" s="2" t="str">
        <f>IFERROR(__xludf.DUMMYFUNCTION("""COMPUTED_VALUE"""),"đã bàn giao cho nhà máy 23/05")</f>
        <v>đã bàn giao cho nhà máy 23/05</v>
      </c>
      <c r="AF72" s="146" t="str">
        <f>IFERROR(__xludf.DUMMYFUNCTION("""COMPUTED_VALUE"""),"ATP14052602")</f>
        <v>ATP14052602</v>
      </c>
      <c r="AG72" s="143">
        <f>IFERROR(__xludf.DUMMYFUNCTION("""COMPUTED_VALUE"""),46165.0)</f>
        <v>46165</v>
      </c>
      <c r="AH72" s="146">
        <f>IFERROR(__xludf.DUMMYFUNCTION("""COMPUTED_VALUE"""),500.0)</f>
        <v>500</v>
      </c>
      <c r="AI72" s="2"/>
      <c r="AJ72" s="2"/>
      <c r="AK72" s="2"/>
      <c r="AL72" s="2"/>
      <c r="AM72" s="142">
        <f>IFERROR(__xludf.DUMMYFUNCTION("""COMPUTED_VALUE"""),498.0)</f>
        <v>498</v>
      </c>
      <c r="AN72" s="2"/>
      <c r="AO72" s="2"/>
      <c r="AP72" s="2"/>
      <c r="AQ72" s="2"/>
      <c r="AR72" s="2">
        <f>IFERROR(__xludf.DUMMYFUNCTION("""COMPUTED_VALUE"""),450526.0)</f>
        <v>450526</v>
      </c>
      <c r="AS72" s="39">
        <f>IFERROR(__xludf.DUMMYFUNCTION("""COMPUTED_VALUE"""),46164.0)</f>
        <v>46164</v>
      </c>
      <c r="AT72" s="2"/>
      <c r="AU72" s="2"/>
      <c r="AV72" s="2"/>
      <c r="AW72" s="2"/>
      <c r="AX72" s="2"/>
      <c r="AY72" s="2"/>
      <c r="AZ72" s="2" t="str">
        <f>IFERROR(__xludf.DUMMYFUNCTION("""COMPUTED_VALUE"""),"#REF!")</f>
        <v>#REF!</v>
      </c>
      <c r="BA72" s="2" t="str">
        <f>IFERROR(__xludf.DUMMYFUNCTION("""COMPUTED_VALUE"""),"Đủ điều kiện")</f>
        <v>Đủ điều kiện</v>
      </c>
      <c r="BB72" s="2" t="str">
        <f>IFERROR(__xludf.DUMMYFUNCTION("""COMPUTED_VALUE"""),"Duyệt")</f>
        <v>Duyệt</v>
      </c>
      <c r="BC72" s="149">
        <f>IFERROR(__xludf.DUMMYFUNCTION("""COMPUTED_VALUE"""),46157.0)</f>
        <v>46157</v>
      </c>
      <c r="BD72" s="2" t="str">
        <f>IFERROR(__xludf.DUMMYFUNCTION("""COMPUTED_VALUE"""),"Duyệt")</f>
        <v>Duyệt</v>
      </c>
      <c r="BE72" s="2" t="str">
        <f>IFERROR(__xludf.DUMMYFUNCTION("""COMPUTED_VALUE"""),"xlg 19/05
19/05")</f>
        <v>xlg 19/05
19/05</v>
      </c>
      <c r="BF72" s="2" t="str">
        <f>IFERROR(__xludf.DUMMYFUNCTION("""COMPUTED_VALUE"""),"Đã xử lí giá")</f>
        <v>Đã xử lí giá</v>
      </c>
      <c r="BG72" s="2" t="str">
        <f>IFERROR(__xludf.DUMMYFUNCTION("""COMPUTED_VALUE"""),"A05301025  Nước nâu đen 43,000đ 14/5/2026")</f>
        <v>A05301025  Nước nâu đen 43,000đ 14/5/2026</v>
      </c>
      <c r="BH72" s="2"/>
      <c r="BI72" s="2"/>
      <c r="BJ72" s="2"/>
      <c r="BK72" s="2"/>
      <c r="BL72" s="2"/>
      <c r="BM72" s="2"/>
      <c r="BN72" s="2"/>
      <c r="BO72" s="2"/>
      <c r="BP72" s="2"/>
      <c r="BQ72" s="2"/>
    </row>
    <row r="73">
      <c r="A73" s="2">
        <f>IFERROR(__xludf.DUMMYFUNCTION("""COMPUTED_VALUE"""),70.0)</f>
        <v>70</v>
      </c>
      <c r="B73" s="2" t="str">
        <f>IFERROR(__xludf.DUMMYFUNCTION("""COMPUTED_VALUE"""),"Hà Long")</f>
        <v>Hà Long</v>
      </c>
      <c r="C73" s="2" t="str">
        <f>IFERROR(__xludf.DUMMYFUNCTION("""COMPUTED_VALUE"""),"ATP15052602")</f>
        <v>ATP15052602</v>
      </c>
      <c r="D73" s="39">
        <f>IFERROR(__xludf.DUMMYFUNCTION("""COMPUTED_VALUE"""),46157.0)</f>
        <v>46157</v>
      </c>
      <c r="E73" s="2" t="str">
        <f>IFERROR(__xludf.DUMMYFUNCTION("""COMPUTED_VALUE"""),"Đã duyệt")</f>
        <v>Đã duyệt</v>
      </c>
      <c r="F73" s="2" t="str">
        <f>IFERROR(__xludf.DUMMYFUNCTION("""COMPUTED_VALUE"""),"ABA")</f>
        <v>ABA</v>
      </c>
      <c r="G73" s="2" t="str">
        <f>IFERROR(__xludf.DUMMYFUNCTION("""COMPUTED_VALUE"""),"HH4306")</f>
        <v>HH4306</v>
      </c>
      <c r="H73" s="2" t="str">
        <f>IFERROR(__xludf.DUMMYFUNCTION("""COMPUTED_VALUE"""),"GC - V - 4306 - CSSX AN KHANG - THALONIL 75WP (Bột màu trắng) - 100gr - 100")</f>
        <v>GC - V - 4306 - CSSX AN KHANG - THALONIL 75WP (Bột màu trắng) - 100gr - 100</v>
      </c>
      <c r="I73" s="2" t="str">
        <f>IFERROR(__xludf.DUMMYFUNCTION("""COMPUTED_VALUE"""),"Thuốc trừ bệnh")</f>
        <v>Thuốc trừ bệnh</v>
      </c>
      <c r="J73" s="142" t="str">
        <f>IFERROR(__xludf.DUMMYFUNCTION("""COMPUTED_VALUE"""),"THALONIL 75WP")</f>
        <v>THALONIL 75WP</v>
      </c>
      <c r="K73" s="2" t="str">
        <f>IFERROR(__xludf.DUMMYFUNCTION("""COMPUTED_VALUE"""),"Dòng V1")</f>
        <v>Dòng V1</v>
      </c>
      <c r="L73" s="2" t="str">
        <f>IFERROR(__xludf.DUMMYFUNCTION("""COMPUTED_VALUE"""),"Bột màu trắng")</f>
        <v>Bột màu trắng</v>
      </c>
      <c r="M73" s="2" t="str">
        <f>IFERROR(__xludf.DUMMYFUNCTION("""COMPUTED_VALUE"""),"Túi/Gói")</f>
        <v>Túi/Gói</v>
      </c>
      <c r="N73" s="142">
        <f>IFERROR(__xludf.DUMMYFUNCTION("""COMPUTED_VALUE"""),100.0)</f>
        <v>100</v>
      </c>
      <c r="O73" s="142">
        <f>IFERROR(__xludf.DUMMYFUNCTION("""COMPUTED_VALUE"""),15.0)</f>
        <v>15</v>
      </c>
      <c r="P73" s="142">
        <f>IFERROR(__xludf.DUMMYFUNCTION("""COMPUTED_VALUE"""),1500.0)</f>
        <v>1500</v>
      </c>
      <c r="Q73" s="143">
        <f>IFERROR(__xludf.DUMMYFUNCTION("""COMPUTED_VALUE"""),46171.0)</f>
        <v>46171</v>
      </c>
      <c r="R73" s="2"/>
      <c r="S73" s="142" t="str">
        <f>IFERROR(__xludf.DUMMYFUNCTION("""COMPUTED_VALUE"""),"lấy chẳn thùng")</f>
        <v>lấy chẳn thùng</v>
      </c>
      <c r="T73" s="2"/>
      <c r="U73" s="2"/>
      <c r="V73" s="2"/>
      <c r="W73" s="2" t="str">
        <f>IFERROR(__xludf.DUMMYFUNCTION("""COMPUTED_VALUE"""),"ĐINH CÔNG DINH - Giá bán 23000 - Ngày dự kiến thu tiền:  - Dự kiến ngày ra hết hàng: ")</f>
        <v>ĐINH CÔNG DINH - Giá bán 23000 - Ngày dự kiến thu tiền:  - Dự kiến ngày ra hết hàng: </v>
      </c>
      <c r="X73" s="2"/>
      <c r="Y73" s="2" t="str">
        <f>IFERROR(__xludf.DUMMYFUNCTION("""COMPUTED_VALUE"""),"Hà Long")</f>
        <v>Hà Long</v>
      </c>
      <c r="Z73" s="2" t="str">
        <f>IFERROR(__xludf.DUMMYFUNCTION("""COMPUTED_VALUE"""),"Hàng sẵn kho")</f>
        <v>Hàng sẵn kho</v>
      </c>
      <c r="AA73" s="39">
        <f>IFERROR(__xludf.DUMMYFUNCTION("""COMPUTED_VALUE"""),46169.0)</f>
        <v>46169</v>
      </c>
      <c r="AB73" s="2" t="str">
        <f>IFERROR(__xludf.DUMMYFUNCTION("""COMPUTED_VALUE"""),"20/5 thiếu túi- dk 27/5")</f>
        <v>20/5 thiếu túi- dk 27/5</v>
      </c>
      <c r="AC73" s="146">
        <f>IFERROR(__xludf.DUMMYFUNCTION("""COMPUTED_VALUE"""),1500.0)</f>
        <v>1500</v>
      </c>
      <c r="AD73" s="2"/>
      <c r="AE73" s="143">
        <f>IFERROR(__xludf.DUMMYFUNCTION("""COMPUTED_VALUE"""),46175.0)</f>
        <v>46175</v>
      </c>
      <c r="AF73" s="146" t="str">
        <f>IFERROR(__xludf.DUMMYFUNCTION("""COMPUTED_VALUE"""),"Đủ điều kiện nhận hàng")</f>
        <v>Đủ điều kiện nhận hàng</v>
      </c>
      <c r="AG73" s="143">
        <f>IFERROR(__xludf.DUMMYFUNCTION("""COMPUTED_VALUE"""),46175.0)</f>
        <v>46175</v>
      </c>
      <c r="AH73" s="146" t="str">
        <f>IFERROR(__xludf.DUMMYFUNCTION("""COMPUTED_VALUE"""),"1500")</f>
        <v>1500</v>
      </c>
      <c r="AI73" s="2"/>
      <c r="AJ73" s="2"/>
      <c r="AK73" s="2"/>
      <c r="AL73" s="2"/>
      <c r="AM73" s="142">
        <f>IFERROR(__xludf.DUMMYFUNCTION("""COMPUTED_VALUE"""),1500.0)</f>
        <v>1500</v>
      </c>
      <c r="AN73" s="2"/>
      <c r="AO73" s="2"/>
      <c r="AP73" s="2"/>
      <c r="AQ73" s="2"/>
      <c r="AR73" s="2"/>
      <c r="AS73" s="2"/>
      <c r="AT73" s="2"/>
      <c r="AU73" s="2"/>
      <c r="AV73" s="2"/>
      <c r="AW73" s="2"/>
      <c r="AX73" s="2"/>
      <c r="AY73" s="2"/>
      <c r="AZ73" s="2"/>
      <c r="BA73" s="2" t="str">
        <f>IFERROR(__xludf.DUMMYFUNCTION("""COMPUTED_VALUE"""),"Đủ điều kiện")</f>
        <v>Đủ điều kiện</v>
      </c>
      <c r="BB73" s="2" t="str">
        <f>IFERROR(__xludf.DUMMYFUNCTION("""COMPUTED_VALUE"""),"Duyệt")</f>
        <v>Duyệt</v>
      </c>
      <c r="BC73" s="143">
        <f>IFERROR(__xludf.DUMMYFUNCTION("""COMPUTED_VALUE"""),46164.0)</f>
        <v>46164</v>
      </c>
      <c r="BD73" s="2" t="str">
        <f>IFERROR(__xludf.DUMMYFUNCTION("""COMPUTED_VALUE"""),"Duyệt")</f>
        <v>Duyệt</v>
      </c>
      <c r="BE73" s="143">
        <f>IFERROR(__xludf.DUMMYFUNCTION("""COMPUTED_VALUE"""),46171.0)</f>
        <v>46171</v>
      </c>
      <c r="BF73" s="2" t="str">
        <f>IFERROR(__xludf.DUMMYFUNCTION("""COMPUTED_VALUE"""),"Đã xử lí giá")</f>
        <v>Đã xử lí giá</v>
      </c>
      <c r="BG73" s="2" t="str">
        <f>IFERROR(__xludf.DUMMYFUNCTION("""COMPUTED_VALUE"""),"Dòng V1 Bột màu trắng 23,000đ 16/5/2026")</f>
        <v>Dòng V1 Bột màu trắng 23,000đ 16/5/2026</v>
      </c>
      <c r="BH73" s="2"/>
      <c r="BI73" s="2"/>
      <c r="BJ73" s="2"/>
      <c r="BK73" s="2"/>
      <c r="BL73" s="2"/>
      <c r="BM73" s="2"/>
      <c r="BN73" s="2"/>
      <c r="BO73" s="2"/>
      <c r="BP73" s="2"/>
      <c r="BQ73" s="2"/>
    </row>
    <row r="74">
      <c r="A74" s="2">
        <f>IFERROR(__xludf.DUMMYFUNCTION("""COMPUTED_VALUE"""),71.0)</f>
        <v>71</v>
      </c>
      <c r="B74" s="2" t="str">
        <f>IFERROR(__xludf.DUMMYFUNCTION("""COMPUTED_VALUE"""),"Dego Cần Thơ")</f>
        <v>Dego Cần Thơ</v>
      </c>
      <c r="C74" s="2" t="str">
        <f>IFERROR(__xludf.DUMMYFUNCTION("""COMPUTED_VALUE"""),"ATP16052601")</f>
        <v>ATP16052601</v>
      </c>
      <c r="D74" s="39">
        <f>IFERROR(__xludf.DUMMYFUNCTION("""COMPUTED_VALUE"""),46158.0)</f>
        <v>46158</v>
      </c>
      <c r="E74" s="2" t="str">
        <f>IFERROR(__xludf.DUMMYFUNCTION("""COMPUTED_VALUE"""),"Đã duyệt")</f>
        <v>Đã duyệt</v>
      </c>
      <c r="F74" s="2" t="str">
        <f>IFERROR(__xludf.DUMMYFUNCTION("""COMPUTED_VALUE"""),"ABA")</f>
        <v>ABA</v>
      </c>
      <c r="G74" s="2" t="str">
        <f>IFERROR(__xludf.DUMMYFUNCTION("""COMPUTED_VALUE"""),"HH4608")</f>
        <v>HH4608</v>
      </c>
      <c r="H74" s="2" t="str">
        <f>IFERROR(__xludf.DUMMYFUNCTION("""COMPUTED_VALUE"""),"GC - V - 4608 - CTY ASAHI NHẬT BẢN - RONBIN SAMURAI (Gel nâu đen) - 500ml - 40")</f>
        <v>GC - V - 4608 - CTY ASAHI NHẬT BẢN - RONBIN SAMURAI (Gel nâu đen) - 500ml - 40</v>
      </c>
      <c r="I74" s="2" t="str">
        <f>IFERROR(__xludf.DUMMYFUNCTION("""COMPUTED_VALUE"""),"Phân bón")</f>
        <v>Phân bón</v>
      </c>
      <c r="J74" s="142" t="str">
        <f>IFERROR(__xludf.DUMMYFUNCTION("""COMPUTED_VALUE"""),"Vi lượng Quantity New")</f>
        <v>Vi lượng Quantity New</v>
      </c>
      <c r="K74" s="2" t="str">
        <f>IFERROR(__xludf.DUMMYFUNCTION("""COMPUTED_VALUE"""),"A04270225")</f>
        <v>A04270225</v>
      </c>
      <c r="L74" s="2" t="str">
        <f>IFERROR(__xludf.DUMMYFUNCTION("""COMPUTED_VALUE"""),"Gel nâu đen")</f>
        <v>Gel nâu đen</v>
      </c>
      <c r="M74" s="2" t="str">
        <f>IFERROR(__xludf.DUMMYFUNCTION("""COMPUTED_VALUE"""),"Chai")</f>
        <v>Chai</v>
      </c>
      <c r="N74" s="142">
        <f>IFERROR(__xludf.DUMMYFUNCTION("""COMPUTED_VALUE"""),40.0)</f>
        <v>40</v>
      </c>
      <c r="O74" s="142">
        <f>IFERROR(__xludf.DUMMYFUNCTION("""COMPUTED_VALUE"""),20.0)</f>
        <v>20</v>
      </c>
      <c r="P74" s="142">
        <f>IFERROR(__xludf.DUMMYFUNCTION("""COMPUTED_VALUE"""),800.0)</f>
        <v>800</v>
      </c>
      <c r="Q74" s="143">
        <f>IFERROR(__xludf.DUMMYFUNCTION("""COMPUTED_VALUE"""),46167.0)</f>
        <v>46167</v>
      </c>
      <c r="R74" s="2"/>
      <c r="S74" s="142" t="str">
        <f>IFERROR(__xludf.DUMMYFUNCTION("""COMPUTED_VALUE"""),"lấy chẳn thùng")</f>
        <v>lấy chẳn thùng</v>
      </c>
      <c r="T74" s="2"/>
      <c r="U74" s="2"/>
      <c r="V74" s="2"/>
      <c r="W74" s="2" t="str">
        <f>IFERROR(__xludf.DUMMYFUNCTION("""COMPUTED_VALUE"""),"ASAHI - Giá bán 22500 - Ngày dự kiến thu tiền:  - Dự kiến ngày ra hết hàng: ")</f>
        <v>ASAHI - Giá bán 22500 - Ngày dự kiến thu tiền:  - Dự kiến ngày ra hết hàng: </v>
      </c>
      <c r="X74" s="2"/>
      <c r="Y74" s="2" t="str">
        <f>IFERROR(__xludf.DUMMYFUNCTION("""COMPUTED_VALUE"""),"Dego Cần Thơ")</f>
        <v>Dego Cần Thơ</v>
      </c>
      <c r="Z74" s="2" t="str">
        <f>IFERROR(__xludf.DUMMYFUNCTION("""COMPUTED_VALUE"""),"Chưa gửi đơn")</f>
        <v>Chưa gửi đơn</v>
      </c>
      <c r="AA74" s="2"/>
      <c r="AB74" s="2" t="str">
        <f>IFERROR(__xludf.DUMMYFUNCTION("""COMPUTED_VALUE"""),"chưa đủ dk do chưa duyệt pháp lý 22/05")</f>
        <v>chưa đủ dk do chưa duyệt pháp lý 22/05</v>
      </c>
      <c r="AC74" s="146">
        <f>IFERROR(__xludf.DUMMYFUNCTION("""COMPUTED_VALUE"""),800.0)</f>
        <v>800</v>
      </c>
      <c r="AD74" s="2"/>
      <c r="AE74" s="2" t="str">
        <f>IFERROR(__xludf.DUMMYFUNCTION("""COMPUTED_VALUE"""),"đã bàn giao cho nhà máy 23/05")</f>
        <v>đã bàn giao cho nhà máy 23/05</v>
      </c>
      <c r="AF74" s="2"/>
      <c r="AG74" s="2"/>
      <c r="AH74" s="2"/>
      <c r="AI74" s="2"/>
      <c r="AJ74" s="2"/>
      <c r="AK74" s="2"/>
      <c r="AL74" s="2"/>
      <c r="AM74" s="2"/>
      <c r="AN74" s="2"/>
      <c r="AO74" s="2"/>
      <c r="AP74" s="2"/>
      <c r="AQ74" s="2"/>
      <c r="AR74" s="2"/>
      <c r="AS74" s="2"/>
      <c r="AT74" s="2"/>
      <c r="AU74" s="2"/>
      <c r="AV74" s="2"/>
      <c r="AW74" s="2"/>
      <c r="AX74" s="2"/>
      <c r="AY74" s="2"/>
      <c r="AZ74" s="2" t="str">
        <f>IFERROR(__xludf.DUMMYFUNCTION("""COMPUTED_VALUE"""),"#REF!")</f>
        <v>#REF!</v>
      </c>
      <c r="BA74" s="2" t="str">
        <f>IFERROR(__xludf.DUMMYFUNCTION("""COMPUTED_VALUE"""),"Không đủ điều kiện")</f>
        <v>Không đủ điều kiện</v>
      </c>
      <c r="BB74" s="2" t="str">
        <f>IFERROR(__xludf.DUMMYFUNCTION("""COMPUTED_VALUE"""),"Duyệt")</f>
        <v>Duyệt</v>
      </c>
      <c r="BC74" s="148">
        <f>IFERROR(__xludf.DUMMYFUNCTION("""COMPUTED_VALUE"""),46161.0)</f>
        <v>46161</v>
      </c>
      <c r="BD74" s="2" t="str">
        <f>IFERROR(__xludf.DUMMYFUNCTION("""COMPUTED_VALUE"""),"Duyệt")</f>
        <v>Duyệt</v>
      </c>
      <c r="BE74" s="2" t="str">
        <f>IFERROR(__xludf.DUMMYFUNCTION("""COMPUTED_VALUE"""),"xlg 19/05
19/05")</f>
        <v>xlg 19/05
19/05</v>
      </c>
      <c r="BF74" s="2" t="str">
        <f>IFERROR(__xludf.DUMMYFUNCTION("""COMPUTED_VALUE"""),"Đã xử lí giá")</f>
        <v>Đã xử lí giá</v>
      </c>
      <c r="BG74" s="2" t="str">
        <f>IFERROR(__xludf.DUMMYFUNCTION("""COMPUTED_VALUE"""),"A04270225 Gel nâu đen 22,500đ 18/5/2026")</f>
        <v>A04270225 Gel nâu đen 22,500đ 18/5/2026</v>
      </c>
      <c r="BH74" s="2"/>
      <c r="BI74" s="2"/>
      <c r="BJ74" s="2"/>
      <c r="BK74" s="2"/>
      <c r="BL74" s="2"/>
      <c r="BM74" s="2"/>
      <c r="BN74" s="2"/>
      <c r="BO74" s="2"/>
      <c r="BP74" s="2"/>
      <c r="BQ74" s="2"/>
    </row>
    <row r="75">
      <c r="A75" s="2">
        <f>IFERROR(__xludf.DUMMYFUNCTION("""COMPUTED_VALUE"""),72.0)</f>
        <v>72</v>
      </c>
      <c r="B75" s="2" t="str">
        <f>IFERROR(__xludf.DUMMYFUNCTION("""COMPUTED_VALUE"""),"Hà Long")</f>
        <v>Hà Long</v>
      </c>
      <c r="C75" s="2" t="str">
        <f>IFERROR(__xludf.DUMMYFUNCTION("""COMPUTED_VALUE"""),"ATP16052603")</f>
        <v>ATP16052603</v>
      </c>
      <c r="D75" s="39">
        <f>IFERROR(__xludf.DUMMYFUNCTION("""COMPUTED_VALUE"""),46158.0)</f>
        <v>46158</v>
      </c>
      <c r="E75" s="2" t="str">
        <f>IFERROR(__xludf.DUMMYFUNCTION("""COMPUTED_VALUE"""),"Đã duyệt")</f>
        <v>Đã duyệt</v>
      </c>
      <c r="F75" s="2" t="str">
        <f>IFERROR(__xludf.DUMMYFUNCTION("""COMPUTED_VALUE"""),"ABA")</f>
        <v>ABA</v>
      </c>
      <c r="G75" s="2" t="str">
        <f>IFERROR(__xludf.DUMMYFUNCTION("""COMPUTED_VALUE"""),"HH5025")</f>
        <v>HH5025</v>
      </c>
      <c r="H75" s="2" t="str">
        <f>IFERROR(__xludf.DUMMYFUNCTION("""COMPUTED_VALUE"""),"GC - V - 5025 - THÀNH CÔNG AGRI - UT-MIDA (Nước trắng sữa) - 100ml - 50")</f>
        <v>GC - V - 5025 - THÀNH CÔNG AGRI - UT-MIDA (Nước trắng sữa) - 100ml - 50</v>
      </c>
      <c r="I75" s="2" t="str">
        <f>IFERROR(__xludf.DUMMYFUNCTION("""COMPUTED_VALUE"""),"Thuốc trừ sâu")</f>
        <v>Thuốc trừ sâu</v>
      </c>
      <c r="J75" s="142" t="str">
        <f>IFERROR(__xludf.DUMMYFUNCTION("""COMPUTED_VALUE"""),"MIKHADA 45ME")</f>
        <v>MIKHADA 45ME</v>
      </c>
      <c r="K75" s="2" t="str">
        <f>IFERROR(__xludf.DUMMYFUNCTION("""COMPUTED_VALUE"""),"Dòng V1")</f>
        <v>Dòng V1</v>
      </c>
      <c r="L75" s="2" t="str">
        <f>IFERROR(__xludf.DUMMYFUNCTION("""COMPUTED_VALUE"""),"Nước trắng sữa")</f>
        <v>Nước trắng sữa</v>
      </c>
      <c r="M75" s="2" t="str">
        <f>IFERROR(__xludf.DUMMYFUNCTION("""COMPUTED_VALUE"""),"Chai")</f>
        <v>Chai</v>
      </c>
      <c r="N75" s="142">
        <f>IFERROR(__xludf.DUMMYFUNCTION("""COMPUTED_VALUE"""),50.0)</f>
        <v>50</v>
      </c>
      <c r="O75" s="142">
        <f>IFERROR(__xludf.DUMMYFUNCTION("""COMPUTED_VALUE"""),10.0)</f>
        <v>10</v>
      </c>
      <c r="P75" s="142">
        <f>IFERROR(__xludf.DUMMYFUNCTION("""COMPUTED_VALUE"""),500.0)</f>
        <v>500</v>
      </c>
      <c r="Q75" s="143">
        <f>IFERROR(__xludf.DUMMYFUNCTION("""COMPUTED_VALUE"""),46171.0)</f>
        <v>46171</v>
      </c>
      <c r="R75" s="2"/>
      <c r="S75" s="142" t="str">
        <f>IFERROR(__xludf.DUMMYFUNCTION("""COMPUTED_VALUE"""),"lấy chẳn thùng")</f>
        <v>lấy chẳn thùng</v>
      </c>
      <c r="T75" s="2"/>
      <c r="U75" s="2"/>
      <c r="V75" s="2"/>
      <c r="W75" s="2" t="str">
        <f>IFERROR(__xludf.DUMMYFUNCTION("""COMPUTED_VALUE"""),"THÀNH CÔNG - Giá bán 32000 - Ngày dự kiến thu tiền:  - Dự kiến ngày ra hết hàng: ")</f>
        <v>THÀNH CÔNG - Giá bán 32000 - Ngày dự kiến thu tiền:  - Dự kiến ngày ra hết hàng: </v>
      </c>
      <c r="X75" s="2"/>
      <c r="Y75" s="2" t="str">
        <f>IFERROR(__xludf.DUMMYFUNCTION("""COMPUTED_VALUE"""),"Hà Long")</f>
        <v>Hà Long</v>
      </c>
      <c r="Z75" s="2" t="str">
        <f>IFERROR(__xludf.DUMMYFUNCTION("""COMPUTED_VALUE"""),"Đã có lịch SX")</f>
        <v>Đã có lịch SX</v>
      </c>
      <c r="AA75" s="39">
        <f>IFERROR(__xludf.DUMMYFUNCTION("""COMPUTED_VALUE"""),46172.0)</f>
        <v>46172</v>
      </c>
      <c r="AB75" s="2" t="str">
        <f>IFERROR(__xludf.DUMMYFUNCTION("""COMPUTED_VALUE"""),"20/05 thiếu nhãn- dk 29/05")</f>
        <v>20/05 thiếu nhãn- dk 29/05</v>
      </c>
      <c r="AC75" s="146">
        <f>IFERROR(__xludf.DUMMYFUNCTION("""COMPUTED_VALUE"""),500.0)</f>
        <v>500</v>
      </c>
      <c r="AD75" s="2"/>
      <c r="AE75" s="143">
        <f>IFERROR(__xludf.DUMMYFUNCTION("""COMPUTED_VALUE"""),46177.0)</f>
        <v>46177</v>
      </c>
      <c r="AF75" s="2"/>
      <c r="AG75" s="2"/>
      <c r="AH75" s="2"/>
      <c r="AI75" s="2"/>
      <c r="AJ75" s="2"/>
      <c r="AK75" s="2"/>
      <c r="AL75" s="2"/>
      <c r="AM75" s="2"/>
      <c r="AN75" s="2"/>
      <c r="AO75" s="2"/>
      <c r="AP75" s="2"/>
      <c r="AQ75" s="2"/>
      <c r="AR75" s="2"/>
      <c r="AS75" s="2"/>
      <c r="AT75" s="2"/>
      <c r="AU75" s="2"/>
      <c r="AV75" s="2"/>
      <c r="AW75" s="2"/>
      <c r="AX75" s="2"/>
      <c r="AY75" s="2"/>
      <c r="AZ75" s="2"/>
      <c r="BA75" s="2" t="str">
        <f>IFERROR(__xludf.DUMMYFUNCTION("""COMPUTED_VALUE"""),"Đủ điều kiện")</f>
        <v>Đủ điều kiện</v>
      </c>
      <c r="BB75" s="2" t="str">
        <f>IFERROR(__xludf.DUMMYFUNCTION("""COMPUTED_VALUE"""),"Duyệt")</f>
        <v>Duyệt</v>
      </c>
      <c r="BC75" s="143">
        <f>IFERROR(__xludf.DUMMYFUNCTION("""COMPUTED_VALUE"""),46164.0)</f>
        <v>46164</v>
      </c>
      <c r="BD75" s="2" t="str">
        <f>IFERROR(__xludf.DUMMYFUNCTION("""COMPUTED_VALUE"""),"Duyệt")</f>
        <v>Duyệt</v>
      </c>
      <c r="BE75" s="143">
        <f>IFERROR(__xludf.DUMMYFUNCTION("""COMPUTED_VALUE"""),46171.0)</f>
        <v>46171</v>
      </c>
      <c r="BF75" s="2" t="str">
        <f>IFERROR(__xludf.DUMMYFUNCTION("""COMPUTED_VALUE"""),"Đã xử lí giá")</f>
        <v>Đã xử lí giá</v>
      </c>
      <c r="BG75" s="2" t="str">
        <f>IFERROR(__xludf.DUMMYFUNCTION("""COMPUTED_VALUE"""),"Dòng V1 Nước trắng sữa KD chưa cập nhật giá bán 18/5/2026")</f>
        <v>Dòng V1 Nước trắng sữa KD chưa cập nhật giá bán 18/5/2026</v>
      </c>
      <c r="BH75" s="2"/>
      <c r="BI75" s="2"/>
      <c r="BJ75" s="2"/>
      <c r="BK75" s="2"/>
      <c r="BL75" s="2"/>
      <c r="BM75" s="2"/>
      <c r="BN75" s="2"/>
      <c r="BO75" s="2"/>
      <c r="BP75" s="2"/>
      <c r="BQ75" s="2"/>
    </row>
    <row r="76">
      <c r="A76" s="2">
        <f>IFERROR(__xludf.DUMMYFUNCTION("""COMPUTED_VALUE"""),73.0)</f>
        <v>73</v>
      </c>
      <c r="B76" s="2" t="str">
        <f>IFERROR(__xludf.DUMMYFUNCTION("""COMPUTED_VALUE"""),"Dego Cần Thơ")</f>
        <v>Dego Cần Thơ</v>
      </c>
      <c r="C76" s="2" t="str">
        <f>IFERROR(__xludf.DUMMYFUNCTION("""COMPUTED_VALUE"""),"ATP16052604")</f>
        <v>ATP16052604</v>
      </c>
      <c r="D76" s="39">
        <f>IFERROR(__xludf.DUMMYFUNCTION("""COMPUTED_VALUE"""),46158.0)</f>
        <v>46158</v>
      </c>
      <c r="E76" s="2" t="str">
        <f>IFERROR(__xludf.DUMMYFUNCTION("""COMPUTED_VALUE"""),"Đã duyệt")</f>
        <v>Đã duyệt</v>
      </c>
      <c r="F76" s="2" t="str">
        <f>IFERROR(__xludf.DUMMYFUNCTION("""COMPUTED_VALUE"""),"ABA")</f>
        <v>ABA</v>
      </c>
      <c r="G76" s="2" t="str">
        <f>IFERROR(__xludf.DUMMYFUNCTION("""COMPUTED_VALUE"""),"HH4735")</f>
        <v>HH4735</v>
      </c>
      <c r="H76" s="2" t="str">
        <f>IFERROR(__xludf.DUMMYFUNCTION("""COMPUTED_VALUE"""),"GC - V - 4735 - CTY LÂM THÀNH - ZINC SC NANO (Nước xanh lá sữa) - 500ml - 40")</f>
        <v>GC - V - 4735 - CTY LÂM THÀNH - ZINC SC NANO (Nước xanh lá sữa) - 500ml - 40</v>
      </c>
      <c r="I76" s="2" t="str">
        <f>IFERROR(__xludf.DUMMYFUNCTION("""COMPUTED_VALUE"""),"Phân bón")</f>
        <v>Phân bón</v>
      </c>
      <c r="J76" s="142" t="str">
        <f>IFERROR(__xludf.DUMMYFUNCTION("""COMPUTED_VALUE"""),"Vi lượng MICKEY")</f>
        <v>Vi lượng MICKEY</v>
      </c>
      <c r="K76" s="2" t="str">
        <f>IFERROR(__xludf.DUMMYFUNCTION("""COMPUTED_VALUE"""),"A01181225")</f>
        <v>A01181225</v>
      </c>
      <c r="L76" s="2" t="str">
        <f>IFERROR(__xludf.DUMMYFUNCTION("""COMPUTED_VALUE"""),"Nước xanh lá sữa")</f>
        <v>Nước xanh lá sữa</v>
      </c>
      <c r="M76" s="2" t="str">
        <f>IFERROR(__xludf.DUMMYFUNCTION("""COMPUTED_VALUE"""),"Chai")</f>
        <v>Chai</v>
      </c>
      <c r="N76" s="142">
        <f>IFERROR(__xludf.DUMMYFUNCTION("""COMPUTED_VALUE"""),40.0)</f>
        <v>40</v>
      </c>
      <c r="O76" s="142">
        <f>IFERROR(__xludf.DUMMYFUNCTION("""COMPUTED_VALUE"""),10.0)</f>
        <v>10</v>
      </c>
      <c r="P76" s="142">
        <f>IFERROR(__xludf.DUMMYFUNCTION("""COMPUTED_VALUE"""),400.0)</f>
        <v>400</v>
      </c>
      <c r="Q76" s="143">
        <f>IFERROR(__xludf.DUMMYFUNCTION("""COMPUTED_VALUE"""),46167.0)</f>
        <v>46167</v>
      </c>
      <c r="R76" s="2"/>
      <c r="S76" s="142" t="str">
        <f>IFERROR(__xludf.DUMMYFUNCTION("""COMPUTED_VALUE"""),"lấy chẳn thùng")</f>
        <v>lấy chẳn thùng</v>
      </c>
      <c r="T76" s="2"/>
      <c r="U76" s="2"/>
      <c r="V76" s="2"/>
      <c r="W76" s="2" t="str">
        <f>IFERROR(__xludf.DUMMYFUNCTION("""COMPUTED_VALUE"""),"LÂM THÀNH - Giá bán 32000 - Ngày dự kiến thu tiền:  - Dự kiến ngày ra hết hàng: ")</f>
        <v>LÂM THÀNH - Giá bán 32000 - Ngày dự kiến thu tiền:  - Dự kiến ngày ra hết hàng: </v>
      </c>
      <c r="X76" s="2"/>
      <c r="Y76" s="2" t="str">
        <f>IFERROR(__xludf.DUMMYFUNCTION("""COMPUTED_VALUE"""),"Dego Cần Thơ")</f>
        <v>Dego Cần Thơ</v>
      </c>
      <c r="Z76" s="2" t="str">
        <f>IFERROR(__xludf.DUMMYFUNCTION("""COMPUTED_VALUE"""),"Đã có lịch SX")</f>
        <v>Đã có lịch SX</v>
      </c>
      <c r="AA76" s="2"/>
      <c r="AB76" s="2"/>
      <c r="AC76" s="146">
        <f>IFERROR(__xludf.DUMMYFUNCTION("""COMPUTED_VALUE"""),400.0)</f>
        <v>400</v>
      </c>
      <c r="AD76" s="2"/>
      <c r="AE76" s="2" t="str">
        <f>IFERROR(__xludf.DUMMYFUNCTION("""COMPUTED_VALUE"""),"đã bàn giao cho nhà máy 23/05")</f>
        <v>đã bàn giao cho nhà máy 23/05</v>
      </c>
      <c r="AF76" s="2"/>
      <c r="AG76" s="2"/>
      <c r="AH76" s="2"/>
      <c r="AI76" s="2"/>
      <c r="AJ76" s="2"/>
      <c r="AK76" s="2"/>
      <c r="AL76" s="2"/>
      <c r="AM76" s="2"/>
      <c r="AN76" s="2"/>
      <c r="AO76" s="2"/>
      <c r="AP76" s="2"/>
      <c r="AQ76" s="2"/>
      <c r="AR76" s="2"/>
      <c r="AS76" s="2"/>
      <c r="AT76" s="2"/>
      <c r="AU76" s="2"/>
      <c r="AV76" s="2"/>
      <c r="AW76" s="2"/>
      <c r="AX76" s="2"/>
      <c r="AY76" s="2"/>
      <c r="AZ76" s="2" t="str">
        <f>IFERROR(__xludf.DUMMYFUNCTION("""COMPUTED_VALUE"""),"#REF!")</f>
        <v>#REF!</v>
      </c>
      <c r="BA76" s="2" t="str">
        <f>IFERROR(__xludf.DUMMYFUNCTION("""COMPUTED_VALUE"""),"Đủ điều kiện")</f>
        <v>Đủ điều kiện</v>
      </c>
      <c r="BB76" s="2" t="str">
        <f>IFERROR(__xludf.DUMMYFUNCTION("""COMPUTED_VALUE"""),"Duyệt")</f>
        <v>Duyệt</v>
      </c>
      <c r="BC76" s="148">
        <f>IFERROR(__xludf.DUMMYFUNCTION("""COMPUTED_VALUE"""),46161.0)</f>
        <v>46161</v>
      </c>
      <c r="BD76" s="2" t="str">
        <f>IFERROR(__xludf.DUMMYFUNCTION("""COMPUTED_VALUE"""),"Duyệt")</f>
        <v>Duyệt</v>
      </c>
      <c r="BE76" s="2" t="str">
        <f>IFERROR(__xludf.DUMMYFUNCTION("""COMPUTED_VALUE"""),"xlg 19/05
19/05")</f>
        <v>xlg 19/05
19/05</v>
      </c>
      <c r="BF76" s="2" t="str">
        <f>IFERROR(__xludf.DUMMYFUNCTION("""COMPUTED_VALUE"""),"Đã xử lí giá")</f>
        <v>Đã xử lí giá</v>
      </c>
      <c r="BG76" s="2" t="str">
        <f>IFERROR(__xludf.DUMMYFUNCTION("""COMPUTED_VALUE"""),"A01181225 Nước xanh lá sữa 32,000đ 18/5/2026")</f>
        <v>A01181225 Nước xanh lá sữa 32,000đ 18/5/2026</v>
      </c>
      <c r="BH76" s="2"/>
      <c r="BI76" s="2"/>
      <c r="BJ76" s="2"/>
      <c r="BK76" s="2"/>
      <c r="BL76" s="2"/>
      <c r="BM76" s="2"/>
      <c r="BN76" s="2"/>
      <c r="BO76" s="2"/>
      <c r="BP76" s="2"/>
      <c r="BQ76" s="2"/>
    </row>
    <row r="77">
      <c r="A77" s="2">
        <f>IFERROR(__xludf.DUMMYFUNCTION("""COMPUTED_VALUE"""),74.0)</f>
        <v>74</v>
      </c>
      <c r="B77" s="2" t="str">
        <f>IFERROR(__xludf.DUMMYFUNCTION("""COMPUTED_VALUE"""),"Dego Cần Thơ")</f>
        <v>Dego Cần Thơ</v>
      </c>
      <c r="C77" s="2" t="str">
        <f>IFERROR(__xludf.DUMMYFUNCTION("""COMPUTED_VALUE"""),"ATP16052606")</f>
        <v>ATP16052606</v>
      </c>
      <c r="D77" s="39">
        <f>IFERROR(__xludf.DUMMYFUNCTION("""COMPUTED_VALUE"""),46158.0)</f>
        <v>46158</v>
      </c>
      <c r="E77" s="2" t="str">
        <f>IFERROR(__xludf.DUMMYFUNCTION("""COMPUTED_VALUE"""),"Đã duyệt")</f>
        <v>Đã duyệt</v>
      </c>
      <c r="F77" s="2" t="str">
        <f>IFERROR(__xludf.DUMMYFUNCTION("""COMPUTED_VALUE"""),"ABA")</f>
        <v>ABA</v>
      </c>
      <c r="G77" s="2" t="str">
        <f>IFERROR(__xludf.DUMMYFUNCTION("""COMPUTED_VALUE"""),"HH5027")</f>
        <v>HH5027</v>
      </c>
      <c r="H77" s="2" t="str">
        <f>IFERROR(__xludf.DUMMYFUNCTION("""COMPUTED_VALUE"""),"GC - V - 5027 - HÓA NÔNG SHINO - ROOTS (Nước nâu đen) - 500ml - 40")</f>
        <v>GC - V - 5027 - HÓA NÔNG SHINO - ROOTS (Nước nâu đen) - 500ml - 40</v>
      </c>
      <c r="I77" s="2" t="str">
        <f>IFERROR(__xludf.DUMMYFUNCTION("""COMPUTED_VALUE"""),"Phân bón")</f>
        <v>Phân bón</v>
      </c>
      <c r="J77" s="142" t="str">
        <f>IFERROR(__xludf.DUMMYFUNCTION("""COMPUTED_VALUE"""),"Vi lượng Quantity New")</f>
        <v>Vi lượng Quantity New</v>
      </c>
      <c r="K77" s="2" t="str">
        <f>IFERROR(__xludf.DUMMYFUNCTION("""COMPUTED_VALUE"""),"A06270225")</f>
        <v>A06270225</v>
      </c>
      <c r="L77" s="2" t="str">
        <f>IFERROR(__xludf.DUMMYFUNCTION("""COMPUTED_VALUE"""),"Nước nâu đen")</f>
        <v>Nước nâu đen</v>
      </c>
      <c r="M77" s="2" t="str">
        <f>IFERROR(__xludf.DUMMYFUNCTION("""COMPUTED_VALUE"""),"Chai")</f>
        <v>Chai</v>
      </c>
      <c r="N77" s="142">
        <f>IFERROR(__xludf.DUMMYFUNCTION("""COMPUTED_VALUE"""),40.0)</f>
        <v>40</v>
      </c>
      <c r="O77" s="142">
        <f>IFERROR(__xludf.DUMMYFUNCTION("""COMPUTED_VALUE"""),10.0)</f>
        <v>10</v>
      </c>
      <c r="P77" s="142">
        <f>IFERROR(__xludf.DUMMYFUNCTION("""COMPUTED_VALUE"""),400.0)</f>
        <v>400</v>
      </c>
      <c r="Q77" s="143">
        <f>IFERROR(__xludf.DUMMYFUNCTION("""COMPUTED_VALUE"""),46168.0)</f>
        <v>46168</v>
      </c>
      <c r="R77" s="2"/>
      <c r="S77" s="142" t="str">
        <f>IFERROR(__xludf.DUMMYFUNCTION("""COMPUTED_VALUE"""),"lấy chẳn thùng")</f>
        <v>lấy chẳn thùng</v>
      </c>
      <c r="T77" s="2"/>
      <c r="U77" s="2"/>
      <c r="V77" s="2"/>
      <c r="W77" s="2" t="str">
        <f>IFERROR(__xludf.DUMMYFUNCTION("""COMPUTED_VALUE"""),"SHINO - Giá bán 23000 - Ngày dự kiến thu tiền:  - Dự kiến ngày ra hết hàng: ")</f>
        <v>SHINO - Giá bán 23000 - Ngày dự kiến thu tiền:  - Dự kiến ngày ra hết hàng: </v>
      </c>
      <c r="X77" s="2"/>
      <c r="Y77" s="2" t="str">
        <f>IFERROR(__xludf.DUMMYFUNCTION("""COMPUTED_VALUE"""),"Dego Cần Thơ")</f>
        <v>Dego Cần Thơ</v>
      </c>
      <c r="Z77" s="2" t="str">
        <f>IFERROR(__xludf.DUMMYFUNCTION("""COMPUTED_VALUE"""),"Đã có lịch SX")</f>
        <v>Đã có lịch SX</v>
      </c>
      <c r="AA77" s="2"/>
      <c r="AB77" s="2"/>
      <c r="AC77" s="146">
        <f>IFERROR(__xludf.DUMMYFUNCTION("""COMPUTED_VALUE"""),400.0)</f>
        <v>400</v>
      </c>
      <c r="AD77" s="2"/>
      <c r="AE77" s="2" t="str">
        <f>IFERROR(__xludf.DUMMYFUNCTION("""COMPUTED_VALUE"""),"đã bàn giao cho nhà máy 23/05")</f>
        <v>đã bàn giao cho nhà máy 23/05</v>
      </c>
      <c r="AF77" s="2"/>
      <c r="AG77" s="2"/>
      <c r="AH77" s="2"/>
      <c r="AI77" s="2"/>
      <c r="AJ77" s="2"/>
      <c r="AK77" s="2"/>
      <c r="AL77" s="2"/>
      <c r="AM77" s="2"/>
      <c r="AN77" s="2"/>
      <c r="AO77" s="2"/>
      <c r="AP77" s="2"/>
      <c r="AQ77" s="2"/>
      <c r="AR77" s="2"/>
      <c r="AS77" s="2"/>
      <c r="AT77" s="2"/>
      <c r="AU77" s="2"/>
      <c r="AV77" s="2"/>
      <c r="AW77" s="2"/>
      <c r="AX77" s="2"/>
      <c r="AY77" s="2"/>
      <c r="AZ77" s="2" t="str">
        <f>IFERROR(__xludf.DUMMYFUNCTION("""COMPUTED_VALUE"""),"#REF!")</f>
        <v>#REF!</v>
      </c>
      <c r="BA77" s="2" t="str">
        <f>IFERROR(__xludf.DUMMYFUNCTION("""COMPUTED_VALUE"""),"Đủ điều kiện")</f>
        <v>Đủ điều kiện</v>
      </c>
      <c r="BB77" s="2" t="str">
        <f>IFERROR(__xludf.DUMMYFUNCTION("""COMPUTED_VALUE"""),"Duyệt")</f>
        <v>Duyệt</v>
      </c>
      <c r="BC77" s="148">
        <f>IFERROR(__xludf.DUMMYFUNCTION("""COMPUTED_VALUE"""),46161.0)</f>
        <v>46161</v>
      </c>
      <c r="BD77" s="2" t="str">
        <f>IFERROR(__xludf.DUMMYFUNCTION("""COMPUTED_VALUE"""),"Duyệt")</f>
        <v>Duyệt</v>
      </c>
      <c r="BE77" s="2" t="str">
        <f>IFERROR(__xludf.DUMMYFUNCTION("""COMPUTED_VALUE"""),"xlg 19/05
22/05")</f>
        <v>xlg 19/05
22/05</v>
      </c>
      <c r="BF77" s="2" t="str">
        <f>IFERROR(__xludf.DUMMYFUNCTION("""COMPUTED_VALUE"""),"Đã xử lí giá")</f>
        <v>Đã xử lí giá</v>
      </c>
      <c r="BG77" s="2" t="str">
        <f>IFERROR(__xludf.DUMMYFUNCTION("""COMPUTED_VALUE"""),"A06270225 Nước nâu đen 23,000đ 18/5/2026")</f>
        <v>A06270225 Nước nâu đen 23,000đ 18/5/2026</v>
      </c>
      <c r="BH77" s="2"/>
      <c r="BI77" s="2"/>
      <c r="BJ77" s="2"/>
      <c r="BK77" s="2"/>
      <c r="BL77" s="2"/>
      <c r="BM77" s="2"/>
      <c r="BN77" s="2"/>
      <c r="BO77" s="2"/>
      <c r="BP77" s="2"/>
      <c r="BQ77" s="2"/>
    </row>
    <row r="78">
      <c r="A78" s="2">
        <f>IFERROR(__xludf.DUMMYFUNCTION("""COMPUTED_VALUE"""),48.0)</f>
        <v>48</v>
      </c>
      <c r="B78" s="2" t="str">
        <f>IFERROR(__xludf.DUMMYFUNCTION("""COMPUTED_VALUE"""),"ATC")</f>
        <v>ATC</v>
      </c>
      <c r="C78" s="2" t="str">
        <f>IFERROR(__xludf.DUMMYFUNCTION("""COMPUTED_VALUE"""),"ATP07052604")</f>
        <v>ATP07052604</v>
      </c>
      <c r="D78" s="39">
        <f>IFERROR(__xludf.DUMMYFUNCTION("""COMPUTED_VALUE"""),46149.0)</f>
        <v>46149</v>
      </c>
      <c r="E78" s="2" t="str">
        <f>IFERROR(__xludf.DUMMYFUNCTION("""COMPUTED_VALUE"""),"Đã duyệt")</f>
        <v>Đã duyệt</v>
      </c>
      <c r="F78" s="2" t="str">
        <f>IFERROR(__xludf.DUMMYFUNCTION("""COMPUTED_VALUE"""),"ABA")</f>
        <v>ABA</v>
      </c>
      <c r="G78" s="2" t="str">
        <f>IFERROR(__xludf.DUMMYFUNCTION("""COMPUTED_VALUE"""),"HH5005")</f>
        <v>HH5005</v>
      </c>
      <c r="H78" s="2" t="str">
        <f>IFERROR(__xludf.DUMMYFUNCTION("""COMPUTED_VALUE"""),"GC - V - 5005 - CTY NHP GROUP (HTX NÔNG NGHIỆP MỸ THIỆN) - MT PACLO (Nước trắng sữa) - 1L - 20")</f>
        <v>GC - V - 5005 - CTY NHP GROUP (HTX NÔNG NGHIỆP MỸ THIỆN) - MT PACLO (Nước trắng sữa) - 1L - 20</v>
      </c>
      <c r="I78" s="2" t="str">
        <f>IFERROR(__xludf.DUMMYFUNCTION("""COMPUTED_VALUE"""),"Thuốc kích thích sinh trưởng")</f>
        <v>Thuốc kích thích sinh trưởng</v>
      </c>
      <c r="J78" s="142" t="str">
        <f>IFERROR(__xludf.DUMMYFUNCTION("""COMPUTED_VALUE"""),"VT-BUZZ 250SC")</f>
        <v>VT-BUZZ 250SC</v>
      </c>
      <c r="K78" s="2" t="str">
        <f>IFERROR(__xludf.DUMMYFUNCTION("""COMPUTED_VALUE"""),"Dòng V1")</f>
        <v>Dòng V1</v>
      </c>
      <c r="L78" s="2" t="str">
        <f>IFERROR(__xludf.DUMMYFUNCTION("""COMPUTED_VALUE"""),"Nước trắng sữa")</f>
        <v>Nước trắng sữa</v>
      </c>
      <c r="M78" s="2" t="str">
        <f>IFERROR(__xludf.DUMMYFUNCTION("""COMPUTED_VALUE"""),"Chai")</f>
        <v>Chai</v>
      </c>
      <c r="N78" s="142">
        <f>IFERROR(__xludf.DUMMYFUNCTION("""COMPUTED_VALUE"""),20.0)</f>
        <v>20</v>
      </c>
      <c r="O78" s="142">
        <f>IFERROR(__xludf.DUMMYFUNCTION("""COMPUTED_VALUE"""),30.0)</f>
        <v>30</v>
      </c>
      <c r="P78" s="142">
        <f>IFERROR(__xludf.DUMMYFUNCTION("""COMPUTED_VALUE"""),600.0)</f>
        <v>600</v>
      </c>
      <c r="Q78" s="143">
        <f>IFERROR(__xludf.DUMMYFUNCTION("""COMPUTED_VALUE"""),46165.0)</f>
        <v>46165</v>
      </c>
      <c r="R78" s="2"/>
      <c r="S78" s="142" t="str">
        <f>IFERROR(__xludf.DUMMYFUNCTION("""COMPUTED_VALUE"""),"lấy chẳn thùng")</f>
        <v>lấy chẳn thùng</v>
      </c>
      <c r="T78" s="2"/>
      <c r="U78" s="2"/>
      <c r="V78" s="2"/>
      <c r="W78" s="2" t="str">
        <f>IFERROR(__xludf.DUMMYFUNCTION("""COMPUTED_VALUE"""),"ĐINH CÔNG DINH - Giá bán 140000 - Ngày dự kiến thu tiền:  - Dự kiến ngày ra hết hàng: ")</f>
        <v>ĐINH CÔNG DINH - Giá bán 140000 - Ngày dự kiến thu tiền:  - Dự kiến ngày ra hết hàng: </v>
      </c>
      <c r="X78" s="2"/>
      <c r="Y78" s="2" t="str">
        <f>IFERROR(__xludf.DUMMYFUNCTION("""COMPUTED_VALUE"""),"ATC")</f>
        <v>ATC</v>
      </c>
      <c r="Z78" s="2" t="str">
        <f>IFERROR(__xludf.DUMMYFUNCTION("""COMPUTED_VALUE"""),"Chờ lấy hoá đơn")</f>
        <v>Chờ lấy hoá đơn</v>
      </c>
      <c r="AA78" s="2"/>
      <c r="AB78" s="2" t="str">
        <f>IFERROR(__xludf.DUMMYFUNCTION("""COMPUTED_VALUE"""),"chưa gửi đơn, chưa có giá vốn (7-13/05)
chị Huỳnh duyệt cho gửi đơn, đã gửi đơn 18/05")</f>
        <v>chưa gửi đơn, chưa có giá vốn (7-13/05)
chị Huỳnh duyệt cho gửi đơn, đã gửi đơn 18/05</v>
      </c>
      <c r="AC78" s="2"/>
      <c r="AD78" s="2">
        <f>IFERROR(__xludf.DUMMYFUNCTION("""COMPUTED_VALUE"""),601.0)</f>
        <v>601</v>
      </c>
      <c r="AE78" s="143">
        <f>IFERROR(__xludf.DUMMYFUNCTION("""COMPUTED_VALUE"""),46175.0)</f>
        <v>46175</v>
      </c>
      <c r="AF78" s="146" t="str">
        <f>IFERROR(__xludf.DUMMYFUNCTION("""COMPUTED_VALUE"""),"")</f>
        <v/>
      </c>
      <c r="AG78" s="143">
        <f>IFERROR(__xludf.DUMMYFUNCTION("""COMPUTED_VALUE"""),46175.0)</f>
        <v>46175</v>
      </c>
      <c r="AH78" s="146" t="str">
        <f>IFERROR(__xludf.DUMMYFUNCTION("""COMPUTED_VALUE"""),"601")</f>
        <v>601</v>
      </c>
      <c r="AI78" s="2"/>
      <c r="AJ78" s="2"/>
      <c r="AK78" s="2"/>
      <c r="AL78" s="2"/>
      <c r="AM78" s="146" t="str">
        <f>IFERROR(__xludf.DUMMYFUNCTION("""COMPUTED_VALUE"""),"601")</f>
        <v>601</v>
      </c>
      <c r="AN78" s="2"/>
      <c r="AO78" s="2"/>
      <c r="AP78" s="2"/>
      <c r="AQ78" s="2"/>
      <c r="AR78" s="2"/>
      <c r="AS78" s="2"/>
      <c r="AT78" s="2"/>
      <c r="AU78" s="2"/>
      <c r="AV78" s="2"/>
      <c r="AW78" s="2"/>
      <c r="AX78" s="2"/>
      <c r="AY78" s="2"/>
      <c r="AZ78" s="2"/>
      <c r="BA78" s="2" t="str">
        <f>IFERROR(__xludf.DUMMYFUNCTION("""COMPUTED_VALUE"""),"Không đủ điều kiện")</f>
        <v>Không đủ điều kiện</v>
      </c>
      <c r="BB78" s="2" t="str">
        <f>IFERROR(__xludf.DUMMYFUNCTION("""COMPUTED_VALUE"""),"Duyệt")</f>
        <v>Duyệt</v>
      </c>
      <c r="BC78" s="148">
        <f>IFERROR(__xludf.DUMMYFUNCTION("""COMPUTED_VALUE"""),46150.0)</f>
        <v>46150</v>
      </c>
      <c r="BD78" s="2" t="str">
        <f>IFERROR(__xludf.DUMMYFUNCTION("""COMPUTED_VALUE"""),"Duyệt")</f>
        <v>Duyệt</v>
      </c>
      <c r="BE78" s="2" t="str">
        <f>IFERROR(__xludf.DUMMYFUNCTION("""COMPUTED_VALUE"""),"xlg 18/05")</f>
        <v>xlg 18/05</v>
      </c>
      <c r="BF78" s="2" t="str">
        <f>IFERROR(__xludf.DUMMYFUNCTION("""COMPUTED_VALUE"""),"Đã xử lí giá")</f>
        <v>Đã xử lí giá</v>
      </c>
      <c r="BG78" s="2" t="str">
        <f>IFERROR(__xludf.DUMMYFUNCTION("""COMPUTED_VALUE"""),"Dòng V1 Nước trắng sữa 140,000Đ 7/5/2026
Đã báo giá vốn 18/5/2026")</f>
        <v>Dòng V1 Nước trắng sữa 140,000Đ 7/5/2026
Đã báo giá vốn 18/5/2026</v>
      </c>
      <c r="BH78" s="2"/>
      <c r="BI78" s="2"/>
      <c r="BJ78" s="2"/>
      <c r="BK78" s="2"/>
      <c r="BL78" s="2"/>
      <c r="BM78" s="2"/>
      <c r="BN78" s="2"/>
      <c r="BO78" s="2"/>
      <c r="BP78" s="2"/>
      <c r="BQ78" s="2"/>
    </row>
    <row r="79">
      <c r="A79" s="2">
        <f>IFERROR(__xludf.DUMMYFUNCTION("""COMPUTED_VALUE"""),76.0)</f>
        <v>76</v>
      </c>
      <c r="B79" s="2" t="str">
        <f>IFERROR(__xludf.DUMMYFUNCTION("""COMPUTED_VALUE"""),"Dego Cần Thơ")</f>
        <v>Dego Cần Thơ</v>
      </c>
      <c r="C79" s="2" t="str">
        <f>IFERROR(__xludf.DUMMYFUNCTION("""COMPUTED_VALUE"""),"ATP18052601")</f>
        <v>ATP18052601</v>
      </c>
      <c r="D79" s="39">
        <f>IFERROR(__xludf.DUMMYFUNCTION("""COMPUTED_VALUE"""),46160.0)</f>
        <v>46160</v>
      </c>
      <c r="E79" s="2" t="str">
        <f>IFERROR(__xludf.DUMMYFUNCTION("""COMPUTED_VALUE"""),"Đã duyệt")</f>
        <v>Đã duyệt</v>
      </c>
      <c r="F79" s="2" t="str">
        <f>IFERROR(__xludf.DUMMYFUNCTION("""COMPUTED_VALUE"""),"ABA")</f>
        <v>ABA</v>
      </c>
      <c r="G79" s="2" t="str">
        <f>IFERROR(__xludf.DUMMYFUNCTION("""COMPUTED_VALUE"""),"HH4160")</f>
        <v>HH4160</v>
      </c>
      <c r="H79" s="2" t="str">
        <f>IFERROR(__xludf.DUMMYFUNCTION("""COMPUTED_VALUE"""),"GC - IV - 4160 - Japan Crop Science - Sumo Siêu Cứng (gel nâu đen) - 500ml - 30")</f>
        <v>GC - IV - 4160 - Japan Crop Science - Sumo Siêu Cứng (gel nâu đen) - 500ml - 30</v>
      </c>
      <c r="I79" s="2" t="str">
        <f>IFERROR(__xludf.DUMMYFUNCTION("""COMPUTED_VALUE"""),"Phân bón")</f>
        <v>Phân bón</v>
      </c>
      <c r="J79" s="142" t="str">
        <f>IFERROR(__xludf.DUMMYFUNCTION("""COMPUTED_VALUE"""),"Vi lượng Quantity New")</f>
        <v>Vi lượng Quantity New</v>
      </c>
      <c r="K79" s="2" t="str">
        <f>IFERROR(__xludf.DUMMYFUNCTION("""COMPUTED_VALUE"""),"Cùng ruột 1570")</f>
        <v>Cùng ruột 1570</v>
      </c>
      <c r="L79" s="2" t="str">
        <f>IFERROR(__xludf.DUMMYFUNCTION("""COMPUTED_VALUE"""),"Gel nâu đen")</f>
        <v>Gel nâu đen</v>
      </c>
      <c r="M79" s="2" t="str">
        <f>IFERROR(__xludf.DUMMYFUNCTION("""COMPUTED_VALUE"""),"Chai")</f>
        <v>Chai</v>
      </c>
      <c r="N79" s="142">
        <f>IFERROR(__xludf.DUMMYFUNCTION("""COMPUTED_VALUE"""),30.0)</f>
        <v>30</v>
      </c>
      <c r="O79" s="142">
        <f>IFERROR(__xludf.DUMMYFUNCTION("""COMPUTED_VALUE"""),20.0)</f>
        <v>20</v>
      </c>
      <c r="P79" s="142">
        <f>IFERROR(__xludf.DUMMYFUNCTION("""COMPUTED_VALUE"""),600.0)</f>
        <v>600</v>
      </c>
      <c r="Q79" s="143">
        <f>IFERROR(__xludf.DUMMYFUNCTION("""COMPUTED_VALUE"""),46169.0)</f>
        <v>46169</v>
      </c>
      <c r="R79" s="2"/>
      <c r="S79" s="142" t="str">
        <f>IFERROR(__xludf.DUMMYFUNCTION("""COMPUTED_VALUE"""),"lấy chẳn thùng")</f>
        <v>lấy chẳn thùng</v>
      </c>
      <c r="T79" s="2"/>
      <c r="U79" s="2"/>
      <c r="V79" s="2"/>
      <c r="W79" s="2" t="str">
        <f>IFERROR(__xludf.DUMMYFUNCTION("""COMPUTED_VALUE"""),"JAPAN - Giá bán 50500 - Ngày dự kiến thu tiền:  - Dự kiến ngày ra hết hàng: ")</f>
        <v>JAPAN - Giá bán 50500 - Ngày dự kiến thu tiền:  - Dự kiến ngày ra hết hàng: </v>
      </c>
      <c r="X79" s="2"/>
      <c r="Y79" s="2" t="str">
        <f>IFERROR(__xludf.DUMMYFUNCTION("""COMPUTED_VALUE"""),"Dego Cần Thơ")</f>
        <v>Dego Cần Thơ</v>
      </c>
      <c r="Z79" s="2" t="str">
        <f>IFERROR(__xludf.DUMMYFUNCTION("""COMPUTED_VALUE"""),"Chưa có lịch SX")</f>
        <v>Chưa có lịch SX</v>
      </c>
      <c r="AA79" s="2"/>
      <c r="AB79" s="2" t="str">
        <f>IFERROR(__xludf.DUMMYFUNCTION("""COMPUTED_VALUE"""),"tag treo gửi khi giao hàng, để khách treo")</f>
        <v>tag treo gửi khi giao hàng, để khách treo</v>
      </c>
      <c r="AC79" s="146">
        <f>IFERROR(__xludf.DUMMYFUNCTION("""COMPUTED_VALUE"""),600.0)</f>
        <v>600</v>
      </c>
      <c r="AD79" s="2"/>
      <c r="AE79" s="2" t="str">
        <f>IFERROR(__xludf.DUMMYFUNCTION("""COMPUTED_VALUE"""),"đã bàn giao cho nhà máy 23/05")</f>
        <v>đã bàn giao cho nhà máy 23/05</v>
      </c>
      <c r="AF79" s="2"/>
      <c r="AG79" s="2"/>
      <c r="AH79" s="2"/>
      <c r="AI79" s="2"/>
      <c r="AJ79" s="2"/>
      <c r="AK79" s="2"/>
      <c r="AL79" s="2"/>
      <c r="AM79" s="2"/>
      <c r="AN79" s="2"/>
      <c r="AO79" s="2"/>
      <c r="AP79" s="2"/>
      <c r="AQ79" s="2"/>
      <c r="AR79" s="2"/>
      <c r="AS79" s="2"/>
      <c r="AT79" s="2"/>
      <c r="AU79" s="2"/>
      <c r="AV79" s="2"/>
      <c r="AW79" s="2"/>
      <c r="AX79" s="2"/>
      <c r="AY79" s="2"/>
      <c r="AZ79" s="2" t="str">
        <f>IFERROR(__xludf.DUMMYFUNCTION("""COMPUTED_VALUE"""),"#REF!")</f>
        <v>#REF!</v>
      </c>
      <c r="BA79" s="2" t="str">
        <f>IFERROR(__xludf.DUMMYFUNCTION("""COMPUTED_VALUE"""),"Đủ điều kiện")</f>
        <v>Đủ điều kiện</v>
      </c>
      <c r="BB79" s="2" t="str">
        <f>IFERROR(__xludf.DUMMYFUNCTION("""COMPUTED_VALUE"""),"Duyệt")</f>
        <v>Duyệt</v>
      </c>
      <c r="BC79" s="148">
        <f>IFERROR(__xludf.DUMMYFUNCTION("""COMPUTED_VALUE"""),46161.0)</f>
        <v>46161</v>
      </c>
      <c r="BD79" s="2" t="str">
        <f>IFERROR(__xludf.DUMMYFUNCTION("""COMPUTED_VALUE"""),"Duyệt")</f>
        <v>Duyệt</v>
      </c>
      <c r="BE79" s="2" t="str">
        <f>IFERROR(__xludf.DUMMYFUNCTION("""COMPUTED_VALUE"""),"xlg 20/05")</f>
        <v>xlg 20/05</v>
      </c>
      <c r="BF79" s="2" t="str">
        <f>IFERROR(__xludf.DUMMYFUNCTION("""COMPUTED_VALUE"""),"Đã xử lí giá")</f>
        <v>Đã xử lí giá</v>
      </c>
      <c r="BG79" s="2" t="str">
        <f>IFERROR(__xludf.DUMMYFUNCTION("""COMPUTED_VALUE"""),"Cùng ruột 1570 Gel nâu đen 50,500đ 18/5/2026")</f>
        <v>Cùng ruột 1570 Gel nâu đen 50,500đ 18/5/2026</v>
      </c>
      <c r="BH79" s="2"/>
      <c r="BI79" s="2"/>
      <c r="BJ79" s="2"/>
      <c r="BK79" s="2"/>
      <c r="BL79" s="2"/>
      <c r="BM79" s="2"/>
      <c r="BN79" s="2"/>
      <c r="BO79" s="2"/>
      <c r="BP79" s="2"/>
      <c r="BQ79" s="2"/>
    </row>
    <row r="80">
      <c r="A80" s="2">
        <f>IFERROR(__xludf.DUMMYFUNCTION("""COMPUTED_VALUE"""),77.0)</f>
        <v>77</v>
      </c>
      <c r="B80" s="2" t="str">
        <f>IFERROR(__xludf.DUMMYFUNCTION("""COMPUTED_VALUE"""),"Dego Cần Thơ")</f>
        <v>Dego Cần Thơ</v>
      </c>
      <c r="C80" s="2" t="str">
        <f>IFERROR(__xludf.DUMMYFUNCTION("""COMPUTED_VALUE"""),"AYC18052601")</f>
        <v>AYC18052601</v>
      </c>
      <c r="D80" s="39">
        <f>IFERROR(__xludf.DUMMYFUNCTION("""COMPUTED_VALUE"""),46160.0)</f>
        <v>46160</v>
      </c>
      <c r="E80" s="2" t="str">
        <f>IFERROR(__xludf.DUMMYFUNCTION("""COMPUTED_VALUE"""),"Đã duyệt")</f>
        <v>Đã duyệt</v>
      </c>
      <c r="F80" s="2" t="str">
        <f>IFERROR(__xludf.DUMMYFUNCTION("""COMPUTED_VALUE"""),"ABA")</f>
        <v>ABA</v>
      </c>
      <c r="G80" s="2" t="str">
        <f>IFERROR(__xludf.DUMMYFUNCTION("""COMPUTED_VALUE"""),"HH5004")</f>
        <v>HH5004</v>
      </c>
      <c r="H80" s="2" t="str">
        <f>IFERROR(__xludf.DUMMYFUNCTION("""COMPUTED_VALUE"""),"GC - V - 5004 - CTY AN LẠC - TĂNG TRƯỞNG (Nước nâu đen) - 500ml - 40")</f>
        <v>GC - V - 5004 - CTY AN LẠC - TĂNG TRƯỞNG (Nước nâu đen) - 500ml - 40</v>
      </c>
      <c r="I80" s="2" t="str">
        <f>IFERROR(__xludf.DUMMYFUNCTION("""COMPUTED_VALUE"""),"Phân bón")</f>
        <v>Phân bón</v>
      </c>
      <c r="J80" s="142" t="str">
        <f>IFERROR(__xludf.DUMMYFUNCTION("""COMPUTED_VALUE"""),"Hỗn Hợp NP AGAMA-AP")</f>
        <v>Hỗn Hợp NP AGAMA-AP</v>
      </c>
      <c r="K80" s="2" t="str">
        <f>IFERROR(__xludf.DUMMYFUNCTION("""COMPUTED_VALUE"""),"A20280225")</f>
        <v>A20280225</v>
      </c>
      <c r="L80" s="2" t="str">
        <f>IFERROR(__xludf.DUMMYFUNCTION("""COMPUTED_VALUE"""),"Nước nâu đen")</f>
        <v>Nước nâu đen</v>
      </c>
      <c r="M80" s="2" t="str">
        <f>IFERROR(__xludf.DUMMYFUNCTION("""COMPUTED_VALUE"""),"Chai")</f>
        <v>Chai</v>
      </c>
      <c r="N80" s="142">
        <f>IFERROR(__xludf.DUMMYFUNCTION("""COMPUTED_VALUE"""),40.0)</f>
        <v>40</v>
      </c>
      <c r="O80" s="142">
        <f>IFERROR(__xludf.DUMMYFUNCTION("""COMPUTED_VALUE"""),11.0)</f>
        <v>11</v>
      </c>
      <c r="P80" s="142">
        <f>IFERROR(__xludf.DUMMYFUNCTION("""COMPUTED_VALUE"""),440.0)</f>
        <v>440</v>
      </c>
      <c r="Q80" s="143">
        <f>IFERROR(__xludf.DUMMYFUNCTION("""COMPUTED_VALUE"""),46170.0)</f>
        <v>46170</v>
      </c>
      <c r="R80" s="2"/>
      <c r="S80" s="142" t="str">
        <f>IFERROR(__xludf.DUMMYFUNCTION("""COMPUTED_VALUE"""),"Xử lý dán  nhãn 5004 qua 4960")</f>
        <v>Xử lý dán  nhãn 5004 qua 4960</v>
      </c>
      <c r="T80" s="2"/>
      <c r="U80" s="2"/>
      <c r="V80" s="2"/>
      <c r="W80" s="2" t="str">
        <f>IFERROR(__xludf.DUMMYFUNCTION("""COMPUTED_VALUE"""),"AN LẠC - Giá bán 28000 - Ngày dự kiến thu tiền:  - Dự kiến ngày ra hết hàng: ")</f>
        <v>AN LẠC - Giá bán 28000 - Ngày dự kiến thu tiền:  - Dự kiến ngày ra hết hàng: </v>
      </c>
      <c r="X80" s="2"/>
      <c r="Y80" s="2" t="str">
        <f>IFERROR(__xludf.DUMMYFUNCTION("""COMPUTED_VALUE"""),"Dego Cần Thơ")</f>
        <v>Dego Cần Thơ</v>
      </c>
      <c r="Z80" s="2" t="str">
        <f>IFERROR(__xludf.DUMMYFUNCTION("""COMPUTED_VALUE"""),"Chưa gửi đơn")</f>
        <v>Chưa gửi đơn</v>
      </c>
      <c r="AA80" s="2"/>
      <c r="AB80" s="2" t="str">
        <f>IFERROR(__xludf.DUMMYFUNCTION("""COMPUTED_VALUE"""),"chưa đủ dk, chưa có ct trên sheet DS btp phối nên chưa làm được BDM 22-23/05 ")</f>
        <v>chưa đủ dk, chưa có ct trên sheet DS btp phối nên chưa làm được BDM 22-23/05 </v>
      </c>
      <c r="AC80" s="146">
        <f>IFERROR(__xludf.DUMMYFUNCTION("""COMPUTED_VALUE"""),440.0)</f>
        <v>440</v>
      </c>
      <c r="AD80" s="2"/>
      <c r="AE80" s="2" t="str">
        <f>IFERROR(__xludf.DUMMYFUNCTION("""COMPUTED_VALUE"""),"đã bàn giao cho nhà máy 23/05")</f>
        <v>đã bàn giao cho nhà máy 23/05</v>
      </c>
      <c r="AF80" s="2"/>
      <c r="AG80" s="2"/>
      <c r="AH80" s="2"/>
      <c r="AI80" s="2"/>
      <c r="AJ80" s="2"/>
      <c r="AK80" s="2"/>
      <c r="AL80" s="2"/>
      <c r="AM80" s="2"/>
      <c r="AN80" s="2"/>
      <c r="AO80" s="2"/>
      <c r="AP80" s="2"/>
      <c r="AQ80" s="2"/>
      <c r="AR80" s="2"/>
      <c r="AS80" s="2"/>
      <c r="AT80" s="2"/>
      <c r="AU80" s="2"/>
      <c r="AV80" s="2"/>
      <c r="AW80" s="2"/>
      <c r="AX80" s="2"/>
      <c r="AY80" s="2"/>
      <c r="AZ80" s="2" t="str">
        <f>IFERROR(__xludf.DUMMYFUNCTION("""COMPUTED_VALUE"""),"#REF!")</f>
        <v>#REF!</v>
      </c>
      <c r="BA80" s="2" t="str">
        <f>IFERROR(__xludf.DUMMYFUNCTION("""COMPUTED_VALUE"""),"Không đủ điều kiện")</f>
        <v>Không đủ điều kiện</v>
      </c>
      <c r="BB80" s="2" t="str">
        <f>IFERROR(__xludf.DUMMYFUNCTION("""COMPUTED_VALUE"""),"Duyệt")</f>
        <v>Duyệt</v>
      </c>
      <c r="BC80" s="148">
        <f>IFERROR(__xludf.DUMMYFUNCTION("""COMPUTED_VALUE"""),46161.0)</f>
        <v>46161</v>
      </c>
      <c r="BD80" s="2" t="str">
        <f>IFERROR(__xludf.DUMMYFUNCTION("""COMPUTED_VALUE"""),"Chờ duyệt")</f>
        <v>Chờ duyệt</v>
      </c>
      <c r="BE80" s="2" t="str">
        <f>IFERROR(__xludf.DUMMYFUNCTION("""COMPUTED_VALUE"""),"xlg 18/05")</f>
        <v>xlg 18/05</v>
      </c>
      <c r="BF80" s="2" t="str">
        <f>IFERROR(__xludf.DUMMYFUNCTION("""COMPUTED_VALUE"""),"Hàng xử lý lại")</f>
        <v>Hàng xử lý lại</v>
      </c>
      <c r="BG80" s="2" t="str">
        <f>IFERROR(__xludf.DUMMYFUNCTION("""COMPUTED_VALUE"""),"A20280225 Nước nâu đen 28,000đ 18/5/2026 AYC18052601")</f>
        <v>A20280225 Nước nâu đen 28,000đ 18/5/2026 AYC18052601</v>
      </c>
      <c r="BH80" s="2"/>
      <c r="BI80" s="2"/>
      <c r="BJ80" s="2"/>
      <c r="BK80" s="2"/>
      <c r="BL80" s="2"/>
      <c r="BM80" s="2"/>
      <c r="BN80" s="2"/>
      <c r="BO80" s="2"/>
      <c r="BP80" s="2"/>
      <c r="BQ80" s="2"/>
    </row>
    <row r="81">
      <c r="A81" s="2">
        <f>IFERROR(__xludf.DUMMYFUNCTION("""COMPUTED_VALUE"""),78.0)</f>
        <v>78</v>
      </c>
      <c r="B81" s="2" t="str">
        <f>IFERROR(__xludf.DUMMYFUNCTION("""COMPUTED_VALUE"""),"Hà Long")</f>
        <v>Hà Long</v>
      </c>
      <c r="C81" s="2" t="str">
        <f>IFERROR(__xludf.DUMMYFUNCTION("""COMPUTED_VALUE"""),"ATP18052602")</f>
        <v>ATP18052602</v>
      </c>
      <c r="D81" s="39">
        <f>IFERROR(__xludf.DUMMYFUNCTION("""COMPUTED_VALUE"""),46160.0)</f>
        <v>46160</v>
      </c>
      <c r="E81" s="2" t="str">
        <f>IFERROR(__xludf.DUMMYFUNCTION("""COMPUTED_VALUE"""),"Đã duyệt")</f>
        <v>Đã duyệt</v>
      </c>
      <c r="F81" s="2" t="str">
        <f>IFERROR(__xludf.DUMMYFUNCTION("""COMPUTED_VALUE"""),"ABA")</f>
        <v>ABA</v>
      </c>
      <c r="G81" s="2" t="str">
        <f>IFERROR(__xludf.DUMMYFUNCTION("""COMPUTED_VALUE"""),"HH5029")</f>
        <v>HH5029</v>
      </c>
      <c r="H81" s="2" t="str">
        <f>IFERROR(__xludf.DUMMYFUNCTION("""COMPUTED_VALUE"""),"GC - V - 5029 - CTY VTNN TRỌNG LÝ - FORVIN 85WP (Bột trắng) - 100gr - 100")</f>
        <v>GC - V - 5029 - CTY VTNN TRỌNG LÝ - FORVIN 85WP (Bột trắng) - 100gr - 100</v>
      </c>
      <c r="I81" s="2" t="str">
        <f>IFERROR(__xludf.DUMMYFUNCTION("""COMPUTED_VALUE"""),"Thuốc trừ sâu")</f>
        <v>Thuốc trừ sâu</v>
      </c>
      <c r="J81" s="142" t="str">
        <f>IFERROR(__xludf.DUMMYFUNCTION("""COMPUTED_VALUE"""),"FORVIN 85WP")</f>
        <v>FORVIN 85WP</v>
      </c>
      <c r="K81" s="2" t="str">
        <f>IFERROR(__xludf.DUMMYFUNCTION("""COMPUTED_VALUE"""),"Dòng V1")</f>
        <v>Dòng V1</v>
      </c>
      <c r="L81" s="2" t="str">
        <f>IFERROR(__xludf.DUMMYFUNCTION("""COMPUTED_VALUE"""),"Bột trắng")</f>
        <v>Bột trắng</v>
      </c>
      <c r="M81" s="2" t="str">
        <f>IFERROR(__xludf.DUMMYFUNCTION("""COMPUTED_VALUE"""),"Túi/Gói")</f>
        <v>Túi/Gói</v>
      </c>
      <c r="N81" s="142">
        <f>IFERROR(__xludf.DUMMYFUNCTION("""COMPUTED_VALUE"""),100.0)</f>
        <v>100</v>
      </c>
      <c r="O81" s="142">
        <f>IFERROR(__xludf.DUMMYFUNCTION("""COMPUTED_VALUE"""),10.0)</f>
        <v>10</v>
      </c>
      <c r="P81" s="142">
        <f>IFERROR(__xludf.DUMMYFUNCTION("""COMPUTED_VALUE"""),1000.0)</f>
        <v>1000</v>
      </c>
      <c r="Q81" s="143">
        <f>IFERROR(__xludf.DUMMYFUNCTION("""COMPUTED_VALUE"""),46175.0)</f>
        <v>46175</v>
      </c>
      <c r="R81" s="2"/>
      <c r="S81" s="142" t="str">
        <f>IFERROR(__xludf.DUMMYFUNCTION("""COMPUTED_VALUE"""),"lấy chẳn thùng")</f>
        <v>lấy chẳn thùng</v>
      </c>
      <c r="T81" s="2"/>
      <c r="U81" s="2"/>
      <c r="V81" s="2"/>
      <c r="W81" s="2" t="str">
        <f>IFERROR(__xludf.DUMMYFUNCTION("""COMPUTED_VALUE"""),"TRỌNG LÝ - Giá bán 30400 - Ngày dự kiến thu tiền:  - Dự kiến ngày ra hết hàng: ")</f>
        <v>TRỌNG LÝ - Giá bán 30400 - Ngày dự kiến thu tiền:  - Dự kiến ngày ra hết hàng: </v>
      </c>
      <c r="X81" s="2"/>
      <c r="Y81" s="2" t="str">
        <f>IFERROR(__xludf.DUMMYFUNCTION("""COMPUTED_VALUE"""),"Hà Long")</f>
        <v>Hà Long</v>
      </c>
      <c r="Z81" s="2" t="str">
        <f>IFERROR(__xludf.DUMMYFUNCTION("""COMPUTED_VALUE"""),"Chưa có lịch SX")</f>
        <v>Chưa có lịch SX</v>
      </c>
      <c r="AA81" s="2"/>
      <c r="AB81" s="2" t="str">
        <f>IFERROR(__xludf.DUMMYFUNCTION("""COMPUTED_VALUE"""),"20/05 thiếu túi- dk 30/05
27/5 HL đang mua NL chưa có ngày dự kiến")</f>
        <v>20/05 thiếu túi- dk 30/05
27/5 HL đang mua NL chưa có ngày dự kiến</v>
      </c>
      <c r="AC81" s="146">
        <f>IFERROR(__xludf.DUMMYFUNCTION("""COMPUTED_VALUE"""),1000.0)</f>
        <v>1000</v>
      </c>
      <c r="AD81" s="2"/>
      <c r="AE81" s="143" t="str">
        <f>IFERROR(__xludf.DUMMYFUNCTION("""COMPUTED_VALUE"""),"Chưa chốt lịch")</f>
        <v>Chưa chốt lịch</v>
      </c>
      <c r="AF81" s="2"/>
      <c r="AG81" s="2"/>
      <c r="AH81" s="2"/>
      <c r="AI81" s="2"/>
      <c r="AJ81" s="2"/>
      <c r="AK81" s="2"/>
      <c r="AL81" s="2"/>
      <c r="AM81" s="2"/>
      <c r="AN81" s="2"/>
      <c r="AO81" s="2"/>
      <c r="AP81" s="2"/>
      <c r="AQ81" s="2"/>
      <c r="AR81" s="2"/>
      <c r="AS81" s="2"/>
      <c r="AT81" s="2"/>
      <c r="AU81" s="2"/>
      <c r="AV81" s="2"/>
      <c r="AW81" s="2"/>
      <c r="AX81" s="2"/>
      <c r="AY81" s="2"/>
      <c r="AZ81" s="2"/>
      <c r="BA81" s="2" t="str">
        <f>IFERROR(__xludf.DUMMYFUNCTION("""COMPUTED_VALUE"""),"Đủ điều kiện")</f>
        <v>Đủ điều kiện</v>
      </c>
      <c r="BB81" s="2" t="str">
        <f>IFERROR(__xludf.DUMMYFUNCTION("""COMPUTED_VALUE"""),"Duyệt")</f>
        <v>Duyệt</v>
      </c>
      <c r="BC81" s="143">
        <f>IFERROR(__xludf.DUMMYFUNCTION("""COMPUTED_VALUE"""),46164.0)</f>
        <v>46164</v>
      </c>
      <c r="BD81" s="2" t="str">
        <f>IFERROR(__xludf.DUMMYFUNCTION("""COMPUTED_VALUE"""),"Duyệt")</f>
        <v>Duyệt</v>
      </c>
      <c r="BE81" s="143">
        <f>IFERROR(__xludf.DUMMYFUNCTION("""COMPUTED_VALUE"""),46171.0)</f>
        <v>46171</v>
      </c>
      <c r="BF81" s="2" t="str">
        <f>IFERROR(__xludf.DUMMYFUNCTION("""COMPUTED_VALUE"""),"Đã xử lí giá")</f>
        <v>Đã xử lí giá</v>
      </c>
      <c r="BG81" s="2" t="str">
        <f>IFERROR(__xludf.DUMMYFUNCTION("""COMPUTED_VALUE"""),"Dòng V1 Bột trắng 30,400đ 18/5/2026")</f>
        <v>Dòng V1 Bột trắng 30,400đ 18/5/2026</v>
      </c>
      <c r="BH81" s="2"/>
      <c r="BI81" s="2"/>
      <c r="BJ81" s="2"/>
      <c r="BK81" s="2"/>
      <c r="BL81" s="2"/>
      <c r="BM81" s="2"/>
      <c r="BN81" s="2"/>
      <c r="BO81" s="2"/>
      <c r="BP81" s="2"/>
      <c r="BQ81" s="2"/>
    </row>
    <row r="82">
      <c r="A82" s="2">
        <f>IFERROR(__xludf.DUMMYFUNCTION("""COMPUTED_VALUE"""),79.0)</f>
        <v>79</v>
      </c>
      <c r="B82" s="2" t="str">
        <f>IFERROR(__xludf.DUMMYFUNCTION("""COMPUTED_VALUE"""),"Dego Cần Thơ")</f>
        <v>Dego Cần Thơ</v>
      </c>
      <c r="C82" s="2" t="str">
        <f>IFERROR(__xludf.DUMMYFUNCTION("""COMPUTED_VALUE"""),"ATP18052603")</f>
        <v>ATP18052603</v>
      </c>
      <c r="D82" s="39">
        <f>IFERROR(__xludf.DUMMYFUNCTION("""COMPUTED_VALUE"""),46160.0)</f>
        <v>46160</v>
      </c>
      <c r="E82" s="2" t="str">
        <f>IFERROR(__xludf.DUMMYFUNCTION("""COMPUTED_VALUE"""),"Đã duyệt")</f>
        <v>Đã duyệt</v>
      </c>
      <c r="F82" s="2" t="str">
        <f>IFERROR(__xludf.DUMMYFUNCTION("""COMPUTED_VALUE"""),"ABA")</f>
        <v>ABA</v>
      </c>
      <c r="G82" s="2" t="str">
        <f>IFERROR(__xludf.DUMMYFUNCTION("""COMPUTED_VALUE"""),"HH5026")</f>
        <v>HH5026</v>
      </c>
      <c r="H82" s="2" t="str">
        <f>IFERROR(__xludf.DUMMYFUNCTION("""COMPUTED_VALUE"""),"GC - V - 5026 - CTY LUTA - 10-60-10 (Bột màu trắng) - 1kg - 25")</f>
        <v>GC - V - 5026 - CTY LUTA - 10-60-10 (Bột màu trắng) - 1kg - 25</v>
      </c>
      <c r="I82" s="2" t="str">
        <f>IFERROR(__xludf.DUMMYFUNCTION("""COMPUTED_VALUE"""),"Phân bón")</f>
        <v>Phân bón</v>
      </c>
      <c r="J82" s="142" t="str">
        <f>IFERROR(__xludf.DUMMYFUNCTION("""COMPUTED_VALUE"""),"Hỗn Hợp NPK NPK 10-60-10 NNV")</f>
        <v>Hỗn Hợp NPK NPK 10-60-10 NNV</v>
      </c>
      <c r="K82" s="2" t="str">
        <f>IFERROR(__xludf.DUMMYFUNCTION("""COMPUTED_VALUE"""),"A01160326")</f>
        <v>A01160326</v>
      </c>
      <c r="L82" s="2" t="str">
        <f>IFERROR(__xludf.DUMMYFUNCTION("""COMPUTED_VALUE"""),"Bột trắng")</f>
        <v>Bột trắng</v>
      </c>
      <c r="M82" s="2" t="str">
        <f>IFERROR(__xludf.DUMMYFUNCTION("""COMPUTED_VALUE"""),"Túi/Gói")</f>
        <v>Túi/Gói</v>
      </c>
      <c r="N82" s="142">
        <f>IFERROR(__xludf.DUMMYFUNCTION("""COMPUTED_VALUE"""),25.0)</f>
        <v>25</v>
      </c>
      <c r="O82" s="142">
        <f>IFERROR(__xludf.DUMMYFUNCTION("""COMPUTED_VALUE"""),20.0)</f>
        <v>20</v>
      </c>
      <c r="P82" s="142">
        <f>IFERROR(__xludf.DUMMYFUNCTION("""COMPUTED_VALUE"""),500.0)</f>
        <v>500</v>
      </c>
      <c r="Q82" s="143">
        <f>IFERROR(__xludf.DUMMYFUNCTION("""COMPUTED_VALUE"""),46175.0)</f>
        <v>46175</v>
      </c>
      <c r="R82" s="2"/>
      <c r="S82" s="142" t="str">
        <f>IFERROR(__xludf.DUMMYFUNCTION("""COMPUTED_VALUE"""),"lấy chẳn thùng")</f>
        <v>lấy chẳn thùng</v>
      </c>
      <c r="T82" s="2"/>
      <c r="U82" s="2"/>
      <c r="V82" s="2"/>
      <c r="W82" s="2" t="str">
        <f>IFERROR(__xludf.DUMMYFUNCTION("""COMPUTED_VALUE"""),"LUTA - Giá bán 63000 - Ngày dự kiến thu tiền:  - Dự kiến ngày ra hết hàng: ")</f>
        <v>LUTA - Giá bán 63000 - Ngày dự kiến thu tiền:  - Dự kiến ngày ra hết hàng: </v>
      </c>
      <c r="X82" s="2"/>
      <c r="Y82" s="2" t="str">
        <f>IFERROR(__xludf.DUMMYFUNCTION("""COMPUTED_VALUE"""),"Dego Cần Thơ")</f>
        <v>Dego Cần Thơ</v>
      </c>
      <c r="Z82" s="2" t="str">
        <f>IFERROR(__xludf.DUMMYFUNCTION("""COMPUTED_VALUE"""),"Chưa có lịch SX")</f>
        <v>Chưa có lịch SX</v>
      </c>
      <c r="AA82" s="2"/>
      <c r="AB82" s="2"/>
      <c r="AC82" s="146">
        <f>IFERROR(__xludf.DUMMYFUNCTION("""COMPUTED_VALUE"""),500.0)</f>
        <v>500</v>
      </c>
      <c r="AD82" s="2"/>
      <c r="AE82" s="2" t="str">
        <f>IFERROR(__xludf.DUMMYFUNCTION("""COMPUTED_VALUE"""),"đã bàn giao cho nhà máy 23/05")</f>
        <v>đã bàn giao cho nhà máy 23/05</v>
      </c>
      <c r="AF82" s="2"/>
      <c r="AG82" s="2"/>
      <c r="AH82" s="2"/>
      <c r="AI82" s="2"/>
      <c r="AJ82" s="2"/>
      <c r="AK82" s="2"/>
      <c r="AL82" s="2"/>
      <c r="AM82" s="2"/>
      <c r="AN82" s="2"/>
      <c r="AO82" s="2"/>
      <c r="AP82" s="2"/>
      <c r="AQ82" s="2"/>
      <c r="AR82" s="2"/>
      <c r="AS82" s="2"/>
      <c r="AT82" s="2"/>
      <c r="AU82" s="2"/>
      <c r="AV82" s="2"/>
      <c r="AW82" s="2"/>
      <c r="AX82" s="2"/>
      <c r="AY82" s="2"/>
      <c r="AZ82" s="2" t="str">
        <f>IFERROR(__xludf.DUMMYFUNCTION("""COMPUTED_VALUE"""),"#REF!")</f>
        <v>#REF!</v>
      </c>
      <c r="BA82" s="2" t="str">
        <f>IFERROR(__xludf.DUMMYFUNCTION("""COMPUTED_VALUE"""),"Đủ điều kiện")</f>
        <v>Đủ điều kiện</v>
      </c>
      <c r="BB82" s="2" t="str">
        <f>IFERROR(__xludf.DUMMYFUNCTION("""COMPUTED_VALUE"""),"Duyệt")</f>
        <v>Duyệt</v>
      </c>
      <c r="BC82" s="148">
        <f>IFERROR(__xludf.DUMMYFUNCTION("""COMPUTED_VALUE"""),46161.0)</f>
        <v>46161</v>
      </c>
      <c r="BD82" s="2" t="str">
        <f>IFERROR(__xludf.DUMMYFUNCTION("""COMPUTED_VALUE"""),"Duyệt")</f>
        <v>Duyệt</v>
      </c>
      <c r="BE82" s="2" t="str">
        <f>IFERROR(__xludf.DUMMYFUNCTION("""COMPUTED_VALUE"""),"xlg 19/05
20/05")</f>
        <v>xlg 19/05
20/05</v>
      </c>
      <c r="BF82" s="2" t="str">
        <f>IFERROR(__xludf.DUMMYFUNCTION("""COMPUTED_VALUE"""),"Đã xử lí giá")</f>
        <v>Đã xử lí giá</v>
      </c>
      <c r="BG82" s="2" t="str">
        <f>IFERROR(__xludf.DUMMYFUNCTION("""COMPUTED_VALUE"""),"A01160326 Bột trắng 63,000đ 18/5/2026")</f>
        <v>A01160326 Bột trắng 63,000đ 18/5/2026</v>
      </c>
      <c r="BH82" s="2"/>
      <c r="BI82" s="2"/>
      <c r="BJ82" s="2"/>
      <c r="BK82" s="2"/>
      <c r="BL82" s="2"/>
      <c r="BM82" s="2"/>
      <c r="BN82" s="2"/>
      <c r="BO82" s="2"/>
      <c r="BP82" s="2"/>
      <c r="BQ82" s="2"/>
    </row>
    <row r="83">
      <c r="A83" s="2">
        <f>IFERROR(__xludf.DUMMYFUNCTION("""COMPUTED_VALUE"""),80.0)</f>
        <v>80</v>
      </c>
      <c r="B83" s="2" t="str">
        <f>IFERROR(__xludf.DUMMYFUNCTION("""COMPUTED_VALUE"""),"Hà Long")</f>
        <v>Hà Long</v>
      </c>
      <c r="C83" s="2" t="str">
        <f>IFERROR(__xludf.DUMMYFUNCTION("""COMPUTED_VALUE"""),"ATP18052604")</f>
        <v>ATP18052604</v>
      </c>
      <c r="D83" s="39">
        <f>IFERROR(__xludf.DUMMYFUNCTION("""COMPUTED_VALUE"""),46160.0)</f>
        <v>46160</v>
      </c>
      <c r="E83" s="2" t="str">
        <f>IFERROR(__xludf.DUMMYFUNCTION("""COMPUTED_VALUE"""),"Đã duyệt")</f>
        <v>Đã duyệt</v>
      </c>
      <c r="F83" s="2" t="str">
        <f>IFERROR(__xludf.DUMMYFUNCTION("""COMPUTED_VALUE"""),"ABA")</f>
        <v>ABA</v>
      </c>
      <c r="G83" s="2" t="str">
        <f>IFERROR(__xludf.DUMMYFUNCTION("""COMPUTED_VALUE"""),"HH3938")</f>
        <v>HH3938</v>
      </c>
      <c r="H83" s="2" t="str">
        <f>IFERROR(__xludf.DUMMYFUNCTION("""COMPUTED_VALUE"""),"GC - V - 3938 - CTY ACE VN - KHONGRAY 54WP (Bột trắng ngà) - 20gr - 400")</f>
        <v>GC - V - 3938 - CTY ACE VN - KHONGRAY 54WP (Bột trắng ngà) - 20gr - 400</v>
      </c>
      <c r="I83" s="2" t="str">
        <f>IFERROR(__xludf.DUMMYFUNCTION("""COMPUTED_VALUE"""),"Thuốc trừ sâu")</f>
        <v>Thuốc trừ sâu</v>
      </c>
      <c r="J83" s="142" t="str">
        <f>IFERROR(__xludf.DUMMYFUNCTION("""COMPUTED_VALUE"""),"KHONGRAY 54WP")</f>
        <v>KHONGRAY 54WP</v>
      </c>
      <c r="K83" s="2" t="str">
        <f>IFERROR(__xludf.DUMMYFUNCTION("""COMPUTED_VALUE"""),"Dòng V1")</f>
        <v>Dòng V1</v>
      </c>
      <c r="L83" s="2" t="str">
        <f>IFERROR(__xludf.DUMMYFUNCTION("""COMPUTED_VALUE"""),"Bột trắng ngà")</f>
        <v>Bột trắng ngà</v>
      </c>
      <c r="M83" s="2" t="str">
        <f>IFERROR(__xludf.DUMMYFUNCTION("""COMPUTED_VALUE"""),"Túi/Gói")</f>
        <v>Túi/Gói</v>
      </c>
      <c r="N83" s="142">
        <f>IFERROR(__xludf.DUMMYFUNCTION("""COMPUTED_VALUE"""),400.0)</f>
        <v>400</v>
      </c>
      <c r="O83" s="142">
        <f>IFERROR(__xludf.DUMMYFUNCTION("""COMPUTED_VALUE"""),10.0)</f>
        <v>10</v>
      </c>
      <c r="P83" s="142">
        <f>IFERROR(__xludf.DUMMYFUNCTION("""COMPUTED_VALUE"""),4000.0)</f>
        <v>4000</v>
      </c>
      <c r="Q83" s="143">
        <f>IFERROR(__xludf.DUMMYFUNCTION("""COMPUTED_VALUE"""),46170.0)</f>
        <v>46170</v>
      </c>
      <c r="R83" s="2"/>
      <c r="S83" s="142" t="str">
        <f>IFERROR(__xludf.DUMMYFUNCTION("""COMPUTED_VALUE"""),"lấy chẳn thùng")</f>
        <v>lấy chẳn thùng</v>
      </c>
      <c r="T83" s="2"/>
      <c r="U83" s="2"/>
      <c r="V83" s="2"/>
      <c r="W83" s="2" t="str">
        <f>IFERROR(__xludf.DUMMYFUNCTION("""COMPUTED_VALUE"""),"CTY ACE - Giá bán 5700 - Ngày dự kiến thu tiền:  - Dự kiến ngày ra hết hàng: ")</f>
        <v>CTY ACE - Giá bán 5700 - Ngày dự kiến thu tiền:  - Dự kiến ngày ra hết hàng: </v>
      </c>
      <c r="X83" s="2"/>
      <c r="Y83" s="2" t="str">
        <f>IFERROR(__xludf.DUMMYFUNCTION("""COMPUTED_VALUE"""),"Hà Long")</f>
        <v>Hà Long</v>
      </c>
      <c r="Z83" s="2" t="str">
        <f>IFERROR(__xludf.DUMMYFUNCTION("""COMPUTED_VALUE"""),"Đã có lịch SX")</f>
        <v>Đã có lịch SX</v>
      </c>
      <c r="AA83" s="39">
        <f>IFERROR(__xludf.DUMMYFUNCTION("""COMPUTED_VALUE"""),46164.0)</f>
        <v>46164</v>
      </c>
      <c r="AB83" s="2"/>
      <c r="AC83" s="146">
        <f>IFERROR(__xludf.DUMMYFUNCTION("""COMPUTED_VALUE"""),4000.0)</f>
        <v>4000</v>
      </c>
      <c r="AD83" s="2"/>
      <c r="AE83" s="143" t="str">
        <f>IFERROR(__xludf.DUMMYFUNCTION("""COMPUTED_VALUE"""),"Chưa chốt lịch")</f>
        <v>Chưa chốt lịch</v>
      </c>
      <c r="AF83" s="2"/>
      <c r="AG83" s="2"/>
      <c r="AH83" s="2"/>
      <c r="AI83" s="2"/>
      <c r="AJ83" s="2"/>
      <c r="AK83" s="2"/>
      <c r="AL83" s="2"/>
      <c r="AM83" s="2"/>
      <c r="AN83" s="2"/>
      <c r="AO83" s="2"/>
      <c r="AP83" s="2"/>
      <c r="AQ83" s="2"/>
      <c r="AR83" s="2"/>
      <c r="AS83" s="2"/>
      <c r="AT83" s="2"/>
      <c r="AU83" s="2"/>
      <c r="AV83" s="2"/>
      <c r="AW83" s="2"/>
      <c r="AX83" s="2"/>
      <c r="AY83" s="2"/>
      <c r="AZ83" s="2"/>
      <c r="BA83" s="2" t="str">
        <f>IFERROR(__xludf.DUMMYFUNCTION("""COMPUTED_VALUE"""),"Đủ điều kiện")</f>
        <v>Đủ điều kiện</v>
      </c>
      <c r="BB83" s="2" t="str">
        <f>IFERROR(__xludf.DUMMYFUNCTION("""COMPUTED_VALUE"""),"Duyệt")</f>
        <v>Duyệt</v>
      </c>
      <c r="BC83" s="143">
        <f>IFERROR(__xludf.DUMMYFUNCTION("""COMPUTED_VALUE"""),46161.0)</f>
        <v>46161</v>
      </c>
      <c r="BD83" s="2" t="str">
        <f>IFERROR(__xludf.DUMMYFUNCTION("""COMPUTED_VALUE"""),"Duyệt")</f>
        <v>Duyệt</v>
      </c>
      <c r="BE83" s="143">
        <f>IFERROR(__xludf.DUMMYFUNCTION("""COMPUTED_VALUE"""),46171.0)</f>
        <v>46171</v>
      </c>
      <c r="BF83" s="2" t="str">
        <f>IFERROR(__xludf.DUMMYFUNCTION("""COMPUTED_VALUE"""),"Đã xử lí giá")</f>
        <v>Đã xử lí giá</v>
      </c>
      <c r="BG83" s="2" t="str">
        <f>IFERROR(__xludf.DUMMYFUNCTION("""COMPUTED_VALUE"""),"Dòng V1 Bột trắng ngà 5,700đ 18/5/2026")</f>
        <v>Dòng V1 Bột trắng ngà 5,700đ 18/5/2026</v>
      </c>
      <c r="BH83" s="2"/>
      <c r="BI83" s="2"/>
      <c r="BJ83" s="2"/>
      <c r="BK83" s="2"/>
      <c r="BL83" s="2"/>
      <c r="BM83" s="2"/>
      <c r="BN83" s="2"/>
      <c r="BO83" s="2"/>
      <c r="BP83" s="2"/>
      <c r="BQ83" s="2"/>
    </row>
    <row r="84">
      <c r="A84" s="2">
        <f>IFERROR(__xludf.DUMMYFUNCTION("""COMPUTED_VALUE"""),81.0)</f>
        <v>81</v>
      </c>
      <c r="B84" s="2" t="str">
        <f>IFERROR(__xludf.DUMMYFUNCTION("""COMPUTED_VALUE"""),"Dego Cần Thơ")</f>
        <v>Dego Cần Thơ</v>
      </c>
      <c r="C84" s="2" t="str">
        <f>IFERROR(__xludf.DUMMYFUNCTION("""COMPUTED_VALUE"""),"ATP18052605")</f>
        <v>ATP18052605</v>
      </c>
      <c r="D84" s="39">
        <f>IFERROR(__xludf.DUMMYFUNCTION("""COMPUTED_VALUE"""),46160.0)</f>
        <v>46160</v>
      </c>
      <c r="E84" s="2" t="str">
        <f>IFERROR(__xludf.DUMMYFUNCTION("""COMPUTED_VALUE"""),"Đã duyệt")</f>
        <v>Đã duyệt</v>
      </c>
      <c r="F84" s="2" t="str">
        <f>IFERROR(__xludf.DUMMYFUNCTION("""COMPUTED_VALUE"""),"ABA")</f>
        <v>ABA</v>
      </c>
      <c r="G84" s="2" t="str">
        <f>IFERROR(__xludf.DUMMYFUNCTION("""COMPUTED_VALUE"""),"HH4978")</f>
        <v>HH4978</v>
      </c>
      <c r="H84" s="2" t="str">
        <f>IFERROR(__xludf.DUMMYFUNCTION("""COMPUTED_VALUE"""),"GC - V - 4978 - CTY QUANG ĐĂNG AGRICULTURE - ORGA GROWING QĐ.FRUIT (Nước nâu đen) - 10L - 2")</f>
        <v>GC - V - 4978 - CTY QUANG ĐĂNG AGRICULTURE - ORGA GROWING QĐ.FRUIT (Nước nâu đen) - 10L - 2</v>
      </c>
      <c r="I84" s="2" t="str">
        <f>IFERROR(__xludf.DUMMYFUNCTION("""COMPUTED_VALUE"""),"Phân bón")</f>
        <v>Phân bón</v>
      </c>
      <c r="J84" s="142" t="str">
        <f>IFERROR(__xludf.DUMMYFUNCTION("""COMPUTED_VALUE"""),"HỖN HỢP NPK AGAMA-SRH")</f>
        <v>HỖN HỢP NPK AGAMA-SRH</v>
      </c>
      <c r="K84" s="2" t="str">
        <f>IFERROR(__xludf.DUMMYFUNCTION("""COMPUTED_VALUE"""),"A02070526")</f>
        <v>A02070526</v>
      </c>
      <c r="L84" s="2" t="str">
        <f>IFERROR(__xludf.DUMMYFUNCTION("""COMPUTED_VALUE"""),"Nước nâu đen")</f>
        <v>Nước nâu đen</v>
      </c>
      <c r="M84" s="2" t="str">
        <f>IFERROR(__xludf.DUMMYFUNCTION("""COMPUTED_VALUE"""),"Can")</f>
        <v>Can</v>
      </c>
      <c r="N84" s="142">
        <f>IFERROR(__xludf.DUMMYFUNCTION("""COMPUTED_VALUE"""),2.0)</f>
        <v>2</v>
      </c>
      <c r="O84" s="142">
        <f>IFERROR(__xludf.DUMMYFUNCTION("""COMPUTED_VALUE"""),10.0)</f>
        <v>10</v>
      </c>
      <c r="P84" s="142">
        <f>IFERROR(__xludf.DUMMYFUNCTION("""COMPUTED_VALUE"""),20.0)</f>
        <v>20</v>
      </c>
      <c r="Q84" s="143">
        <f>IFERROR(__xludf.DUMMYFUNCTION("""COMPUTED_VALUE"""),46170.0)</f>
        <v>46170</v>
      </c>
      <c r="R84" s="2"/>
      <c r="S84" s="142" t="str">
        <f>IFERROR(__xludf.DUMMYFUNCTION("""COMPUTED_VALUE"""),"lấy chẳn thùng")</f>
        <v>lấy chẳn thùng</v>
      </c>
      <c r="T84" s="2"/>
      <c r="U84" s="2"/>
      <c r="V84" s="2"/>
      <c r="W84" s="2" t="str">
        <f>IFERROR(__xludf.DUMMYFUNCTION("""COMPUTED_VALUE"""),"QUANG ĐĂNG - Giá bán 450000 - Ngày dự kiến thu tiền:  - Dự kiến ngày ra hết hàng: ")</f>
        <v>QUANG ĐĂNG - Giá bán 450000 - Ngày dự kiến thu tiền:  - Dự kiến ngày ra hết hàng: </v>
      </c>
      <c r="X84" s="2"/>
      <c r="Y84" s="2" t="str">
        <f>IFERROR(__xludf.DUMMYFUNCTION("""COMPUTED_VALUE"""),"Dego Cần Thơ")</f>
        <v>Dego Cần Thơ</v>
      </c>
      <c r="Z84" s="2" t="str">
        <f>IFERROR(__xludf.DUMMYFUNCTION("""COMPUTED_VALUE"""),"Chưa có lịch SX")</f>
        <v>Chưa có lịch SX</v>
      </c>
      <c r="AA84" s="2"/>
      <c r="AB84" s="2"/>
      <c r="AC84" s="146">
        <f>IFERROR(__xludf.DUMMYFUNCTION("""COMPUTED_VALUE"""),20.0)</f>
        <v>20</v>
      </c>
      <c r="AD84" s="2"/>
      <c r="AE84" s="2" t="str">
        <f>IFERROR(__xludf.DUMMYFUNCTION("""COMPUTED_VALUE"""),"đã bàn giao cho nhà máy 23/05")</f>
        <v>đã bàn giao cho nhà máy 23/05</v>
      </c>
      <c r="AF84" s="2"/>
      <c r="AG84" s="2"/>
      <c r="AH84" s="2"/>
      <c r="AI84" s="2"/>
      <c r="AJ84" s="2"/>
      <c r="AK84" s="2"/>
      <c r="AL84" s="2"/>
      <c r="AM84" s="2"/>
      <c r="AN84" s="2"/>
      <c r="AO84" s="2"/>
      <c r="AP84" s="2"/>
      <c r="AQ84" s="2"/>
      <c r="AR84" s="2"/>
      <c r="AS84" s="2"/>
      <c r="AT84" s="2"/>
      <c r="AU84" s="2"/>
      <c r="AV84" s="2"/>
      <c r="AW84" s="2"/>
      <c r="AX84" s="2"/>
      <c r="AY84" s="2"/>
      <c r="AZ84" s="2" t="str">
        <f>IFERROR(__xludf.DUMMYFUNCTION("""COMPUTED_VALUE"""),"#REF!")</f>
        <v>#REF!</v>
      </c>
      <c r="BA84" s="2" t="str">
        <f>IFERROR(__xludf.DUMMYFUNCTION("""COMPUTED_VALUE"""),"Đủ điều kiện")</f>
        <v>Đủ điều kiện</v>
      </c>
      <c r="BB84" s="2" t="str">
        <f>IFERROR(__xludf.DUMMYFUNCTION("""COMPUTED_VALUE"""),"Duyệt")</f>
        <v>Duyệt</v>
      </c>
      <c r="BC84" s="148">
        <f>IFERROR(__xludf.DUMMYFUNCTION("""COMPUTED_VALUE"""),46161.0)</f>
        <v>46161</v>
      </c>
      <c r="BD84" s="2" t="str">
        <f>IFERROR(__xludf.DUMMYFUNCTION("""COMPUTED_VALUE"""),"Duyệt")</f>
        <v>Duyệt</v>
      </c>
      <c r="BE84" s="2" t="str">
        <f>IFERROR(__xludf.DUMMYFUNCTION("""COMPUTED_VALUE"""),"xlg 23/05
23/05")</f>
        <v>xlg 23/05
23/05</v>
      </c>
      <c r="BF84" s="2" t="str">
        <f>IFERROR(__xludf.DUMMYFUNCTION("""COMPUTED_VALUE"""),"Đã xử lí giá")</f>
        <v>Đã xử lí giá</v>
      </c>
      <c r="BG84" s="2" t="str">
        <f>IFERROR(__xludf.DUMMYFUNCTION("""COMPUTED_VALUE"""),"A02070526 Nước nâu đen 450,000đ 18/5/2026")</f>
        <v>A02070526 Nước nâu đen 450,000đ 18/5/2026</v>
      </c>
      <c r="BH84" s="2"/>
      <c r="BI84" s="2"/>
      <c r="BJ84" s="2"/>
      <c r="BK84" s="2"/>
      <c r="BL84" s="2"/>
      <c r="BM84" s="2"/>
      <c r="BN84" s="2"/>
      <c r="BO84" s="2"/>
      <c r="BP84" s="2"/>
      <c r="BQ84" s="2"/>
    </row>
    <row r="85">
      <c r="A85" s="2">
        <f>IFERROR(__xludf.DUMMYFUNCTION("""COMPUTED_VALUE"""),82.0)</f>
        <v>82</v>
      </c>
      <c r="B85" s="2" t="str">
        <f>IFERROR(__xludf.DUMMYFUNCTION("""COMPUTED_VALUE"""),"Dego Cần Thơ")</f>
        <v>Dego Cần Thơ</v>
      </c>
      <c r="C85" s="2" t="str">
        <f>IFERROR(__xludf.DUMMYFUNCTION("""COMPUTED_VALUE"""),"ATP18052607")</f>
        <v>ATP18052607</v>
      </c>
      <c r="D85" s="39">
        <f>IFERROR(__xludf.DUMMYFUNCTION("""COMPUTED_VALUE"""),46160.0)</f>
        <v>46160</v>
      </c>
      <c r="E85" s="2" t="str">
        <f>IFERROR(__xludf.DUMMYFUNCTION("""COMPUTED_VALUE"""),"Đã duyệt")</f>
        <v>Đã duyệt</v>
      </c>
      <c r="F85" s="2" t="str">
        <f>IFERROR(__xludf.DUMMYFUNCTION("""COMPUTED_VALUE"""),"ABA")</f>
        <v>ABA</v>
      </c>
      <c r="G85" s="2" t="str">
        <f>IFERROR(__xludf.DUMMYFUNCTION("""COMPUTED_VALUE"""),"HH5030")</f>
        <v>HH5030</v>
      </c>
      <c r="H85" s="2" t="str">
        <f>IFERROR(__xludf.DUMMYFUNCTION("""COMPUTED_VALUE"""),"GC - V - 5030 - AGRITECH - AGRI STOP (Nước nâu đen) - 1L - 20")</f>
        <v>GC - V - 5030 - AGRITECH - AGRI STOP (Nước nâu đen) - 1L - 20</v>
      </c>
      <c r="I85" s="2" t="str">
        <f>IFERROR(__xludf.DUMMYFUNCTION("""COMPUTED_VALUE"""),"Phân bón")</f>
        <v>Phân bón</v>
      </c>
      <c r="J85" s="142" t="str">
        <f>IFERROR(__xludf.DUMMYFUNCTION("""COMPUTED_VALUE"""),"Vi lượng Quantity New")</f>
        <v>Vi lượng Quantity New</v>
      </c>
      <c r="K85" s="2" t="str">
        <f>IFERROR(__xludf.DUMMYFUNCTION("""COMPUTED_VALUE"""),"Chặn đọt dòng V2")</f>
        <v>Chặn đọt dòng V2</v>
      </c>
      <c r="L85" s="2" t="str">
        <f>IFERROR(__xludf.DUMMYFUNCTION("""COMPUTED_VALUE"""),"Nước nâu đen")</f>
        <v>Nước nâu đen</v>
      </c>
      <c r="M85" s="2" t="str">
        <f>IFERROR(__xludf.DUMMYFUNCTION("""COMPUTED_VALUE"""),"Chai")</f>
        <v>Chai</v>
      </c>
      <c r="N85" s="142">
        <f>IFERROR(__xludf.DUMMYFUNCTION("""COMPUTED_VALUE"""),20.0)</f>
        <v>20</v>
      </c>
      <c r="O85" s="142">
        <f>IFERROR(__xludf.DUMMYFUNCTION("""COMPUTED_VALUE"""),10.0)</f>
        <v>10</v>
      </c>
      <c r="P85" s="142">
        <f>IFERROR(__xludf.DUMMYFUNCTION("""COMPUTED_VALUE"""),200.0)</f>
        <v>200</v>
      </c>
      <c r="Q85" s="143">
        <f>IFERROR(__xludf.DUMMYFUNCTION("""COMPUTED_VALUE"""),46167.0)</f>
        <v>46167</v>
      </c>
      <c r="R85" s="2"/>
      <c r="S85" s="142" t="str">
        <f>IFERROR(__xludf.DUMMYFUNCTION("""COMPUTED_VALUE"""),"lấy chẳn thùng
200 chai đã chiết rồi")</f>
        <v>lấy chẳn thùng
200 chai đã chiết rồi</v>
      </c>
      <c r="T85" s="2"/>
      <c r="U85" s="2"/>
      <c r="V85" s="2"/>
      <c r="W85" s="2" t="str">
        <f>IFERROR(__xludf.DUMMYFUNCTION("""COMPUTED_VALUE"""),"AGRITECH - Giá bán 115500 - Ngày dự kiến thu tiền:  - Dự kiến ngày ra hết hàng: ")</f>
        <v>AGRITECH - Giá bán 115500 - Ngày dự kiến thu tiền:  - Dự kiến ngày ra hết hàng: </v>
      </c>
      <c r="X85" s="2"/>
      <c r="Y85" s="2" t="str">
        <f>IFERROR(__xludf.DUMMYFUNCTION("""COMPUTED_VALUE"""),"Dego Cần Thơ")</f>
        <v>Dego Cần Thơ</v>
      </c>
      <c r="Z85" s="2" t="str">
        <f>IFERROR(__xludf.DUMMYFUNCTION("""COMPUTED_VALUE"""),"Chưa gửi đơn")</f>
        <v>Chưa gửi đơn</v>
      </c>
      <c r="AA85" s="2"/>
      <c r="AB85" s="2" t="str">
        <f>IFERROR(__xludf.DUMMYFUNCTION("""COMPUTED_VALUE"""),"chưa đủ dk do chưa duyệt pháp lý, chưa làm bdm được 22/05")</f>
        <v>chưa đủ dk do chưa duyệt pháp lý, chưa làm bdm được 22/05</v>
      </c>
      <c r="AC85" s="146">
        <f>IFERROR(__xludf.DUMMYFUNCTION("""COMPUTED_VALUE"""),200.0)</f>
        <v>200</v>
      </c>
      <c r="AD85" s="2"/>
      <c r="AE85" s="2" t="str">
        <f>IFERROR(__xludf.DUMMYFUNCTION("""COMPUTED_VALUE"""),"đã bàn giao cho nhà máy 23/05")</f>
        <v>đã bàn giao cho nhà máy 23/05</v>
      </c>
      <c r="AF85" s="2"/>
      <c r="AG85" s="2"/>
      <c r="AH85" s="2"/>
      <c r="AI85" s="2"/>
      <c r="AJ85" s="2"/>
      <c r="AK85" s="2"/>
      <c r="AL85" s="2"/>
      <c r="AM85" s="2"/>
      <c r="AN85" s="2"/>
      <c r="AO85" s="2"/>
      <c r="AP85" s="2"/>
      <c r="AQ85" s="2"/>
      <c r="AR85" s="2"/>
      <c r="AS85" s="2"/>
      <c r="AT85" s="2"/>
      <c r="AU85" s="2"/>
      <c r="AV85" s="2"/>
      <c r="AW85" s="2"/>
      <c r="AX85" s="2"/>
      <c r="AY85" s="2"/>
      <c r="AZ85" s="2" t="str">
        <f>IFERROR(__xludf.DUMMYFUNCTION("""COMPUTED_VALUE"""),"#REF!")</f>
        <v>#REF!</v>
      </c>
      <c r="BA85" s="2" t="str">
        <f>IFERROR(__xludf.DUMMYFUNCTION("""COMPUTED_VALUE"""),"Không đủ điều kiện")</f>
        <v>Không đủ điều kiện</v>
      </c>
      <c r="BB85" s="2" t="str">
        <f>IFERROR(__xludf.DUMMYFUNCTION("""COMPUTED_VALUE"""),"Duyệt")</f>
        <v>Duyệt</v>
      </c>
      <c r="BC85" s="148">
        <f>IFERROR(__xludf.DUMMYFUNCTION("""COMPUTED_VALUE"""),46162.0)</f>
        <v>46162</v>
      </c>
      <c r="BD85" s="2" t="str">
        <f>IFERROR(__xludf.DUMMYFUNCTION("""COMPUTED_VALUE"""),"Chờ duyệt")</f>
        <v>Chờ duyệt</v>
      </c>
      <c r="BE85" s="2" t="str">
        <f>IFERROR(__xludf.DUMMYFUNCTION("""COMPUTED_VALUE"""),"xlg 19/05")</f>
        <v>xlg 19/05</v>
      </c>
      <c r="BF85" s="2" t="str">
        <f>IFERROR(__xludf.DUMMYFUNCTION("""COMPUTED_VALUE"""),"Đã xử lí giá")</f>
        <v>Đã xử lí giá</v>
      </c>
      <c r="BG85" s="2" t="str">
        <f>IFERROR(__xludf.DUMMYFUNCTION("""COMPUTED_VALUE"""),"Chặn đọt dòng V2 Nước nâu đen 115,500đ 18/5/2026")</f>
        <v>Chặn đọt dòng V2 Nước nâu đen 115,500đ 18/5/2026</v>
      </c>
      <c r="BH85" s="2"/>
      <c r="BI85" s="2"/>
      <c r="BJ85" s="2"/>
      <c r="BK85" s="2"/>
      <c r="BL85" s="2"/>
      <c r="BM85" s="2"/>
      <c r="BN85" s="2"/>
      <c r="BO85" s="2"/>
      <c r="BP85" s="2"/>
      <c r="BQ85" s="2"/>
    </row>
    <row r="86">
      <c r="A86" s="2">
        <f>IFERROR(__xludf.DUMMYFUNCTION("""COMPUTED_VALUE"""),83.0)</f>
        <v>83</v>
      </c>
      <c r="B86" s="2" t="str">
        <f>IFERROR(__xludf.DUMMYFUNCTION("""COMPUTED_VALUE"""),"Dego Cần Thơ")</f>
        <v>Dego Cần Thơ</v>
      </c>
      <c r="C86" s="2" t="str">
        <f>IFERROR(__xludf.DUMMYFUNCTION("""COMPUTED_VALUE"""),"ATP19052601")</f>
        <v>ATP19052601</v>
      </c>
      <c r="D86" s="39">
        <f>IFERROR(__xludf.DUMMYFUNCTION("""COMPUTED_VALUE"""),46161.0)</f>
        <v>46161</v>
      </c>
      <c r="E86" s="2" t="str">
        <f>IFERROR(__xludf.DUMMYFUNCTION("""COMPUTED_VALUE"""),"Đã duyệt")</f>
        <v>Đã duyệt</v>
      </c>
      <c r="F86" s="2" t="str">
        <f>IFERROR(__xludf.DUMMYFUNCTION("""COMPUTED_VALUE"""),"ABA")</f>
        <v>ABA</v>
      </c>
      <c r="G86" s="2" t="str">
        <f>IFERROR(__xludf.DUMMYFUNCTION("""COMPUTED_VALUE"""),"HH5015")</f>
        <v>HH5015</v>
      </c>
      <c r="H86" s="2" t="str">
        <f>IFERROR(__xludf.DUMMYFUNCTION("""COMPUTED_VALUE"""),"GC - V - 5015 - CTY LUTA - RA RỄ - BUNG CHỒI (Nước nâu đen) - 10L - 1")</f>
        <v>GC - V - 5015 - CTY LUTA - RA RỄ - BUNG CHỒI (Nước nâu đen) - 10L - 1</v>
      </c>
      <c r="I86" s="2" t="str">
        <f>IFERROR(__xludf.DUMMYFUNCTION("""COMPUTED_VALUE"""),"Phân bón")</f>
        <v>Phân bón</v>
      </c>
      <c r="J86" s="142" t="str">
        <f>IFERROR(__xludf.DUMMYFUNCTION("""COMPUTED_VALUE"""),"Hữu Cơ Organic ĐGP 01")</f>
        <v>Hữu Cơ Organic ĐGP 01</v>
      </c>
      <c r="K86" s="2" t="str">
        <f>IFERROR(__xludf.DUMMYFUNCTION("""COMPUTED_VALUE"""),"A05181225- 01")</f>
        <v>A05181225- 01</v>
      </c>
      <c r="L86" s="2" t="str">
        <f>IFERROR(__xludf.DUMMYFUNCTION("""COMPUTED_VALUE"""),"Nước nâu đen")</f>
        <v>Nước nâu đen</v>
      </c>
      <c r="M86" s="2" t="str">
        <f>IFERROR(__xludf.DUMMYFUNCTION("""COMPUTED_VALUE"""),"Xô")</f>
        <v>Xô</v>
      </c>
      <c r="N86" s="142">
        <f>IFERROR(__xludf.DUMMYFUNCTION("""COMPUTED_VALUE"""),1.0)</f>
        <v>1</v>
      </c>
      <c r="O86" s="142">
        <f>IFERROR(__xludf.DUMMYFUNCTION("""COMPUTED_VALUE"""),50.0)</f>
        <v>50</v>
      </c>
      <c r="P86" s="142">
        <f>IFERROR(__xludf.DUMMYFUNCTION("""COMPUTED_VALUE"""),50.0)</f>
        <v>50</v>
      </c>
      <c r="Q86" s="143">
        <f>IFERROR(__xludf.DUMMYFUNCTION("""COMPUTED_VALUE"""),46170.0)</f>
        <v>46170</v>
      </c>
      <c r="R86" s="2"/>
      <c r="S86" s="142" t="str">
        <f>IFERROR(__xludf.DUMMYFUNCTION("""COMPUTED_VALUE"""),"lấy chẳn thùng")</f>
        <v>lấy chẳn thùng</v>
      </c>
      <c r="T86" s="2"/>
      <c r="U86" s="2"/>
      <c r="V86" s="2"/>
      <c r="W86" s="2" t="str">
        <f>IFERROR(__xludf.DUMMYFUNCTION("""COMPUTED_VALUE"""),"LUTA - Giá bán 210000 - Ngày dự kiến thu tiền:  - Dự kiến ngày ra hết hàng: ")</f>
        <v>LUTA - Giá bán 210000 - Ngày dự kiến thu tiền:  - Dự kiến ngày ra hết hàng: </v>
      </c>
      <c r="X86" s="2"/>
      <c r="Y86" s="2" t="str">
        <f>IFERROR(__xludf.DUMMYFUNCTION("""COMPUTED_VALUE"""),"Dego Cần Thơ")</f>
        <v>Dego Cần Thơ</v>
      </c>
      <c r="Z86" s="2" t="str">
        <f>IFERROR(__xludf.DUMMYFUNCTION("""COMPUTED_VALUE"""),"Chưa gửi đơn")</f>
        <v>Chưa gửi đơn</v>
      </c>
      <c r="AA86" s="2"/>
      <c r="AB86" s="2" t="str">
        <f>IFERROR(__xludf.DUMMYFUNCTION("""COMPUTED_VALUE"""),"chưa đủ dk do chưa duyệt pháp lý, chưa làm bdm được 22/05")</f>
        <v>chưa đủ dk do chưa duyệt pháp lý, chưa làm bdm được 22/05</v>
      </c>
      <c r="AC86" s="146">
        <f>IFERROR(__xludf.DUMMYFUNCTION("""COMPUTED_VALUE"""),50.0)</f>
        <v>50</v>
      </c>
      <c r="AD86" s="2"/>
      <c r="AE86" s="2" t="str">
        <f>IFERROR(__xludf.DUMMYFUNCTION("""COMPUTED_VALUE"""),"đã bàn giao cho nhà máy 23/05")</f>
        <v>đã bàn giao cho nhà máy 23/05</v>
      </c>
      <c r="AF86" s="2"/>
      <c r="AG86" s="2"/>
      <c r="AH86" s="2"/>
      <c r="AI86" s="2"/>
      <c r="AJ86" s="2"/>
      <c r="AK86" s="2"/>
      <c r="AL86" s="2"/>
      <c r="AM86" s="2"/>
      <c r="AN86" s="2"/>
      <c r="AO86" s="2"/>
      <c r="AP86" s="2"/>
      <c r="AQ86" s="2"/>
      <c r="AR86" s="2"/>
      <c r="AS86" s="2"/>
      <c r="AT86" s="2"/>
      <c r="AU86" s="2"/>
      <c r="AV86" s="2"/>
      <c r="AW86" s="2"/>
      <c r="AX86" s="2"/>
      <c r="AY86" s="2"/>
      <c r="AZ86" s="2" t="str">
        <f>IFERROR(__xludf.DUMMYFUNCTION("""COMPUTED_VALUE"""),"#REF!")</f>
        <v>#REF!</v>
      </c>
      <c r="BA86" s="2" t="str">
        <f>IFERROR(__xludf.DUMMYFUNCTION("""COMPUTED_VALUE"""),"Không đủ điều kiện")</f>
        <v>Không đủ điều kiện</v>
      </c>
      <c r="BB86" s="2" t="str">
        <f>IFERROR(__xludf.DUMMYFUNCTION("""COMPUTED_VALUE"""),"Duyệt")</f>
        <v>Duyệt</v>
      </c>
      <c r="BC86" s="148">
        <f>IFERROR(__xludf.DUMMYFUNCTION("""COMPUTED_VALUE"""),46162.0)</f>
        <v>46162</v>
      </c>
      <c r="BD86" s="2" t="str">
        <f>IFERROR(__xludf.DUMMYFUNCTION("""COMPUTED_VALUE"""),"Chờ duyệt")</f>
        <v>Chờ duyệt</v>
      </c>
      <c r="BE86" s="2" t="str">
        <f>IFERROR(__xludf.DUMMYFUNCTION("""COMPUTED_VALUE"""),"xlg 20/05")</f>
        <v>xlg 20/05</v>
      </c>
      <c r="BF86" s="2" t="str">
        <f>IFERROR(__xludf.DUMMYFUNCTION("""COMPUTED_VALUE"""),"Đã xử lí giá")</f>
        <v>Đã xử lí giá</v>
      </c>
      <c r="BG86" s="2" t="str">
        <f>IFERROR(__xludf.DUMMYFUNCTION("""COMPUTED_VALUE"""),"A05181225- 01 Nước nâu đen 210,000đ 19/5/2026")</f>
        <v>A05181225- 01 Nước nâu đen 210,000đ 19/5/2026</v>
      </c>
      <c r="BH86" s="2"/>
      <c r="BI86" s="2"/>
      <c r="BJ86" s="2"/>
      <c r="BK86" s="2"/>
      <c r="BL86" s="2"/>
      <c r="BM86" s="2"/>
      <c r="BN86" s="2"/>
      <c r="BO86" s="2"/>
      <c r="BP86" s="2"/>
      <c r="BQ86" s="2"/>
    </row>
    <row r="87">
      <c r="A87" s="2">
        <f>IFERROR(__xludf.DUMMYFUNCTION("""COMPUTED_VALUE"""),84.0)</f>
        <v>84</v>
      </c>
      <c r="B87" s="2" t="str">
        <f>IFERROR(__xludf.DUMMYFUNCTION("""COMPUTED_VALUE"""),"Hà Long")</f>
        <v>Hà Long</v>
      </c>
      <c r="C87" s="2" t="str">
        <f>IFERROR(__xludf.DUMMYFUNCTION("""COMPUTED_VALUE"""),"ATP19052602")</f>
        <v>ATP19052602</v>
      </c>
      <c r="D87" s="39">
        <f>IFERROR(__xludf.DUMMYFUNCTION("""COMPUTED_VALUE"""),46161.0)</f>
        <v>46161</v>
      </c>
      <c r="E87" s="2" t="str">
        <f>IFERROR(__xludf.DUMMYFUNCTION("""COMPUTED_VALUE"""),"Đã duyệt")</f>
        <v>Đã duyệt</v>
      </c>
      <c r="F87" s="2" t="str">
        <f>IFERROR(__xludf.DUMMYFUNCTION("""COMPUTED_VALUE"""),"ABA")</f>
        <v>ABA</v>
      </c>
      <c r="G87" s="2" t="str">
        <f>IFERROR(__xludf.DUMMYFUNCTION("""COMPUTED_VALUE"""),"HH4997")</f>
        <v>HH4997</v>
      </c>
      <c r="H87" s="2" t="str">
        <f>IFERROR(__xludf.DUMMYFUNCTION("""COMPUTED_VALUE"""),"GC - V - 4997 - HÓA NÔNG SHINO - THẦN ƯNG (Nước trắng sữa) - 240ml - 40")</f>
        <v>GC - V - 4997 - HÓA NÔNG SHINO - THẦN ƯNG (Nước trắng sữa) - 240ml - 40</v>
      </c>
      <c r="I87" s="2" t="str">
        <f>IFERROR(__xludf.DUMMYFUNCTION("""COMPUTED_VALUE"""),"Thuốc trừ sâu")</f>
        <v>Thuốc trừ sâu</v>
      </c>
      <c r="J87" s="142" t="str">
        <f>IFERROR(__xludf.DUMMYFUNCTION("""COMPUTED_VALUE"""),"VOTE 34.2SC")</f>
        <v>VOTE 34.2SC</v>
      </c>
      <c r="K87" s="2" t="str">
        <f>IFERROR(__xludf.DUMMYFUNCTION("""COMPUTED_VALUE"""),"Dòng V1")</f>
        <v>Dòng V1</v>
      </c>
      <c r="L87" s="2" t="str">
        <f>IFERROR(__xludf.DUMMYFUNCTION("""COMPUTED_VALUE"""),"Nước trắng sữa")</f>
        <v>Nước trắng sữa</v>
      </c>
      <c r="M87" s="2" t="str">
        <f>IFERROR(__xludf.DUMMYFUNCTION("""COMPUTED_VALUE"""),"Chai")</f>
        <v>Chai</v>
      </c>
      <c r="N87" s="142">
        <f>IFERROR(__xludf.DUMMYFUNCTION("""COMPUTED_VALUE"""),40.0)</f>
        <v>40</v>
      </c>
      <c r="O87" s="142">
        <f>IFERROR(__xludf.DUMMYFUNCTION("""COMPUTED_VALUE"""),20.0)</f>
        <v>20</v>
      </c>
      <c r="P87" s="142">
        <f>IFERROR(__xludf.DUMMYFUNCTION("""COMPUTED_VALUE"""),800.0)</f>
        <v>800</v>
      </c>
      <c r="Q87" s="143">
        <f>IFERROR(__xludf.DUMMYFUNCTION("""COMPUTED_VALUE"""),46195.0)</f>
        <v>46195</v>
      </c>
      <c r="R87" s="2"/>
      <c r="S87" s="142" t="str">
        <f>IFERROR(__xludf.DUMMYFUNCTION("""COMPUTED_VALUE"""),"lấy chẳn thùng
dự trù hàng tháng 6")</f>
        <v>lấy chẳn thùng
dự trù hàng tháng 6</v>
      </c>
      <c r="T87" s="2"/>
      <c r="U87" s="2"/>
      <c r="V87" s="2"/>
      <c r="W87" s="2" t="str">
        <f>IFERROR(__xludf.DUMMYFUNCTION("""COMPUTED_VALUE"""),"SHINO - Giá bán 98000 - Ngày dự kiến thu tiền:  - Dự kiến ngày ra hết hàng: ")</f>
        <v>SHINO - Giá bán 98000 - Ngày dự kiến thu tiền:  - Dự kiến ngày ra hết hàng: </v>
      </c>
      <c r="X87" s="2"/>
      <c r="Y87" s="2" t="str">
        <f>IFERROR(__xludf.DUMMYFUNCTION("""COMPUTED_VALUE"""),"Hà Long")</f>
        <v>Hà Long</v>
      </c>
      <c r="Z87" s="2" t="str">
        <f>IFERROR(__xludf.DUMMYFUNCTION("""COMPUTED_VALUE"""),"Hàng sẵn kho")</f>
        <v>Hàng sẵn kho</v>
      </c>
      <c r="AA87" s="39">
        <f>IFERROR(__xludf.DUMMYFUNCTION("""COMPUTED_VALUE"""),46164.0)</f>
        <v>46164</v>
      </c>
      <c r="AB87" s="2"/>
      <c r="AC87" s="146">
        <f>IFERROR(__xludf.DUMMYFUNCTION("""COMPUTED_VALUE"""),800.0)</f>
        <v>800</v>
      </c>
      <c r="AD87" s="2"/>
      <c r="AE87" s="143">
        <f>IFERROR(__xludf.DUMMYFUNCTION("""COMPUTED_VALUE"""),46174.0)</f>
        <v>46174</v>
      </c>
      <c r="AF87" s="146" t="str">
        <f>IFERROR(__xludf.DUMMYFUNCTION("""COMPUTED_VALUE"""),"Đủ điều kiện nhận hàng")</f>
        <v>Đủ điều kiện nhận hàng</v>
      </c>
      <c r="AG87" s="143">
        <f>IFERROR(__xludf.DUMMYFUNCTION("""COMPUTED_VALUE"""),46174.0)</f>
        <v>46174</v>
      </c>
      <c r="AH87" s="146" t="str">
        <f>IFERROR(__xludf.DUMMYFUNCTION("""COMPUTED_VALUE"""),"801")</f>
        <v>801</v>
      </c>
      <c r="AI87" s="2"/>
      <c r="AJ87" s="2"/>
      <c r="AK87" s="2"/>
      <c r="AL87" s="2"/>
      <c r="AM87" s="142">
        <f>IFERROR(__xludf.DUMMYFUNCTION("""COMPUTED_VALUE"""),801.0)</f>
        <v>801</v>
      </c>
      <c r="AN87" s="2"/>
      <c r="AO87" s="2"/>
      <c r="AP87" s="2"/>
      <c r="AQ87" s="2"/>
      <c r="AR87" s="2"/>
      <c r="AS87" s="2"/>
      <c r="AT87" s="2"/>
      <c r="AU87" s="2"/>
      <c r="AV87" s="2"/>
      <c r="AW87" s="2"/>
      <c r="AX87" s="2"/>
      <c r="AY87" s="2"/>
      <c r="AZ87" s="2"/>
      <c r="BA87" s="2" t="str">
        <f>IFERROR(__xludf.DUMMYFUNCTION("""COMPUTED_VALUE"""),"Đủ điều kiện")</f>
        <v>Đủ điều kiện</v>
      </c>
      <c r="BB87" s="2" t="str">
        <f>IFERROR(__xludf.DUMMYFUNCTION("""COMPUTED_VALUE"""),"Duyệt")</f>
        <v>Duyệt</v>
      </c>
      <c r="BC87" s="143">
        <f>IFERROR(__xludf.DUMMYFUNCTION("""COMPUTED_VALUE"""),46164.0)</f>
        <v>46164</v>
      </c>
      <c r="BD87" s="2" t="str">
        <f>IFERROR(__xludf.DUMMYFUNCTION("""COMPUTED_VALUE"""),"Duyệt")</f>
        <v>Duyệt</v>
      </c>
      <c r="BE87" s="143">
        <f>IFERROR(__xludf.DUMMYFUNCTION("""COMPUTED_VALUE"""),46171.0)</f>
        <v>46171</v>
      </c>
      <c r="BF87" s="2" t="str">
        <f>IFERROR(__xludf.DUMMYFUNCTION("""COMPUTED_VALUE"""),"Đã xử lí giá")</f>
        <v>Đã xử lí giá</v>
      </c>
      <c r="BG87" s="2" t="str">
        <f>IFERROR(__xludf.DUMMYFUNCTION("""COMPUTED_VALUE"""),"Dòng V1 Nước trắng sữa 98,000đ 19/5/2026")</f>
        <v>Dòng V1 Nước trắng sữa 98,000đ 19/5/2026</v>
      </c>
      <c r="BH87" s="2"/>
      <c r="BI87" s="2"/>
      <c r="BJ87" s="2"/>
      <c r="BK87" s="2"/>
      <c r="BL87" s="2"/>
      <c r="BM87" s="2"/>
      <c r="BN87" s="2"/>
      <c r="BO87" s="2"/>
      <c r="BP87" s="2"/>
      <c r="BQ87" s="2"/>
    </row>
    <row r="88">
      <c r="A88" s="2">
        <f>IFERROR(__xludf.DUMMYFUNCTION("""COMPUTED_VALUE"""),85.0)</f>
        <v>85</v>
      </c>
      <c r="B88" s="2" t="str">
        <f>IFERROR(__xludf.DUMMYFUNCTION("""COMPUTED_VALUE"""),"Dego Cần Thơ")</f>
        <v>Dego Cần Thơ</v>
      </c>
      <c r="C88" s="2" t="str">
        <f>IFERROR(__xludf.DUMMYFUNCTION("""COMPUTED_VALUE"""),"ATP19052604")</f>
        <v>ATP19052604</v>
      </c>
      <c r="D88" s="39">
        <f>IFERROR(__xludf.DUMMYFUNCTION("""COMPUTED_VALUE"""),46161.0)</f>
        <v>46161</v>
      </c>
      <c r="E88" s="2" t="str">
        <f>IFERROR(__xludf.DUMMYFUNCTION("""COMPUTED_VALUE"""),"Đã duyệt")</f>
        <v>Đã duyệt</v>
      </c>
      <c r="F88" s="2" t="str">
        <f>IFERROR(__xludf.DUMMYFUNCTION("""COMPUTED_VALUE"""),"ABA")</f>
        <v>ABA</v>
      </c>
      <c r="G88" s="2" t="str">
        <f>IFERROR(__xludf.DUMMYFUNCTION("""COMPUTED_VALUE"""),"HH5016")</f>
        <v>HH5016</v>
      </c>
      <c r="H88" s="2" t="str">
        <f>IFERROR(__xludf.DUMMYFUNCTION("""COMPUTED_VALUE"""),"GC - V - 5016 - CTY LUTA - LỚN TRÁI CAM - CHANH (Nước nâu đen) - 1L - 20")</f>
        <v>GC - V - 5016 - CTY LUTA - LỚN TRÁI CAM - CHANH (Nước nâu đen) - 1L - 20</v>
      </c>
      <c r="I88" s="2" t="str">
        <f>IFERROR(__xludf.DUMMYFUNCTION("""COMPUTED_VALUE"""),"Phân bón")</f>
        <v>Phân bón</v>
      </c>
      <c r="J88" s="142" t="str">
        <f>IFERROR(__xludf.DUMMYFUNCTION("""COMPUTED_VALUE"""),"Hữu Cơ Organic ĐGP 01")</f>
        <v>Hữu Cơ Organic ĐGP 01</v>
      </c>
      <c r="K88" s="2" t="str">
        <f>IFERROR(__xludf.DUMMYFUNCTION("""COMPUTED_VALUE"""),"A05181225- 01")</f>
        <v>A05181225- 01</v>
      </c>
      <c r="L88" s="2" t="str">
        <f>IFERROR(__xludf.DUMMYFUNCTION("""COMPUTED_VALUE"""),"Nước nâu đen")</f>
        <v>Nước nâu đen</v>
      </c>
      <c r="M88" s="2" t="str">
        <f>IFERROR(__xludf.DUMMYFUNCTION("""COMPUTED_VALUE"""),"Chai")</f>
        <v>Chai</v>
      </c>
      <c r="N88" s="142">
        <f>IFERROR(__xludf.DUMMYFUNCTION("""COMPUTED_VALUE"""),20.0)</f>
        <v>20</v>
      </c>
      <c r="O88" s="142">
        <f>IFERROR(__xludf.DUMMYFUNCTION("""COMPUTED_VALUE"""),10.0)</f>
        <v>10</v>
      </c>
      <c r="P88" s="142">
        <f>IFERROR(__xludf.DUMMYFUNCTION("""COMPUTED_VALUE"""),200.0)</f>
        <v>200</v>
      </c>
      <c r="Q88" s="143">
        <f>IFERROR(__xludf.DUMMYFUNCTION("""COMPUTED_VALUE"""),46171.0)</f>
        <v>46171</v>
      </c>
      <c r="R88" s="2"/>
      <c r="S88" s="142" t="str">
        <f>IFERROR(__xludf.DUMMYFUNCTION("""COMPUTED_VALUE"""),"lấy chẳn thùng")</f>
        <v>lấy chẳn thùng</v>
      </c>
      <c r="T88" s="2"/>
      <c r="U88" s="2"/>
      <c r="V88" s="2"/>
      <c r="W88" s="2" t="str">
        <f>IFERROR(__xludf.DUMMYFUNCTION("""COMPUTED_VALUE"""),"LUTA - Giá bán 32500 - Ngày dự kiến thu tiền:  - Dự kiến ngày ra hết hàng: ")</f>
        <v>LUTA - Giá bán 32500 - Ngày dự kiến thu tiền:  - Dự kiến ngày ra hết hàng: </v>
      </c>
      <c r="X88" s="2"/>
      <c r="Y88" s="2" t="str">
        <f>IFERROR(__xludf.DUMMYFUNCTION("""COMPUTED_VALUE"""),"Dego Cần Thơ")</f>
        <v>Dego Cần Thơ</v>
      </c>
      <c r="Z88" s="2" t="str">
        <f>IFERROR(__xludf.DUMMYFUNCTION("""COMPUTED_VALUE"""),"Chưa gửi đơn")</f>
        <v>Chưa gửi đơn</v>
      </c>
      <c r="AA88" s="2"/>
      <c r="AB88" s="2" t="str">
        <f>IFERROR(__xludf.DUMMYFUNCTION("""COMPUTED_VALUE"""),"chưa đủ dk do chưa duyệt pháp lý, chưa làm bdm được 22/05")</f>
        <v>chưa đủ dk do chưa duyệt pháp lý, chưa làm bdm được 22/05</v>
      </c>
      <c r="AC88" s="146">
        <f>IFERROR(__xludf.DUMMYFUNCTION("""COMPUTED_VALUE"""),200.0)</f>
        <v>200</v>
      </c>
      <c r="AD88" s="2"/>
      <c r="AE88" s="2" t="str">
        <f>IFERROR(__xludf.DUMMYFUNCTION("""COMPUTED_VALUE"""),"đã bàn giao cho nhà máy 23/05")</f>
        <v>đã bàn giao cho nhà máy 23/05</v>
      </c>
      <c r="AF88" s="2"/>
      <c r="AG88" s="2"/>
      <c r="AH88" s="2"/>
      <c r="AI88" s="2"/>
      <c r="AJ88" s="2"/>
      <c r="AK88" s="2"/>
      <c r="AL88" s="2"/>
      <c r="AM88" s="2"/>
      <c r="AN88" s="2"/>
      <c r="AO88" s="2"/>
      <c r="AP88" s="2"/>
      <c r="AQ88" s="2"/>
      <c r="AR88" s="2"/>
      <c r="AS88" s="2"/>
      <c r="AT88" s="2"/>
      <c r="AU88" s="2"/>
      <c r="AV88" s="2"/>
      <c r="AW88" s="2"/>
      <c r="AX88" s="2"/>
      <c r="AY88" s="2"/>
      <c r="AZ88" s="2" t="str">
        <f>IFERROR(__xludf.DUMMYFUNCTION("""COMPUTED_VALUE"""),"#REF!")</f>
        <v>#REF!</v>
      </c>
      <c r="BA88" s="2" t="str">
        <f>IFERROR(__xludf.DUMMYFUNCTION("""COMPUTED_VALUE"""),"Không đủ điều kiện")</f>
        <v>Không đủ điều kiện</v>
      </c>
      <c r="BB88" s="2" t="str">
        <f>IFERROR(__xludf.DUMMYFUNCTION("""COMPUTED_VALUE"""),"Duyệt")</f>
        <v>Duyệt</v>
      </c>
      <c r="BC88" s="148">
        <f>IFERROR(__xludf.DUMMYFUNCTION("""COMPUTED_VALUE"""),46162.0)</f>
        <v>46162</v>
      </c>
      <c r="BD88" s="2" t="str">
        <f>IFERROR(__xludf.DUMMYFUNCTION("""COMPUTED_VALUE"""),"Chờ duyệt")</f>
        <v>Chờ duyệt</v>
      </c>
      <c r="BE88" s="2" t="str">
        <f>IFERROR(__xludf.DUMMYFUNCTION("""COMPUTED_VALUE"""),"xlg 20/05")</f>
        <v>xlg 20/05</v>
      </c>
      <c r="BF88" s="2" t="str">
        <f>IFERROR(__xludf.DUMMYFUNCTION("""COMPUTED_VALUE"""),"Đã xử lí giá")</f>
        <v>Đã xử lí giá</v>
      </c>
      <c r="BG88" s="2" t="str">
        <f>IFERROR(__xludf.DUMMYFUNCTION("""COMPUTED_VALUE"""),"A05181225- 01 Nước nâu đen 32,500đ 19/5/2026")</f>
        <v>A05181225- 01 Nước nâu đen 32,500đ 19/5/2026</v>
      </c>
      <c r="BH88" s="2"/>
      <c r="BI88" s="2"/>
      <c r="BJ88" s="2"/>
      <c r="BK88" s="2"/>
      <c r="BL88" s="2"/>
      <c r="BM88" s="2"/>
      <c r="BN88" s="2"/>
      <c r="BO88" s="2"/>
      <c r="BP88" s="2"/>
      <c r="BQ88" s="2"/>
    </row>
    <row r="89">
      <c r="A89" s="2">
        <f>IFERROR(__xludf.DUMMYFUNCTION("""COMPUTED_VALUE"""),86.0)</f>
        <v>86</v>
      </c>
      <c r="B89" s="2" t="str">
        <f>IFERROR(__xludf.DUMMYFUNCTION("""COMPUTED_VALUE"""),"Dego Cần Thơ")</f>
        <v>Dego Cần Thơ</v>
      </c>
      <c r="C89" s="2" t="str">
        <f>IFERROR(__xludf.DUMMYFUNCTION("""COMPUTED_VALUE"""),"ATP20052601")</f>
        <v>ATP20052601</v>
      </c>
      <c r="D89" s="39">
        <f>IFERROR(__xludf.DUMMYFUNCTION("""COMPUTED_VALUE"""),46162.0)</f>
        <v>46162</v>
      </c>
      <c r="E89" s="2" t="str">
        <f>IFERROR(__xludf.DUMMYFUNCTION("""COMPUTED_VALUE"""),"Đã duyệt")</f>
        <v>Đã duyệt</v>
      </c>
      <c r="F89" s="2" t="str">
        <f>IFERROR(__xludf.DUMMYFUNCTION("""COMPUTED_VALUE"""),"ABA")</f>
        <v>ABA</v>
      </c>
      <c r="G89" s="2" t="str">
        <f>IFERROR(__xludf.DUMMYFUNCTION("""COMPUTED_VALUE"""),"HH4659")</f>
        <v>HH4659</v>
      </c>
      <c r="H89" s="2" t="str">
        <f>IFERROR(__xludf.DUMMYFUNCTION("""COMPUTED_VALUE"""),"GC - V - 4659 - CTY HÓA NÔNG CON ONG VÀNG - CỨNG CÂY ONG VÀNG (Nước nâu đen) - 500ml - 40")</f>
        <v>GC - V - 4659 - CTY HÓA NÔNG CON ONG VÀNG - CỨNG CÂY ONG VÀNG (Nước nâu đen) - 500ml - 40</v>
      </c>
      <c r="I89" s="2" t="str">
        <f>IFERROR(__xludf.DUMMYFUNCTION("""COMPUTED_VALUE"""),"Phân bón")</f>
        <v>Phân bón</v>
      </c>
      <c r="J89" s="142" t="str">
        <f>IFERROR(__xludf.DUMMYFUNCTION("""COMPUTED_VALUE"""),"Vi Lượng G.A 05")</f>
        <v>Vi Lượng G.A 05</v>
      </c>
      <c r="K89" s="2" t="str">
        <f>IFERROR(__xludf.DUMMYFUNCTION("""COMPUTED_VALUE"""),"A02200825 - 01")</f>
        <v>A02200825 - 01</v>
      </c>
      <c r="L89" s="2" t="str">
        <f>IFERROR(__xludf.DUMMYFUNCTION("""COMPUTED_VALUE"""),"SC nâu vàng")</f>
        <v>SC nâu vàng</v>
      </c>
      <c r="M89" s="2" t="str">
        <f>IFERROR(__xludf.DUMMYFUNCTION("""COMPUTED_VALUE"""),"Chai")</f>
        <v>Chai</v>
      </c>
      <c r="N89" s="142">
        <f>IFERROR(__xludf.DUMMYFUNCTION("""COMPUTED_VALUE"""),40.0)</f>
        <v>40</v>
      </c>
      <c r="O89" s="142">
        <f>IFERROR(__xludf.DUMMYFUNCTION("""COMPUTED_VALUE"""),15.0)</f>
        <v>15</v>
      </c>
      <c r="P89" s="142">
        <f>IFERROR(__xludf.DUMMYFUNCTION("""COMPUTED_VALUE"""),600.0)</f>
        <v>600</v>
      </c>
      <c r="Q89" s="143">
        <f>IFERROR(__xludf.DUMMYFUNCTION("""COMPUTED_VALUE"""),46172.0)</f>
        <v>46172</v>
      </c>
      <c r="R89" s="2"/>
      <c r="S89" s="142" t="str">
        <f>IFERROR(__xludf.DUMMYFUNCTION("""COMPUTED_VALUE"""),"lấy chẳn thùng
đóng hết nhàn tròn thùng")</f>
        <v>lấy chẳn thùng
đóng hết nhàn tròn thùng</v>
      </c>
      <c r="T89" s="2"/>
      <c r="U89" s="2"/>
      <c r="V89" s="2"/>
      <c r="W89" s="2" t="str">
        <f>IFERROR(__xludf.DUMMYFUNCTION("""COMPUTED_VALUE"""),"ONG VÀNG - Giá bán 65.500,00 đ - Ngày dự kiến thu tiền:  - Dự kiến ngày ra hết hàng: ")</f>
        <v>ONG VÀNG - Giá bán 65.500,00 đ - Ngày dự kiến thu tiền:  - Dự kiến ngày ra hết hàng: </v>
      </c>
      <c r="X89" s="2"/>
      <c r="Y89" s="2" t="str">
        <f>IFERROR(__xludf.DUMMYFUNCTION("""COMPUTED_VALUE"""),"Dego Cần Thơ")</f>
        <v>Dego Cần Thơ</v>
      </c>
      <c r="Z89" s="2" t="str">
        <f>IFERROR(__xludf.DUMMYFUNCTION("""COMPUTED_VALUE"""),"Chưa gửi đơn")</f>
        <v>Chưa gửi đơn</v>
      </c>
      <c r="AA89" s="2"/>
      <c r="AB89" s="2" t="str">
        <f>IFERROR(__xludf.DUMMYFUNCTION("""COMPUTED_VALUE"""),"chưa đủ dk do chưa duyệt pháp lý, chưa duyệt giá xong 22/05")</f>
        <v>chưa đủ dk do chưa duyệt pháp lý, chưa duyệt giá xong 22/05</v>
      </c>
      <c r="AC89" s="146">
        <f>IFERROR(__xludf.DUMMYFUNCTION("""COMPUTED_VALUE"""),600.0)</f>
        <v>600</v>
      </c>
      <c r="AD89" s="2"/>
      <c r="AE89" s="2" t="str">
        <f>IFERROR(__xludf.DUMMYFUNCTION("""COMPUTED_VALUE"""),"đã bàn giao cho nhà máy 23/05")</f>
        <v>đã bàn giao cho nhà máy 23/05</v>
      </c>
      <c r="AF89" s="2"/>
      <c r="AG89" s="2"/>
      <c r="AH89" s="2"/>
      <c r="AI89" s="2"/>
      <c r="AJ89" s="2"/>
      <c r="AK89" s="2"/>
      <c r="AL89" s="2"/>
      <c r="AM89" s="2"/>
      <c r="AN89" s="2"/>
      <c r="AO89" s="2"/>
      <c r="AP89" s="2"/>
      <c r="AQ89" s="2"/>
      <c r="AR89" s="2"/>
      <c r="AS89" s="2"/>
      <c r="AT89" s="2"/>
      <c r="AU89" s="2"/>
      <c r="AV89" s="2"/>
      <c r="AW89" s="2"/>
      <c r="AX89" s="2"/>
      <c r="AY89" s="2"/>
      <c r="AZ89" s="2" t="str">
        <f>IFERROR(__xludf.DUMMYFUNCTION("""COMPUTED_VALUE"""),"#REF!")</f>
        <v>#REF!</v>
      </c>
      <c r="BA89" s="2" t="str">
        <f>IFERROR(__xludf.DUMMYFUNCTION("""COMPUTED_VALUE"""),"Không đủ điều kiện")</f>
        <v>Không đủ điều kiện</v>
      </c>
      <c r="BB89" s="2" t="str">
        <f>IFERROR(__xludf.DUMMYFUNCTION("""COMPUTED_VALUE"""),"Duyệt")</f>
        <v>Duyệt</v>
      </c>
      <c r="BC89" s="148">
        <f>IFERROR(__xludf.DUMMYFUNCTION("""COMPUTED_VALUE"""),46162.0)</f>
        <v>46162</v>
      </c>
      <c r="BD89" s="2" t="str">
        <f>IFERROR(__xludf.DUMMYFUNCTION("""COMPUTED_VALUE"""),"Chờ duyệt")</f>
        <v>Chờ duyệt</v>
      </c>
      <c r="BE89" s="2" t="str">
        <f>IFERROR(__xludf.DUMMYFUNCTION("""COMPUTED_VALUE"""),"xlg 22/05")</f>
        <v>xlg 22/05</v>
      </c>
      <c r="BF89" s="2" t="str">
        <f>IFERROR(__xludf.DUMMYFUNCTION("""COMPUTED_VALUE"""),"Đã xử lí giá")</f>
        <v>Đã xử lí giá</v>
      </c>
      <c r="BG89" s="2" t="str">
        <f>IFERROR(__xludf.DUMMYFUNCTION("""COMPUTED_VALUE"""),"A02200825 - 01 SC nâu vàng 65,500đ 20/5/2026")</f>
        <v>A02200825 - 01 SC nâu vàng 65,500đ 20/5/2026</v>
      </c>
      <c r="BH89" s="2"/>
      <c r="BI89" s="2"/>
      <c r="BJ89" s="2"/>
      <c r="BK89" s="2"/>
      <c r="BL89" s="2"/>
      <c r="BM89" s="2"/>
      <c r="BN89" s="2"/>
      <c r="BO89" s="2"/>
      <c r="BP89" s="2"/>
      <c r="BQ89" s="2"/>
    </row>
    <row r="90">
      <c r="A90" s="2">
        <f>IFERROR(__xludf.DUMMYFUNCTION("""COMPUTED_VALUE"""),87.0)</f>
        <v>87</v>
      </c>
      <c r="B90" s="2" t="str">
        <f>IFERROR(__xludf.DUMMYFUNCTION("""COMPUTED_VALUE"""),"Dego Cần Thơ")</f>
        <v>Dego Cần Thơ</v>
      </c>
      <c r="C90" s="2" t="str">
        <f>IFERROR(__xludf.DUMMYFUNCTION("""COMPUTED_VALUE"""),"ITP19052601")</f>
        <v>ITP19052601</v>
      </c>
      <c r="D90" s="39">
        <f>IFERROR(__xludf.DUMMYFUNCTION("""COMPUTED_VALUE"""),46161.0)</f>
        <v>46161</v>
      </c>
      <c r="E90" s="2"/>
      <c r="F90" s="2" t="str">
        <f>IFERROR(__xludf.DUMMYFUNCTION("""COMPUTED_VALUE"""),"BAMBOO")</f>
        <v>BAMBOO</v>
      </c>
      <c r="G90" s="2" t="str">
        <f>IFERROR(__xludf.DUMMYFUNCTION("""COMPUTED_VALUE"""),"HH4680")</f>
        <v>HH4680</v>
      </c>
      <c r="H90" s="2" t="str">
        <f>IFERROR(__xludf.DUMMYFUNCTION("""COMPUTED_VALUE"""),"LOTUS AGROCHEM - VI - 4680 - LOTUS KÍCH RỄ - BUNG CHỒI (Nước nâu đen) - 250ml - 40")</f>
        <v>LOTUS AGROCHEM - VI - 4680 - LOTUS KÍCH RỄ - BUNG CHỒI (Nước nâu đen) - 250ml - 40</v>
      </c>
      <c r="I90" s="2" t="str">
        <f>IFERROR(__xludf.DUMMYFUNCTION("""COMPUTED_VALUE"""),"Phân bón")</f>
        <v>Phân bón</v>
      </c>
      <c r="J90" s="142" t="str">
        <f>IFERROR(__xludf.DUMMYFUNCTION("""COMPUTED_VALUE"""),"Hữu cơ FUSEMIN COMBI+")</f>
        <v>Hữu cơ FUSEMIN COMBI+</v>
      </c>
      <c r="K90" s="2" t="str">
        <f>IFERROR(__xludf.DUMMYFUNCTION("""COMPUTED_VALUE"""),"Đóng theo đơn gần nhất")</f>
        <v>Đóng theo đơn gần nhất</v>
      </c>
      <c r="L90" s="2" t="str">
        <f>IFERROR(__xludf.DUMMYFUNCTION("""COMPUTED_VALUE"""),"Nước nâu đen")</f>
        <v>Nước nâu đen</v>
      </c>
      <c r="M90" s="2" t="str">
        <f>IFERROR(__xludf.DUMMYFUNCTION("""COMPUTED_VALUE"""),"Chai")</f>
        <v>Chai</v>
      </c>
      <c r="N90" s="142">
        <f>IFERROR(__xludf.DUMMYFUNCTION("""COMPUTED_VALUE"""),40.0)</f>
        <v>40</v>
      </c>
      <c r="O90" s="142">
        <f>IFERROR(__xludf.DUMMYFUNCTION("""COMPUTED_VALUE"""),30.0)</f>
        <v>30</v>
      </c>
      <c r="P90" s="142">
        <f>IFERROR(__xludf.DUMMYFUNCTION("""COMPUTED_VALUE"""),1200.0)</f>
        <v>1200</v>
      </c>
      <c r="Q90" s="143">
        <f>IFERROR(__xludf.DUMMYFUNCTION("""COMPUTED_VALUE"""),46167.0)</f>
        <v>46167</v>
      </c>
      <c r="R90" s="2" t="str">
        <f>IFERROR(__xludf.DUMMYFUNCTION("""COMPUTED_VALUE"""),"x")</f>
        <v>x</v>
      </c>
      <c r="S90" s="142" t="str">
        <f>IFERROR(__xludf.DUMMYFUNCTION("""COMPUTED_VALUE"""),"x")</f>
        <v>x</v>
      </c>
      <c r="T90" s="142" t="str">
        <f>IFERROR(__xludf.DUMMYFUNCTION("""COMPUTED_VALUE"""),"x")</f>
        <v>x</v>
      </c>
      <c r="U90" s="142" t="str">
        <f>IFERROR(__xludf.DUMMYFUNCTION("""COMPUTED_VALUE"""),"x")</f>
        <v>x</v>
      </c>
      <c r="V90" s="142">
        <f>IFERROR(__xludf.DUMMYFUNCTION("""COMPUTED_VALUE"""),6.0)</f>
        <v>6</v>
      </c>
      <c r="W90" s="2" t="str">
        <f>IFERROR(__xludf.DUMMYFUNCTION("""COMPUTED_VALUE"""),"x - Giá bán 100000 - Ngày dự kiến thu tiền: x - Dự kiến ngày ra hết hàng: 30 ngày")</f>
        <v>x - Giá bán 100000 - Ngày dự kiến thu tiền: x - Dự kiến ngày ra hết hàng: 30 ngày</v>
      </c>
      <c r="X90" s="2"/>
      <c r="Y90" s="2" t="str">
        <f>IFERROR(__xludf.DUMMYFUNCTION("""COMPUTED_VALUE"""),"Dego Cần Thơ")</f>
        <v>Dego Cần Thơ</v>
      </c>
      <c r="Z90" s="2" t="str">
        <f>IFERROR(__xludf.DUMMYFUNCTION("""COMPUTED_VALUE"""),"Chưa gửi đơn")</f>
        <v>Chưa gửi đơn</v>
      </c>
      <c r="AA90" s="2"/>
      <c r="AB90" s="2" t="str">
        <f>IFERROR(__xludf.DUMMYFUNCTION("""COMPUTED_VALUE"""),"chưa đủ dk do chưa duyệt pháp lý, chưa duyệt giá xong 22/05")</f>
        <v>chưa đủ dk do chưa duyệt pháp lý, chưa duyệt giá xong 22/05</v>
      </c>
      <c r="AC90" s="146">
        <f>IFERROR(__xludf.DUMMYFUNCTION("""COMPUTED_VALUE"""),1200.0)</f>
        <v>1200</v>
      </c>
      <c r="AD90" s="2"/>
      <c r="AE90" s="2" t="str">
        <f>IFERROR(__xludf.DUMMYFUNCTION("""COMPUTED_VALUE"""),"đã bàn giao cho nhà máy 23/05")</f>
        <v>đã bàn giao cho nhà máy 23/05</v>
      </c>
      <c r="AF90" s="2"/>
      <c r="AG90" s="2"/>
      <c r="AH90" s="2"/>
      <c r="AI90" s="2"/>
      <c r="AJ90" s="2"/>
      <c r="AK90" s="2"/>
      <c r="AL90" s="2"/>
      <c r="AM90" s="2"/>
      <c r="AN90" s="2"/>
      <c r="AO90" s="2"/>
      <c r="AP90" s="2"/>
      <c r="AQ90" s="2"/>
      <c r="AR90" s="2"/>
      <c r="AS90" s="2"/>
      <c r="AT90" s="2"/>
      <c r="AU90" s="2"/>
      <c r="AV90" s="2"/>
      <c r="AW90" s="2"/>
      <c r="AX90" s="2"/>
      <c r="AY90" s="2"/>
      <c r="AZ90" s="2" t="str">
        <f>IFERROR(__xludf.DUMMYFUNCTION("""COMPUTED_VALUE"""),"#REF!")</f>
        <v>#REF!</v>
      </c>
      <c r="BA90" s="2" t="str">
        <f>IFERROR(__xludf.DUMMYFUNCTION("""COMPUTED_VALUE"""),"Không đủ điều kiện")</f>
        <v>Không đủ điều kiện</v>
      </c>
      <c r="BB90" s="2" t="str">
        <f>IFERROR(__xludf.DUMMYFUNCTION("""COMPUTED_VALUE"""),"Duyệt")</f>
        <v>Duyệt</v>
      </c>
      <c r="BC90" s="148">
        <f>IFERROR(__xludf.DUMMYFUNCTION("""COMPUTED_VALUE"""),46162.0)</f>
        <v>46162</v>
      </c>
      <c r="BD90" s="2" t="str">
        <f>IFERROR(__xludf.DUMMYFUNCTION("""COMPUTED_VALUE"""),"Chờ duyệt")</f>
        <v>Chờ duyệt</v>
      </c>
      <c r="BE90" s="2" t="str">
        <f>IFERROR(__xludf.DUMMYFUNCTION("""COMPUTED_VALUE"""),"xlg 22/05")</f>
        <v>xlg 22/05</v>
      </c>
      <c r="BF90" s="2" t="str">
        <f>IFERROR(__xludf.DUMMYFUNCTION("""COMPUTED_VALUE"""),"Đã xử lí giá")</f>
        <v>Đã xử lí giá</v>
      </c>
      <c r="BG90" s="2" t="str">
        <f>IFERROR(__xludf.DUMMYFUNCTION("""COMPUTED_VALUE"""),"Đóng theo đơn gần nhất Nước nâu đen 100,000đ 20/5/2026")</f>
        <v>Đóng theo đơn gần nhất Nước nâu đen 100,000đ 20/5/2026</v>
      </c>
      <c r="BH90" s="2"/>
      <c r="BI90" s="2"/>
      <c r="BJ90" s="2"/>
      <c r="BK90" s="2"/>
      <c r="BL90" s="2"/>
      <c r="BM90" s="2"/>
      <c r="BN90" s="2"/>
      <c r="BO90" s="2"/>
      <c r="BP90" s="2"/>
      <c r="BQ90" s="2"/>
    </row>
    <row r="91">
      <c r="A91" s="2">
        <f>IFERROR(__xludf.DUMMYFUNCTION("""COMPUTED_VALUE"""),88.0)</f>
        <v>88</v>
      </c>
      <c r="B91" s="2" t="str">
        <f>IFERROR(__xludf.DUMMYFUNCTION("""COMPUTED_VALUE"""),"Niềm Tin Việt")</f>
        <v>Niềm Tin Việt</v>
      </c>
      <c r="C91" s="2" t="str">
        <f>IFERROR(__xludf.DUMMYFUNCTION("""COMPUTED_VALUE"""),"ATP20052602")</f>
        <v>ATP20052602</v>
      </c>
      <c r="D91" s="39">
        <f>IFERROR(__xludf.DUMMYFUNCTION("""COMPUTED_VALUE"""),46162.0)</f>
        <v>46162</v>
      </c>
      <c r="E91" s="2" t="str">
        <f>IFERROR(__xludf.DUMMYFUNCTION("""COMPUTED_VALUE"""),"Đã duyệt")</f>
        <v>Đã duyệt</v>
      </c>
      <c r="F91" s="2" t="str">
        <f>IFERROR(__xludf.DUMMYFUNCTION("""COMPUTED_VALUE"""),"ABA")</f>
        <v>ABA</v>
      </c>
      <c r="G91" s="2" t="str">
        <f>IFERROR(__xludf.DUMMYFUNCTION("""COMPUTED_VALUE"""),"HH4920")</f>
        <v>HH4920</v>
      </c>
      <c r="H91" s="2" t="str">
        <f>IFERROR(__xludf.DUMMYFUNCTION("""COMPUTED_VALUE"""),"GC - V - 4920 - CTY SEN HỒNG - HUMIIX (Dạng viên màu đen) - 1kg - 25")</f>
        <v>GC - V - 4920 - CTY SEN HỒNG - HUMIIX (Dạng viên màu đen) - 1kg - 25</v>
      </c>
      <c r="I91" s="2" t="str">
        <f>IFERROR(__xludf.DUMMYFUNCTION("""COMPUTED_VALUE"""),"Phân bón")</f>
        <v>Phân bón</v>
      </c>
      <c r="J91" s="142" t="str">
        <f>IFERROR(__xludf.DUMMYFUNCTION("""COMPUTED_VALUE"""),"Hữu Cơ PBHC ABA Organic Fertilizer 20")</f>
        <v>Hữu Cơ PBHC ABA Organic Fertilizer 20</v>
      </c>
      <c r="K91" s="2" t="str">
        <f>IFERROR(__xludf.DUMMYFUNCTION("""COMPUTED_VALUE"""),"A04020426")</f>
        <v>A04020426</v>
      </c>
      <c r="L91" s="2" t="str">
        <f>IFERROR(__xludf.DUMMYFUNCTION("""COMPUTED_VALUE"""),"Dạng viên
Màu đen")</f>
        <v>Dạng viên
Màu đen</v>
      </c>
      <c r="M91" s="2" t="str">
        <f>IFERROR(__xludf.DUMMYFUNCTION("""COMPUTED_VALUE"""),"Túi/Gói")</f>
        <v>Túi/Gói</v>
      </c>
      <c r="N91" s="142">
        <f>IFERROR(__xludf.DUMMYFUNCTION("""COMPUTED_VALUE"""),25.0)</f>
        <v>25</v>
      </c>
      <c r="O91" s="142">
        <f>IFERROR(__xludf.DUMMYFUNCTION("""COMPUTED_VALUE"""),20.0)</f>
        <v>20</v>
      </c>
      <c r="P91" s="142">
        <f>IFERROR(__xludf.DUMMYFUNCTION("""COMPUTED_VALUE"""),500.0)</f>
        <v>500</v>
      </c>
      <c r="Q91" s="143">
        <f>IFERROR(__xludf.DUMMYFUNCTION("""COMPUTED_VALUE"""),46175.0)</f>
        <v>46175</v>
      </c>
      <c r="R91" s="2"/>
      <c r="S91" s="142" t="str">
        <f>IFERROR(__xludf.DUMMYFUNCTION("""COMPUTED_VALUE"""),"lấy chẳn thùng")</f>
        <v>lấy chẳn thùng</v>
      </c>
      <c r="T91" s="2"/>
      <c r="U91" s="2"/>
      <c r="V91" s="2"/>
      <c r="W91" s="2" t="str">
        <f>IFERROR(__xludf.DUMMYFUNCTION("""COMPUTED_VALUE"""),"SEN HỒNG - Giá bán 28000 - Ngày dự kiến thu tiền:  - Dự kiến ngày ra hết hàng: ")</f>
        <v>SEN HỒNG - Giá bán 28000 - Ngày dự kiến thu tiền:  - Dự kiến ngày ra hết hàng: </v>
      </c>
      <c r="X91" s="2"/>
      <c r="Y91" s="2" t="str">
        <f>IFERROR(__xludf.DUMMYFUNCTION("""COMPUTED_VALUE"""),"Niềm Tin Việt")</f>
        <v>Niềm Tin Việt</v>
      </c>
      <c r="Z91" s="2" t="str">
        <f>IFERROR(__xludf.DUMMYFUNCTION("""COMPUTED_VALUE"""),"Chờ lấy hoá đơn")</f>
        <v>Chờ lấy hoá đơn</v>
      </c>
      <c r="AA91" s="2"/>
      <c r="AB91" s="2" t="str">
        <f>IFERROR(__xludf.DUMMYFUNCTION("""COMPUTED_VALUE"""),"chưa gửi đơn, chưa duyệt pháp lý, duyệt giá
25/05 chưa gửi đơn do chưa duyệt pháp lý
mã btp 01RR0083
đã gửi đơn 25/05
đã gửi lệnh sx và phiếu đề nghị xuất kho nguyên liệu cho kế toán 25/05")</f>
        <v>chưa gửi đơn, chưa duyệt pháp lý, duyệt giá
25/05 chưa gửi đơn do chưa duyệt pháp lý
mã btp 01RR0083
đã gửi đơn 25/05
đã gửi lệnh sx và phiếu đề nghị xuất kho nguyên liệu cho kế toán 25/05</v>
      </c>
      <c r="AC91" s="2"/>
      <c r="AD91" s="2">
        <f>IFERROR(__xludf.DUMMYFUNCTION("""COMPUTED_VALUE"""),500.0)</f>
        <v>500</v>
      </c>
      <c r="AE91" s="143">
        <f>IFERROR(__xludf.DUMMYFUNCTION("""COMPUTED_VALUE"""),46174.0)</f>
        <v>46174</v>
      </c>
      <c r="AF91" s="146" t="str">
        <f>IFERROR(__xludf.DUMMYFUNCTION("""COMPUTED_VALUE"""),"")</f>
        <v/>
      </c>
      <c r="AG91" s="143">
        <f>IFERROR(__xludf.DUMMYFUNCTION("""COMPUTED_VALUE"""),46174.0)</f>
        <v>46174</v>
      </c>
      <c r="AH91" s="2">
        <f>IFERROR(__xludf.DUMMYFUNCTION("""COMPUTED_VALUE"""),500.0)</f>
        <v>500</v>
      </c>
      <c r="AI91" s="2"/>
      <c r="AJ91" s="2"/>
      <c r="AK91" s="2"/>
      <c r="AL91" s="2"/>
      <c r="AM91" s="142">
        <f>IFERROR(__xludf.DUMMYFUNCTION("""COMPUTED_VALUE"""),500.0)</f>
        <v>500</v>
      </c>
      <c r="AN91" s="2"/>
      <c r="AO91" s="2"/>
      <c r="AP91" s="2"/>
      <c r="AQ91" s="2"/>
      <c r="AR91" s="2" t="str">
        <f>IFERROR(__xludf.DUMMYFUNCTION("""COMPUTED_VALUE"""),"070526N")</f>
        <v>070526N</v>
      </c>
      <c r="AS91" s="2"/>
      <c r="AT91" s="2"/>
      <c r="AU91" s="2"/>
      <c r="AV91" s="2"/>
      <c r="AW91" s="2"/>
      <c r="AX91" s="2"/>
      <c r="AY91" s="2"/>
      <c r="AZ91" s="2" t="str">
        <f>IFERROR(__xludf.DUMMYFUNCTION("""COMPUTED_VALUE"""),"#REF!")</f>
        <v>#REF!</v>
      </c>
      <c r="BA91" s="2" t="str">
        <f>IFERROR(__xludf.DUMMYFUNCTION("""COMPUTED_VALUE"""),"Đủ điều kiện")</f>
        <v>Đủ điều kiện</v>
      </c>
      <c r="BB91" s="2" t="str">
        <f>IFERROR(__xludf.DUMMYFUNCTION("""COMPUTED_VALUE"""),"Duyệt")</f>
        <v>Duyệt</v>
      </c>
      <c r="BC91" s="148">
        <f>IFERROR(__xludf.DUMMYFUNCTION("""COMPUTED_VALUE"""),46163.0)</f>
        <v>46163</v>
      </c>
      <c r="BD91" s="2" t="str">
        <f>IFERROR(__xludf.DUMMYFUNCTION("""COMPUTED_VALUE"""),"Duyệt")</f>
        <v>Duyệt</v>
      </c>
      <c r="BE91" s="2" t="str">
        <f>IFERROR(__xludf.DUMMYFUNCTION("""COMPUTED_VALUE"""),"xlg 21/05
22/05")</f>
        <v>xlg 21/05
22/05</v>
      </c>
      <c r="BF91" s="2" t="str">
        <f>IFERROR(__xludf.DUMMYFUNCTION("""COMPUTED_VALUE"""),"Đã xử lí giá")</f>
        <v>Đã xử lí giá</v>
      </c>
      <c r="BG91" s="2" t="str">
        <f>IFERROR(__xludf.DUMMYFUNCTION("""COMPUTED_VALUE"""),"A04020426  Dạng viên Màu đen Lượng tồn kho còn 500kg không đủ BTP đóng hàng 20/5/2026
KD tách đơn hàng đóng trước 500kg 20/5/2026")</f>
        <v>A04020426  Dạng viên Màu đen Lượng tồn kho còn 500kg không đủ BTP đóng hàng 20/5/2026
KD tách đơn hàng đóng trước 500kg 20/5/2026</v>
      </c>
      <c r="BH91" s="2"/>
      <c r="BI91" s="2"/>
      <c r="BJ91" s="2"/>
      <c r="BK91" s="2"/>
      <c r="BL91" s="2"/>
      <c r="BM91" s="2"/>
      <c r="BN91" s="2"/>
      <c r="BO91" s="2"/>
      <c r="BP91" s="2"/>
      <c r="BQ91" s="2"/>
    </row>
    <row r="92">
      <c r="A92" s="2">
        <f>IFERROR(__xludf.DUMMYFUNCTION("""COMPUTED_VALUE"""),89.0)</f>
        <v>89</v>
      </c>
      <c r="B92" s="2" t="str">
        <f>IFERROR(__xludf.DUMMYFUNCTION("""COMPUTED_VALUE"""),"Niềm Tin Việt")</f>
        <v>Niềm Tin Việt</v>
      </c>
      <c r="C92" s="2" t="str">
        <f>IFERROR(__xludf.DUMMYFUNCTION("""COMPUTED_VALUE"""),"ATP20052603")</f>
        <v>ATP20052603</v>
      </c>
      <c r="D92" s="39">
        <f>IFERROR(__xludf.DUMMYFUNCTION("""COMPUTED_VALUE"""),46162.0)</f>
        <v>46162</v>
      </c>
      <c r="E92" s="2" t="str">
        <f>IFERROR(__xludf.DUMMYFUNCTION("""COMPUTED_VALUE"""),"Đã duyệt")</f>
        <v>Đã duyệt</v>
      </c>
      <c r="F92" s="2" t="str">
        <f>IFERROR(__xludf.DUMMYFUNCTION("""COMPUTED_VALUE"""),"ABA")</f>
        <v>ABA</v>
      </c>
      <c r="G92" s="2" t="str">
        <f>IFERROR(__xludf.DUMMYFUNCTION("""COMPUTED_VALUE"""),"HH4920")</f>
        <v>HH4920</v>
      </c>
      <c r="H92" s="2" t="str">
        <f>IFERROR(__xludf.DUMMYFUNCTION("""COMPUTED_VALUE"""),"GC - V - 4920 - CTY SEN HỒNG - HUMIIX (Dạng viên màu đen) - 1kg - 25")</f>
        <v>GC - V - 4920 - CTY SEN HỒNG - HUMIIX (Dạng viên màu đen) - 1kg - 25</v>
      </c>
      <c r="I92" s="2" t="str">
        <f>IFERROR(__xludf.DUMMYFUNCTION("""COMPUTED_VALUE"""),"Phân bón")</f>
        <v>Phân bón</v>
      </c>
      <c r="J92" s="142" t="str">
        <f>IFERROR(__xludf.DUMMYFUNCTION("""COMPUTED_VALUE"""),"Hữu Cơ PBHC ABA Organic Fertilizer 20")</f>
        <v>Hữu Cơ PBHC ABA Organic Fertilizer 20</v>
      </c>
      <c r="K92" s="2" t="str">
        <f>IFERROR(__xludf.DUMMYFUNCTION("""COMPUTED_VALUE"""),"A04020426")</f>
        <v>A04020426</v>
      </c>
      <c r="L92" s="2" t="str">
        <f>IFERROR(__xludf.DUMMYFUNCTION("""COMPUTED_VALUE"""),"Dạng viên
Màu đen")</f>
        <v>Dạng viên
Màu đen</v>
      </c>
      <c r="M92" s="2" t="str">
        <f>IFERROR(__xludf.DUMMYFUNCTION("""COMPUTED_VALUE"""),"Túi/Gói")</f>
        <v>Túi/Gói</v>
      </c>
      <c r="N92" s="142">
        <f>IFERROR(__xludf.DUMMYFUNCTION("""COMPUTED_VALUE"""),25.0)</f>
        <v>25</v>
      </c>
      <c r="O92" s="142">
        <f>IFERROR(__xludf.DUMMYFUNCTION("""COMPUTED_VALUE"""),20.0)</f>
        <v>20</v>
      </c>
      <c r="P92" s="142">
        <f>IFERROR(__xludf.DUMMYFUNCTION("""COMPUTED_VALUE"""),500.0)</f>
        <v>500</v>
      </c>
      <c r="Q92" s="143">
        <f>IFERROR(__xludf.DUMMYFUNCTION("""COMPUTED_VALUE"""),46175.0)</f>
        <v>46175</v>
      </c>
      <c r="R92" s="2"/>
      <c r="S92" s="142" t="str">
        <f>IFERROR(__xludf.DUMMYFUNCTION("""COMPUTED_VALUE"""),"lấy chẳn thùng")</f>
        <v>lấy chẳn thùng</v>
      </c>
      <c r="T92" s="2"/>
      <c r="U92" s="2"/>
      <c r="V92" s="2"/>
      <c r="W92" s="2" t="str">
        <f>IFERROR(__xludf.DUMMYFUNCTION("""COMPUTED_VALUE"""),"SEN HỒNG - Giá bán 28000 - Ngày dự kiến thu tiền:  - Dự kiến ngày ra hết hàng: ")</f>
        <v>SEN HỒNG - Giá bán 28000 - Ngày dự kiến thu tiền:  - Dự kiến ngày ra hết hàng: </v>
      </c>
      <c r="X92" s="2"/>
      <c r="Y92" s="2" t="str">
        <f>IFERROR(__xludf.DUMMYFUNCTION("""COMPUTED_VALUE"""),"Niềm Tin Việt")</f>
        <v>Niềm Tin Việt</v>
      </c>
      <c r="Z92" s="2" t="str">
        <f>IFERROR(__xludf.DUMMYFUNCTION("""COMPUTED_VALUE"""),"Chờ lấy hoá đơn")</f>
        <v>Chờ lấy hoá đơn</v>
      </c>
      <c r="AA92" s="2"/>
      <c r="AB92" s="2" t="str">
        <f>IFERROR(__xludf.DUMMYFUNCTION("""COMPUTED_VALUE"""),"chưa gửi đơn, chưa đủ btp
đã đủ btp, đang chờ duyệt pháp lý 26/05
đã duyệt đơn 27/05, 
mã btp 01RR0083
đã gửi đơn 28/05")</f>
        <v>chưa gửi đơn, chưa đủ btp
đã đủ btp, đang chờ duyệt pháp lý 26/05
đã duyệt đơn 27/05, 
mã btp 01RR0083
đã gửi đơn 28/05</v>
      </c>
      <c r="AC92" s="2"/>
      <c r="AD92" s="2">
        <f>IFERROR(__xludf.DUMMYFUNCTION("""COMPUTED_VALUE"""),501.0)</f>
        <v>501</v>
      </c>
      <c r="AE92" s="143">
        <f>IFERROR(__xludf.DUMMYFUNCTION("""COMPUTED_VALUE"""),46174.0)</f>
        <v>46174</v>
      </c>
      <c r="AF92" s="146" t="str">
        <f>IFERROR(__xludf.DUMMYFUNCTION("""COMPUTED_VALUE"""),"")</f>
        <v/>
      </c>
      <c r="AG92" s="143">
        <f>IFERROR(__xludf.DUMMYFUNCTION("""COMPUTED_VALUE"""),46174.0)</f>
        <v>46174</v>
      </c>
      <c r="AH92" s="2">
        <f>IFERROR(__xludf.DUMMYFUNCTION("""COMPUTED_VALUE"""),501.0)</f>
        <v>501</v>
      </c>
      <c r="AI92" s="2"/>
      <c r="AJ92" s="2"/>
      <c r="AK92" s="2"/>
      <c r="AL92" s="2"/>
      <c r="AM92" s="142">
        <f>IFERROR(__xludf.DUMMYFUNCTION("""COMPUTED_VALUE"""),501.0)</f>
        <v>501</v>
      </c>
      <c r="AN92" s="2"/>
      <c r="AO92" s="2"/>
      <c r="AP92" s="2"/>
      <c r="AQ92" s="2"/>
      <c r="AR92" s="2" t="str">
        <f>IFERROR(__xludf.DUMMYFUNCTION("""COMPUTED_VALUE"""),"080526N")</f>
        <v>080526N</v>
      </c>
      <c r="AS92" s="2"/>
      <c r="AT92" s="2"/>
      <c r="AU92" s="2"/>
      <c r="AV92" s="2"/>
      <c r="AW92" s="2"/>
      <c r="AX92" s="2"/>
      <c r="AY92" s="2"/>
      <c r="AZ92" s="2" t="str">
        <f>IFERROR(__xludf.DUMMYFUNCTION("""COMPUTED_VALUE"""),"#REF!")</f>
        <v>#REF!</v>
      </c>
      <c r="BA92" s="2" t="str">
        <f>IFERROR(__xludf.DUMMYFUNCTION("""COMPUTED_VALUE"""),"Đủ điều kiện")</f>
        <v>Đủ điều kiện</v>
      </c>
      <c r="BB92" s="2" t="str">
        <f>IFERROR(__xludf.DUMMYFUNCTION("""COMPUTED_VALUE"""),"Duyệt")</f>
        <v>Duyệt</v>
      </c>
      <c r="BC92" s="148">
        <f>IFERROR(__xludf.DUMMYFUNCTION("""COMPUTED_VALUE"""),46163.0)</f>
        <v>46163</v>
      </c>
      <c r="BD92" s="2" t="str">
        <f>IFERROR(__xludf.DUMMYFUNCTION("""COMPUTED_VALUE"""),"Duyệt")</f>
        <v>Duyệt</v>
      </c>
      <c r="BE92" s="2" t="str">
        <f>IFERROR(__xludf.DUMMYFUNCTION("""COMPUTED_VALUE"""),"xlg 26/05
26/05")</f>
        <v>xlg 26/05
26/05</v>
      </c>
      <c r="BF92" s="2" t="str">
        <f>IFERROR(__xludf.DUMMYFUNCTION("""COMPUTED_VALUE"""),"Đã xử lí giá")</f>
        <v>Đã xử lí giá</v>
      </c>
      <c r="BG92" s="2" t="str">
        <f>IFERROR(__xludf.DUMMYFUNCTION("""COMPUTED_VALUE"""),"A04020426 Dạng viên Màu đen 28,000đ 21/5/2026
Hết tồn kho đóng hàng 21/5/2026
KD đã cho mua 3000kg, ngày 26/5/2026")</f>
        <v>A04020426 Dạng viên Màu đen 28,000đ 21/5/2026
Hết tồn kho đóng hàng 21/5/2026
KD đã cho mua 3000kg, ngày 26/5/2026</v>
      </c>
      <c r="BH92" s="2"/>
      <c r="BI92" s="2"/>
      <c r="BJ92" s="2"/>
      <c r="BK92" s="2"/>
      <c r="BL92" s="2"/>
      <c r="BM92" s="2"/>
      <c r="BN92" s="2"/>
      <c r="BO92" s="2"/>
      <c r="BP92" s="2"/>
      <c r="BQ92" s="2"/>
    </row>
    <row r="93">
      <c r="A93" s="2">
        <f>IFERROR(__xludf.DUMMYFUNCTION("""COMPUTED_VALUE"""),90.0)</f>
        <v>90</v>
      </c>
      <c r="B93" s="2" t="str">
        <f>IFERROR(__xludf.DUMMYFUNCTION("""COMPUTED_VALUE"""),"Dego Cần Thơ")</f>
        <v>Dego Cần Thơ</v>
      </c>
      <c r="C93" s="2" t="str">
        <f>IFERROR(__xludf.DUMMYFUNCTION("""COMPUTED_VALUE"""),"ATP22052601")</f>
        <v>ATP22052601</v>
      </c>
      <c r="D93" s="39">
        <f>IFERROR(__xludf.DUMMYFUNCTION("""COMPUTED_VALUE"""),46164.0)</f>
        <v>46164</v>
      </c>
      <c r="E93" s="2" t="str">
        <f>IFERROR(__xludf.DUMMYFUNCTION("""COMPUTED_VALUE"""),"Đã duyệt")</f>
        <v>Đã duyệt</v>
      </c>
      <c r="F93" s="2" t="str">
        <f>IFERROR(__xludf.DUMMYFUNCTION("""COMPUTED_VALUE"""),"ABA")</f>
        <v>ABA</v>
      </c>
      <c r="G93" s="2" t="str">
        <f>IFERROR(__xludf.DUMMYFUNCTION("""COMPUTED_VALUE"""),"HH4751")</f>
        <v>HH4751</v>
      </c>
      <c r="H93" s="2" t="str">
        <f>IFERROR(__xludf.DUMMYFUNCTION("""COMPUTED_VALUE"""),"GC - IV - 4751 - Cty Master Win - CANXI-BO (Nước xanh lá) - 500ml - 40")</f>
        <v>GC - IV - 4751 - Cty Master Win - CANXI-BO (Nước xanh lá) - 500ml - 40</v>
      </c>
      <c r="I93" s="2" t="str">
        <f>IFERROR(__xludf.DUMMYFUNCTION("""COMPUTED_VALUE"""),"Phân bón")</f>
        <v>Phân bón</v>
      </c>
      <c r="J93" s="142" t="str">
        <f>IFERROR(__xludf.DUMMYFUNCTION("""COMPUTED_VALUE"""),"Hữu Cơ Crops Care")</f>
        <v>Hữu Cơ Crops Care</v>
      </c>
      <c r="K93" s="2" t="str">
        <f>IFERROR(__xludf.DUMMYFUNCTION("""COMPUTED_VALUE"""),"A05040226 
cải tiến
Canxibo 02")</f>
        <v>A05040226 
cải tiến
Canxibo 02</v>
      </c>
      <c r="L93" s="2" t="str">
        <f>IFERROR(__xludf.DUMMYFUNCTION("""COMPUTED_VALUE"""),"Nước xanh lá")</f>
        <v>Nước xanh lá</v>
      </c>
      <c r="M93" s="2" t="str">
        <f>IFERROR(__xludf.DUMMYFUNCTION("""COMPUTED_VALUE"""),"Chai")</f>
        <v>Chai</v>
      </c>
      <c r="N93" s="142">
        <f>IFERROR(__xludf.DUMMYFUNCTION("""COMPUTED_VALUE"""),40.0)</f>
        <v>40</v>
      </c>
      <c r="O93" s="142">
        <f>IFERROR(__xludf.DUMMYFUNCTION("""COMPUTED_VALUE"""),10.0)</f>
        <v>10</v>
      </c>
      <c r="P93" s="142">
        <f>IFERROR(__xludf.DUMMYFUNCTION("""COMPUTED_VALUE"""),400.0)</f>
        <v>400</v>
      </c>
      <c r="Q93" s="143">
        <f>IFERROR(__xludf.DUMMYFUNCTION("""COMPUTED_VALUE"""),46172.0)</f>
        <v>46172</v>
      </c>
      <c r="R93" s="2"/>
      <c r="S93" s="142" t="str">
        <f>IFERROR(__xludf.DUMMYFUNCTION("""COMPUTED_VALUE"""),"lấy chẳn thùng")</f>
        <v>lấy chẳn thùng</v>
      </c>
      <c r="T93" s="2"/>
      <c r="U93" s="2"/>
      <c r="V93" s="2"/>
      <c r="W93" s="2" t="str">
        <f>IFERROR(__xludf.DUMMYFUNCTION("""COMPUTED_VALUE"""),"MASTER WIN - Giá bán 42857 - Ngày dự kiến thu tiền:  - Dự kiến ngày ra hết hàng: ")</f>
        <v>MASTER WIN - Giá bán 42857 - Ngày dự kiến thu tiền:  - Dự kiến ngày ra hết hàng: </v>
      </c>
      <c r="X93" s="2"/>
      <c r="Y93" s="2" t="str">
        <f>IFERROR(__xludf.DUMMYFUNCTION("""COMPUTED_VALUE"""),"Dego Cần Thơ")</f>
        <v>Dego Cần Thơ</v>
      </c>
      <c r="Z93" s="2" t="str">
        <f>IFERROR(__xludf.DUMMYFUNCTION("""COMPUTED_VALUE"""),"Chưa gửi đơn")</f>
        <v>Chưa gửi đơn</v>
      </c>
      <c r="AA93" s="2"/>
      <c r="AB93" s="2" t="str">
        <f>IFERROR(__xludf.DUMMYFUNCTION("""COMPUTED_VALUE"""),"chưa đủ dk do chưa duyệt pháp lý")</f>
        <v>chưa đủ dk do chưa duyệt pháp lý</v>
      </c>
      <c r="AC93" s="146">
        <f>IFERROR(__xludf.DUMMYFUNCTION("""COMPUTED_VALUE"""),400.0)</f>
        <v>400</v>
      </c>
      <c r="AD93" s="2"/>
      <c r="AE93" s="2" t="str">
        <f>IFERROR(__xludf.DUMMYFUNCTION("""COMPUTED_VALUE"""),"đã bàn giao cho nhà máy 23/05")</f>
        <v>đã bàn giao cho nhà máy 23/05</v>
      </c>
      <c r="AF93" s="2"/>
      <c r="AG93" s="2"/>
      <c r="AH93" s="2"/>
      <c r="AI93" s="2"/>
      <c r="AJ93" s="2"/>
      <c r="AK93" s="2"/>
      <c r="AL93" s="2"/>
      <c r="AM93" s="2"/>
      <c r="AN93" s="2"/>
      <c r="AO93" s="2"/>
      <c r="AP93" s="2"/>
      <c r="AQ93" s="2"/>
      <c r="AR93" s="2"/>
      <c r="AS93" s="2"/>
      <c r="AT93" s="2"/>
      <c r="AU93" s="2"/>
      <c r="AV93" s="2"/>
      <c r="AW93" s="2"/>
      <c r="AX93" s="2"/>
      <c r="AY93" s="2"/>
      <c r="AZ93" s="2" t="str">
        <f>IFERROR(__xludf.DUMMYFUNCTION("""COMPUTED_VALUE"""),"#REF!")</f>
        <v>#REF!</v>
      </c>
      <c r="BA93" s="2" t="str">
        <f>IFERROR(__xludf.DUMMYFUNCTION("""COMPUTED_VALUE"""),"Đủ điều kiện")</f>
        <v>Đủ điều kiện</v>
      </c>
      <c r="BB93" s="2" t="str">
        <f>IFERROR(__xludf.DUMMYFUNCTION("""COMPUTED_VALUE"""),"Duyệt")</f>
        <v>Duyệt</v>
      </c>
      <c r="BC93" s="148">
        <f>IFERROR(__xludf.DUMMYFUNCTION("""COMPUTED_VALUE"""),46165.0)</f>
        <v>46165</v>
      </c>
      <c r="BD93" s="2" t="str">
        <f>IFERROR(__xludf.DUMMYFUNCTION("""COMPUTED_VALUE"""),"Duyệt")</f>
        <v>Duyệt</v>
      </c>
      <c r="BE93" s="2" t="str">
        <f>IFERROR(__xludf.DUMMYFUNCTION("""COMPUTED_VALUE"""),"xlg 23/05
23/05")</f>
        <v>xlg 23/05
23/05</v>
      </c>
      <c r="BF93" s="2" t="str">
        <f>IFERROR(__xludf.DUMMYFUNCTION("""COMPUTED_VALUE"""),"Đã xử lí giá")</f>
        <v>Đã xử lí giá</v>
      </c>
      <c r="BG93" s="2" t="str">
        <f>IFERROR(__xludf.DUMMYFUNCTION("""COMPUTED_VALUE"""),"A05040226 
cải tiến
Canxibo 02 Nước xanh lá 42,857đ 22/5/2026")</f>
        <v>A05040226 
cải tiến
Canxibo 02 Nước xanh lá 42,857đ 22/5/2026</v>
      </c>
      <c r="BH93" s="2"/>
      <c r="BI93" s="2"/>
      <c r="BJ93" s="2"/>
      <c r="BK93" s="2"/>
      <c r="BL93" s="2"/>
      <c r="BM93" s="2"/>
      <c r="BN93" s="2"/>
      <c r="BO93" s="2"/>
      <c r="BP93" s="2"/>
      <c r="BQ93" s="2"/>
    </row>
    <row r="94">
      <c r="A94" s="2">
        <f>IFERROR(__xludf.DUMMYFUNCTION("""COMPUTED_VALUE"""),91.0)</f>
        <v>91</v>
      </c>
      <c r="B94" s="2" t="str">
        <f>IFERROR(__xludf.DUMMYFUNCTION("""COMPUTED_VALUE"""),"Dego Cần Thơ")</f>
        <v>Dego Cần Thơ</v>
      </c>
      <c r="C94" s="2" t="str">
        <f>IFERROR(__xludf.DUMMYFUNCTION("""COMPUTED_VALUE"""),"STP22052601")</f>
        <v>STP22052601</v>
      </c>
      <c r="D94" s="39">
        <f>IFERROR(__xludf.DUMMYFUNCTION("""COMPUTED_VALUE"""),46164.0)</f>
        <v>46164</v>
      </c>
      <c r="E94" s="2"/>
      <c r="F94" s="2" t="str">
        <f>IFERROR(__xludf.DUMMYFUNCTION("""COMPUTED_VALUE"""),"N2SBIO")</f>
        <v>N2SBIO</v>
      </c>
      <c r="G94" s="2" t="str">
        <f>IFERROR(__xludf.DUMMYFUNCTION("""COMPUTED_VALUE"""),"HH4187")</f>
        <v>HH4187</v>
      </c>
      <c r="H94" s="2" t="str">
        <f>IFERROR(__xludf.DUMMYFUNCTION("""COMPUTED_VALUE"""),"GC - IX - 4187 - N2SBIO - N2 ULTRA LOCK (Dạng SC - Trắng sữa) - 500ml - 40")</f>
        <v>GC - IX - 4187 - N2SBIO - N2 ULTRA LOCK (Dạng SC - Trắng sữa) - 500ml - 40</v>
      </c>
      <c r="I94" s="2" t="str">
        <f>IFERROR(__xludf.DUMMYFUNCTION("""COMPUTED_VALUE"""),"Phân bón")</f>
        <v>Phân bón</v>
      </c>
      <c r="J94" s="142" t="str">
        <f>IFERROR(__xludf.DUMMYFUNCTION("""COMPUTED_VALUE"""),"Lá PK-Trung Lượng NBC-Photphonate")</f>
        <v>Lá PK-Trung Lượng NBC-Photphonate</v>
      </c>
      <c r="K94" s="2" t="str">
        <f>IFERROR(__xludf.DUMMYFUNCTION("""COMPUTED_VALUE"""),"N04290725")</f>
        <v>N04290725</v>
      </c>
      <c r="L94" s="2" t="str">
        <f>IFERROR(__xludf.DUMMYFUNCTION("""COMPUTED_VALUE"""),"Dạng SC - Trắng sữa")</f>
        <v>Dạng SC - Trắng sữa</v>
      </c>
      <c r="M94" s="2" t="str">
        <f>IFERROR(__xludf.DUMMYFUNCTION("""COMPUTED_VALUE"""),"Chai")</f>
        <v>Chai</v>
      </c>
      <c r="N94" s="142">
        <f>IFERROR(__xludf.DUMMYFUNCTION("""COMPUTED_VALUE"""),40.0)</f>
        <v>40</v>
      </c>
      <c r="O94" s="142">
        <f>IFERROR(__xludf.DUMMYFUNCTION("""COMPUTED_VALUE"""),100.0)</f>
        <v>100</v>
      </c>
      <c r="P94" s="142">
        <f>IFERROR(__xludf.DUMMYFUNCTION("""COMPUTED_VALUE"""),4000.0)</f>
        <v>4000</v>
      </c>
      <c r="Q94" s="143">
        <f>IFERROR(__xludf.DUMMYFUNCTION("""COMPUTED_VALUE"""),46172.0)</f>
        <v>46172</v>
      </c>
      <c r="R94" s="2" t="str">
        <f>IFERROR(__xludf.DUMMYFUNCTION("""COMPUTED_VALUE"""),"x")</f>
        <v>x</v>
      </c>
      <c r="S94" s="142" t="str">
        <f>IFERROR(__xludf.DUMMYFUNCTION("""COMPUTED_VALUE"""),"x")</f>
        <v>x</v>
      </c>
      <c r="T94" s="142" t="str">
        <f>IFERROR(__xludf.DUMMYFUNCTION("""COMPUTED_VALUE"""),"x")</f>
        <v>x</v>
      </c>
      <c r="U94" s="142" t="str">
        <f>IFERROR(__xludf.DUMMYFUNCTION("""COMPUTED_VALUE"""),"x")</f>
        <v>x</v>
      </c>
      <c r="V94" s="142">
        <f>IFERROR(__xludf.DUMMYFUNCTION("""COMPUTED_VALUE"""),8.0)</f>
        <v>8</v>
      </c>
      <c r="W94" s="2" t="str">
        <f>IFERROR(__xludf.DUMMYFUNCTION("""COMPUTED_VALUE""")," - Giá bán 280.000 đ - Ngày dự kiến thu tiền:  - Dự kiến ngày ra hết hàng: ")</f>
        <v> - Giá bán 280.000 đ - Ngày dự kiến thu tiền:  - Dự kiến ngày ra hết hàng: </v>
      </c>
      <c r="X94" s="2"/>
      <c r="Y94" s="2" t="str">
        <f>IFERROR(__xludf.DUMMYFUNCTION("""COMPUTED_VALUE"""),"Dego Cần Thơ")</f>
        <v>Dego Cần Thơ</v>
      </c>
      <c r="Z94" s="2" t="str">
        <f>IFERROR(__xludf.DUMMYFUNCTION("""COMPUTED_VALUE"""),"Chưa gửi đơn")</f>
        <v>Chưa gửi đơn</v>
      </c>
      <c r="AA94" s="2"/>
      <c r="AB94" s="2" t="str">
        <f>IFERROR(__xludf.DUMMYFUNCTION("""COMPUTED_VALUE"""),"chưa đủ dk do chưa duyệt pháp lý, chưa duyệt giá")</f>
        <v>chưa đủ dk do chưa duyệt pháp lý, chưa duyệt giá</v>
      </c>
      <c r="AC94" s="146">
        <f>IFERROR(__xludf.DUMMYFUNCTION("""COMPUTED_VALUE"""),4000.0)</f>
        <v>4000</v>
      </c>
      <c r="AD94" s="2"/>
      <c r="AE94" s="2" t="str">
        <f>IFERROR(__xludf.DUMMYFUNCTION("""COMPUTED_VALUE"""),"đã bàn giao cho nhà máy 23/05")</f>
        <v>đã bàn giao cho nhà máy 23/05</v>
      </c>
      <c r="AF94" s="2"/>
      <c r="AG94" s="2"/>
      <c r="AH94" s="2"/>
      <c r="AI94" s="2"/>
      <c r="AJ94" s="2"/>
      <c r="AK94" s="2"/>
      <c r="AL94" s="2"/>
      <c r="AM94" s="2"/>
      <c r="AN94" s="2"/>
      <c r="AO94" s="2"/>
      <c r="AP94" s="2"/>
      <c r="AQ94" s="2"/>
      <c r="AR94" s="2"/>
      <c r="AS94" s="2"/>
      <c r="AT94" s="2"/>
      <c r="AU94" s="2"/>
      <c r="AV94" s="2"/>
      <c r="AW94" s="2"/>
      <c r="AX94" s="2"/>
      <c r="AY94" s="2"/>
      <c r="AZ94" s="2" t="str">
        <f>IFERROR(__xludf.DUMMYFUNCTION("""COMPUTED_VALUE"""),"#REF!")</f>
        <v>#REF!</v>
      </c>
      <c r="BA94" s="2" t="str">
        <f>IFERROR(__xludf.DUMMYFUNCTION("""COMPUTED_VALUE"""),"Không đủ điều kiện")</f>
        <v>Không đủ điều kiện</v>
      </c>
      <c r="BB94" s="2" t="str">
        <f>IFERROR(__xludf.DUMMYFUNCTION("""COMPUTED_VALUE"""),"Duyệt")</f>
        <v>Duyệt</v>
      </c>
      <c r="BC94" s="148">
        <f>IFERROR(__xludf.DUMMYFUNCTION("""COMPUTED_VALUE"""),46165.0)</f>
        <v>46165</v>
      </c>
      <c r="BD94" s="2" t="str">
        <f>IFERROR(__xludf.DUMMYFUNCTION("""COMPUTED_VALUE"""),"Chưa đủ TT duyệt")</f>
        <v>Chưa đủ TT duyệt</v>
      </c>
      <c r="BE94" s="2"/>
      <c r="BF94" s="2" t="str">
        <f>IFERROR(__xludf.DUMMYFUNCTION("""COMPUTED_VALUE"""),"Đã xử lí giá")</f>
        <v>Đã xử lí giá</v>
      </c>
      <c r="BG94" s="2" t="str">
        <f>IFERROR(__xludf.DUMMYFUNCTION("""COMPUTED_VALUE"""),"N04290725 Dạng SC - Trắng sữa 280,000đ 22/5/2026")</f>
        <v>N04290725 Dạng SC - Trắng sữa 280,000đ 22/5/2026</v>
      </c>
      <c r="BH94" s="2"/>
      <c r="BI94" s="2"/>
      <c r="BJ94" s="2"/>
      <c r="BK94" s="2"/>
      <c r="BL94" s="2"/>
      <c r="BM94" s="2"/>
      <c r="BN94" s="2"/>
      <c r="BO94" s="2"/>
      <c r="BP94" s="2"/>
      <c r="BQ94" s="2"/>
    </row>
    <row r="95">
      <c r="A95" s="2">
        <f>IFERROR(__xludf.DUMMYFUNCTION("""COMPUTED_VALUE"""),92.0)</f>
        <v>92</v>
      </c>
      <c r="B95" s="2" t="str">
        <f>IFERROR(__xludf.DUMMYFUNCTION("""COMPUTED_VALUE"""),"Dego Cần Thơ")</f>
        <v>Dego Cần Thơ</v>
      </c>
      <c r="C95" s="2" t="str">
        <f>IFERROR(__xludf.DUMMYFUNCTION("""COMPUTED_VALUE"""),"ATP22052603")</f>
        <v>ATP22052603</v>
      </c>
      <c r="D95" s="39">
        <f>IFERROR(__xludf.DUMMYFUNCTION("""COMPUTED_VALUE"""),46164.0)</f>
        <v>46164</v>
      </c>
      <c r="E95" s="2" t="str">
        <f>IFERROR(__xludf.DUMMYFUNCTION("""COMPUTED_VALUE"""),"Đã duyệt")</f>
        <v>Đã duyệt</v>
      </c>
      <c r="F95" s="2" t="str">
        <f>IFERROR(__xludf.DUMMYFUNCTION("""COMPUTED_VALUE"""),"ABA")</f>
        <v>ABA</v>
      </c>
      <c r="G95" s="2" t="str">
        <f>IFERROR(__xludf.DUMMYFUNCTION("""COMPUTED_VALUE"""),"HH5028")</f>
        <v>HH5028</v>
      </c>
      <c r="H95" s="2" t="str">
        <f>IFERROR(__xludf.DUMMYFUNCTION("""COMPUTED_VALUE"""),"GC - X - 5028 - CSSX An Khang - TAK03 (Nước nâu đen) - 250ml - 40")</f>
        <v>GC - X - 5028 - CSSX An Khang - TAK03 (Nước nâu đen) - 250ml - 40</v>
      </c>
      <c r="I95" s="2" t="str">
        <f>IFERROR(__xludf.DUMMYFUNCTION("""COMPUTED_VALUE"""),"Phân bón")</f>
        <v>Phân bón</v>
      </c>
      <c r="J95" s="142" t="str">
        <f>IFERROR(__xludf.DUMMYFUNCTION("""COMPUTED_VALUE"""),"Vi lượng Quantity New")</f>
        <v>Vi lượng Quantity New</v>
      </c>
      <c r="K95" s="2" t="str">
        <f>IFERROR(__xludf.DUMMYFUNCTION("""COMPUTED_VALUE"""),"A01130526")</f>
        <v>A01130526</v>
      </c>
      <c r="L95" s="2" t="str">
        <f>IFERROR(__xludf.DUMMYFUNCTION("""COMPUTED_VALUE"""),"Nước nâu đen")</f>
        <v>Nước nâu đen</v>
      </c>
      <c r="M95" s="2" t="str">
        <f>IFERROR(__xludf.DUMMYFUNCTION("""COMPUTED_VALUE"""),"Chai")</f>
        <v>Chai</v>
      </c>
      <c r="N95" s="142">
        <f>IFERROR(__xludf.DUMMYFUNCTION("""COMPUTED_VALUE"""),40.0)</f>
        <v>40</v>
      </c>
      <c r="O95" s="142">
        <f>IFERROR(__xludf.DUMMYFUNCTION("""COMPUTED_VALUE"""),10.0)</f>
        <v>10</v>
      </c>
      <c r="P95" s="142">
        <f>IFERROR(__xludf.DUMMYFUNCTION("""COMPUTED_VALUE"""),400.0)</f>
        <v>400</v>
      </c>
      <c r="Q95" s="143">
        <f>IFERROR(__xludf.DUMMYFUNCTION("""COMPUTED_VALUE"""),46177.0)</f>
        <v>46177</v>
      </c>
      <c r="R95" s="2"/>
      <c r="S95" s="142" t="str">
        <f>IFERROR(__xludf.DUMMYFUNCTION("""COMPUTED_VALUE"""),"lấy chẳn thùng")</f>
        <v>lấy chẳn thùng</v>
      </c>
      <c r="T95" s="2"/>
      <c r="U95" s="2"/>
      <c r="V95" s="2"/>
      <c r="W95" s="2" t="str">
        <f>IFERROR(__xludf.DUMMYFUNCTION("""COMPUTED_VALUE"""),"ĐINH CÔNG DINH - Giá bán Chờ giá - Ngày dự kiến thu tiền:  - Dự kiến ngày ra hết hàng: ")</f>
        <v>ĐINH CÔNG DINH - Giá bán Chờ giá - Ngày dự kiến thu tiền:  - Dự kiến ngày ra hết hàng: </v>
      </c>
      <c r="X95" s="2"/>
      <c r="Y95" s="2" t="str">
        <f>IFERROR(__xludf.DUMMYFUNCTION("""COMPUTED_VALUE"""),"Dego Cần Thơ")</f>
        <v>Dego Cần Thơ</v>
      </c>
      <c r="Z95" s="2" t="str">
        <f>IFERROR(__xludf.DUMMYFUNCTION("""COMPUTED_VALUE"""),"Chưa gửi đơn")</f>
        <v>Chưa gửi đơn</v>
      </c>
      <c r="AA95" s="2"/>
      <c r="AB95" s="2" t="str">
        <f>IFERROR(__xludf.DUMMYFUNCTION("""COMPUTED_VALUE"""),"chưa đủ dk do chưa duyệt pháp lý, chưa duyệt giá")</f>
        <v>chưa đủ dk do chưa duyệt pháp lý, chưa duyệt giá</v>
      </c>
      <c r="AC95" s="146">
        <f>IFERROR(__xludf.DUMMYFUNCTION("""COMPUTED_VALUE"""),400.0)</f>
        <v>400</v>
      </c>
      <c r="AD95" s="2"/>
      <c r="AE95" s="2" t="str">
        <f>IFERROR(__xludf.DUMMYFUNCTION("""COMPUTED_VALUE"""),"đã bàn giao cho nhà máy 23/05")</f>
        <v>đã bàn giao cho nhà máy 23/05</v>
      </c>
      <c r="AF95" s="2"/>
      <c r="AG95" s="2"/>
      <c r="AH95" s="2"/>
      <c r="AI95" s="2"/>
      <c r="AJ95" s="2"/>
      <c r="AK95" s="2"/>
      <c r="AL95" s="2"/>
      <c r="AM95" s="2"/>
      <c r="AN95" s="2"/>
      <c r="AO95" s="2"/>
      <c r="AP95" s="2"/>
      <c r="AQ95" s="2"/>
      <c r="AR95" s="2"/>
      <c r="AS95" s="2"/>
      <c r="AT95" s="2"/>
      <c r="AU95" s="2"/>
      <c r="AV95" s="2"/>
      <c r="AW95" s="2"/>
      <c r="AX95" s="2"/>
      <c r="AY95" s="2"/>
      <c r="AZ95" s="2" t="str">
        <f>IFERROR(__xludf.DUMMYFUNCTION("""COMPUTED_VALUE"""),"#REF!")</f>
        <v>#REF!</v>
      </c>
      <c r="BA95" s="2" t="str">
        <f>IFERROR(__xludf.DUMMYFUNCTION("""COMPUTED_VALUE"""),"Không đủ điều kiện")</f>
        <v>Không đủ điều kiện</v>
      </c>
      <c r="BB95" s="2" t="str">
        <f>IFERROR(__xludf.DUMMYFUNCTION("""COMPUTED_VALUE"""),"Duyệt")</f>
        <v>Duyệt</v>
      </c>
      <c r="BC95" s="148">
        <f>IFERROR(__xludf.DUMMYFUNCTION("""COMPUTED_VALUE"""),46165.0)</f>
        <v>46165</v>
      </c>
      <c r="BD95" s="2" t="str">
        <f>IFERROR(__xludf.DUMMYFUNCTION("""COMPUTED_VALUE"""),"Chưa đủ TT duyệt")</f>
        <v>Chưa đủ TT duyệt</v>
      </c>
      <c r="BE95" s="2"/>
      <c r="BF95" s="2" t="str">
        <f>IFERROR(__xludf.DUMMYFUNCTION("""COMPUTED_VALUE"""),"Đã xử lí giá")</f>
        <v>Đã xử lí giá</v>
      </c>
      <c r="BG95" s="2" t="str">
        <f>IFERROR(__xludf.DUMMYFUNCTION("""COMPUTED_VALUE"""),"A01130526 Nước nâu đen Chưa có giá bán 22/5/2026")</f>
        <v>A01130526 Nước nâu đen Chưa có giá bán 22/5/2026</v>
      </c>
      <c r="BH95" s="2"/>
      <c r="BI95" s="2"/>
      <c r="BJ95" s="2"/>
      <c r="BK95" s="2"/>
      <c r="BL95" s="2"/>
      <c r="BM95" s="2"/>
      <c r="BN95" s="2"/>
      <c r="BO95" s="2"/>
      <c r="BP95" s="2"/>
      <c r="BQ95" s="2"/>
    </row>
    <row r="96">
      <c r="A96" s="2">
        <f>IFERROR(__xludf.DUMMYFUNCTION("""COMPUTED_VALUE"""),93.0)</f>
        <v>93</v>
      </c>
      <c r="B96" s="2" t="str">
        <f>IFERROR(__xludf.DUMMYFUNCTION("""COMPUTED_VALUE"""),"Thu Loan")</f>
        <v>Thu Loan</v>
      </c>
      <c r="C96" s="2" t="str">
        <f>IFERROR(__xludf.DUMMYFUNCTION("""COMPUTED_VALUE"""),"ATP22052604")</f>
        <v>ATP22052604</v>
      </c>
      <c r="D96" s="39">
        <f>IFERROR(__xludf.DUMMYFUNCTION("""COMPUTED_VALUE"""),46164.0)</f>
        <v>46164</v>
      </c>
      <c r="E96" s="2" t="str">
        <f>IFERROR(__xludf.DUMMYFUNCTION("""COMPUTED_VALUE"""),"Đã duyệt")</f>
        <v>Đã duyệt</v>
      </c>
      <c r="F96" s="2" t="str">
        <f>IFERROR(__xludf.DUMMYFUNCTION("""COMPUTED_VALUE"""),"ABA")</f>
        <v>ABA</v>
      </c>
      <c r="G96" s="2" t="str">
        <f>IFERROR(__xludf.DUMMYFUNCTION("""COMPUTED_VALUE"""),"HH5034")</f>
        <v>HH5034</v>
      </c>
      <c r="H96" s="2" t="str">
        <f>IFERROR(__xludf.DUMMYFUNCTION("""COMPUTED_VALUE"""),"GC - V - 5034 - CTY AGROCHEM KOREA - ABASIU (Nước nâu đen) - 450ml - 40")</f>
        <v>GC - V - 5034 - CTY AGROCHEM KOREA - ABASIU (Nước nâu đen) - 450ml - 40</v>
      </c>
      <c r="I96" s="2" t="str">
        <f>IFERROR(__xludf.DUMMYFUNCTION("""COMPUTED_VALUE"""),"Thuốc trừ sâu")</f>
        <v>Thuốc trừ sâu</v>
      </c>
      <c r="J96" s="142" t="str">
        <f>IFERROR(__xludf.DUMMYFUNCTION("""COMPUTED_VALUE"""),"HAIHAMEC 3.6EC")</f>
        <v>HAIHAMEC 3.6EC</v>
      </c>
      <c r="K96" s="2" t="str">
        <f>IFERROR(__xludf.DUMMYFUNCTION("""COMPUTED_VALUE"""),"Dòng V1")</f>
        <v>Dòng V1</v>
      </c>
      <c r="L96" s="2" t="str">
        <f>IFERROR(__xludf.DUMMYFUNCTION("""COMPUTED_VALUE"""),"Nước nâu đen")</f>
        <v>Nước nâu đen</v>
      </c>
      <c r="M96" s="2" t="str">
        <f>IFERROR(__xludf.DUMMYFUNCTION("""COMPUTED_VALUE"""),"Chai")</f>
        <v>Chai</v>
      </c>
      <c r="N96" s="142">
        <f>IFERROR(__xludf.DUMMYFUNCTION("""COMPUTED_VALUE"""),40.0)</f>
        <v>40</v>
      </c>
      <c r="O96" s="142">
        <f>IFERROR(__xludf.DUMMYFUNCTION("""COMPUTED_VALUE"""),30.0)</f>
        <v>30</v>
      </c>
      <c r="P96" s="142">
        <f>IFERROR(__xludf.DUMMYFUNCTION("""COMPUTED_VALUE"""),1200.0)</f>
        <v>1200</v>
      </c>
      <c r="Q96" s="143">
        <f>IFERROR(__xludf.DUMMYFUNCTION("""COMPUTED_VALUE"""),46178.0)</f>
        <v>46178</v>
      </c>
      <c r="R96" s="2"/>
      <c r="S96" s="142" t="str">
        <f>IFERROR(__xludf.DUMMYFUNCTION("""COMPUTED_VALUE"""),"lấy chẳn thùng")</f>
        <v>lấy chẳn thùng</v>
      </c>
      <c r="T96" s="2"/>
      <c r="U96" s="2"/>
      <c r="V96" s="2"/>
      <c r="W96" s="2" t="str">
        <f>IFERROR(__xludf.DUMMYFUNCTION("""COMPUTED_VALUE"""),"KOREA - Giá bán 42000 - Ngày dự kiến thu tiền:  - Dự kiến ngày ra hết hàng: ")</f>
        <v>KOREA - Giá bán 42000 - Ngày dự kiến thu tiền:  - Dự kiến ngày ra hết hàng: </v>
      </c>
      <c r="X96" s="2"/>
      <c r="Y96" s="2" t="str">
        <f>IFERROR(__xludf.DUMMYFUNCTION("""COMPUTED_VALUE"""),"Thu Loan")</f>
        <v>Thu Loan</v>
      </c>
      <c r="Z96" s="2" t="str">
        <f>IFERROR(__xludf.DUMMYFUNCTION("""COMPUTED_VALUE"""),"Chưa có lịch SX")</f>
        <v>Chưa có lịch SX</v>
      </c>
      <c r="AA96" s="2"/>
      <c r="AB96" s="2" t="str">
        <f>IFERROR(__xludf.DUMMYFUNCTION("""COMPUTED_VALUE"""),"chưa đủ dk do chưa duyệt pháp lý 26/05
Đã gửi đơn 28/05")</f>
        <v>chưa đủ dk do chưa duyệt pháp lý 26/05
Đã gửi đơn 28/05</v>
      </c>
      <c r="AC96" s="146">
        <f>IFERROR(__xludf.DUMMYFUNCTION("""COMPUTED_VALUE"""),1200.0)</f>
        <v>1200</v>
      </c>
      <c r="AD96" s="2"/>
      <c r="AE96" s="143" t="str">
        <f>IFERROR(__xludf.DUMMYFUNCTION("""COMPUTED_VALUE"""),"Chưa chốt lịch")</f>
        <v>Chưa chốt lịch</v>
      </c>
      <c r="AF96" s="146" t="str">
        <f>IFERROR(__xludf.DUMMYFUNCTION("""COMPUTED_VALUE"""),"")</f>
        <v/>
      </c>
      <c r="AG96" s="2"/>
      <c r="AH96" s="2"/>
      <c r="AI96" s="2"/>
      <c r="AJ96" s="2"/>
      <c r="AK96" s="2"/>
      <c r="AL96" s="2"/>
      <c r="AM96" s="2"/>
      <c r="AN96" s="2"/>
      <c r="AO96" s="2"/>
      <c r="AP96" s="2"/>
      <c r="AQ96" s="2"/>
      <c r="AR96" s="2"/>
      <c r="AS96" s="2"/>
      <c r="AT96" s="2"/>
      <c r="AU96" s="2"/>
      <c r="AV96" s="2"/>
      <c r="AW96" s="2"/>
      <c r="AX96" s="2"/>
      <c r="AY96" s="2"/>
      <c r="AZ96" s="2"/>
      <c r="BA96" s="2" t="str">
        <f>IFERROR(__xludf.DUMMYFUNCTION("""COMPUTED_VALUE"""),"Đủ điều kiện")</f>
        <v>Đủ điều kiện</v>
      </c>
      <c r="BB96" s="2" t="str">
        <f>IFERROR(__xludf.DUMMYFUNCTION("""COMPUTED_VALUE"""),"Duyệt")</f>
        <v>Duyệt</v>
      </c>
      <c r="BC96" s="148">
        <f>IFERROR(__xludf.DUMMYFUNCTION("""COMPUTED_VALUE"""),46165.0)</f>
        <v>46165</v>
      </c>
      <c r="BD96" s="2" t="str">
        <f>IFERROR(__xludf.DUMMYFUNCTION("""COMPUTED_VALUE"""),"Duyệt")</f>
        <v>Duyệt</v>
      </c>
      <c r="BE96" s="2" t="str">
        <f>IFERROR(__xludf.DUMMYFUNCTION("""COMPUTED_VALUE"""),"xlg 23/05
23/05")</f>
        <v>xlg 23/05
23/05</v>
      </c>
      <c r="BF96" s="2" t="str">
        <f>IFERROR(__xludf.DUMMYFUNCTION("""COMPUTED_VALUE"""),"Đã xử lí giá")</f>
        <v>Đã xử lí giá</v>
      </c>
      <c r="BG96" s="2" t="str">
        <f>IFERROR(__xludf.DUMMYFUNCTION("""COMPUTED_VALUE"""),"Dòng V1 Nước nâu đen 42,000đ 22/5/2026")</f>
        <v>Dòng V1 Nước nâu đen 42,000đ 22/5/2026</v>
      </c>
      <c r="BH96" s="2"/>
      <c r="BI96" s="2"/>
      <c r="BJ96" s="2"/>
      <c r="BK96" s="2"/>
      <c r="BL96" s="2"/>
      <c r="BM96" s="2"/>
      <c r="BN96" s="2"/>
      <c r="BO96" s="2"/>
      <c r="BP96" s="2"/>
      <c r="BQ96" s="2"/>
    </row>
    <row r="97">
      <c r="A97" s="2">
        <f>IFERROR(__xludf.DUMMYFUNCTION("""COMPUTED_VALUE"""),94.0)</f>
        <v>94</v>
      </c>
      <c r="B97" s="2" t="str">
        <f>IFERROR(__xludf.DUMMYFUNCTION("""COMPUTED_VALUE"""),"An Nông")</f>
        <v>An Nông</v>
      </c>
      <c r="C97" s="2" t="str">
        <f>IFERROR(__xludf.DUMMYFUNCTION("""COMPUTED_VALUE"""),"ATP23052601")</f>
        <v>ATP23052601</v>
      </c>
      <c r="D97" s="39">
        <f>IFERROR(__xludf.DUMMYFUNCTION("""COMPUTED_VALUE"""),46165.0)</f>
        <v>46165</v>
      </c>
      <c r="E97" s="2" t="str">
        <f>IFERROR(__xludf.DUMMYFUNCTION("""COMPUTED_VALUE"""),"Đã duyệt ")</f>
        <v>Đã duyệt </v>
      </c>
      <c r="F97" s="2" t="str">
        <f>IFERROR(__xludf.DUMMYFUNCTION("""COMPUTED_VALUE"""),"ABA")</f>
        <v>ABA</v>
      </c>
      <c r="G97" s="2" t="str">
        <f>IFERROR(__xludf.DUMMYFUNCTION("""COMPUTED_VALUE"""),"HH2209")</f>
        <v>HH2209</v>
      </c>
      <c r="H97" s="2" t="str">
        <f>IFERROR(__xludf.DUMMYFUNCTION("""COMPUTED_VALUE"""),"GC - IV - 2209 - THÀNH CÔNG AGRI - VATINO SUPER 525SE (Nước cam sữa) - 250ml - 40")</f>
        <v>GC - IV - 2209 - THÀNH CÔNG AGRI - VATINO SUPER 525SE (Nước cam sữa) - 250ml - 40</v>
      </c>
      <c r="I97" s="2" t="str">
        <f>IFERROR(__xludf.DUMMYFUNCTION("""COMPUTED_VALUE"""),"Thuốc trừ bệnh")</f>
        <v>Thuốc trừ bệnh</v>
      </c>
      <c r="J97" s="142" t="str">
        <f>IFERROR(__xludf.DUMMYFUNCTION("""COMPUTED_VALUE"""),"VATINO SUPER 525SE")</f>
        <v>VATINO SUPER 525SE</v>
      </c>
      <c r="K97" s="143" t="str">
        <f>IFERROR(__xludf.DUMMYFUNCTION("""COMPUTED_VALUE"""),"Dòng Cải tiến mới nhất")</f>
        <v>Dòng Cải tiến mới nhất</v>
      </c>
      <c r="L97" s="2" t="str">
        <f>IFERROR(__xludf.DUMMYFUNCTION("""COMPUTED_VALUE"""),"Nước cam sữa")</f>
        <v>Nước cam sữa</v>
      </c>
      <c r="M97" s="2" t="str">
        <f>IFERROR(__xludf.DUMMYFUNCTION("""COMPUTED_VALUE"""),"Chai")</f>
        <v>Chai</v>
      </c>
      <c r="N97" s="142">
        <f>IFERROR(__xludf.DUMMYFUNCTION("""COMPUTED_VALUE"""),40.0)</f>
        <v>40</v>
      </c>
      <c r="O97" s="142">
        <f>IFERROR(__xludf.DUMMYFUNCTION("""COMPUTED_VALUE"""),10.0)</f>
        <v>10</v>
      </c>
      <c r="P97" s="142">
        <f>IFERROR(__xludf.DUMMYFUNCTION("""COMPUTED_VALUE"""),400.0)</f>
        <v>400</v>
      </c>
      <c r="Q97" s="143">
        <f>IFERROR(__xludf.DUMMYFUNCTION("""COMPUTED_VALUE"""),46182.0)</f>
        <v>46182</v>
      </c>
      <c r="R97" s="2"/>
      <c r="S97" s="142" t="str">
        <f>IFERROR(__xludf.DUMMYFUNCTION("""COMPUTED_VALUE"""),"lấy chẳn thùng")</f>
        <v>lấy chẳn thùng</v>
      </c>
      <c r="T97" s="2"/>
      <c r="U97" s="2"/>
      <c r="V97" s="2"/>
      <c r="W97" s="2" t="str">
        <f>IFERROR(__xludf.DUMMYFUNCTION("""COMPUTED_VALUE"""),"THÀNH CÔNG - Giá bán 118000 - Ngày dự kiến thu tiền:  - Dự kiến ngày ra hết hàng: ")</f>
        <v>THÀNH CÔNG - Giá bán 118000 - Ngày dự kiến thu tiền:  - Dự kiến ngày ra hết hàng: </v>
      </c>
      <c r="X97" s="2"/>
      <c r="Y97" s="2" t="str">
        <f>IFERROR(__xludf.DUMMYFUNCTION("""COMPUTED_VALUE"""),"An Nông")</f>
        <v>An Nông</v>
      </c>
      <c r="Z97" s="2" t="str">
        <f>IFERROR(__xludf.DUMMYFUNCTION("""COMPUTED_VALUE"""),"Chưa gửi đơn")</f>
        <v>Chưa gửi đơn</v>
      </c>
      <c r="AA97" s="2"/>
      <c r="AB97" s="2" t="str">
        <f>IFERROR(__xludf.DUMMYFUNCTION("""COMPUTED_VALUE"""),"sl quá ít KD báo treo đơn để chờ ghép đơn
 02/06 đã có đơn của IDA ghép đơn gửi chung")</f>
        <v>sl quá ít KD báo treo đơn để chờ ghép đơn
 02/06 đã có đơn của IDA ghép đơn gửi chung</v>
      </c>
      <c r="AC97" s="146">
        <f>IFERROR(__xludf.DUMMYFUNCTION("""COMPUTED_VALUE"""),400.0)</f>
        <v>400</v>
      </c>
      <c r="AD97" s="2"/>
      <c r="AE97" s="143" t="str">
        <f>IFERROR(__xludf.DUMMYFUNCTION("""COMPUTED_VALUE"""),"Chưa chốt lịch")</f>
        <v>Chưa chốt lịch</v>
      </c>
      <c r="AF97" s="2"/>
      <c r="AG97" s="2"/>
      <c r="AH97" s="2"/>
      <c r="AI97" s="2"/>
      <c r="AJ97" s="2"/>
      <c r="AK97" s="2"/>
      <c r="AL97" s="2"/>
      <c r="AM97" s="2"/>
      <c r="AN97" s="2"/>
      <c r="AO97" s="2"/>
      <c r="AP97" s="2"/>
      <c r="AQ97" s="2"/>
      <c r="AR97" s="2"/>
      <c r="AS97" s="2"/>
      <c r="AT97" s="2"/>
      <c r="AU97" s="2"/>
      <c r="AV97" s="2"/>
      <c r="AW97" s="2"/>
      <c r="AX97" s="2"/>
      <c r="AY97" s="2"/>
      <c r="AZ97" s="2"/>
      <c r="BA97" s="2" t="str">
        <f>IFERROR(__xludf.DUMMYFUNCTION("""COMPUTED_VALUE"""),"Không đủ điều kiện")</f>
        <v>Không đủ điều kiện</v>
      </c>
      <c r="BB97" s="2" t="str">
        <f>IFERROR(__xludf.DUMMYFUNCTION("""COMPUTED_VALUE"""),"Duyệt")</f>
        <v>Duyệt</v>
      </c>
      <c r="BC97" s="2"/>
      <c r="BD97" s="2" t="str">
        <f>IFERROR(__xludf.DUMMYFUNCTION("""COMPUTED_VALUE"""),"Duyệt")</f>
        <v>Duyệt</v>
      </c>
      <c r="BE97" s="2" t="str">
        <f>IFERROR(__xludf.DUMMYFUNCTION("""COMPUTED_VALUE"""),"xlg 23/05
04/06")</f>
        <v>xlg 23/05
04/06</v>
      </c>
      <c r="BF97" s="2" t="str">
        <f>IFERROR(__xludf.DUMMYFUNCTION("""COMPUTED_VALUE"""),"Đã xử lí giá")</f>
        <v>Đã xử lí giá</v>
      </c>
      <c r="BG97" s="2" t="str">
        <f>IFERROR(__xludf.DUMMYFUNCTION("""COMPUTED_VALUE"""),"Dòng Cải tiến mới nhất Nước cam sữa 118,000đ đang hỏi lại giá ncc 23/5/2026")</f>
        <v>Dòng Cải tiến mới nhất Nước cam sữa 118,000đ đang hỏi lại giá ncc 23/5/2026</v>
      </c>
      <c r="BH97" s="2"/>
      <c r="BI97" s="2"/>
      <c r="BJ97" s="2"/>
      <c r="BK97" s="2"/>
      <c r="BL97" s="2"/>
      <c r="BM97" s="2"/>
      <c r="BN97" s="2"/>
      <c r="BO97" s="2"/>
      <c r="BP97" s="2"/>
      <c r="BQ97" s="2"/>
    </row>
    <row r="98">
      <c r="A98" s="2">
        <f>IFERROR(__xludf.DUMMYFUNCTION("""COMPUTED_VALUE"""),95.0)</f>
        <v>95</v>
      </c>
      <c r="B98" s="2" t="str">
        <f>IFERROR(__xludf.DUMMYFUNCTION("""COMPUTED_VALUE"""),"Hà Long")</f>
        <v>Hà Long</v>
      </c>
      <c r="C98" s="2" t="str">
        <f>IFERROR(__xludf.DUMMYFUNCTION("""COMPUTED_VALUE"""),"ATP23052603")</f>
        <v>ATP23052603</v>
      </c>
      <c r="D98" s="39">
        <f>IFERROR(__xludf.DUMMYFUNCTION("""COMPUTED_VALUE"""),46165.0)</f>
        <v>46165</v>
      </c>
      <c r="E98" s="2" t="str">
        <f>IFERROR(__xludf.DUMMYFUNCTION("""COMPUTED_VALUE"""),"Đã duyệt ")</f>
        <v>Đã duyệt </v>
      </c>
      <c r="F98" s="2" t="str">
        <f>IFERROR(__xludf.DUMMYFUNCTION("""COMPUTED_VALUE"""),"ABA")</f>
        <v>ABA</v>
      </c>
      <c r="G98" s="2" t="str">
        <f>IFERROR(__xludf.DUMMYFUNCTION("""COMPUTED_VALUE"""),"HH4789")</f>
        <v>HH4789</v>
      </c>
      <c r="H98" s="2" t="str">
        <f>IFERROR(__xludf.DUMMYFUNCTION("""COMPUTED_VALUE"""),"GC - V - 4789 - NHP GROUP - THẦN ƯNG (Bột màu trắng) - 60gr - 100")</f>
        <v>GC - V - 4789 - NHP GROUP - THẦN ƯNG (Bột màu trắng) - 60gr - 100</v>
      </c>
      <c r="I98" s="2" t="str">
        <f>IFERROR(__xludf.DUMMYFUNCTION("""COMPUTED_VALUE"""),"Thuốc trừ sâu")</f>
        <v>Thuốc trừ sâu</v>
      </c>
      <c r="J98" s="142" t="str">
        <f>IFERROR(__xludf.DUMMYFUNCTION("""COMPUTED_VALUE"""),"NOSAU 85WP")</f>
        <v>NOSAU 85WP</v>
      </c>
      <c r="K98" s="143" t="str">
        <f>IFERROR(__xludf.DUMMYFUNCTION("""COMPUTED_VALUE"""),"Dòng V1")</f>
        <v>Dòng V1</v>
      </c>
      <c r="L98" s="2" t="str">
        <f>IFERROR(__xludf.DUMMYFUNCTION("""COMPUTED_VALUE"""),"Bột màu trắng")</f>
        <v>Bột màu trắng</v>
      </c>
      <c r="M98" s="2" t="str">
        <f>IFERROR(__xludf.DUMMYFUNCTION("""COMPUTED_VALUE"""),"Túi/Gói")</f>
        <v>Túi/Gói</v>
      </c>
      <c r="N98" s="142">
        <f>IFERROR(__xludf.DUMMYFUNCTION("""COMPUTED_VALUE"""),100.0)</f>
        <v>100</v>
      </c>
      <c r="O98" s="142">
        <f>IFERROR(__xludf.DUMMYFUNCTION("""COMPUTED_VALUE"""),20.0)</f>
        <v>20</v>
      </c>
      <c r="P98" s="142">
        <f>IFERROR(__xludf.DUMMYFUNCTION("""COMPUTED_VALUE"""),2000.0)</f>
        <v>2000</v>
      </c>
      <c r="Q98" s="143">
        <f>IFERROR(__xludf.DUMMYFUNCTION("""COMPUTED_VALUE"""),46177.0)</f>
        <v>46177</v>
      </c>
      <c r="R98" s="2"/>
      <c r="S98" s="142" t="str">
        <f>IFERROR(__xludf.DUMMYFUNCTION("""COMPUTED_VALUE"""),"lấy chẳn thùng
đóng hết túi tròn thùng")</f>
        <v>lấy chẳn thùng
đóng hết túi tròn thùng</v>
      </c>
      <c r="T98" s="2"/>
      <c r="U98" s="2"/>
      <c r="V98" s="2"/>
      <c r="W98" s="2" t="str">
        <f>IFERROR(__xludf.DUMMYFUNCTION("""COMPUTED_VALUE"""),"NHP GROUP - Giá bán 27000 - Ngày dự kiến thu tiền:  - Dự kiến ngày ra hết hàng: ")</f>
        <v>NHP GROUP - Giá bán 27000 - Ngày dự kiến thu tiền:  - Dự kiến ngày ra hết hàng: </v>
      </c>
      <c r="X98" s="2"/>
      <c r="Y98" s="2" t="str">
        <f>IFERROR(__xludf.DUMMYFUNCTION("""COMPUTED_VALUE"""),"Hà Long")</f>
        <v>Hà Long</v>
      </c>
      <c r="Z98" s="2" t="str">
        <f>IFERROR(__xludf.DUMMYFUNCTION("""COMPUTED_VALUE"""),"Hàng sẵn kho")</f>
        <v>Hàng sẵn kho</v>
      </c>
      <c r="AA98" s="39">
        <f>IFERROR(__xludf.DUMMYFUNCTION("""COMPUTED_VALUE"""),46167.0)</f>
        <v>46167</v>
      </c>
      <c r="AB98" s="2"/>
      <c r="AC98" s="146">
        <f>IFERROR(__xludf.DUMMYFUNCTION("""COMPUTED_VALUE"""),2000.0)</f>
        <v>2000</v>
      </c>
      <c r="AD98" s="2"/>
      <c r="AE98" s="143">
        <f>IFERROR(__xludf.DUMMYFUNCTION("""COMPUTED_VALUE"""),46176.0)</f>
        <v>46176</v>
      </c>
      <c r="AF98" s="146" t="str">
        <f>IFERROR(__xludf.DUMMYFUNCTION("""COMPUTED_VALUE"""),"Đủ điều kiện nhận hàng")</f>
        <v>Đủ điều kiện nhận hàng</v>
      </c>
      <c r="AG98" s="143">
        <f>IFERROR(__xludf.DUMMYFUNCTION("""COMPUTED_VALUE"""),46176.0)</f>
        <v>46176</v>
      </c>
      <c r="AH98" s="146" t="str">
        <f>IFERROR(__xludf.DUMMYFUNCTION("""COMPUTED_VALUE"""),"2001")</f>
        <v>2001</v>
      </c>
      <c r="AI98" s="2"/>
      <c r="AJ98" s="2"/>
      <c r="AK98" s="2"/>
      <c r="AL98" s="2"/>
      <c r="AM98" s="142">
        <f>IFERROR(__xludf.DUMMYFUNCTION("""COMPUTED_VALUE"""),2001.0)</f>
        <v>2001</v>
      </c>
      <c r="AN98" s="2"/>
      <c r="AO98" s="2"/>
      <c r="AP98" s="2"/>
      <c r="AQ98" s="2"/>
      <c r="AR98" s="2"/>
      <c r="AS98" s="2"/>
      <c r="AT98" s="2"/>
      <c r="AU98" s="2"/>
      <c r="AV98" s="2"/>
      <c r="AW98" s="2"/>
      <c r="AX98" s="2"/>
      <c r="AY98" s="2"/>
      <c r="AZ98" s="2"/>
      <c r="BA98" s="2"/>
      <c r="BB98" s="2" t="str">
        <f>IFERROR(__xludf.DUMMYFUNCTION("""COMPUTED_VALUE"""),"Duyệt")</f>
        <v>Duyệt</v>
      </c>
      <c r="BC98" s="143">
        <f>IFERROR(__xludf.DUMMYFUNCTION("""COMPUTED_VALUE"""),46167.0)</f>
        <v>46167</v>
      </c>
      <c r="BD98" s="2" t="str">
        <f>IFERROR(__xludf.DUMMYFUNCTION("""COMPUTED_VALUE"""),"Duyệt")</f>
        <v>Duyệt</v>
      </c>
      <c r="BE98" s="143">
        <f>IFERROR(__xludf.DUMMYFUNCTION("""COMPUTED_VALUE"""),46171.0)</f>
        <v>46171</v>
      </c>
      <c r="BF98" s="2" t="str">
        <f>IFERROR(__xludf.DUMMYFUNCTION("""COMPUTED_VALUE"""),"Đã xử lí giá")</f>
        <v>Đã xử lí giá</v>
      </c>
      <c r="BG98" s="2" t="str">
        <f>IFERROR(__xludf.DUMMYFUNCTION("""COMPUTED_VALUE"""),"Dòng V1 Bột màu trắng 27,000đ 23/5/2026")</f>
        <v>Dòng V1 Bột màu trắng 27,000đ 23/5/2026</v>
      </c>
      <c r="BH98" s="2"/>
      <c r="BI98" s="2"/>
      <c r="BJ98" s="2"/>
      <c r="BK98" s="2"/>
      <c r="BL98" s="2"/>
      <c r="BM98" s="2"/>
      <c r="BN98" s="2"/>
      <c r="BO98" s="2"/>
      <c r="BP98" s="2"/>
      <c r="BQ98" s="2"/>
    </row>
    <row r="99">
      <c r="A99" s="2">
        <f>IFERROR(__xludf.DUMMYFUNCTION("""COMPUTED_VALUE"""),96.0)</f>
        <v>96</v>
      </c>
      <c r="B99" s="2" t="str">
        <f>IFERROR(__xludf.DUMMYFUNCTION("""COMPUTED_VALUE"""),"Dego Cần Thơ")</f>
        <v>Dego Cần Thơ</v>
      </c>
      <c r="C99" s="2" t="str">
        <f>IFERROR(__xludf.DUMMYFUNCTION("""COMPUTED_VALUE"""),"ATP23052606")</f>
        <v>ATP23052606</v>
      </c>
      <c r="D99" s="39">
        <f>IFERROR(__xludf.DUMMYFUNCTION("""COMPUTED_VALUE"""),46165.0)</f>
        <v>46165</v>
      </c>
      <c r="E99" s="2" t="str">
        <f>IFERROR(__xludf.DUMMYFUNCTION("""COMPUTED_VALUE"""),"Đã duyệt ")</f>
        <v>Đã duyệt </v>
      </c>
      <c r="F99" s="2" t="str">
        <f>IFERROR(__xludf.DUMMYFUNCTION("""COMPUTED_VALUE"""),"ABA")</f>
        <v>ABA</v>
      </c>
      <c r="G99" s="2" t="str">
        <f>IFERROR(__xludf.DUMMYFUNCTION("""COMPUTED_VALUE"""),"HH4794")</f>
        <v>HH4794</v>
      </c>
      <c r="H99" s="2" t="str">
        <f>IFERROR(__xludf.DUMMYFUNCTION("""COMPUTED_VALUE"""),"GC - V - 4794 - NHP Group - BUD P02 (Gel màu tím) - 500ml - 40")</f>
        <v>GC - V - 4794 - NHP Group - BUD P02 (Gel màu tím) - 500ml - 40</v>
      </c>
      <c r="I99" s="2" t="str">
        <f>IFERROR(__xludf.DUMMYFUNCTION("""COMPUTED_VALUE"""),"Phân bón")</f>
        <v>Phân bón</v>
      </c>
      <c r="J99" s="142" t="str">
        <f>IFERROR(__xludf.DUMMYFUNCTION("""COMPUTED_VALUE"""),"Hỗn Hợp NP AGAMA-AP")</f>
        <v>Hỗn Hợp NP AGAMA-AP</v>
      </c>
      <c r="K99" s="143" t="str">
        <f>IFERROR(__xludf.DUMMYFUNCTION("""COMPUTED_VALUE"""),"Cùng ruột HH3160, 4179")</f>
        <v>Cùng ruột HH3160, 4179</v>
      </c>
      <c r="L99" s="2" t="str">
        <f>IFERROR(__xludf.DUMMYFUNCTION("""COMPUTED_VALUE"""),"Gel màu tím")</f>
        <v>Gel màu tím</v>
      </c>
      <c r="M99" s="2" t="str">
        <f>IFERROR(__xludf.DUMMYFUNCTION("""COMPUTED_VALUE"""),"Chai")</f>
        <v>Chai</v>
      </c>
      <c r="N99" s="142">
        <f>IFERROR(__xludf.DUMMYFUNCTION("""COMPUTED_VALUE"""),40.0)</f>
        <v>40</v>
      </c>
      <c r="O99" s="142">
        <f>IFERROR(__xludf.DUMMYFUNCTION("""COMPUTED_VALUE"""),10.0)</f>
        <v>10</v>
      </c>
      <c r="P99" s="142">
        <f>IFERROR(__xludf.DUMMYFUNCTION("""COMPUTED_VALUE"""),400.0)</f>
        <v>400</v>
      </c>
      <c r="Q99" s="143">
        <f>IFERROR(__xludf.DUMMYFUNCTION("""COMPUTED_VALUE"""),46175.0)</f>
        <v>46175</v>
      </c>
      <c r="R99" s="2"/>
      <c r="S99" s="142" t="str">
        <f>IFERROR(__xludf.DUMMYFUNCTION("""COMPUTED_VALUE"""),"lấy chẳn thùng
có sự cố phình chai  4338 đã báo sự cố nhờ Lab khắc phục")</f>
        <v>lấy chẳn thùng
có sự cố phình chai  4338 đã báo sự cố nhờ Lab khắc phục</v>
      </c>
      <c r="T99" s="2"/>
      <c r="U99" s="2"/>
      <c r="V99" s="2"/>
      <c r="W99" s="2" t="str">
        <f>IFERROR(__xludf.DUMMYFUNCTION("""COMPUTED_VALUE"""),"NHP GROUP - Giá bán 45000 - Ngày dự kiến thu tiền:  - Dự kiến ngày ra hết hàng: ")</f>
        <v>NHP GROUP - Giá bán 45000 - Ngày dự kiến thu tiền:  - Dự kiến ngày ra hết hàng: </v>
      </c>
      <c r="X99" s="2"/>
      <c r="Y99" s="2" t="str">
        <f>IFERROR(__xludf.DUMMYFUNCTION("""COMPUTED_VALUE"""),"Dego Cần Thơ")</f>
        <v>Dego Cần Thơ</v>
      </c>
      <c r="Z99" s="2" t="str">
        <f>IFERROR(__xludf.DUMMYFUNCTION("""COMPUTED_VALUE"""),"Chưa gửi đơn")</f>
        <v>Chưa gửi đơn</v>
      </c>
      <c r="AA99" s="2"/>
      <c r="AB99" s="2" t="str">
        <f>IFERROR(__xludf.DUMMYFUNCTION("""COMPUTED_VALUE"""),"chưa đủ dk do chưa duyệt pháp lý, chưa duyệt giá")</f>
        <v>chưa đủ dk do chưa duyệt pháp lý, chưa duyệt giá</v>
      </c>
      <c r="AC99" s="146">
        <f>IFERROR(__xludf.DUMMYFUNCTION("""COMPUTED_VALUE"""),400.0)</f>
        <v>400</v>
      </c>
      <c r="AD99" s="2"/>
      <c r="AE99" s="2" t="str">
        <f>IFERROR(__xludf.DUMMYFUNCTION("""COMPUTED_VALUE"""),"đã bàn giao cho nhà máy 23/05")</f>
        <v>đã bàn giao cho nhà máy 23/05</v>
      </c>
      <c r="AF99" s="2"/>
      <c r="AG99" s="2"/>
      <c r="AH99" s="2"/>
      <c r="AI99" s="2"/>
      <c r="AJ99" s="2"/>
      <c r="AK99" s="2"/>
      <c r="AL99" s="2"/>
      <c r="AM99" s="2"/>
      <c r="AN99" s="2"/>
      <c r="AO99" s="2"/>
      <c r="AP99" s="2"/>
      <c r="AQ99" s="2"/>
      <c r="AR99" s="2"/>
      <c r="AS99" s="2"/>
      <c r="AT99" s="2"/>
      <c r="AU99" s="2"/>
      <c r="AV99" s="2"/>
      <c r="AW99" s="2"/>
      <c r="AX99" s="2"/>
      <c r="AY99" s="2"/>
      <c r="AZ99" s="2" t="str">
        <f>IFERROR(__xludf.DUMMYFUNCTION("""COMPUTED_VALUE"""),"#REF!")</f>
        <v>#REF!</v>
      </c>
      <c r="BA99" s="2" t="str">
        <f>IFERROR(__xludf.DUMMYFUNCTION("""COMPUTED_VALUE"""),"Không đủ điều kiện")</f>
        <v>Không đủ điều kiện</v>
      </c>
      <c r="BB99" s="2" t="str">
        <f>IFERROR(__xludf.DUMMYFUNCTION("""COMPUTED_VALUE"""),"Duyệt")</f>
        <v>Duyệt</v>
      </c>
      <c r="BC99" s="148">
        <f>IFERROR(__xludf.DUMMYFUNCTION("""COMPUTED_VALUE"""),46165.0)</f>
        <v>46165</v>
      </c>
      <c r="BD99" s="2" t="str">
        <f>IFERROR(__xludf.DUMMYFUNCTION("""COMPUTED_VALUE"""),"Chưa đủ TT duyệt")</f>
        <v>Chưa đủ TT duyệt</v>
      </c>
      <c r="BE99" s="2"/>
      <c r="BF99" s="2" t="str">
        <f>IFERROR(__xludf.DUMMYFUNCTION("""COMPUTED_VALUE"""),"Đã xử lí giá")</f>
        <v>Đã xử lí giá</v>
      </c>
      <c r="BG99" s="2" t="str">
        <f>IFERROR(__xludf.DUMMYFUNCTION("""COMPUTED_VALUE"""),"Cùng ruột HH3160, 4179 Gel màu tím 45,000đ 23/5/2026")</f>
        <v>Cùng ruột HH3160, 4179 Gel màu tím 45,000đ 23/5/2026</v>
      </c>
      <c r="BH99" s="2"/>
      <c r="BI99" s="2"/>
      <c r="BJ99" s="2"/>
      <c r="BK99" s="2"/>
      <c r="BL99" s="2"/>
      <c r="BM99" s="2"/>
      <c r="BN99" s="2"/>
      <c r="BO99" s="2"/>
      <c r="BP99" s="2"/>
      <c r="BQ99" s="2"/>
    </row>
    <row r="100">
      <c r="A100" s="2">
        <f>IFERROR(__xludf.DUMMYFUNCTION("""COMPUTED_VALUE"""),97.0)</f>
        <v>97</v>
      </c>
      <c r="B100" s="2" t="str">
        <f>IFERROR(__xludf.DUMMYFUNCTION("""COMPUTED_VALUE"""),"Dego Cần Thơ")</f>
        <v>Dego Cần Thơ</v>
      </c>
      <c r="C100" s="2" t="str">
        <f>IFERROR(__xludf.DUMMYFUNCTION("""COMPUTED_VALUE"""),"ATP23052607")</f>
        <v>ATP23052607</v>
      </c>
      <c r="D100" s="39">
        <f>IFERROR(__xludf.DUMMYFUNCTION("""COMPUTED_VALUE"""),46165.0)</f>
        <v>46165</v>
      </c>
      <c r="E100" s="2" t="str">
        <f>IFERROR(__xludf.DUMMYFUNCTION("""COMPUTED_VALUE"""),"Đã duyệt ")</f>
        <v>Đã duyệt </v>
      </c>
      <c r="F100" s="2" t="str">
        <f>IFERROR(__xludf.DUMMYFUNCTION("""COMPUTED_VALUE"""),"ABA")</f>
        <v>ABA</v>
      </c>
      <c r="G100" s="2" t="str">
        <f>IFERROR(__xludf.DUMMYFUNCTION("""COMPUTED_VALUE"""),"HH4784")</f>
        <v>HH4784</v>
      </c>
      <c r="H100" s="2" t="str">
        <f>IFERROR(__xludf.DUMMYFUNCTION("""COMPUTED_VALUE"""),"GC - V - 4784 - NHP GROUP - MAGIE KẼM (Dạng SC Xanh lá) - 500ml - 40")</f>
        <v>GC - V - 4784 - NHP GROUP - MAGIE KẼM (Dạng SC Xanh lá) - 500ml - 40</v>
      </c>
      <c r="I100" s="2" t="str">
        <f>IFERROR(__xludf.DUMMYFUNCTION("""COMPUTED_VALUE"""),"Phân bón")</f>
        <v>Phân bón</v>
      </c>
      <c r="J100" s="142" t="str">
        <f>IFERROR(__xludf.DUMMYFUNCTION("""COMPUTED_VALUE"""),"vi lượng Phú Sĩ FJ-09 Kẽm Mg")</f>
        <v>vi lượng Phú Sĩ FJ-09 Kẽm Mg</v>
      </c>
      <c r="K100" s="143" t="str">
        <f>IFERROR(__xludf.DUMMYFUNCTION("""COMPUTED_VALUE"""),"A05200825-01")</f>
        <v>A05200825-01</v>
      </c>
      <c r="L100" s="2" t="str">
        <f>IFERROR(__xludf.DUMMYFUNCTION("""COMPUTED_VALUE"""),"Dạng SC - Xanh lá ")</f>
        <v>Dạng SC - Xanh lá </v>
      </c>
      <c r="M100" s="2" t="str">
        <f>IFERROR(__xludf.DUMMYFUNCTION("""COMPUTED_VALUE"""),"Chai")</f>
        <v>Chai</v>
      </c>
      <c r="N100" s="142">
        <f>IFERROR(__xludf.DUMMYFUNCTION("""COMPUTED_VALUE"""),40.0)</f>
        <v>40</v>
      </c>
      <c r="O100" s="142">
        <f>IFERROR(__xludf.DUMMYFUNCTION("""COMPUTED_VALUE"""),10.0)</f>
        <v>10</v>
      </c>
      <c r="P100" s="142">
        <f>IFERROR(__xludf.DUMMYFUNCTION("""COMPUTED_VALUE"""),400.0)</f>
        <v>400</v>
      </c>
      <c r="Q100" s="143">
        <f>IFERROR(__xludf.DUMMYFUNCTION("""COMPUTED_VALUE"""),46175.0)</f>
        <v>46175</v>
      </c>
      <c r="R100" s="2"/>
      <c r="S100" s="142" t="str">
        <f>IFERROR(__xludf.DUMMYFUNCTION("""COMPUTED_VALUE"""),"lấy chẳn thùng")</f>
        <v>lấy chẳn thùng</v>
      </c>
      <c r="T100" s="2"/>
      <c r="U100" s="2"/>
      <c r="V100" s="2"/>
      <c r="W100" s="2" t="str">
        <f>IFERROR(__xludf.DUMMYFUNCTION("""COMPUTED_VALUE"""),"NHP GROUP - Giá bán 48000 - Ngày dự kiến thu tiền:  - Dự kiến ngày ra hết hàng: ")</f>
        <v>NHP GROUP - Giá bán 48000 - Ngày dự kiến thu tiền:  - Dự kiến ngày ra hết hàng: </v>
      </c>
      <c r="X100" s="2"/>
      <c r="Y100" s="2" t="str">
        <f>IFERROR(__xludf.DUMMYFUNCTION("""COMPUTED_VALUE"""),"Dego Cần Thơ")</f>
        <v>Dego Cần Thơ</v>
      </c>
      <c r="Z100" s="2" t="str">
        <f>IFERROR(__xludf.DUMMYFUNCTION("""COMPUTED_VALUE"""),"Chưa gửi đơn")</f>
        <v>Chưa gửi đơn</v>
      </c>
      <c r="AA100" s="2"/>
      <c r="AB100" s="2" t="str">
        <f>IFERROR(__xludf.DUMMYFUNCTION("""COMPUTED_VALUE"""),"chưa đủ dk do chưa duyệt pháp lý, chưa duyệt giá")</f>
        <v>chưa đủ dk do chưa duyệt pháp lý, chưa duyệt giá</v>
      </c>
      <c r="AC100" s="146">
        <f>IFERROR(__xludf.DUMMYFUNCTION("""COMPUTED_VALUE"""),400.0)</f>
        <v>400</v>
      </c>
      <c r="AD100" s="2"/>
      <c r="AE100" s="2" t="str">
        <f>IFERROR(__xludf.DUMMYFUNCTION("""COMPUTED_VALUE"""),"đã bàn giao cho nhà máy 23/05")</f>
        <v>đã bàn giao cho nhà máy 23/05</v>
      </c>
      <c r="AF100" s="2"/>
      <c r="AG100" s="2"/>
      <c r="AH100" s="2"/>
      <c r="AI100" s="2"/>
      <c r="AJ100" s="2"/>
      <c r="AK100" s="2"/>
      <c r="AL100" s="2"/>
      <c r="AM100" s="2"/>
      <c r="AN100" s="2"/>
      <c r="AO100" s="2"/>
      <c r="AP100" s="2"/>
      <c r="AQ100" s="2"/>
      <c r="AR100" s="2"/>
      <c r="AS100" s="2"/>
      <c r="AT100" s="2"/>
      <c r="AU100" s="2"/>
      <c r="AV100" s="2"/>
      <c r="AW100" s="2"/>
      <c r="AX100" s="2"/>
      <c r="AY100" s="2"/>
      <c r="AZ100" s="2" t="str">
        <f>IFERROR(__xludf.DUMMYFUNCTION("""COMPUTED_VALUE"""),"#REF!")</f>
        <v>#REF!</v>
      </c>
      <c r="BA100" s="2" t="str">
        <f>IFERROR(__xludf.DUMMYFUNCTION("""COMPUTED_VALUE"""),"Không đủ điều kiện")</f>
        <v>Không đủ điều kiện</v>
      </c>
      <c r="BB100" s="2" t="str">
        <f>IFERROR(__xludf.DUMMYFUNCTION("""COMPUTED_VALUE"""),"Duyệt")</f>
        <v>Duyệt</v>
      </c>
      <c r="BC100" s="148">
        <f>IFERROR(__xludf.DUMMYFUNCTION("""COMPUTED_VALUE"""),46165.0)</f>
        <v>46165</v>
      </c>
      <c r="BD100" s="2" t="str">
        <f>IFERROR(__xludf.DUMMYFUNCTION("""COMPUTED_VALUE"""),"Chưa đủ TT duyệt")</f>
        <v>Chưa đủ TT duyệt</v>
      </c>
      <c r="BE100" s="2"/>
      <c r="BF100" s="2" t="str">
        <f>IFERROR(__xludf.DUMMYFUNCTION("""COMPUTED_VALUE"""),"Đã xử lí giá")</f>
        <v>Đã xử lí giá</v>
      </c>
      <c r="BG100" s="2" t="str">
        <f>IFERROR(__xludf.DUMMYFUNCTION("""COMPUTED_VALUE"""),"A05200825-01 Dạng SC - Xanh lá 48,000đ 23/5//2026")</f>
        <v>A05200825-01 Dạng SC - Xanh lá 48,000đ 23/5//2026</v>
      </c>
      <c r="BH100" s="2"/>
      <c r="BI100" s="2"/>
      <c r="BJ100" s="2"/>
      <c r="BK100" s="2"/>
      <c r="BL100" s="2"/>
      <c r="BM100" s="2"/>
      <c r="BN100" s="2"/>
      <c r="BO100" s="2"/>
      <c r="BP100" s="2"/>
      <c r="BQ100" s="2"/>
    </row>
    <row r="101">
      <c r="A101" s="2">
        <f>IFERROR(__xludf.DUMMYFUNCTION("""COMPUTED_VALUE"""),98.0)</f>
        <v>98</v>
      </c>
      <c r="B101" s="2" t="str">
        <f>IFERROR(__xludf.DUMMYFUNCTION("""COMPUTED_VALUE"""),"Dego Cần Thơ")</f>
        <v>Dego Cần Thơ</v>
      </c>
      <c r="C101" s="2" t="str">
        <f>IFERROR(__xludf.DUMMYFUNCTION("""COMPUTED_VALUE"""),"ATP23052608")</f>
        <v>ATP23052608</v>
      </c>
      <c r="D101" s="39">
        <f>IFERROR(__xludf.DUMMYFUNCTION("""COMPUTED_VALUE"""),46165.0)</f>
        <v>46165</v>
      </c>
      <c r="E101" s="2" t="str">
        <f>IFERROR(__xludf.DUMMYFUNCTION("""COMPUTED_VALUE"""),"Đã duyệt ")</f>
        <v>Đã duyệt </v>
      </c>
      <c r="F101" s="2" t="str">
        <f>IFERROR(__xludf.DUMMYFUNCTION("""COMPUTED_VALUE"""),"ABA")</f>
        <v>ABA</v>
      </c>
      <c r="G101" s="2" t="str">
        <f>IFERROR(__xludf.DUMMYFUNCTION("""COMPUTED_VALUE"""),"HH4712")</f>
        <v>HH4712</v>
      </c>
      <c r="H101" s="2" t="str">
        <f>IFERROR(__xludf.DUMMYFUNCTION("""COMPUTED_VALUE"""),"GC - V - 4712 - NHP GROUP - CALIMIX (Nước nâu đen) - 500ml - 40")</f>
        <v>GC - V - 4712 - NHP GROUP - CALIMIX (Nước nâu đen) - 500ml - 40</v>
      </c>
      <c r="I101" s="2" t="str">
        <f>IFERROR(__xludf.DUMMYFUNCTION("""COMPUTED_VALUE"""),"Phân bón")</f>
        <v>Phân bón</v>
      </c>
      <c r="J101" s="142" t="str">
        <f>IFERROR(__xludf.DUMMYFUNCTION("""COMPUTED_VALUE"""),"Hữu cơ SH Agro Organic Fertilizer 20")</f>
        <v>Hữu cơ SH Agro Organic Fertilizer 20</v>
      </c>
      <c r="K101" s="143" t="str">
        <f>IFERROR(__xludf.DUMMYFUNCTION("""COMPUTED_VALUE"""),"A05050325")</f>
        <v>A05050325</v>
      </c>
      <c r="L101" s="2" t="str">
        <f>IFERROR(__xludf.DUMMYFUNCTION("""COMPUTED_VALUE"""),"Nước nâu đen")</f>
        <v>Nước nâu đen</v>
      </c>
      <c r="M101" s="2" t="str">
        <f>IFERROR(__xludf.DUMMYFUNCTION("""COMPUTED_VALUE"""),"Chai")</f>
        <v>Chai</v>
      </c>
      <c r="N101" s="142">
        <f>IFERROR(__xludf.DUMMYFUNCTION("""COMPUTED_VALUE"""),40.0)</f>
        <v>40</v>
      </c>
      <c r="O101" s="142">
        <f>IFERROR(__xludf.DUMMYFUNCTION("""COMPUTED_VALUE"""),10.0)</f>
        <v>10</v>
      </c>
      <c r="P101" s="142">
        <f>IFERROR(__xludf.DUMMYFUNCTION("""COMPUTED_VALUE"""),400.0)</f>
        <v>400</v>
      </c>
      <c r="Q101" s="143">
        <f>IFERROR(__xludf.DUMMYFUNCTION("""COMPUTED_VALUE"""),46175.0)</f>
        <v>46175</v>
      </c>
      <c r="R101" s="2"/>
      <c r="S101" s="142" t="str">
        <f>IFERROR(__xludf.DUMMYFUNCTION("""COMPUTED_VALUE"""),"lấy chẳn thùng")</f>
        <v>lấy chẳn thùng</v>
      </c>
      <c r="T101" s="2"/>
      <c r="U101" s="2"/>
      <c r="V101" s="2"/>
      <c r="W101" s="2" t="str">
        <f>IFERROR(__xludf.DUMMYFUNCTION("""COMPUTED_VALUE"""),"NHP GROUP - Giá bán 52500 - Ngày dự kiến thu tiền:  - Dự kiến ngày ra hết hàng: ")</f>
        <v>NHP GROUP - Giá bán 52500 - Ngày dự kiến thu tiền:  - Dự kiến ngày ra hết hàng: </v>
      </c>
      <c r="X101" s="2"/>
      <c r="Y101" s="2" t="str">
        <f>IFERROR(__xludf.DUMMYFUNCTION("""COMPUTED_VALUE"""),"Dego Cần Thơ")</f>
        <v>Dego Cần Thơ</v>
      </c>
      <c r="Z101" s="2" t="str">
        <f>IFERROR(__xludf.DUMMYFUNCTION("""COMPUTED_VALUE"""),"Chưa gửi đơn")</f>
        <v>Chưa gửi đơn</v>
      </c>
      <c r="AA101" s="2"/>
      <c r="AB101" s="2" t="str">
        <f>IFERROR(__xludf.DUMMYFUNCTION("""COMPUTED_VALUE"""),"chưa đủ dk do chưa duyệt pháp lý, chưa duyệt giá")</f>
        <v>chưa đủ dk do chưa duyệt pháp lý, chưa duyệt giá</v>
      </c>
      <c r="AC101" s="146">
        <f>IFERROR(__xludf.DUMMYFUNCTION("""COMPUTED_VALUE"""),400.0)</f>
        <v>400</v>
      </c>
      <c r="AD101" s="2"/>
      <c r="AE101" s="2" t="str">
        <f>IFERROR(__xludf.DUMMYFUNCTION("""COMPUTED_VALUE"""),"đã bàn giao cho nhà máy 23/05")</f>
        <v>đã bàn giao cho nhà máy 23/05</v>
      </c>
      <c r="AF101" s="2"/>
      <c r="AG101" s="2"/>
      <c r="AH101" s="2"/>
      <c r="AI101" s="2"/>
      <c r="AJ101" s="2"/>
      <c r="AK101" s="2"/>
      <c r="AL101" s="2"/>
      <c r="AM101" s="2"/>
      <c r="AN101" s="2"/>
      <c r="AO101" s="2"/>
      <c r="AP101" s="2"/>
      <c r="AQ101" s="2"/>
      <c r="AR101" s="2"/>
      <c r="AS101" s="2"/>
      <c r="AT101" s="2"/>
      <c r="AU101" s="2"/>
      <c r="AV101" s="2"/>
      <c r="AW101" s="2"/>
      <c r="AX101" s="2"/>
      <c r="AY101" s="2"/>
      <c r="AZ101" s="2" t="str">
        <f>IFERROR(__xludf.DUMMYFUNCTION("""COMPUTED_VALUE"""),"#REF!")</f>
        <v>#REF!</v>
      </c>
      <c r="BA101" s="2" t="str">
        <f>IFERROR(__xludf.DUMMYFUNCTION("""COMPUTED_VALUE"""),"Không đủ điều kiện")</f>
        <v>Không đủ điều kiện</v>
      </c>
      <c r="BB101" s="2" t="str">
        <f>IFERROR(__xludf.DUMMYFUNCTION("""COMPUTED_VALUE"""),"Duyệt")</f>
        <v>Duyệt</v>
      </c>
      <c r="BC101" s="148">
        <f>IFERROR(__xludf.DUMMYFUNCTION("""COMPUTED_VALUE"""),46165.0)</f>
        <v>46165</v>
      </c>
      <c r="BD101" s="2" t="str">
        <f>IFERROR(__xludf.DUMMYFUNCTION("""COMPUTED_VALUE"""),"Chưa đủ TT duyệt")</f>
        <v>Chưa đủ TT duyệt</v>
      </c>
      <c r="BE101" s="2"/>
      <c r="BF101" s="2" t="str">
        <f>IFERROR(__xludf.DUMMYFUNCTION("""COMPUTED_VALUE"""),"Đã xử lí giá")</f>
        <v>Đã xử lí giá</v>
      </c>
      <c r="BG101" s="2" t="str">
        <f>IFERROR(__xludf.DUMMYFUNCTION("""COMPUTED_VALUE"""),"A05050325 Nước nâu đen 52,500đ 23/5/2026")</f>
        <v>A05050325 Nước nâu đen 52,500đ 23/5/2026</v>
      </c>
      <c r="BH101" s="2"/>
      <c r="BI101" s="2"/>
      <c r="BJ101" s="2"/>
      <c r="BK101" s="2"/>
      <c r="BL101" s="2"/>
      <c r="BM101" s="2"/>
      <c r="BN101" s="2"/>
      <c r="BO101" s="2"/>
      <c r="BP101" s="2"/>
      <c r="BQ101" s="2"/>
    </row>
    <row r="102">
      <c r="A102" s="2">
        <f>IFERROR(__xludf.DUMMYFUNCTION("""COMPUTED_VALUE"""),99.0)</f>
        <v>99</v>
      </c>
      <c r="B102" s="2" t="str">
        <f>IFERROR(__xludf.DUMMYFUNCTION("""COMPUTED_VALUE"""),"Yamato")</f>
        <v>Yamato</v>
      </c>
      <c r="C102" s="2" t="str">
        <f>IFERROR(__xludf.DUMMYFUNCTION("""COMPUTED_VALUE"""),"ATP23052609")</f>
        <v>ATP23052609</v>
      </c>
      <c r="D102" s="39">
        <f>IFERROR(__xludf.DUMMYFUNCTION("""COMPUTED_VALUE"""),46165.0)</f>
        <v>46165</v>
      </c>
      <c r="E102" s="2" t="str">
        <f>IFERROR(__xludf.DUMMYFUNCTION("""COMPUTED_VALUE"""),"Đã duyệt ")</f>
        <v>Đã duyệt </v>
      </c>
      <c r="F102" s="2" t="str">
        <f>IFERROR(__xludf.DUMMYFUNCTION("""COMPUTED_VALUE"""),"ABA")</f>
        <v>ABA</v>
      </c>
      <c r="G102" s="2" t="str">
        <f>IFERROR(__xludf.DUMMYFUNCTION("""COMPUTED_VALUE"""),"HH4813")</f>
        <v>HH4813</v>
      </c>
      <c r="H102" s="2" t="str">
        <f>IFERROR(__xludf.DUMMYFUNCTION("""COMPUTED_VALUE"""),"GC - V - 4813 - CTY HƯƠNG NÔNG - NOMIDA 700WG (Dạng cốm màu trắng ngà) - 80gr - 100")</f>
        <v>GC - V - 4813 - CTY HƯƠNG NÔNG - NOMIDA 700WG (Dạng cốm màu trắng ngà) - 80gr - 100</v>
      </c>
      <c r="I102" s="2" t="str">
        <f>IFERROR(__xludf.DUMMYFUNCTION("""COMPUTED_VALUE"""),"Thuốc trừ sâu")</f>
        <v>Thuốc trừ sâu</v>
      </c>
      <c r="J102" s="142" t="str">
        <f>IFERROR(__xludf.DUMMYFUNCTION("""COMPUTED_VALUE"""),"NOMIDA 700WG")</f>
        <v>NOMIDA 700WG</v>
      </c>
      <c r="K102" s="143" t="str">
        <f>IFERROR(__xludf.DUMMYFUNCTION("""COMPUTED_VALUE"""),"Dòng V1")</f>
        <v>Dòng V1</v>
      </c>
      <c r="L102" s="2" t="str">
        <f>IFERROR(__xludf.DUMMYFUNCTION("""COMPUTED_VALUE"""),"Dạng cốm màu trắng ngà")</f>
        <v>Dạng cốm màu trắng ngà</v>
      </c>
      <c r="M102" s="2" t="str">
        <f>IFERROR(__xludf.DUMMYFUNCTION("""COMPUTED_VALUE"""),"Túi/Gói")</f>
        <v>Túi/Gói</v>
      </c>
      <c r="N102" s="142">
        <f>IFERROR(__xludf.DUMMYFUNCTION("""COMPUTED_VALUE"""),100.0)</f>
        <v>100</v>
      </c>
      <c r="O102" s="142">
        <f>IFERROR(__xludf.DUMMYFUNCTION("""COMPUTED_VALUE"""),10.0)</f>
        <v>10</v>
      </c>
      <c r="P102" s="142">
        <f>IFERROR(__xludf.DUMMYFUNCTION("""COMPUTED_VALUE"""),1000.0)</f>
        <v>1000</v>
      </c>
      <c r="Q102" s="143">
        <f>IFERROR(__xludf.DUMMYFUNCTION("""COMPUTED_VALUE"""),46175.0)</f>
        <v>46175</v>
      </c>
      <c r="R102" s="2"/>
      <c r="S102" s="142" t="str">
        <f>IFERROR(__xludf.DUMMYFUNCTION("""COMPUTED_VALUE"""),"lấy chẳn thùng")</f>
        <v>lấy chẳn thùng</v>
      </c>
      <c r="T102" s="2"/>
      <c r="U102" s="2"/>
      <c r="V102" s="2"/>
      <c r="W102" s="2" t="str">
        <f>IFERROR(__xludf.DUMMYFUNCTION("""COMPUTED_VALUE"""),"HƯƠNG NÔNG - Giá bán 28500 - Ngày dự kiến thu tiền:  - Dự kiến ngày ra hết hàng: ")</f>
        <v>HƯƠNG NÔNG - Giá bán 28500 - Ngày dự kiến thu tiền:  - Dự kiến ngày ra hết hàng: </v>
      </c>
      <c r="X102" s="2"/>
      <c r="Y102" s="2" t="str">
        <f>IFERROR(__xludf.DUMMYFUNCTION("""COMPUTED_VALUE"""),"Yamato")</f>
        <v>Yamato</v>
      </c>
      <c r="Z102" s="2" t="str">
        <f>IFERROR(__xludf.DUMMYFUNCTION("""COMPUTED_VALUE"""),"Hàng sẵn kho")</f>
        <v>Hàng sẵn kho</v>
      </c>
      <c r="AA102" s="2"/>
      <c r="AB102" s="2" t="str">
        <f>IFERROR(__xludf.DUMMYFUNCTION("""COMPUTED_VALUE"""),"23/05 chuyển BTP từ Hà Long qua Yamato
26/05 thay thùng chưa có mokup")</f>
        <v>23/05 chuyển BTP từ Hà Long qua Yamato
26/05 thay thùng chưa có mokup</v>
      </c>
      <c r="AC102" s="146">
        <f>IFERROR(__xludf.DUMMYFUNCTION("""COMPUTED_VALUE"""),1000.0)</f>
        <v>1000</v>
      </c>
      <c r="AD102" s="2"/>
      <c r="AE102" s="143">
        <f>IFERROR(__xludf.DUMMYFUNCTION("""COMPUTED_VALUE"""),46175.0)</f>
        <v>46175</v>
      </c>
      <c r="AF102" s="146" t="str">
        <f>IFERROR(__xludf.DUMMYFUNCTION("""COMPUTED_VALUE"""),"Đủ điều kiện nhận hàng")</f>
        <v>Đủ điều kiện nhận hàng</v>
      </c>
      <c r="AG102" s="143">
        <f>IFERROR(__xludf.DUMMYFUNCTION("""COMPUTED_VALUE"""),46175.0)</f>
        <v>46175</v>
      </c>
      <c r="AH102" s="146" t="str">
        <f>IFERROR(__xludf.DUMMYFUNCTION("""COMPUTED_VALUE"""),"1001")</f>
        <v>1001</v>
      </c>
      <c r="AI102" s="2"/>
      <c r="AJ102" s="2"/>
      <c r="AK102" s="2"/>
      <c r="AL102" s="2"/>
      <c r="AM102" s="142">
        <f>IFERROR(__xludf.DUMMYFUNCTION("""COMPUTED_VALUE"""),1001.0)</f>
        <v>1001</v>
      </c>
      <c r="AN102" s="2"/>
      <c r="AO102" s="2"/>
      <c r="AP102" s="2"/>
      <c r="AQ102" s="2"/>
      <c r="AR102" s="2"/>
      <c r="AS102" s="2"/>
      <c r="AT102" s="2"/>
      <c r="AU102" s="2"/>
      <c r="AV102" s="2"/>
      <c r="AW102" s="2"/>
      <c r="AX102" s="2"/>
      <c r="AY102" s="2"/>
      <c r="AZ102" s="2"/>
      <c r="BA102" s="2" t="str">
        <f>IFERROR(__xludf.DUMMYFUNCTION("""COMPUTED_VALUE"""),"Đủ điều kiện")</f>
        <v>Đủ điều kiện</v>
      </c>
      <c r="BB102" s="2" t="str">
        <f>IFERROR(__xludf.DUMMYFUNCTION("""COMPUTED_VALUE"""),"Duyệt")</f>
        <v>Duyệt</v>
      </c>
      <c r="BC102" s="143">
        <f>IFERROR(__xludf.DUMMYFUNCTION("""COMPUTED_VALUE"""),46167.0)</f>
        <v>46167</v>
      </c>
      <c r="BD102" s="2" t="str">
        <f>IFERROR(__xludf.DUMMYFUNCTION("""COMPUTED_VALUE"""),"Duyệt")</f>
        <v>Duyệt</v>
      </c>
      <c r="BE102" s="143">
        <f>IFERROR(__xludf.DUMMYFUNCTION("""COMPUTED_VALUE"""),46168.0)</f>
        <v>46168</v>
      </c>
      <c r="BF102" s="2" t="str">
        <f>IFERROR(__xludf.DUMMYFUNCTION("""COMPUTED_VALUE"""),"Đã xử lí giá")</f>
        <v>Đã xử lí giá</v>
      </c>
      <c r="BG102" s="2" t="str">
        <f>IFERROR(__xludf.DUMMYFUNCTION("""COMPUTED_VALUE"""),"Dòng V1 Dạng cốm màu trắng ngà 28,500đ 23/5/2026
Đang chuyển BTP 150kg qua đóng hàng 23/5/2026")</f>
        <v>Dòng V1 Dạng cốm màu trắng ngà 28,500đ 23/5/2026
Đang chuyển BTP 150kg qua đóng hàng 23/5/2026</v>
      </c>
      <c r="BH102" s="2"/>
      <c r="BI102" s="2"/>
      <c r="BJ102" s="2"/>
      <c r="BK102" s="2"/>
      <c r="BL102" s="2"/>
      <c r="BM102" s="2"/>
      <c r="BN102" s="2"/>
      <c r="BO102" s="2"/>
      <c r="BP102" s="2"/>
      <c r="BQ102" s="2"/>
    </row>
    <row r="103">
      <c r="A103" s="2">
        <f>IFERROR(__xludf.DUMMYFUNCTION("""COMPUTED_VALUE"""),100.0)</f>
        <v>100</v>
      </c>
      <c r="B103" s="2" t="str">
        <f>IFERROR(__xludf.DUMMYFUNCTION("""COMPUTED_VALUE"""),"Thu Loan")</f>
        <v>Thu Loan</v>
      </c>
      <c r="C103" s="2" t="str">
        <f>IFERROR(__xludf.DUMMYFUNCTION("""COMPUTED_VALUE"""),"ATP25052601")</f>
        <v>ATP25052601</v>
      </c>
      <c r="D103" s="39">
        <f>IFERROR(__xludf.DUMMYFUNCTION("""COMPUTED_VALUE"""),46167.0)</f>
        <v>46167</v>
      </c>
      <c r="E103" s="2" t="str">
        <f>IFERROR(__xludf.DUMMYFUNCTION("""COMPUTED_VALUE"""),"Đã duyệt")</f>
        <v>Đã duyệt</v>
      </c>
      <c r="F103" s="2" t="str">
        <f>IFERROR(__xludf.DUMMYFUNCTION("""COMPUTED_VALUE"""),"ABA")</f>
        <v>ABA</v>
      </c>
      <c r="G103" s="2" t="str">
        <f>IFERROR(__xludf.DUMMYFUNCTION("""COMPUTED_VALUE"""),"HH5031")</f>
        <v>HH5031</v>
      </c>
      <c r="H103" s="2" t="str">
        <f>IFERROR(__xludf.DUMMYFUNCTION("""COMPUTED_VALUE"""),"GC - V - 5031 - SONG KIM AGRICULTURE - REBSGANT 3.6 (Nước nâu đen) - 450ml - 40")</f>
        <v>GC - V - 5031 - SONG KIM AGRICULTURE - REBSGANT 3.6 (Nước nâu đen) - 450ml - 40</v>
      </c>
      <c r="I103" s="2" t="str">
        <f>IFERROR(__xludf.DUMMYFUNCTION("""COMPUTED_VALUE"""),"Thuốc trừ sâu")</f>
        <v>Thuốc trừ sâu</v>
      </c>
      <c r="J103" s="142" t="str">
        <f>IFERROR(__xludf.DUMMYFUNCTION("""COMPUTED_VALUE"""),"HAIHAMEC 3.6EC")</f>
        <v>HAIHAMEC 3.6EC</v>
      </c>
      <c r="K103" s="2" t="str">
        <f>IFERROR(__xludf.DUMMYFUNCTION("""COMPUTED_VALUE"""),"Dòng V1")</f>
        <v>Dòng V1</v>
      </c>
      <c r="L103" s="2" t="str">
        <f>IFERROR(__xludf.DUMMYFUNCTION("""COMPUTED_VALUE"""),"Nước nâu đen")</f>
        <v>Nước nâu đen</v>
      </c>
      <c r="M103" s="2" t="str">
        <f>IFERROR(__xludf.DUMMYFUNCTION("""COMPUTED_VALUE"""),"Chai")</f>
        <v>Chai</v>
      </c>
      <c r="N103" s="142">
        <f>IFERROR(__xludf.DUMMYFUNCTION("""COMPUTED_VALUE"""),40.0)</f>
        <v>40</v>
      </c>
      <c r="O103" s="142">
        <f>IFERROR(__xludf.DUMMYFUNCTION("""COMPUTED_VALUE"""),10.0)</f>
        <v>10</v>
      </c>
      <c r="P103" s="142">
        <f>IFERROR(__xludf.DUMMYFUNCTION("""COMPUTED_VALUE"""),400.0)</f>
        <v>400</v>
      </c>
      <c r="Q103" s="143">
        <f>IFERROR(__xludf.DUMMYFUNCTION("""COMPUTED_VALUE"""),46182.0)</f>
        <v>46182</v>
      </c>
      <c r="R103" s="2"/>
      <c r="S103" s="142" t="str">
        <f>IFERROR(__xludf.DUMMYFUNCTION("""COMPUTED_VALUE"""),"lấy chẳn thùng")</f>
        <v>lấy chẳn thùng</v>
      </c>
      <c r="T103" s="2"/>
      <c r="U103" s="2"/>
      <c r="V103" s="2"/>
      <c r="W103" s="2" t="str">
        <f>IFERROR(__xludf.DUMMYFUNCTION("""COMPUTED_VALUE"""),"SONG KIM - Giá bán 44500 - Ngày dự kiến thu tiền:  - Dự kiến ngày ra hết hàng: ")</f>
        <v>SONG KIM - Giá bán 44500 - Ngày dự kiến thu tiền:  - Dự kiến ngày ra hết hàng: </v>
      </c>
      <c r="X103" s="2"/>
      <c r="Y103" s="2" t="str">
        <f>IFERROR(__xludf.DUMMYFUNCTION("""COMPUTED_VALUE"""),"Thu Loan")</f>
        <v>Thu Loan</v>
      </c>
      <c r="Z103" s="2" t="str">
        <f>IFERROR(__xludf.DUMMYFUNCTION("""COMPUTED_VALUE"""),"Chưa có lịch SX")</f>
        <v>Chưa có lịch SX</v>
      </c>
      <c r="AA103" s="2"/>
      <c r="AB103" s="2" t="str">
        <f>IFERROR(__xludf.DUMMYFUNCTION("""COMPUTED_VALUE"""),"chưa đủ dk do chưa duyệt pháp lý 26/05
Đã gửi đơn 28/05")</f>
        <v>chưa đủ dk do chưa duyệt pháp lý 26/05
Đã gửi đơn 28/05</v>
      </c>
      <c r="AC103" s="146">
        <f>IFERROR(__xludf.DUMMYFUNCTION("""COMPUTED_VALUE"""),400.0)</f>
        <v>400</v>
      </c>
      <c r="AD103" s="2"/>
      <c r="AE103" s="143" t="str">
        <f>IFERROR(__xludf.DUMMYFUNCTION("""COMPUTED_VALUE"""),"Chưa chốt lịch")</f>
        <v>Chưa chốt lịch</v>
      </c>
      <c r="AF103" s="146" t="str">
        <f>IFERROR(__xludf.DUMMYFUNCTION("""COMPUTED_VALUE"""),"")</f>
        <v/>
      </c>
      <c r="AG103" s="2"/>
      <c r="AH103" s="2"/>
      <c r="AI103" s="2"/>
      <c r="AJ103" s="2"/>
      <c r="AK103" s="2"/>
      <c r="AL103" s="2"/>
      <c r="AM103" s="2"/>
      <c r="AN103" s="2"/>
      <c r="AO103" s="2"/>
      <c r="AP103" s="2"/>
      <c r="AQ103" s="2"/>
      <c r="AR103" s="2"/>
      <c r="AS103" s="2"/>
      <c r="AT103" s="2"/>
      <c r="AU103" s="2"/>
      <c r="AV103" s="2"/>
      <c r="AW103" s="2"/>
      <c r="AX103" s="2"/>
      <c r="AY103" s="2"/>
      <c r="AZ103" s="2"/>
      <c r="BA103" s="2" t="str">
        <f>IFERROR(__xludf.DUMMYFUNCTION("""COMPUTED_VALUE"""),"Đủ điều kiện")</f>
        <v>Đủ điều kiện</v>
      </c>
      <c r="BB103" s="2" t="str">
        <f>IFERROR(__xludf.DUMMYFUNCTION("""COMPUTED_VALUE"""),"Duyệt")</f>
        <v>Duyệt</v>
      </c>
      <c r="BC103" s="148">
        <f>IFERROR(__xludf.DUMMYFUNCTION("""COMPUTED_VALUE"""),46167.0)</f>
        <v>46167</v>
      </c>
      <c r="BD103" s="2" t="str">
        <f>IFERROR(__xludf.DUMMYFUNCTION("""COMPUTED_VALUE"""),"Duyệt")</f>
        <v>Duyệt</v>
      </c>
      <c r="BE103" s="2" t="str">
        <f>IFERROR(__xludf.DUMMYFUNCTION("""COMPUTED_VALUE"""),"xlg 25/05
26/05")</f>
        <v>xlg 25/05
26/05</v>
      </c>
      <c r="BF103" s="2" t="str">
        <f>IFERROR(__xludf.DUMMYFUNCTION("""COMPUTED_VALUE"""),"Đã xử lí giá")</f>
        <v>Đã xử lí giá</v>
      </c>
      <c r="BG103" s="2" t="str">
        <f>IFERROR(__xludf.DUMMYFUNCTION("""COMPUTED_VALUE"""),"Dòng V1 Nước nâu đen 44,500đ 25/5/2026")</f>
        <v>Dòng V1 Nước nâu đen 44,500đ 25/5/2026</v>
      </c>
      <c r="BH103" s="2"/>
      <c r="BI103" s="2"/>
      <c r="BJ103" s="2"/>
      <c r="BK103" s="2"/>
      <c r="BL103" s="2"/>
      <c r="BM103" s="2"/>
      <c r="BN103" s="2"/>
      <c r="BO103" s="2"/>
      <c r="BP103" s="2"/>
      <c r="BQ103" s="2"/>
    </row>
    <row r="104">
      <c r="A104" s="2">
        <f>IFERROR(__xludf.DUMMYFUNCTION("""COMPUTED_VALUE"""),101.0)</f>
        <v>101</v>
      </c>
      <c r="B104" s="2" t="str">
        <f>IFERROR(__xludf.DUMMYFUNCTION("""COMPUTED_VALUE"""),"Hà Long")</f>
        <v>Hà Long</v>
      </c>
      <c r="C104" s="2" t="str">
        <f>IFERROR(__xludf.DUMMYFUNCTION("""COMPUTED_VALUE"""),"ATP25052602")</f>
        <v>ATP25052602</v>
      </c>
      <c r="D104" s="39">
        <f>IFERROR(__xludf.DUMMYFUNCTION("""COMPUTED_VALUE"""),46167.0)</f>
        <v>46167</v>
      </c>
      <c r="E104" s="2" t="str">
        <f>IFERROR(__xludf.DUMMYFUNCTION("""COMPUTED_VALUE"""),"Đã duyệt")</f>
        <v>Đã duyệt</v>
      </c>
      <c r="F104" s="2" t="str">
        <f>IFERROR(__xludf.DUMMYFUNCTION("""COMPUTED_VALUE"""),"ABA")</f>
        <v>ABA</v>
      </c>
      <c r="G104" s="2" t="str">
        <f>IFERROR(__xludf.DUMMYFUNCTION("""COMPUTED_VALUE"""),"HH4295")</f>
        <v>HH4295</v>
      </c>
      <c r="H104" s="2" t="str">
        <f>IFERROR(__xludf.DUMMYFUNCTION("""COMPUTED_VALUE"""),"GC - V - 4295 - Cty Hóa Nông Shino - BÒ CẠP THÁI (Nước nâu đen) - 450ml - 30")</f>
        <v>GC - V - 4295 - Cty Hóa Nông Shino - BÒ CẠP THÁI (Nước nâu đen) - 450ml - 30</v>
      </c>
      <c r="I104" s="2" t="str">
        <f>IFERROR(__xludf.DUMMYFUNCTION("""COMPUTED_VALUE"""),"Thuốc trừ sâu")</f>
        <v>Thuốc trừ sâu</v>
      </c>
      <c r="J104" s="142" t="str">
        <f>IFERROR(__xludf.DUMMYFUNCTION("""COMPUTED_VALUE"""),"HAIHAMEC 3.6EC")</f>
        <v>HAIHAMEC 3.6EC</v>
      </c>
      <c r="K104" s="2" t="str">
        <f>IFERROR(__xludf.DUMMYFUNCTION("""COMPUTED_VALUE"""),"Dòng V1")</f>
        <v>Dòng V1</v>
      </c>
      <c r="L104" s="2" t="str">
        <f>IFERROR(__xludf.DUMMYFUNCTION("""COMPUTED_VALUE"""),"Nước nâu đen")</f>
        <v>Nước nâu đen</v>
      </c>
      <c r="M104" s="2" t="str">
        <f>IFERROR(__xludf.DUMMYFUNCTION("""COMPUTED_VALUE"""),"Chai")</f>
        <v>Chai</v>
      </c>
      <c r="N104" s="142">
        <f>IFERROR(__xludf.DUMMYFUNCTION("""COMPUTED_VALUE"""),30.0)</f>
        <v>30</v>
      </c>
      <c r="O104" s="142">
        <f>IFERROR(__xludf.DUMMYFUNCTION("""COMPUTED_VALUE"""),30.0)</f>
        <v>30</v>
      </c>
      <c r="P104" s="142">
        <f>IFERROR(__xludf.DUMMYFUNCTION("""COMPUTED_VALUE"""),900.0)</f>
        <v>900</v>
      </c>
      <c r="Q104" s="143">
        <f>IFERROR(__xludf.DUMMYFUNCTION("""COMPUTED_VALUE"""),46177.0)</f>
        <v>46177</v>
      </c>
      <c r="R104" s="2"/>
      <c r="S104" s="142" t="str">
        <f>IFERROR(__xludf.DUMMYFUNCTION("""COMPUTED_VALUE"""),"lấy chẳn thùng")</f>
        <v>lấy chẳn thùng</v>
      </c>
      <c r="T104" s="2"/>
      <c r="U104" s="2"/>
      <c r="V104" s="2"/>
      <c r="W104" s="2" t="str">
        <f>IFERROR(__xludf.DUMMYFUNCTION("""COMPUTED_VALUE"""),"SHINO - Giá bán 43500 - Ngày dự kiến thu tiền:  - Dự kiến ngày ra hết hàng: ")</f>
        <v>SHINO - Giá bán 43500 - Ngày dự kiến thu tiền:  - Dự kiến ngày ra hết hàng: </v>
      </c>
      <c r="X104" s="2"/>
      <c r="Y104" s="2" t="str">
        <f>IFERROR(__xludf.DUMMYFUNCTION("""COMPUTED_VALUE"""),"Hà Long")</f>
        <v>Hà Long</v>
      </c>
      <c r="Z104" s="2" t="str">
        <f>IFERROR(__xludf.DUMMYFUNCTION("""COMPUTED_VALUE"""),"Hoàn thành")</f>
        <v>Hoàn thành</v>
      </c>
      <c r="AA104" s="39">
        <f>IFERROR(__xludf.DUMMYFUNCTION("""COMPUTED_VALUE"""),46169.0)</f>
        <v>46169</v>
      </c>
      <c r="AB104" s="2"/>
      <c r="AC104" s="146">
        <f>IFERROR(__xludf.DUMMYFUNCTION("""COMPUTED_VALUE"""),900.0)</f>
        <v>900</v>
      </c>
      <c r="AD104" s="2"/>
      <c r="AE104" s="143">
        <f>IFERROR(__xludf.DUMMYFUNCTION("""COMPUTED_VALUE"""),46172.0)</f>
        <v>46172</v>
      </c>
      <c r="AF104" s="146" t="str">
        <f>IFERROR(__xludf.DUMMYFUNCTION("""COMPUTED_VALUE"""),"Đủ điều kiện nhận hàng")</f>
        <v>Đủ điều kiện nhận hàng</v>
      </c>
      <c r="AG104" s="143">
        <f>IFERROR(__xludf.DUMMYFUNCTION("""COMPUTED_VALUE"""),46172.0)</f>
        <v>46172</v>
      </c>
      <c r="AH104" s="146" t="str">
        <f>IFERROR(__xludf.DUMMYFUNCTION("""COMPUTED_VALUE"""),"901")</f>
        <v>901</v>
      </c>
      <c r="AI104" s="2"/>
      <c r="AJ104" s="2"/>
      <c r="AK104" s="2"/>
      <c r="AL104" s="2"/>
      <c r="AM104" s="142">
        <f>IFERROR(__xludf.DUMMYFUNCTION("""COMPUTED_VALUE"""),901.0)</f>
        <v>901</v>
      </c>
      <c r="AN104" s="2"/>
      <c r="AO104" s="2"/>
      <c r="AP104" s="2"/>
      <c r="AQ104" s="2"/>
      <c r="AR104" s="2"/>
      <c r="AS104" s="143">
        <f>IFERROR(__xludf.DUMMYFUNCTION("""COMPUTED_VALUE"""),46171.0)</f>
        <v>46171</v>
      </c>
      <c r="AT104" s="2"/>
      <c r="AU104" s="142">
        <f>IFERROR(__xludf.DUMMYFUNCTION("""COMPUTED_VALUE"""),901.0)</f>
        <v>901</v>
      </c>
      <c r="AV104" s="2" t="str">
        <f>IFERROR(__xludf.DUMMYFUNCTION("""COMPUTED_VALUE"""),"03/06/2026 nhận 30th 1c")</f>
        <v>03/06/2026 nhận 30th 1c</v>
      </c>
      <c r="AW104" s="2"/>
      <c r="AX104" s="2"/>
      <c r="AY104" s="2"/>
      <c r="AZ104" s="2"/>
      <c r="BA104" s="2" t="str">
        <f>IFERROR(__xludf.DUMMYFUNCTION("""COMPUTED_VALUE"""),"Đủ điều kiện")</f>
        <v>Đủ điều kiện</v>
      </c>
      <c r="BB104" s="2" t="str">
        <f>IFERROR(__xludf.DUMMYFUNCTION("""COMPUTED_VALUE"""),"Duyệt")</f>
        <v>Duyệt</v>
      </c>
      <c r="BC104" s="143">
        <f>IFERROR(__xludf.DUMMYFUNCTION("""COMPUTED_VALUE"""),46168.0)</f>
        <v>46168</v>
      </c>
      <c r="BD104" s="2" t="str">
        <f>IFERROR(__xludf.DUMMYFUNCTION("""COMPUTED_VALUE"""),"Duyệt")</f>
        <v>Duyệt</v>
      </c>
      <c r="BE104" s="143">
        <f>IFERROR(__xludf.DUMMYFUNCTION("""COMPUTED_VALUE"""),46171.0)</f>
        <v>46171</v>
      </c>
      <c r="BF104" s="2" t="str">
        <f>IFERROR(__xludf.DUMMYFUNCTION("""COMPUTED_VALUE"""),"Đã xử lí giá")</f>
        <v>Đã xử lí giá</v>
      </c>
      <c r="BG104" s="2" t="str">
        <f>IFERROR(__xludf.DUMMYFUNCTION("""COMPUTED_VALUE"""),"Dòng V1 Nước nâu đen 43,500đ 25/5/2026")</f>
        <v>Dòng V1 Nước nâu đen 43,500đ 25/5/2026</v>
      </c>
      <c r="BH104" s="2"/>
      <c r="BI104" s="2"/>
      <c r="BJ104" s="2"/>
      <c r="BK104" s="2"/>
      <c r="BL104" s="2"/>
      <c r="BM104" s="2"/>
      <c r="BN104" s="2"/>
      <c r="BO104" s="2"/>
      <c r="BP104" s="2"/>
      <c r="BQ104" s="2"/>
    </row>
    <row r="105">
      <c r="A105" s="2">
        <f>IFERROR(__xludf.DUMMYFUNCTION("""COMPUTED_VALUE"""),102.0)</f>
        <v>102</v>
      </c>
      <c r="B105" s="2" t="str">
        <f>IFERROR(__xludf.DUMMYFUNCTION("""COMPUTED_VALUE"""),"Hà Long")</f>
        <v>Hà Long</v>
      </c>
      <c r="C105" s="2" t="str">
        <f>IFERROR(__xludf.DUMMYFUNCTION("""COMPUTED_VALUE"""),"ATP25052604")</f>
        <v>ATP25052604</v>
      </c>
      <c r="D105" s="39">
        <f>IFERROR(__xludf.DUMMYFUNCTION("""COMPUTED_VALUE"""),46167.0)</f>
        <v>46167</v>
      </c>
      <c r="E105" s="2" t="str">
        <f>IFERROR(__xludf.DUMMYFUNCTION("""COMPUTED_VALUE"""),"Đã duyệt")</f>
        <v>Đã duyệt</v>
      </c>
      <c r="F105" s="2" t="str">
        <f>IFERROR(__xludf.DUMMYFUNCTION("""COMPUTED_VALUE"""),"ABA")</f>
        <v>ABA</v>
      </c>
      <c r="G105" s="2" t="str">
        <f>IFERROR(__xludf.DUMMYFUNCTION("""COMPUTED_VALUE"""),"HH4604")</f>
        <v>HH4604</v>
      </c>
      <c r="H105" s="2" t="str">
        <f>IFERROR(__xludf.DUMMYFUNCTION("""COMPUTED_VALUE"""),"GC - V - 4604 - Cty Agrictech - Emamex 19 (Nước vàng trà) - 450ml - 40")</f>
        <v>GC - V - 4604 - Cty Agrictech - Emamex 19 (Nước vàng trà) - 450ml - 40</v>
      </c>
      <c r="I105" s="2" t="str">
        <f>IFERROR(__xludf.DUMMYFUNCTION("""COMPUTED_VALUE"""),"Thuốc trừ sâu")</f>
        <v>Thuốc trừ sâu</v>
      </c>
      <c r="J105" s="142" t="str">
        <f>IFERROR(__xludf.DUMMYFUNCTION("""COMPUTED_VALUE"""),"Creek 2.1EC")</f>
        <v>Creek 2.1EC</v>
      </c>
      <c r="K105" s="2" t="str">
        <f>IFERROR(__xludf.DUMMYFUNCTION("""COMPUTED_VALUE"""),"Dòng V1")</f>
        <v>Dòng V1</v>
      </c>
      <c r="L105" s="2" t="str">
        <f>IFERROR(__xludf.DUMMYFUNCTION("""COMPUTED_VALUE"""),"Nước vàng trà")</f>
        <v>Nước vàng trà</v>
      </c>
      <c r="M105" s="2" t="str">
        <f>IFERROR(__xludf.DUMMYFUNCTION("""COMPUTED_VALUE"""),"Chai")</f>
        <v>Chai</v>
      </c>
      <c r="N105" s="142">
        <f>IFERROR(__xludf.DUMMYFUNCTION("""COMPUTED_VALUE"""),40.0)</f>
        <v>40</v>
      </c>
      <c r="O105" s="142">
        <f>IFERROR(__xludf.DUMMYFUNCTION("""COMPUTED_VALUE"""),10.0)</f>
        <v>10</v>
      </c>
      <c r="P105" s="142">
        <f>IFERROR(__xludf.DUMMYFUNCTION("""COMPUTED_VALUE"""),400.0)</f>
        <v>400</v>
      </c>
      <c r="Q105" s="143">
        <f>IFERROR(__xludf.DUMMYFUNCTION("""COMPUTED_VALUE"""),46177.0)</f>
        <v>46177</v>
      </c>
      <c r="R105" s="2"/>
      <c r="S105" s="142" t="str">
        <f>IFERROR(__xludf.DUMMYFUNCTION("""COMPUTED_VALUE"""),"lấy chẳn thùng")</f>
        <v>lấy chẳn thùng</v>
      </c>
      <c r="T105" s="2"/>
      <c r="U105" s="2"/>
      <c r="V105" s="2"/>
      <c r="W105" s="2" t="str">
        <f>IFERROR(__xludf.DUMMYFUNCTION("""COMPUTED_VALUE"""),"AGRITECH - Giá bán 62000 - Ngày dự kiến thu tiền:  - Dự kiến ngày ra hết hàng: ")</f>
        <v>AGRITECH - Giá bán 62000 - Ngày dự kiến thu tiền:  - Dự kiến ngày ra hết hàng: </v>
      </c>
      <c r="X105" s="2"/>
      <c r="Y105" s="2" t="str">
        <f>IFERROR(__xludf.DUMMYFUNCTION("""COMPUTED_VALUE"""),"Hà Long")</f>
        <v>Hà Long</v>
      </c>
      <c r="Z105" s="2" t="str">
        <f>IFERROR(__xludf.DUMMYFUNCTION("""COMPUTED_VALUE"""),"Đã có lịch SX")</f>
        <v>Đã có lịch SX</v>
      </c>
      <c r="AA105" s="39">
        <f>IFERROR(__xludf.DUMMYFUNCTION("""COMPUTED_VALUE"""),46177.0)</f>
        <v>46177</v>
      </c>
      <c r="AB105" s="2" t="str">
        <f>IFERROR(__xludf.DUMMYFUNCTION("""COMPUTED_VALUE"""),"27/5 Thiếu nhãn- DK  2/6")</f>
        <v>27/5 Thiếu nhãn- DK  2/6</v>
      </c>
      <c r="AC105" s="146">
        <f>IFERROR(__xludf.DUMMYFUNCTION("""COMPUTED_VALUE"""),400.0)</f>
        <v>400</v>
      </c>
      <c r="AD105" s="2"/>
      <c r="AE105" s="143" t="str">
        <f>IFERROR(__xludf.DUMMYFUNCTION("""COMPUTED_VALUE"""),"Chưa chốt lịch")</f>
        <v>Chưa chốt lịch</v>
      </c>
      <c r="AF105" s="146" t="str">
        <f>IFERROR(__xludf.DUMMYFUNCTION("""COMPUTED_VALUE"""),"")</f>
        <v/>
      </c>
      <c r="AG105" s="2"/>
      <c r="AH105" s="2"/>
      <c r="AI105" s="2"/>
      <c r="AJ105" s="2"/>
      <c r="AK105" s="2"/>
      <c r="AL105" s="2"/>
      <c r="AM105" s="2"/>
      <c r="AN105" s="2"/>
      <c r="AO105" s="2"/>
      <c r="AP105" s="2"/>
      <c r="AQ105" s="2"/>
      <c r="AR105" s="2"/>
      <c r="AS105" s="2"/>
      <c r="AT105" s="2"/>
      <c r="AU105" s="2"/>
      <c r="AV105" s="2"/>
      <c r="AW105" s="2"/>
      <c r="AX105" s="2"/>
      <c r="AY105" s="2"/>
      <c r="AZ105" s="2"/>
      <c r="BA105" s="2"/>
      <c r="BB105" s="2" t="str">
        <f>IFERROR(__xludf.DUMMYFUNCTION("""COMPUTED_VALUE"""),"Duyệt")</f>
        <v>Duyệt</v>
      </c>
      <c r="BC105" s="143">
        <f>IFERROR(__xludf.DUMMYFUNCTION("""COMPUTED_VALUE"""),46168.0)</f>
        <v>46168</v>
      </c>
      <c r="BD105" s="2" t="str">
        <f>IFERROR(__xludf.DUMMYFUNCTION("""COMPUTED_VALUE"""),"Duyệt")</f>
        <v>Duyệt</v>
      </c>
      <c r="BE105" s="143">
        <f>IFERROR(__xludf.DUMMYFUNCTION("""COMPUTED_VALUE"""),46171.0)</f>
        <v>46171</v>
      </c>
      <c r="BF105" s="2" t="str">
        <f>IFERROR(__xludf.DUMMYFUNCTION("""COMPUTED_VALUE"""),"Đã xử lí giá")</f>
        <v>Đã xử lí giá</v>
      </c>
      <c r="BG105" s="2" t="str">
        <f>IFERROR(__xludf.DUMMYFUNCTION("""COMPUTED_VALUE"""),"Dòng V1 Nước vàng trà 62,000đ 25/5/2026")</f>
        <v>Dòng V1 Nước vàng trà 62,000đ 25/5/2026</v>
      </c>
      <c r="BH105" s="2"/>
      <c r="BI105" s="2"/>
      <c r="BJ105" s="2"/>
      <c r="BK105" s="2"/>
      <c r="BL105" s="2"/>
      <c r="BM105" s="2"/>
      <c r="BN105" s="2"/>
      <c r="BO105" s="2"/>
      <c r="BP105" s="2"/>
      <c r="BQ105" s="2"/>
    </row>
    <row r="106">
      <c r="A106" s="2">
        <f>IFERROR(__xludf.DUMMYFUNCTION("""COMPUTED_VALUE"""),103.0)</f>
        <v>103</v>
      </c>
      <c r="B106" s="2" t="str">
        <f>IFERROR(__xludf.DUMMYFUNCTION("""COMPUTED_VALUE"""),"Thu Loan")</f>
        <v>Thu Loan</v>
      </c>
      <c r="C106" s="2" t="str">
        <f>IFERROR(__xludf.DUMMYFUNCTION("""COMPUTED_VALUE"""),"ATP25052605")</f>
        <v>ATP25052605</v>
      </c>
      <c r="D106" s="39">
        <f>IFERROR(__xludf.DUMMYFUNCTION("""COMPUTED_VALUE"""),46167.0)</f>
        <v>46167</v>
      </c>
      <c r="E106" s="2" t="str">
        <f>IFERROR(__xludf.DUMMYFUNCTION("""COMPUTED_VALUE"""),"Đã duyệt")</f>
        <v>Đã duyệt</v>
      </c>
      <c r="F106" s="2" t="str">
        <f>IFERROR(__xludf.DUMMYFUNCTION("""COMPUTED_VALUE"""),"ABA")</f>
        <v>ABA</v>
      </c>
      <c r="G106" s="2" t="str">
        <f>IFERROR(__xludf.DUMMYFUNCTION("""COMPUTED_VALUE"""),"HH5043")</f>
        <v>HH5043</v>
      </c>
      <c r="H106" s="2" t="str">
        <f>IFERROR(__xludf.DUMMYFUNCTION("""COMPUTED_VALUE"""),"GC - V - 5043 - CTY AGROCHEM KOREA - VOITHAI3.6 (Nước nâu đen) - 450ml - 40")</f>
        <v>GC - V - 5043 - CTY AGROCHEM KOREA - VOITHAI3.6 (Nước nâu đen) - 450ml - 40</v>
      </c>
      <c r="I106" s="2" t="str">
        <f>IFERROR(__xludf.DUMMYFUNCTION("""COMPUTED_VALUE"""),"Thuốc trừ sâu")</f>
        <v>Thuốc trừ sâu</v>
      </c>
      <c r="J106" s="142" t="str">
        <f>IFERROR(__xludf.DUMMYFUNCTION("""COMPUTED_VALUE"""),"HAIHAMEC 3.6EC")</f>
        <v>HAIHAMEC 3.6EC</v>
      </c>
      <c r="K106" s="2" t="str">
        <f>IFERROR(__xludf.DUMMYFUNCTION("""COMPUTED_VALUE"""),"Dòng V1")</f>
        <v>Dòng V1</v>
      </c>
      <c r="L106" s="2" t="str">
        <f>IFERROR(__xludf.DUMMYFUNCTION("""COMPUTED_VALUE"""),"Nước nâu đen")</f>
        <v>Nước nâu đen</v>
      </c>
      <c r="M106" s="2" t="str">
        <f>IFERROR(__xludf.DUMMYFUNCTION("""COMPUTED_VALUE"""),"Chai")</f>
        <v>Chai</v>
      </c>
      <c r="N106" s="142">
        <f>IFERROR(__xludf.DUMMYFUNCTION("""COMPUTED_VALUE"""),40.0)</f>
        <v>40</v>
      </c>
      <c r="O106" s="142">
        <f>IFERROR(__xludf.DUMMYFUNCTION("""COMPUTED_VALUE"""),30.0)</f>
        <v>30</v>
      </c>
      <c r="P106" s="142">
        <f>IFERROR(__xludf.DUMMYFUNCTION("""COMPUTED_VALUE"""),1200.0)</f>
        <v>1200</v>
      </c>
      <c r="Q106" s="143">
        <f>IFERROR(__xludf.DUMMYFUNCTION("""COMPUTED_VALUE"""),46179.0)</f>
        <v>46179</v>
      </c>
      <c r="R106" s="2"/>
      <c r="S106" s="142" t="str">
        <f>IFERROR(__xludf.DUMMYFUNCTION("""COMPUTED_VALUE"""),"lấy chẳn thùng")</f>
        <v>lấy chẳn thùng</v>
      </c>
      <c r="T106" s="2"/>
      <c r="U106" s="2"/>
      <c r="V106" s="2"/>
      <c r="W106" s="2" t="str">
        <f>IFERROR(__xludf.DUMMYFUNCTION("""COMPUTED_VALUE"""),"KOREA - Giá bán 43500 - Ngày dự kiến thu tiền:  - Dự kiến ngày ra hết hàng: ")</f>
        <v>KOREA - Giá bán 43500 - Ngày dự kiến thu tiền:  - Dự kiến ngày ra hết hàng: </v>
      </c>
      <c r="X106" s="2"/>
      <c r="Y106" s="2" t="str">
        <f>IFERROR(__xludf.DUMMYFUNCTION("""COMPUTED_VALUE"""),"Thu Loan")</f>
        <v>Thu Loan</v>
      </c>
      <c r="Z106" s="2" t="str">
        <f>IFERROR(__xludf.DUMMYFUNCTION("""COMPUTED_VALUE"""),"Chưa có lịch SX")</f>
        <v>Chưa có lịch SX</v>
      </c>
      <c r="AA106" s="2"/>
      <c r="AB106" s="2" t="str">
        <f>IFERROR(__xludf.DUMMYFUNCTION("""COMPUTED_VALUE"""),"chờ KD cập nhật lại tên hàng, số ml 450ml
đã cập nhật lại tên hàng 450ml 26/05
chưa đủ dk do chưa duyệt pháp lý 26/05
Đã gửi đơn 28/05")</f>
        <v>chờ KD cập nhật lại tên hàng, số ml 450ml
đã cập nhật lại tên hàng 450ml 26/05
chưa đủ dk do chưa duyệt pháp lý 26/05
Đã gửi đơn 28/05</v>
      </c>
      <c r="AC106" s="146">
        <f>IFERROR(__xludf.DUMMYFUNCTION("""COMPUTED_VALUE"""),1200.0)</f>
        <v>1200</v>
      </c>
      <c r="AD106" s="2"/>
      <c r="AE106" s="143" t="str">
        <f>IFERROR(__xludf.DUMMYFUNCTION("""COMPUTED_VALUE"""),"Chưa chốt lịch")</f>
        <v>Chưa chốt lịch</v>
      </c>
      <c r="AF106" s="146" t="str">
        <f>IFERROR(__xludf.DUMMYFUNCTION("""COMPUTED_VALUE"""),"")</f>
        <v/>
      </c>
      <c r="AG106" s="2"/>
      <c r="AH106" s="2"/>
      <c r="AI106" s="2"/>
      <c r="AJ106" s="2"/>
      <c r="AK106" s="2"/>
      <c r="AL106" s="2"/>
      <c r="AM106" s="2"/>
      <c r="AN106" s="2"/>
      <c r="AO106" s="2"/>
      <c r="AP106" s="2"/>
      <c r="AQ106" s="2"/>
      <c r="AR106" s="2"/>
      <c r="AS106" s="2"/>
      <c r="AT106" s="2"/>
      <c r="AU106" s="2"/>
      <c r="AV106" s="2"/>
      <c r="AW106" s="2"/>
      <c r="AX106" s="2"/>
      <c r="AY106" s="2"/>
      <c r="AZ106" s="2"/>
      <c r="BA106" s="2" t="str">
        <f>IFERROR(__xludf.DUMMYFUNCTION("""COMPUTED_VALUE"""),"Đủ điều kiện")</f>
        <v>Đủ điều kiện</v>
      </c>
      <c r="BB106" s="2" t="str">
        <f>IFERROR(__xludf.DUMMYFUNCTION("""COMPUTED_VALUE"""),"Duyệt")</f>
        <v>Duyệt</v>
      </c>
      <c r="BC106" s="148">
        <f>IFERROR(__xludf.DUMMYFUNCTION("""COMPUTED_VALUE"""),46167.0)</f>
        <v>46167</v>
      </c>
      <c r="BD106" s="2" t="str">
        <f>IFERROR(__xludf.DUMMYFUNCTION("""COMPUTED_VALUE"""),"Duyệt")</f>
        <v>Duyệt</v>
      </c>
      <c r="BE106" s="2" t="str">
        <f>IFERROR(__xludf.DUMMYFUNCTION("""COMPUTED_VALUE"""),"xlg 25/05
26/05")</f>
        <v>xlg 25/05
26/05</v>
      </c>
      <c r="BF106" s="2" t="str">
        <f>IFERROR(__xludf.DUMMYFUNCTION("""COMPUTED_VALUE"""),"Đã xử lí giá")</f>
        <v>Đã xử lí giá</v>
      </c>
      <c r="BG106" s="2" t="str">
        <f>IFERROR(__xludf.DUMMYFUNCTION("""COMPUTED_VALUE"""),"Dòng V1 Nước nâu đen 43,500đ 25/5/2026")</f>
        <v>Dòng V1 Nước nâu đen 43,500đ 25/5/2026</v>
      </c>
      <c r="BH106" s="2"/>
      <c r="BI106" s="2"/>
      <c r="BJ106" s="2"/>
      <c r="BK106" s="2"/>
      <c r="BL106" s="2"/>
      <c r="BM106" s="2"/>
      <c r="BN106" s="2"/>
      <c r="BO106" s="2"/>
      <c r="BP106" s="2"/>
      <c r="BQ106" s="2"/>
    </row>
    <row r="107">
      <c r="A107" s="2">
        <f>IFERROR(__xludf.DUMMYFUNCTION("""COMPUTED_VALUE"""),104.0)</f>
        <v>104</v>
      </c>
      <c r="B107" s="2" t="str">
        <f>IFERROR(__xludf.DUMMYFUNCTION("""COMPUTED_VALUE"""),"ADU")</f>
        <v>ADU</v>
      </c>
      <c r="C107" s="2" t="str">
        <f>IFERROR(__xludf.DUMMYFUNCTION("""COMPUTED_VALUE"""),"ATP25052608")</f>
        <v>ATP25052608</v>
      </c>
      <c r="D107" s="39">
        <f>IFERROR(__xludf.DUMMYFUNCTION("""COMPUTED_VALUE"""),46167.0)</f>
        <v>46167</v>
      </c>
      <c r="E107" s="2" t="str">
        <f>IFERROR(__xludf.DUMMYFUNCTION("""COMPUTED_VALUE"""),"Đã duyệt")</f>
        <v>Đã duyệt</v>
      </c>
      <c r="F107" s="2" t="str">
        <f>IFERROR(__xludf.DUMMYFUNCTION("""COMPUTED_VALUE"""),"ABA")</f>
        <v>ABA</v>
      </c>
      <c r="G107" s="2" t="str">
        <f>IFERROR(__xludf.DUMMYFUNCTION("""COMPUTED_VALUE"""),"HH5039")</f>
        <v>HH5039</v>
      </c>
      <c r="H107" s="2" t="str">
        <f>IFERROR(__xludf.DUMMYFUNCTION("""COMPUTED_VALUE"""),"GC - V - 5039 - CTY HÓA NÔNG SHINO - FENA-MAX 240 (Nước trắng sữa) - 30ml - 400")</f>
        <v>GC - V - 5039 - CTY HÓA NÔNG SHINO - FENA-MAX 240 (Nước trắng sữa) - 30ml - 400</v>
      </c>
      <c r="I107" s="2" t="str">
        <f>IFERROR(__xludf.DUMMYFUNCTION("""COMPUTED_VALUE"""),"Thuốc trừ sâu")</f>
        <v>Thuốc trừ sâu</v>
      </c>
      <c r="J107" s="142" t="str">
        <f>IFERROR(__xludf.DUMMYFUNCTION("""COMPUTED_VALUE"""),"ADU-Fenar 24SC")</f>
        <v>ADU-Fenar 24SC</v>
      </c>
      <c r="K107" s="2" t="str">
        <f>IFERROR(__xludf.DUMMYFUNCTION("""COMPUTED_VALUE"""),"Dòng V1")</f>
        <v>Dòng V1</v>
      </c>
      <c r="L107" s="2" t="str">
        <f>IFERROR(__xludf.DUMMYFUNCTION("""COMPUTED_VALUE"""),"Nước trắng sữa")</f>
        <v>Nước trắng sữa</v>
      </c>
      <c r="M107" s="2" t="str">
        <f>IFERROR(__xludf.DUMMYFUNCTION("""COMPUTED_VALUE"""),"Túi/Gói")</f>
        <v>Túi/Gói</v>
      </c>
      <c r="N107" s="142">
        <f>IFERROR(__xludf.DUMMYFUNCTION("""COMPUTED_VALUE"""),400.0)</f>
        <v>400</v>
      </c>
      <c r="O107" s="142">
        <f>IFERROR(__xludf.DUMMYFUNCTION("""COMPUTED_VALUE"""),15.0)</f>
        <v>15</v>
      </c>
      <c r="P107" s="142">
        <f>IFERROR(__xludf.DUMMYFUNCTION("""COMPUTED_VALUE"""),6000.0)</f>
        <v>6000</v>
      </c>
      <c r="Q107" s="143">
        <f>IFERROR(__xludf.DUMMYFUNCTION("""COMPUTED_VALUE"""),46188.0)</f>
        <v>46188</v>
      </c>
      <c r="R107" s="2"/>
      <c r="S107" s="142" t="str">
        <f>IFERROR(__xludf.DUMMYFUNCTION("""COMPUTED_VALUE"""),"lấy chẳn thùng")</f>
        <v>lấy chẳn thùng</v>
      </c>
      <c r="T107" s="2"/>
      <c r="U107" s="2"/>
      <c r="V107" s="2"/>
      <c r="W107" s="2" t="str">
        <f>IFERROR(__xludf.DUMMYFUNCTION("""COMPUTED_VALUE"""),"SHINO - Giá bán 13160 - Ngày dự kiến thu tiền:  - Dự kiến ngày ra hết hàng: ")</f>
        <v>SHINO - Giá bán 13160 - Ngày dự kiến thu tiền:  - Dự kiến ngày ra hết hàng: </v>
      </c>
      <c r="X107" s="2"/>
      <c r="Y107" s="2" t="str">
        <f>IFERROR(__xludf.DUMMYFUNCTION("""COMPUTED_VALUE"""),"ADU")</f>
        <v>ADU</v>
      </c>
      <c r="Z107" s="2" t="str">
        <f>IFERROR(__xludf.DUMMYFUNCTION("""COMPUTED_VALUE"""),"Chưa gửi đơn")</f>
        <v>Chưa gửi đơn</v>
      </c>
      <c r="AA107" s="2"/>
      <c r="AB107" s="2" t="str">
        <f>IFERROR(__xludf.DUMMYFUNCTION("""COMPUTED_VALUE"""),"26/05 Thiếu nhãn KH 2/6
28/05 thiếu túi dự kiến 06/06 
29/05 chưa có hợp quy")</f>
        <v>26/05 Thiếu nhãn KH 2/6
28/05 thiếu túi dự kiến 06/06 
29/05 chưa có hợp quy</v>
      </c>
      <c r="AC107" s="146">
        <f>IFERROR(__xludf.DUMMYFUNCTION("""COMPUTED_VALUE"""),6000.0)</f>
        <v>6000</v>
      </c>
      <c r="AD107" s="2"/>
      <c r="AE107" s="143" t="str">
        <f>IFERROR(__xludf.DUMMYFUNCTION("""COMPUTED_VALUE"""),"Chưa chốt lịch")</f>
        <v>Chưa chốt lịch</v>
      </c>
      <c r="AF107" s="146" t="str">
        <f>IFERROR(__xludf.DUMMYFUNCTION("""COMPUTED_VALUE"""),"")</f>
        <v/>
      </c>
      <c r="AG107" s="2"/>
      <c r="AH107" s="2"/>
      <c r="AI107" s="2"/>
      <c r="AJ107" s="2"/>
      <c r="AK107" s="2"/>
      <c r="AL107" s="2"/>
      <c r="AM107" s="2"/>
      <c r="AN107" s="2"/>
      <c r="AO107" s="2"/>
      <c r="AP107" s="2"/>
      <c r="AQ107" s="2"/>
      <c r="AR107" s="2"/>
      <c r="AS107" s="2"/>
      <c r="AT107" s="2"/>
      <c r="AU107" s="2"/>
      <c r="AV107" s="2"/>
      <c r="AW107" s="2"/>
      <c r="AX107" s="2"/>
      <c r="AY107" s="2"/>
      <c r="AZ107" s="2"/>
      <c r="BA107" s="2"/>
      <c r="BB107" s="2" t="str">
        <f>IFERROR(__xludf.DUMMYFUNCTION("""COMPUTED_VALUE"""),"Duyệt")</f>
        <v>Duyệt</v>
      </c>
      <c r="BC107" s="143">
        <f>IFERROR(__xludf.DUMMYFUNCTION("""COMPUTED_VALUE"""),46169.0)</f>
        <v>46169</v>
      </c>
      <c r="BD107" s="2" t="str">
        <f>IFERROR(__xludf.DUMMYFUNCTION("""COMPUTED_VALUE"""),"Duyệt")</f>
        <v>Duyệt</v>
      </c>
      <c r="BE107" s="143">
        <f>IFERROR(__xludf.DUMMYFUNCTION("""COMPUTED_VALUE"""),46169.0)</f>
        <v>46169</v>
      </c>
      <c r="BF107" s="2" t="str">
        <f>IFERROR(__xludf.DUMMYFUNCTION("""COMPUTED_VALUE"""),"Đã xử lí giá")</f>
        <v>Đã xử lí giá</v>
      </c>
      <c r="BG107" s="2" t="str">
        <f>IFERROR(__xludf.DUMMYFUNCTION("""COMPUTED_VALUE"""),"Dòng V1 Nước trắng sữa 13,160đ 25/5/2026")</f>
        <v>Dòng V1 Nước trắng sữa 13,160đ 25/5/2026</v>
      </c>
      <c r="BH107" s="2"/>
      <c r="BI107" s="2"/>
      <c r="BJ107" s="2"/>
      <c r="BK107" s="2"/>
      <c r="BL107" s="2"/>
      <c r="BM107" s="2"/>
      <c r="BN107" s="2"/>
      <c r="BO107" s="2"/>
      <c r="BP107" s="2"/>
      <c r="BQ107" s="2"/>
    </row>
    <row r="108">
      <c r="A108" s="2">
        <f>IFERROR(__xludf.DUMMYFUNCTION("""COMPUTED_VALUE"""),105.0)</f>
        <v>105</v>
      </c>
      <c r="B108" s="2" t="str">
        <f>IFERROR(__xludf.DUMMYFUNCTION("""COMPUTED_VALUE"""),"Hà Long")</f>
        <v>Hà Long</v>
      </c>
      <c r="C108" s="2" t="str">
        <f>IFERROR(__xludf.DUMMYFUNCTION("""COMPUTED_VALUE"""),"ATP25052609")</f>
        <v>ATP25052609</v>
      </c>
      <c r="D108" s="39">
        <f>IFERROR(__xludf.DUMMYFUNCTION("""COMPUTED_VALUE"""),46167.0)</f>
        <v>46167</v>
      </c>
      <c r="E108" s="2" t="str">
        <f>IFERROR(__xludf.DUMMYFUNCTION("""COMPUTED_VALUE"""),"Đã duyệt")</f>
        <v>Đã duyệt</v>
      </c>
      <c r="F108" s="2" t="str">
        <f>IFERROR(__xludf.DUMMYFUNCTION("""COMPUTED_VALUE"""),"ABA")</f>
        <v>ABA</v>
      </c>
      <c r="G108" s="2" t="str">
        <f>IFERROR(__xludf.DUMMYFUNCTION("""COMPUTED_VALUE"""),"HH4787")</f>
        <v>HH4787</v>
      </c>
      <c r="H108" s="2" t="str">
        <f>IFERROR(__xludf.DUMMYFUNCTION("""COMPUTED_VALUE"""),"GC - V - 4787 - NHP GROUP - SẠCH RẦY (Bột trắng ngà) - 100gr - 100")</f>
        <v>GC - V - 4787 - NHP GROUP - SẠCH RẦY (Bột trắng ngà) - 100gr - 100</v>
      </c>
      <c r="I108" s="2" t="str">
        <f>IFERROR(__xludf.DUMMYFUNCTION("""COMPUTED_VALUE"""),"Thuốc trừ sâu")</f>
        <v>Thuốc trừ sâu</v>
      </c>
      <c r="J108" s="142" t="str">
        <f>IFERROR(__xludf.DUMMYFUNCTION("""COMPUTED_VALUE"""),"THẦN CÔNG GOLD 39WP")</f>
        <v>THẦN CÔNG GOLD 39WP</v>
      </c>
      <c r="K108" s="2" t="str">
        <f>IFERROR(__xludf.DUMMYFUNCTION("""COMPUTED_VALUE"""),"Dòng V1")</f>
        <v>Dòng V1</v>
      </c>
      <c r="L108" s="2" t="str">
        <f>IFERROR(__xludf.DUMMYFUNCTION("""COMPUTED_VALUE"""),"Bột trắng ngà")</f>
        <v>Bột trắng ngà</v>
      </c>
      <c r="M108" s="2" t="str">
        <f>IFERROR(__xludf.DUMMYFUNCTION("""COMPUTED_VALUE"""),"Túi/Gói")</f>
        <v>Túi/Gói</v>
      </c>
      <c r="N108" s="142">
        <f>IFERROR(__xludf.DUMMYFUNCTION("""COMPUTED_VALUE"""),100.0)</f>
        <v>100</v>
      </c>
      <c r="O108" s="142">
        <f>IFERROR(__xludf.DUMMYFUNCTION("""COMPUTED_VALUE"""),10.0)</f>
        <v>10</v>
      </c>
      <c r="P108" s="142">
        <f>IFERROR(__xludf.DUMMYFUNCTION("""COMPUTED_VALUE"""),1000.0)</f>
        <v>1000</v>
      </c>
      <c r="Q108" s="143">
        <f>IFERROR(__xludf.DUMMYFUNCTION("""COMPUTED_VALUE"""),46183.0)</f>
        <v>46183</v>
      </c>
      <c r="R108" s="2"/>
      <c r="S108" s="142" t="str">
        <f>IFERROR(__xludf.DUMMYFUNCTION("""COMPUTED_VALUE"""),"lấy chẳn thùng")</f>
        <v>lấy chẳn thùng</v>
      </c>
      <c r="T108" s="2"/>
      <c r="U108" s="2"/>
      <c r="V108" s="2"/>
      <c r="W108" s="2" t="str">
        <f>IFERROR(__xludf.DUMMYFUNCTION("""COMPUTED_VALUE"""),"NHP GROUP - Giá bán 19000 - Ngày dự kiến thu tiền:  - Dự kiến ngày ra hết hàng: ")</f>
        <v>NHP GROUP - Giá bán 19000 - Ngày dự kiến thu tiền:  - Dự kiến ngày ra hết hàng: </v>
      </c>
      <c r="X108" s="2"/>
      <c r="Y108" s="2" t="str">
        <f>IFERROR(__xludf.DUMMYFUNCTION("""COMPUTED_VALUE"""),"Hà Long")</f>
        <v>Hà Long</v>
      </c>
      <c r="Z108" s="2" t="str">
        <f>IFERROR(__xludf.DUMMYFUNCTION("""COMPUTED_VALUE"""),"Chưa có lịch SX")</f>
        <v>Chưa có lịch SX</v>
      </c>
      <c r="AA108" s="2"/>
      <c r="AB108" s="2" t="str">
        <f>IFERROR(__xludf.DUMMYFUNCTION("""COMPUTED_VALUE"""),"27/5 HL đang mua NL chưa có ngày dự kiến
")</f>
        <v>27/5 HL đang mua NL chưa có ngày dự kiến
</v>
      </c>
      <c r="AC108" s="146">
        <f>IFERROR(__xludf.DUMMYFUNCTION("""COMPUTED_VALUE"""),1000.0)</f>
        <v>1000</v>
      </c>
      <c r="AD108" s="2"/>
      <c r="AE108" s="143" t="str">
        <f>IFERROR(__xludf.DUMMYFUNCTION("""COMPUTED_VALUE"""),"Chưa chốt lịch")</f>
        <v>Chưa chốt lịch</v>
      </c>
      <c r="AF108" s="146" t="str">
        <f>IFERROR(__xludf.DUMMYFUNCTION("""COMPUTED_VALUE"""),"")</f>
        <v/>
      </c>
      <c r="AG108" s="2"/>
      <c r="AH108" s="2"/>
      <c r="AI108" s="2"/>
      <c r="AJ108" s="2"/>
      <c r="AK108" s="2"/>
      <c r="AL108" s="2"/>
      <c r="AM108" s="2"/>
      <c r="AN108" s="2"/>
      <c r="AO108" s="2"/>
      <c r="AP108" s="2"/>
      <c r="AQ108" s="2"/>
      <c r="AR108" s="2"/>
      <c r="AS108" s="2"/>
      <c r="AT108" s="2"/>
      <c r="AU108" s="2"/>
      <c r="AV108" s="2"/>
      <c r="AW108" s="2"/>
      <c r="AX108" s="2"/>
      <c r="AY108" s="2"/>
      <c r="AZ108" s="2"/>
      <c r="BA108" s="2" t="str">
        <f>IFERROR(__xludf.DUMMYFUNCTION("""COMPUTED_VALUE"""),"Đủ điều kiện")</f>
        <v>Đủ điều kiện</v>
      </c>
      <c r="BB108" s="2" t="str">
        <f>IFERROR(__xludf.DUMMYFUNCTION("""COMPUTED_VALUE"""),"Duyệt")</f>
        <v>Duyệt</v>
      </c>
      <c r="BC108" s="143">
        <f>IFERROR(__xludf.DUMMYFUNCTION("""COMPUTED_VALUE"""),46168.0)</f>
        <v>46168</v>
      </c>
      <c r="BD108" s="2" t="str">
        <f>IFERROR(__xludf.DUMMYFUNCTION("""COMPUTED_VALUE"""),"Duyệt")</f>
        <v>Duyệt</v>
      </c>
      <c r="BE108" s="143">
        <f>IFERROR(__xludf.DUMMYFUNCTION("""COMPUTED_VALUE"""),46171.0)</f>
        <v>46171</v>
      </c>
      <c r="BF108" s="2" t="str">
        <f>IFERROR(__xludf.DUMMYFUNCTION("""COMPUTED_VALUE"""),"Đã xử lí giá")</f>
        <v>Đã xử lí giá</v>
      </c>
      <c r="BG108" s="2" t="str">
        <f>IFERROR(__xludf.DUMMYFUNCTION("""COMPUTED_VALUE"""),"Dòng V1 Bột trắng ngà 19,000đ 25/5/2026")</f>
        <v>Dòng V1 Bột trắng ngà 19,000đ 25/5/2026</v>
      </c>
      <c r="BH108" s="2"/>
      <c r="BI108" s="2"/>
      <c r="BJ108" s="2"/>
      <c r="BK108" s="2"/>
      <c r="BL108" s="2"/>
      <c r="BM108" s="2"/>
      <c r="BN108" s="2"/>
      <c r="BO108" s="2"/>
      <c r="BP108" s="2"/>
      <c r="BQ108" s="2"/>
    </row>
    <row r="109">
      <c r="A109" s="2">
        <f>IFERROR(__xludf.DUMMYFUNCTION("""COMPUTED_VALUE"""),106.0)</f>
        <v>106</v>
      </c>
      <c r="B109" s="2" t="str">
        <f>IFERROR(__xludf.DUMMYFUNCTION("""COMPUTED_VALUE"""),"Yamato")</f>
        <v>Yamato</v>
      </c>
      <c r="C109" s="2" t="str">
        <f>IFERROR(__xludf.DUMMYFUNCTION("""COMPUTED_VALUE"""),"ATP26052603")</f>
        <v>ATP26052603</v>
      </c>
      <c r="D109" s="39">
        <f>IFERROR(__xludf.DUMMYFUNCTION("""COMPUTED_VALUE"""),46168.0)</f>
        <v>46168</v>
      </c>
      <c r="E109" s="2" t="str">
        <f>IFERROR(__xludf.DUMMYFUNCTION("""COMPUTED_VALUE"""),"Đã duyệt")</f>
        <v>Đã duyệt</v>
      </c>
      <c r="F109" s="2" t="str">
        <f>IFERROR(__xludf.DUMMYFUNCTION("""COMPUTED_VALUE"""),"ABA")</f>
        <v>ABA</v>
      </c>
      <c r="G109" s="2" t="str">
        <f>IFERROR(__xludf.DUMMYFUNCTION("""COMPUTED_VALUE"""),"HH3949")</f>
        <v>HH3949</v>
      </c>
      <c r="H109" s="2" t="str">
        <f>IFERROR(__xludf.DUMMYFUNCTION("""COMPUTED_VALUE"""),"GC - V - 3949 - CTY NÔNG DƯỢC VIỆT AN - RGENTA (Bột cam)  - 100gr - 100")</f>
        <v>GC - V - 3949 - CTY NÔNG DƯỢC VIỆT AN - RGENTA (Bột cam)  - 100gr - 100</v>
      </c>
      <c r="I109" s="2" t="str">
        <f>IFERROR(__xludf.DUMMYFUNCTION("""COMPUTED_VALUE"""),"Thuốc trừ bệnh")</f>
        <v>Thuốc trừ bệnh</v>
      </c>
      <c r="J109" s="142" t="str">
        <f>IFERROR(__xludf.DUMMYFUNCTION("""COMPUTED_VALUE"""),"NOFADA 822WP")</f>
        <v>NOFADA 822WP</v>
      </c>
      <c r="K109" s="2" t="str">
        <f>IFERROR(__xludf.DUMMYFUNCTION("""COMPUTED_VALUE"""),"Dòng V1")</f>
        <v>Dòng V1</v>
      </c>
      <c r="L109" s="2" t="str">
        <f>IFERROR(__xludf.DUMMYFUNCTION("""COMPUTED_VALUE"""),"Bột cam")</f>
        <v>Bột cam</v>
      </c>
      <c r="M109" s="2" t="str">
        <f>IFERROR(__xludf.DUMMYFUNCTION("""COMPUTED_VALUE"""),"Túi/Gói")</f>
        <v>Túi/Gói</v>
      </c>
      <c r="N109" s="142">
        <f>IFERROR(__xludf.DUMMYFUNCTION("""COMPUTED_VALUE"""),100.0)</f>
        <v>100</v>
      </c>
      <c r="O109" s="142">
        <f>IFERROR(__xludf.DUMMYFUNCTION("""COMPUTED_VALUE"""),10.0)</f>
        <v>10</v>
      </c>
      <c r="P109" s="142">
        <f>IFERROR(__xludf.DUMMYFUNCTION("""COMPUTED_VALUE"""),1000.0)</f>
        <v>1000</v>
      </c>
      <c r="Q109" s="143">
        <f>IFERROR(__xludf.DUMMYFUNCTION("""COMPUTED_VALUE"""),46178.0)</f>
        <v>46178</v>
      </c>
      <c r="R109" s="2"/>
      <c r="S109" s="142" t="str">
        <f>IFERROR(__xludf.DUMMYFUNCTION("""COMPUTED_VALUE"""),"lấy chẳn thùng")</f>
        <v>lấy chẳn thùng</v>
      </c>
      <c r="T109" s="2"/>
      <c r="U109" s="2"/>
      <c r="V109" s="2"/>
      <c r="W109" s="2" t="str">
        <f>IFERROR(__xludf.DUMMYFUNCTION("""COMPUTED_VALUE"""),"VIỆT AN - Giá bán 24.200,00 đ - Ngày dự kiến thu tiền:  - Dự kiến ngày ra hết hàng: ")</f>
        <v>VIỆT AN - Giá bán 24.200,00 đ - Ngày dự kiến thu tiền:  - Dự kiến ngày ra hết hàng: </v>
      </c>
      <c r="X109" s="2"/>
      <c r="Y109" s="2" t="str">
        <f>IFERROR(__xludf.DUMMYFUNCTION("""COMPUTED_VALUE"""),"Yamato")</f>
        <v>Yamato</v>
      </c>
      <c r="Z109" s="2" t="str">
        <f>IFERROR(__xludf.DUMMYFUNCTION("""COMPUTED_VALUE"""),"Đã có lịch SX")</f>
        <v>Đã có lịch SX</v>
      </c>
      <c r="AA109" s="2"/>
      <c r="AB109" s="2" t="str">
        <f>IFERROR(__xludf.DUMMYFUNCTION("""COMPUTED_VALUE"""),"27/05 chưa duyệt PL
30/05 đã gửi đơn- đợi YMT ghép đơn")</f>
        <v>27/05 chưa duyệt PL
30/05 đã gửi đơn- đợi YMT ghép đơn</v>
      </c>
      <c r="AC109" s="146">
        <f>IFERROR(__xludf.DUMMYFUNCTION("""COMPUTED_VALUE"""),1000.0)</f>
        <v>1000</v>
      </c>
      <c r="AD109" s="2"/>
      <c r="AE109" s="143">
        <f>IFERROR(__xludf.DUMMYFUNCTION("""COMPUTED_VALUE"""),46179.0)</f>
        <v>46179</v>
      </c>
      <c r="AF109" s="146" t="str">
        <f>IFERROR(__xludf.DUMMYFUNCTION("""COMPUTED_VALUE"""),"")</f>
        <v/>
      </c>
      <c r="AG109" s="2"/>
      <c r="AH109" s="2"/>
      <c r="AI109" s="2"/>
      <c r="AJ109" s="2"/>
      <c r="AK109" s="2"/>
      <c r="AL109" s="2"/>
      <c r="AM109" s="2"/>
      <c r="AN109" s="2"/>
      <c r="AO109" s="2"/>
      <c r="AP109" s="2"/>
      <c r="AQ109" s="2"/>
      <c r="AR109" s="2"/>
      <c r="AS109" s="2"/>
      <c r="AT109" s="2"/>
      <c r="AU109" s="2"/>
      <c r="AV109" s="2"/>
      <c r="AW109" s="2"/>
      <c r="AX109" s="2"/>
      <c r="AY109" s="2"/>
      <c r="AZ109" s="2"/>
      <c r="BA109" s="2" t="str">
        <f>IFERROR(__xludf.DUMMYFUNCTION("""COMPUTED_VALUE"""),"Đủ điều kiện")</f>
        <v>Đủ điều kiện</v>
      </c>
      <c r="BB109" s="2" t="str">
        <f>IFERROR(__xludf.DUMMYFUNCTION("""COMPUTED_VALUE"""),"Duyệt")</f>
        <v>Duyệt</v>
      </c>
      <c r="BC109" s="143">
        <f>IFERROR(__xludf.DUMMYFUNCTION("""COMPUTED_VALUE"""),46168.0)</f>
        <v>46168</v>
      </c>
      <c r="BD109" s="2" t="str">
        <f>IFERROR(__xludf.DUMMYFUNCTION("""COMPUTED_VALUE"""),"Duyệt")</f>
        <v>Duyệt</v>
      </c>
      <c r="BE109" s="143">
        <f>IFERROR(__xludf.DUMMYFUNCTION("""COMPUTED_VALUE"""),46170.0)</f>
        <v>46170</v>
      </c>
      <c r="BF109" s="2" t="str">
        <f>IFERROR(__xludf.DUMMYFUNCTION("""COMPUTED_VALUE"""),"Đã xử lí giá")</f>
        <v>Đã xử lí giá</v>
      </c>
      <c r="BG109" s="2" t="str">
        <f>IFERROR(__xludf.DUMMYFUNCTION("""COMPUTED_VALUE"""),"Dòng V1 Bột cam 24,200đ 26/5/2026
Đang hỏi lại giá ncc ")</f>
        <v>Dòng V1 Bột cam 24,200đ 26/5/2026
Đang hỏi lại giá ncc </v>
      </c>
      <c r="BH109" s="2"/>
      <c r="BI109" s="2"/>
      <c r="BJ109" s="2"/>
      <c r="BK109" s="2"/>
      <c r="BL109" s="2"/>
      <c r="BM109" s="2"/>
      <c r="BN109" s="2"/>
      <c r="BO109" s="2"/>
      <c r="BP109" s="2"/>
      <c r="BQ109" s="2"/>
    </row>
    <row r="110">
      <c r="A110" s="2">
        <f>IFERROR(__xludf.DUMMYFUNCTION("""COMPUTED_VALUE"""),107.0)</f>
        <v>107</v>
      </c>
      <c r="B110" s="2" t="str">
        <f>IFERROR(__xludf.DUMMYFUNCTION("""COMPUTED_VALUE"""),"Yamato")</f>
        <v>Yamato</v>
      </c>
      <c r="C110" s="2" t="str">
        <f>IFERROR(__xludf.DUMMYFUNCTION("""COMPUTED_VALUE"""),"ATP26052606")</f>
        <v>ATP26052606</v>
      </c>
      <c r="D110" s="39">
        <f>IFERROR(__xludf.DUMMYFUNCTION("""COMPUTED_VALUE"""),46168.0)</f>
        <v>46168</v>
      </c>
      <c r="E110" s="2" t="str">
        <f>IFERROR(__xludf.DUMMYFUNCTION("""COMPUTED_VALUE"""),"Đã duyệt")</f>
        <v>Đã duyệt</v>
      </c>
      <c r="F110" s="2" t="str">
        <f>IFERROR(__xludf.DUMMYFUNCTION("""COMPUTED_VALUE"""),"ABA")</f>
        <v>ABA</v>
      </c>
      <c r="G110" s="2" t="str">
        <f>IFERROR(__xludf.DUMMYFUNCTION("""COMPUTED_VALUE"""),"HH4528")</f>
        <v>HH4528</v>
      </c>
      <c r="H110" s="2" t="str">
        <f>IFERROR(__xludf.DUMMYFUNCTION("""COMPUTED_VALUE"""),"GC - V - 4528 - ĐL Kim Khoa - Mancozeb xanh (bột xanh) - 1kg - 20")</f>
        <v>GC - V - 4528 - ĐL Kim Khoa - Mancozeb xanh (bột xanh) - 1kg - 20</v>
      </c>
      <c r="I110" s="2" t="str">
        <f>IFERROR(__xludf.DUMMYFUNCTION("""COMPUTED_VALUE"""),"Thuốc trừ bệnh")</f>
        <v>Thuốc trừ bệnh</v>
      </c>
      <c r="J110" s="142" t="str">
        <f>IFERROR(__xludf.DUMMYFUNCTION("""COMPUTED_VALUE"""),"MANCOBGO 80WP")</f>
        <v>MANCOBGO 80WP</v>
      </c>
      <c r="K110" s="2" t="str">
        <f>IFERROR(__xludf.DUMMYFUNCTION("""COMPUTED_VALUE"""),"Dòng V1")</f>
        <v>Dòng V1</v>
      </c>
      <c r="L110" s="2" t="str">
        <f>IFERROR(__xludf.DUMMYFUNCTION("""COMPUTED_VALUE"""),"Bột xanh")</f>
        <v>Bột xanh</v>
      </c>
      <c r="M110" s="2" t="str">
        <f>IFERROR(__xludf.DUMMYFUNCTION("""COMPUTED_VALUE"""),"Túi/Gói")</f>
        <v>Túi/Gói</v>
      </c>
      <c r="N110" s="142">
        <f>IFERROR(__xludf.DUMMYFUNCTION("""COMPUTED_VALUE"""),20.0)</f>
        <v>20</v>
      </c>
      <c r="O110" s="142">
        <f>IFERROR(__xludf.DUMMYFUNCTION("""COMPUTED_VALUE"""),20.0)</f>
        <v>20</v>
      </c>
      <c r="P110" s="142">
        <f>IFERROR(__xludf.DUMMYFUNCTION("""COMPUTED_VALUE"""),400.0)</f>
        <v>400</v>
      </c>
      <c r="Q110" s="143">
        <f>IFERROR(__xludf.DUMMYFUNCTION("""COMPUTED_VALUE"""),46179.0)</f>
        <v>46179</v>
      </c>
      <c r="R110" s="2"/>
      <c r="S110" s="142" t="str">
        <f>IFERROR(__xludf.DUMMYFUNCTION("""COMPUTED_VALUE"""),"lấy chẳn thùng")</f>
        <v>lấy chẳn thùng</v>
      </c>
      <c r="T110" s="2"/>
      <c r="U110" s="2"/>
      <c r="V110" s="2"/>
      <c r="W110" s="2" t="str">
        <f>IFERROR(__xludf.DUMMYFUNCTION("""COMPUTED_VALUE"""),"KIM KHOA - Giá bán 125.000,00 đ - Ngày dự kiến thu tiền:  - Dự kiến ngày ra hết hàng: ")</f>
        <v>KIM KHOA - Giá bán 125.000,00 đ - Ngày dự kiến thu tiền:  - Dự kiến ngày ra hết hàng: </v>
      </c>
      <c r="X110" s="2"/>
      <c r="Y110" s="2" t="str">
        <f>IFERROR(__xludf.DUMMYFUNCTION("""COMPUTED_VALUE"""),"Yamato")</f>
        <v>Yamato</v>
      </c>
      <c r="Z110" s="2" t="str">
        <f>IFERROR(__xludf.DUMMYFUNCTION("""COMPUTED_VALUE"""),"Đã có lịch SX")</f>
        <v>Đã có lịch SX</v>
      </c>
      <c r="AA110" s="2"/>
      <c r="AB110" s="2" t="str">
        <f>IFERROR(__xludf.DUMMYFUNCTION("""COMPUTED_VALUE"""),"27/05 chưa duyệt PL
30/05 đơn dưới 500kg- đợi ghép")</f>
        <v>27/05 chưa duyệt PL
30/05 đơn dưới 500kg- đợi ghép</v>
      </c>
      <c r="AC110" s="146">
        <f>IFERROR(__xludf.DUMMYFUNCTION("""COMPUTED_VALUE"""),400.0)</f>
        <v>400</v>
      </c>
      <c r="AD110" s="2"/>
      <c r="AE110" s="143">
        <f>IFERROR(__xludf.DUMMYFUNCTION("""COMPUTED_VALUE"""),46179.0)</f>
        <v>46179</v>
      </c>
      <c r="AF110" s="146" t="str">
        <f>IFERROR(__xludf.DUMMYFUNCTION("""COMPUTED_VALUE"""),"")</f>
        <v/>
      </c>
      <c r="AG110" s="2"/>
      <c r="AH110" s="2"/>
      <c r="AI110" s="2"/>
      <c r="AJ110" s="2"/>
      <c r="AK110" s="2"/>
      <c r="AL110" s="2"/>
      <c r="AM110" s="2"/>
      <c r="AN110" s="2"/>
      <c r="AO110" s="2"/>
      <c r="AP110" s="2"/>
      <c r="AQ110" s="2"/>
      <c r="AR110" s="2"/>
      <c r="AS110" s="2"/>
      <c r="AT110" s="2"/>
      <c r="AU110" s="2"/>
      <c r="AV110" s="2"/>
      <c r="AW110" s="2"/>
      <c r="AX110" s="2"/>
      <c r="AY110" s="2"/>
      <c r="AZ110" s="2"/>
      <c r="BA110" s="2" t="str">
        <f>IFERROR(__xludf.DUMMYFUNCTION("""COMPUTED_VALUE"""),"Đủ điều kiện")</f>
        <v>Đủ điều kiện</v>
      </c>
      <c r="BB110" s="2" t="str">
        <f>IFERROR(__xludf.DUMMYFUNCTION("""COMPUTED_VALUE"""),"Duyệt")</f>
        <v>Duyệt</v>
      </c>
      <c r="BC110" s="143">
        <f>IFERROR(__xludf.DUMMYFUNCTION("""COMPUTED_VALUE"""),46168.0)</f>
        <v>46168</v>
      </c>
      <c r="BD110" s="2" t="str">
        <f>IFERROR(__xludf.DUMMYFUNCTION("""COMPUTED_VALUE"""),"Duyệt")</f>
        <v>Duyệt</v>
      </c>
      <c r="BE110" s="143">
        <f>IFERROR(__xludf.DUMMYFUNCTION("""COMPUTED_VALUE"""),46170.0)</f>
        <v>46170</v>
      </c>
      <c r="BF110" s="2" t="str">
        <f>IFERROR(__xludf.DUMMYFUNCTION("""COMPUTED_VALUE"""),"Đã xử lí giá")</f>
        <v>Đã xử lí giá</v>
      </c>
      <c r="BG110" s="2" t="str">
        <f>IFERROR(__xludf.DUMMYFUNCTION("""COMPUTED_VALUE"""),"Dòng V1 Bột xanh 125,000đ 26/5/2026")</f>
        <v>Dòng V1 Bột xanh 125,000đ 26/5/2026</v>
      </c>
      <c r="BH110" s="2"/>
      <c r="BI110" s="2"/>
      <c r="BJ110" s="2"/>
      <c r="BK110" s="2"/>
      <c r="BL110" s="2"/>
      <c r="BM110" s="2"/>
      <c r="BN110" s="2"/>
      <c r="BO110" s="2"/>
      <c r="BP110" s="2"/>
      <c r="BQ110" s="2"/>
    </row>
    <row r="111">
      <c r="A111" s="2">
        <f>IFERROR(__xludf.DUMMYFUNCTION("""COMPUTED_VALUE"""),108.0)</f>
        <v>108</v>
      </c>
      <c r="B111" s="2" t="str">
        <f>IFERROR(__xludf.DUMMYFUNCTION("""COMPUTED_VALUE"""),"Hà Long")</f>
        <v>Hà Long</v>
      </c>
      <c r="C111" s="2" t="str">
        <f>IFERROR(__xludf.DUMMYFUNCTION("""COMPUTED_VALUE"""),"ATP26052607")</f>
        <v>ATP26052607</v>
      </c>
      <c r="D111" s="39">
        <f>IFERROR(__xludf.DUMMYFUNCTION("""COMPUTED_VALUE"""),46168.0)</f>
        <v>46168</v>
      </c>
      <c r="E111" s="2" t="str">
        <f>IFERROR(__xludf.DUMMYFUNCTION("""COMPUTED_VALUE"""),"Đã duyệt")</f>
        <v>Đã duyệt</v>
      </c>
      <c r="F111" s="2" t="str">
        <f>IFERROR(__xludf.DUMMYFUNCTION("""COMPUTED_VALUE"""),"ABA")</f>
        <v>ABA</v>
      </c>
      <c r="G111" s="2" t="str">
        <f>IFERROR(__xludf.DUMMYFUNCTION("""COMPUTED_VALUE"""),"HH4117")</f>
        <v>HH4117</v>
      </c>
      <c r="H111" s="2" t="str">
        <f>IFERROR(__xludf.DUMMYFUNCTION("""COMPUTED_VALUE"""),"GC - V - 4117 - Cty NTT - 3.6 THAI (Nước nâu đen) - 900ml - 20")</f>
        <v>GC - V - 4117 - Cty NTT - 3.6 THAI (Nước nâu đen) - 900ml - 20</v>
      </c>
      <c r="I111" s="2" t="str">
        <f>IFERROR(__xludf.DUMMYFUNCTION("""COMPUTED_VALUE"""),"Thuốc trừ sâu")</f>
        <v>Thuốc trừ sâu</v>
      </c>
      <c r="J111" s="142" t="str">
        <f>IFERROR(__xludf.DUMMYFUNCTION("""COMPUTED_VALUE"""),"HAIHAMEC 3.6EC")</f>
        <v>HAIHAMEC 3.6EC</v>
      </c>
      <c r="K111" s="2" t="str">
        <f>IFERROR(__xludf.DUMMYFUNCTION("""COMPUTED_VALUE"""),"Dòng V1")</f>
        <v>Dòng V1</v>
      </c>
      <c r="L111" s="2" t="str">
        <f>IFERROR(__xludf.DUMMYFUNCTION("""COMPUTED_VALUE"""),"Nước nâu đen")</f>
        <v>Nước nâu đen</v>
      </c>
      <c r="M111" s="2" t="str">
        <f>IFERROR(__xludf.DUMMYFUNCTION("""COMPUTED_VALUE"""),"Chai")</f>
        <v>Chai</v>
      </c>
      <c r="N111" s="142">
        <f>IFERROR(__xludf.DUMMYFUNCTION("""COMPUTED_VALUE"""),20.0)</f>
        <v>20</v>
      </c>
      <c r="O111" s="142">
        <f>IFERROR(__xludf.DUMMYFUNCTION("""COMPUTED_VALUE"""),10.0)</f>
        <v>10</v>
      </c>
      <c r="P111" s="142">
        <f>IFERROR(__xludf.DUMMYFUNCTION("""COMPUTED_VALUE"""),200.0)</f>
        <v>200</v>
      </c>
      <c r="Q111" s="143">
        <f>IFERROR(__xludf.DUMMYFUNCTION("""COMPUTED_VALUE"""),46179.0)</f>
        <v>46179</v>
      </c>
      <c r="R111" s="2"/>
      <c r="S111" s="142" t="str">
        <f>IFERROR(__xludf.DUMMYFUNCTION("""COMPUTED_VALUE"""),"lấy chẳn thùng")</f>
        <v>lấy chẳn thùng</v>
      </c>
      <c r="T111" s="2"/>
      <c r="U111" s="2"/>
      <c r="V111" s="2"/>
      <c r="W111" s="2" t="str">
        <f>IFERROR(__xludf.DUMMYFUNCTION("""COMPUTED_VALUE"""),"NTT - Giá bán 85.700,00 đ - Ngày dự kiến thu tiền:  - Dự kiến ngày ra hết hàng: ")</f>
        <v>NTT - Giá bán 85.700,00 đ - Ngày dự kiến thu tiền:  - Dự kiến ngày ra hết hàng: </v>
      </c>
      <c r="X111" s="2"/>
      <c r="Y111" s="2" t="str">
        <f>IFERROR(__xludf.DUMMYFUNCTION("""COMPUTED_VALUE"""),"Hà Long")</f>
        <v>Hà Long</v>
      </c>
      <c r="Z111" s="2" t="str">
        <f>IFERROR(__xludf.DUMMYFUNCTION("""COMPUTED_VALUE"""),"Hoàn thành")</f>
        <v>Hoàn thành</v>
      </c>
      <c r="AA111" s="39">
        <f>IFERROR(__xludf.DUMMYFUNCTION("""COMPUTED_VALUE"""),46169.0)</f>
        <v>46169</v>
      </c>
      <c r="AB111" s="2"/>
      <c r="AC111" s="146">
        <f>IFERROR(__xludf.DUMMYFUNCTION("""COMPUTED_VALUE"""),200.0)</f>
        <v>200</v>
      </c>
      <c r="AD111" s="2"/>
      <c r="AE111" s="143">
        <f>IFERROR(__xludf.DUMMYFUNCTION("""COMPUTED_VALUE"""),46174.0)</f>
        <v>46174</v>
      </c>
      <c r="AF111" s="146" t="str">
        <f>IFERROR(__xludf.DUMMYFUNCTION("""COMPUTED_VALUE"""),"Đủ điều kiện nhận hàng")</f>
        <v>Đủ điều kiện nhận hàng</v>
      </c>
      <c r="AG111" s="143">
        <f>IFERROR(__xludf.DUMMYFUNCTION("""COMPUTED_VALUE"""),46174.0)</f>
        <v>46174</v>
      </c>
      <c r="AH111" s="146" t="str">
        <f>IFERROR(__xludf.DUMMYFUNCTION("""COMPUTED_VALUE"""),"201")</f>
        <v>201</v>
      </c>
      <c r="AI111" s="2"/>
      <c r="AJ111" s="2"/>
      <c r="AK111" s="2"/>
      <c r="AL111" s="2"/>
      <c r="AM111" s="146" t="str">
        <f>IFERROR(__xludf.DUMMYFUNCTION("""COMPUTED_VALUE"""),"201")</f>
        <v>201</v>
      </c>
      <c r="AN111" s="2"/>
      <c r="AO111" s="2"/>
      <c r="AP111" s="2"/>
      <c r="AQ111" s="2"/>
      <c r="AR111" s="2"/>
      <c r="AS111" s="2"/>
      <c r="AT111" s="2"/>
      <c r="AU111" s="2"/>
      <c r="AV111" s="2"/>
      <c r="AW111" s="2"/>
      <c r="AX111" s="2"/>
      <c r="AY111" s="2"/>
      <c r="AZ111" s="2"/>
      <c r="BA111" s="2" t="str">
        <f>IFERROR(__xludf.DUMMYFUNCTION("""COMPUTED_VALUE"""),"Đủ điều kiện")</f>
        <v>Đủ điều kiện</v>
      </c>
      <c r="BB111" s="2" t="str">
        <f>IFERROR(__xludf.DUMMYFUNCTION("""COMPUTED_VALUE"""),"Duyệt")</f>
        <v>Duyệt</v>
      </c>
      <c r="BC111" s="143">
        <f>IFERROR(__xludf.DUMMYFUNCTION("""COMPUTED_VALUE"""),46168.0)</f>
        <v>46168</v>
      </c>
      <c r="BD111" s="2" t="str">
        <f>IFERROR(__xludf.DUMMYFUNCTION("""COMPUTED_VALUE"""),"Duyệt")</f>
        <v>Duyệt</v>
      </c>
      <c r="BE111" s="143">
        <f>IFERROR(__xludf.DUMMYFUNCTION("""COMPUTED_VALUE"""),46171.0)</f>
        <v>46171</v>
      </c>
      <c r="BF111" s="2" t="str">
        <f>IFERROR(__xludf.DUMMYFUNCTION("""COMPUTED_VALUE"""),"Đã xử lí giá")</f>
        <v>Đã xử lí giá</v>
      </c>
      <c r="BG111" s="2" t="str">
        <f>IFERROR(__xludf.DUMMYFUNCTION("""COMPUTED_VALUE"""),"Dòng V1 Nước nâu đen 85,700đ 26/5/2026")</f>
        <v>Dòng V1 Nước nâu đen 85,700đ 26/5/2026</v>
      </c>
      <c r="BH111" s="2"/>
      <c r="BI111" s="2"/>
      <c r="BJ111" s="2"/>
      <c r="BK111" s="2"/>
      <c r="BL111" s="2"/>
      <c r="BM111" s="2"/>
      <c r="BN111" s="2"/>
      <c r="BO111" s="2"/>
      <c r="BP111" s="2"/>
      <c r="BQ111" s="2"/>
    </row>
    <row r="112">
      <c r="A112" s="2">
        <f>IFERROR(__xludf.DUMMYFUNCTION("""COMPUTED_VALUE"""),109.0)</f>
        <v>109</v>
      </c>
      <c r="B112" s="2" t="str">
        <f>IFERROR(__xludf.DUMMYFUNCTION("""COMPUTED_VALUE"""),"Yamato")</f>
        <v>Yamato</v>
      </c>
      <c r="C112" s="2" t="str">
        <f>IFERROR(__xludf.DUMMYFUNCTION("""COMPUTED_VALUE"""),"ATP26052609")</f>
        <v>ATP26052609</v>
      </c>
      <c r="D112" s="39">
        <f>IFERROR(__xludf.DUMMYFUNCTION("""COMPUTED_VALUE"""),46168.0)</f>
        <v>46168</v>
      </c>
      <c r="E112" s="2" t="str">
        <f>IFERROR(__xludf.DUMMYFUNCTION("""COMPUTED_VALUE"""),"Đã duyệt")</f>
        <v>Đã duyệt</v>
      </c>
      <c r="F112" s="2" t="str">
        <f>IFERROR(__xludf.DUMMYFUNCTION("""COMPUTED_VALUE"""),"ABA")</f>
        <v>ABA</v>
      </c>
      <c r="G112" s="2" t="str">
        <f>IFERROR(__xludf.DUMMYFUNCTION("""COMPUTED_VALUE"""),"HH4689")</f>
        <v>HH4689</v>
      </c>
      <c r="H112" s="2" t="str">
        <f>IFERROR(__xludf.DUMMYFUNCTION("""COMPUTED_VALUE"""),"GC - V - 4689 - CTY DRAGON AGROCHEM - CHESSIN 600WP (Bột trắng ngà) - 80gr - 100")</f>
        <v>GC - V - 4689 - CTY DRAGON AGROCHEM - CHESSIN 600WP (Bột trắng ngà) - 80gr - 100</v>
      </c>
      <c r="I112" s="2" t="str">
        <f>IFERROR(__xludf.DUMMYFUNCTION("""COMPUTED_VALUE"""),"Thuốc trừ sâu")</f>
        <v>Thuốc trừ sâu</v>
      </c>
      <c r="J112" s="142" t="str">
        <f>IFERROR(__xludf.DUMMYFUNCTION("""COMPUTED_VALUE"""),"CHESSIN 600WP")</f>
        <v>CHESSIN 600WP</v>
      </c>
      <c r="K112" s="2" t="str">
        <f>IFERROR(__xludf.DUMMYFUNCTION("""COMPUTED_VALUE"""),"Dòng V1")</f>
        <v>Dòng V1</v>
      </c>
      <c r="L112" s="2" t="str">
        <f>IFERROR(__xludf.DUMMYFUNCTION("""COMPUTED_VALUE"""),"Bột trắng ngà")</f>
        <v>Bột trắng ngà</v>
      </c>
      <c r="M112" s="2" t="str">
        <f>IFERROR(__xludf.DUMMYFUNCTION("""COMPUTED_VALUE"""),"Túi/Gói")</f>
        <v>Túi/Gói</v>
      </c>
      <c r="N112" s="142">
        <f>IFERROR(__xludf.DUMMYFUNCTION("""COMPUTED_VALUE"""),100.0)</f>
        <v>100</v>
      </c>
      <c r="O112" s="142">
        <f>IFERROR(__xludf.DUMMYFUNCTION("""COMPUTED_VALUE"""),15.0)</f>
        <v>15</v>
      </c>
      <c r="P112" s="142">
        <f>IFERROR(__xludf.DUMMYFUNCTION("""COMPUTED_VALUE"""),1500.0)</f>
        <v>1500</v>
      </c>
      <c r="Q112" s="143">
        <f>IFERROR(__xludf.DUMMYFUNCTION("""COMPUTED_VALUE"""),46181.0)</f>
        <v>46181</v>
      </c>
      <c r="R112" s="2"/>
      <c r="S112" s="142" t="str">
        <f>IFERROR(__xludf.DUMMYFUNCTION("""COMPUTED_VALUE"""),"lấy chẳn thùng")</f>
        <v>lấy chẳn thùng</v>
      </c>
      <c r="T112" s="2"/>
      <c r="U112" s="2"/>
      <c r="V112" s="2"/>
      <c r="W112" s="2" t="str">
        <f>IFERROR(__xludf.DUMMYFUNCTION("""COMPUTED_VALUE"""),"DRAGON - Giá bán 32000 - Ngày dự kiến thu tiền:  - Dự kiến ngày ra hết hàng: ")</f>
        <v>DRAGON - Giá bán 32000 - Ngày dự kiến thu tiền:  - Dự kiến ngày ra hết hàng: </v>
      </c>
      <c r="X112" s="2"/>
      <c r="Y112" s="2" t="str">
        <f>IFERROR(__xludf.DUMMYFUNCTION("""COMPUTED_VALUE"""),"Yamato")</f>
        <v>Yamato</v>
      </c>
      <c r="Z112" s="2" t="str">
        <f>IFERROR(__xludf.DUMMYFUNCTION("""COMPUTED_VALUE"""),"Chưa có lịch SX")</f>
        <v>Chưa có lịch SX</v>
      </c>
      <c r="AA112" s="2"/>
      <c r="AB112" s="2" t="str">
        <f>IFERROR(__xludf.DUMMYFUNCTION("""COMPUTED_VALUE"""),"27/05 chưa duyệt PL
30/05 Thiếu túi KH 2/6
30/05 đơn dưới 500kg- đợi ghép")</f>
        <v>27/05 chưa duyệt PL
30/05 Thiếu túi KH 2/6
30/05 đơn dưới 500kg- đợi ghép</v>
      </c>
      <c r="AC112" s="146">
        <f>IFERROR(__xludf.DUMMYFUNCTION("""COMPUTED_VALUE"""),1500.0)</f>
        <v>1500</v>
      </c>
      <c r="AD112" s="2"/>
      <c r="AE112" s="143">
        <f>IFERROR(__xludf.DUMMYFUNCTION("""COMPUTED_VALUE"""),46183.0)</f>
        <v>46183</v>
      </c>
      <c r="AF112" s="146" t="str">
        <f>IFERROR(__xludf.DUMMYFUNCTION("""COMPUTED_VALUE"""),"")</f>
        <v/>
      </c>
      <c r="AG112" s="2"/>
      <c r="AH112" s="2"/>
      <c r="AI112" s="2"/>
      <c r="AJ112" s="2"/>
      <c r="AK112" s="2"/>
      <c r="AL112" s="2"/>
      <c r="AM112" s="2"/>
      <c r="AN112" s="2"/>
      <c r="AO112" s="2"/>
      <c r="AP112" s="2"/>
      <c r="AQ112" s="2"/>
      <c r="AR112" s="2"/>
      <c r="AS112" s="2"/>
      <c r="AT112" s="2"/>
      <c r="AU112" s="2"/>
      <c r="AV112" s="2"/>
      <c r="AW112" s="2"/>
      <c r="AX112" s="2"/>
      <c r="AY112" s="2"/>
      <c r="AZ112" s="2"/>
      <c r="BA112" s="2" t="str">
        <f>IFERROR(__xludf.DUMMYFUNCTION("""COMPUTED_VALUE"""),"Đủ điều kiện")</f>
        <v>Đủ điều kiện</v>
      </c>
      <c r="BB112" s="2" t="str">
        <f>IFERROR(__xludf.DUMMYFUNCTION("""COMPUTED_VALUE"""),"Duyệt")</f>
        <v>Duyệt</v>
      </c>
      <c r="BC112" s="143">
        <f>IFERROR(__xludf.DUMMYFUNCTION("""COMPUTED_VALUE"""),46168.0)</f>
        <v>46168</v>
      </c>
      <c r="BD112" s="2" t="str">
        <f>IFERROR(__xludf.DUMMYFUNCTION("""COMPUTED_VALUE"""),"Duyệt")</f>
        <v>Duyệt</v>
      </c>
      <c r="BE112" s="143">
        <f>IFERROR(__xludf.DUMMYFUNCTION("""COMPUTED_VALUE"""),46170.0)</f>
        <v>46170</v>
      </c>
      <c r="BF112" s="2" t="str">
        <f>IFERROR(__xludf.DUMMYFUNCTION("""COMPUTED_VALUE"""),"Đã xử lí giá")</f>
        <v>Đã xử lí giá</v>
      </c>
      <c r="BG112" s="2" t="str">
        <f>IFERROR(__xludf.DUMMYFUNCTION("""COMPUTED_VALUE"""),"Dòng V1 Bột trắng ngà 32,000đ 27/5/2026")</f>
        <v>Dòng V1 Bột trắng ngà 32,000đ 27/5/2026</v>
      </c>
      <c r="BH112" s="2"/>
      <c r="BI112" s="2"/>
      <c r="BJ112" s="2"/>
      <c r="BK112" s="2"/>
      <c r="BL112" s="2"/>
      <c r="BM112" s="2"/>
      <c r="BN112" s="2"/>
      <c r="BO112" s="2"/>
      <c r="BP112" s="2"/>
      <c r="BQ112" s="2"/>
    </row>
    <row r="113">
      <c r="A113" s="2">
        <f>IFERROR(__xludf.DUMMYFUNCTION("""COMPUTED_VALUE"""),110.0)</f>
        <v>110</v>
      </c>
      <c r="B113" s="2" t="str">
        <f>IFERROR(__xludf.DUMMYFUNCTION("""COMPUTED_VALUE"""),"ATC")</f>
        <v>ATC</v>
      </c>
      <c r="C113" s="2" t="str">
        <f>IFERROR(__xludf.DUMMYFUNCTION("""COMPUTED_VALUE"""),"ATP27052603")</f>
        <v>ATP27052603</v>
      </c>
      <c r="D113" s="39">
        <f>IFERROR(__xludf.DUMMYFUNCTION("""COMPUTED_VALUE"""),46169.0)</f>
        <v>46169</v>
      </c>
      <c r="E113" s="2" t="str">
        <f>IFERROR(__xludf.DUMMYFUNCTION("""COMPUTED_VALUE"""),"Đã duyệt")</f>
        <v>Đã duyệt</v>
      </c>
      <c r="F113" s="2" t="str">
        <f>IFERROR(__xludf.DUMMYFUNCTION("""COMPUTED_VALUE"""),"ABA")</f>
        <v>ABA</v>
      </c>
      <c r="G113" s="2" t="str">
        <f>IFERROR(__xludf.DUMMYFUNCTION("""COMPUTED_VALUE"""),"HH5018")</f>
        <v>HH5018</v>
      </c>
      <c r="H113" s="2" t="str">
        <f>IFERROR(__xludf.DUMMYFUNCTION("""COMPUTED_VALUE"""),"GC - V - 5018 - CTY THẾ DANH (RIZE VIỆT NAM) - RP VI KHUẨN (Nước vàng) - 450ml - 30")</f>
        <v>GC - V - 5018 - CTY THẾ DANH (RIZE VIỆT NAM) - RP VI KHUẨN (Nước vàng) - 450ml - 30</v>
      </c>
      <c r="I113" s="2" t="str">
        <f>IFERROR(__xludf.DUMMYFUNCTION("""COMPUTED_VALUE"""),"Thuốc trừ bệnh")</f>
        <v>Thuốc trừ bệnh</v>
      </c>
      <c r="J113" s="142" t="str">
        <f>IFERROR(__xludf.DUMMYFUNCTION("""COMPUTED_VALUE"""),"Pyramos 40SL")</f>
        <v>Pyramos 40SL</v>
      </c>
      <c r="K113" s="2" t="str">
        <f>IFERROR(__xludf.DUMMYFUNCTION("""COMPUTED_VALUE"""),"Dòng V1")</f>
        <v>Dòng V1</v>
      </c>
      <c r="L113" s="2" t="str">
        <f>IFERROR(__xludf.DUMMYFUNCTION("""COMPUTED_VALUE"""),"Nước vàng")</f>
        <v>Nước vàng</v>
      </c>
      <c r="M113" s="2" t="str">
        <f>IFERROR(__xludf.DUMMYFUNCTION("""COMPUTED_VALUE"""),"Chai")</f>
        <v>Chai</v>
      </c>
      <c r="N113" s="142">
        <f>IFERROR(__xludf.DUMMYFUNCTION("""COMPUTED_VALUE"""),30.0)</f>
        <v>30</v>
      </c>
      <c r="O113" s="142">
        <f>IFERROR(__xludf.DUMMYFUNCTION("""COMPUTED_VALUE"""),40.0)</f>
        <v>40</v>
      </c>
      <c r="P113" s="142">
        <f>IFERROR(__xludf.DUMMYFUNCTION("""COMPUTED_VALUE"""),1200.0)</f>
        <v>1200</v>
      </c>
      <c r="Q113" s="143">
        <f>IFERROR(__xludf.DUMMYFUNCTION("""COMPUTED_VALUE"""),46179.0)</f>
        <v>46179</v>
      </c>
      <c r="R113" s="2"/>
      <c r="S113" s="142" t="str">
        <f>IFERROR(__xludf.DUMMYFUNCTION("""COMPUTED_VALUE"""),"lấy chẳn thùng")</f>
        <v>lấy chẳn thùng</v>
      </c>
      <c r="T113" s="2"/>
      <c r="U113" s="2"/>
      <c r="V113" s="2"/>
      <c r="W113" s="2" t="str">
        <f>IFERROR(__xludf.DUMMYFUNCTION("""COMPUTED_VALUE"""),"THẾ DANH - Giá bán 36500 - Ngày dự kiến thu tiền:  - Dự kiến ngày ra hết hàng: ")</f>
        <v>THẾ DANH - Giá bán 36500 - Ngày dự kiến thu tiền:  - Dự kiến ngày ra hết hàng: </v>
      </c>
      <c r="X113" s="2"/>
      <c r="Y113" s="2" t="str">
        <f>IFERROR(__xludf.DUMMYFUNCTION("""COMPUTED_VALUE"""),"ATC")</f>
        <v>ATC</v>
      </c>
      <c r="Z113" s="2" t="str">
        <f>IFERROR(__xludf.DUMMYFUNCTION("""COMPUTED_VALUE"""),"Chưa có lịch SX")</f>
        <v>Chưa có lịch SX</v>
      </c>
      <c r="AA113" s="2"/>
      <c r="AB113" s="2" t="str">
        <f>IFERROR(__xludf.DUMMYFUNCTION("""COMPUTED_VALUE"""),"chưa gửi đơn, do chưa duyệt pháp lý
đã gửi đơn 29/05
vật tư bên mình xuất qua ATC 100 thùng")</f>
        <v>chưa gửi đơn, do chưa duyệt pháp lý
đã gửi đơn 29/05
vật tư bên mình xuất qua ATC 100 thùng</v>
      </c>
      <c r="AC113" s="146">
        <f>IFERROR(__xludf.DUMMYFUNCTION("""COMPUTED_VALUE"""),1200.0)</f>
        <v>1200</v>
      </c>
      <c r="AD113" s="2"/>
      <c r="AE113" s="143" t="str">
        <f>IFERROR(__xludf.DUMMYFUNCTION("""COMPUTED_VALUE"""),"Chưa chốt lịch")</f>
        <v>Chưa chốt lịch</v>
      </c>
      <c r="AF113" s="146" t="str">
        <f>IFERROR(__xludf.DUMMYFUNCTION("""COMPUTED_VALUE"""),"")</f>
        <v/>
      </c>
      <c r="AG113" s="2"/>
      <c r="AH113" s="2"/>
      <c r="AI113" s="2"/>
      <c r="AJ113" s="2"/>
      <c r="AK113" s="2"/>
      <c r="AL113" s="2"/>
      <c r="AM113" s="2"/>
      <c r="AN113" s="2"/>
      <c r="AO113" s="2"/>
      <c r="AP113" s="2"/>
      <c r="AQ113" s="2"/>
      <c r="AR113" s="2"/>
      <c r="AS113" s="2"/>
      <c r="AT113" s="2"/>
      <c r="AU113" s="2"/>
      <c r="AV113" s="2"/>
      <c r="AW113" s="2"/>
      <c r="AX113" s="2"/>
      <c r="AY113" s="2"/>
      <c r="AZ113" s="2"/>
      <c r="BA113" s="2" t="str">
        <f>IFERROR(__xludf.DUMMYFUNCTION("""COMPUTED_VALUE"""),"Đủ điều kiện")</f>
        <v>Đủ điều kiện</v>
      </c>
      <c r="BB113" s="2" t="str">
        <f>IFERROR(__xludf.DUMMYFUNCTION("""COMPUTED_VALUE"""),"Duyệt")</f>
        <v>Duyệt</v>
      </c>
      <c r="BC113" s="148">
        <f>IFERROR(__xludf.DUMMYFUNCTION("""COMPUTED_VALUE"""),46171.0)</f>
        <v>46171</v>
      </c>
      <c r="BD113" s="2" t="str">
        <f>IFERROR(__xludf.DUMMYFUNCTION("""COMPUTED_VALUE"""),"Duyệt")</f>
        <v>Duyệt</v>
      </c>
      <c r="BE113" s="2" t="str">
        <f>IFERROR(__xludf.DUMMYFUNCTION("""COMPUTED_VALUE"""),"xlg 28/05
29/05")</f>
        <v>xlg 28/05
29/05</v>
      </c>
      <c r="BF113" s="2" t="str">
        <f>IFERROR(__xludf.DUMMYFUNCTION("""COMPUTED_VALUE"""),"Đã xử lí giá")</f>
        <v>Đã xử lí giá</v>
      </c>
      <c r="BG113" s="2" t="str">
        <f>IFERROR(__xludf.DUMMYFUNCTION("""COMPUTED_VALUE"""),"Dòng V1 Nước vàng 36,500đ 28/5/2026")</f>
        <v>Dòng V1 Nước vàng 36,500đ 28/5/2026</v>
      </c>
      <c r="BH113" s="2"/>
      <c r="BI113" s="2"/>
      <c r="BJ113" s="2"/>
      <c r="BK113" s="2"/>
      <c r="BL113" s="2"/>
      <c r="BM113" s="2"/>
      <c r="BN113" s="2"/>
      <c r="BO113" s="2"/>
      <c r="BP113" s="2"/>
      <c r="BQ113" s="2"/>
    </row>
    <row r="114">
      <c r="A114" s="2">
        <f>IFERROR(__xludf.DUMMYFUNCTION("""COMPUTED_VALUE"""),111.0)</f>
        <v>111</v>
      </c>
      <c r="B114" s="2" t="str">
        <f>IFERROR(__xludf.DUMMYFUNCTION("""COMPUTED_VALUE"""),"Hà Long")</f>
        <v>Hà Long</v>
      </c>
      <c r="C114" s="2" t="str">
        <f>IFERROR(__xludf.DUMMYFUNCTION("""COMPUTED_VALUE"""),"ATP28052601")</f>
        <v>ATP28052601</v>
      </c>
      <c r="D114" s="39">
        <f>IFERROR(__xludf.DUMMYFUNCTION("""COMPUTED_VALUE"""),46170.0)</f>
        <v>46170</v>
      </c>
      <c r="E114" s="2" t="str">
        <f>IFERROR(__xludf.DUMMYFUNCTION("""COMPUTED_VALUE"""),"Đã duyệt")</f>
        <v>Đã duyệt</v>
      </c>
      <c r="F114" s="2" t="str">
        <f>IFERROR(__xludf.DUMMYFUNCTION("""COMPUTED_VALUE"""),"ABA")</f>
        <v>ABA</v>
      </c>
      <c r="G114" s="2" t="str">
        <f>IFERROR(__xludf.DUMMYFUNCTION("""COMPUTED_VALUE"""),"HH4600")</f>
        <v>HH4600</v>
      </c>
      <c r="H114" s="2" t="str">
        <f>IFERROR(__xludf.DUMMYFUNCTION("""COMPUTED_VALUE"""),"GC - V - 4600 - CTY NÔNG HÓA XANH - CARE PRO (Bột vàng) - 1kg - 20")</f>
        <v>GC - V - 4600 - CTY NÔNG HÓA XANH - CARE PRO (Bột vàng) - 1kg - 20</v>
      </c>
      <c r="I114" s="2" t="str">
        <f>IFERROR(__xludf.DUMMYFUNCTION("""COMPUTED_VALUE"""),"Thuốc trừ bệnh")</f>
        <v>Thuốc trừ bệnh</v>
      </c>
      <c r="J114" s="142" t="str">
        <f>IFERROR(__xludf.DUMMYFUNCTION("""COMPUTED_VALUE"""),"FORTAZEB 72WP")</f>
        <v>FORTAZEB 72WP</v>
      </c>
      <c r="K114" s="2" t="str">
        <f>IFERROR(__xludf.DUMMYFUNCTION("""COMPUTED_VALUE"""),"Dòng V1")</f>
        <v>Dòng V1</v>
      </c>
      <c r="L114" s="2" t="str">
        <f>IFERROR(__xludf.DUMMYFUNCTION("""COMPUTED_VALUE"""),"Bột vàng")</f>
        <v>Bột vàng</v>
      </c>
      <c r="M114" s="2" t="str">
        <f>IFERROR(__xludf.DUMMYFUNCTION("""COMPUTED_VALUE"""),"Túi/Gói")</f>
        <v>Túi/Gói</v>
      </c>
      <c r="N114" s="142">
        <f>IFERROR(__xludf.DUMMYFUNCTION("""COMPUTED_VALUE"""),20.0)</f>
        <v>20</v>
      </c>
      <c r="O114" s="142">
        <f>IFERROR(__xludf.DUMMYFUNCTION("""COMPUTED_VALUE"""),30.0)</f>
        <v>30</v>
      </c>
      <c r="P114" s="142">
        <f>IFERROR(__xludf.DUMMYFUNCTION("""COMPUTED_VALUE"""),600.0)</f>
        <v>600</v>
      </c>
      <c r="Q114" s="143">
        <f>IFERROR(__xludf.DUMMYFUNCTION("""COMPUTED_VALUE"""),46181.0)</f>
        <v>46181</v>
      </c>
      <c r="R114" s="2"/>
      <c r="S114" s="142" t="str">
        <f>IFERROR(__xludf.DUMMYFUNCTION("""COMPUTED_VALUE"""),"lấy chẳn thùng")</f>
        <v>lấy chẳn thùng</v>
      </c>
      <c r="T114" s="2"/>
      <c r="U114" s="2"/>
      <c r="V114" s="2"/>
      <c r="W114" s="2" t="str">
        <f>IFERROR(__xludf.DUMMYFUNCTION("""COMPUTED_VALUE"""),"Nông hóa xanh - Giá bán 147000 - Ngày dự kiến thu tiền:  - Dự kiến ngày ra hết hàng: ")</f>
        <v>Nông hóa xanh - Giá bán 147000 - Ngày dự kiến thu tiền:  - Dự kiến ngày ra hết hàng: </v>
      </c>
      <c r="X114" s="2"/>
      <c r="Y114" s="2" t="str">
        <f>IFERROR(__xludf.DUMMYFUNCTION("""COMPUTED_VALUE"""),"Hà Long")</f>
        <v>Hà Long</v>
      </c>
      <c r="Z114" s="2" t="str">
        <f>IFERROR(__xludf.DUMMYFUNCTION("""COMPUTED_VALUE"""),"Đã có lịch SX")</f>
        <v>Đã có lịch SX</v>
      </c>
      <c r="AA114" s="39">
        <f>IFERROR(__xludf.DUMMYFUNCTION("""COMPUTED_VALUE"""),46174.0)</f>
        <v>46174</v>
      </c>
      <c r="AB114" s="2" t="str">
        <f>IFERROR(__xludf.DUMMYFUNCTION("""COMPUTED_VALUE"""),"29/05 HL chưa đủ BTP")</f>
        <v>29/05 HL chưa đủ BTP</v>
      </c>
      <c r="AC114" s="146">
        <f>IFERROR(__xludf.DUMMYFUNCTION("""COMPUTED_VALUE"""),600.0)</f>
        <v>600</v>
      </c>
      <c r="AD114" s="2"/>
      <c r="AE114" s="143">
        <f>IFERROR(__xludf.DUMMYFUNCTION("""COMPUTED_VALUE"""),46190.0)</f>
        <v>46190</v>
      </c>
      <c r="AF114" s="146" t="str">
        <f>IFERROR(__xludf.DUMMYFUNCTION("""COMPUTED_VALUE"""),"")</f>
        <v/>
      </c>
      <c r="AG114" s="2"/>
      <c r="AH114" s="2"/>
      <c r="AI114" s="2"/>
      <c r="AJ114" s="2"/>
      <c r="AK114" s="2"/>
      <c r="AL114" s="2"/>
      <c r="AM114" s="2"/>
      <c r="AN114" s="2"/>
      <c r="AO114" s="2"/>
      <c r="AP114" s="2"/>
      <c r="AQ114" s="2"/>
      <c r="AR114" s="2"/>
      <c r="AS114" s="2"/>
      <c r="AT114" s="2"/>
      <c r="AU114" s="2"/>
      <c r="AV114" s="2"/>
      <c r="AW114" s="2"/>
      <c r="AX114" s="2"/>
      <c r="AY114" s="2"/>
      <c r="AZ114" s="2"/>
      <c r="BA114" s="2"/>
      <c r="BB114" s="2" t="str">
        <f>IFERROR(__xludf.DUMMYFUNCTION("""COMPUTED_VALUE"""),"Duyệt")</f>
        <v>Duyệt</v>
      </c>
      <c r="BC114" s="143">
        <f>IFERROR(__xludf.DUMMYFUNCTION("""COMPUTED_VALUE"""),46171.0)</f>
        <v>46171</v>
      </c>
      <c r="BD114" s="2" t="str">
        <f>IFERROR(__xludf.DUMMYFUNCTION("""COMPUTED_VALUE"""),"Duyệt")</f>
        <v>Duyệt</v>
      </c>
      <c r="BE114" s="143">
        <f>IFERROR(__xludf.DUMMYFUNCTION("""COMPUTED_VALUE"""),46171.0)</f>
        <v>46171</v>
      </c>
      <c r="BF114" s="2" t="str">
        <f>IFERROR(__xludf.DUMMYFUNCTION("""COMPUTED_VALUE"""),"Đã xử lí giá")</f>
        <v>Đã xử lí giá</v>
      </c>
      <c r="BG114" s="2" t="str">
        <f>IFERROR(__xludf.DUMMYFUNCTION("""COMPUTED_VALUE"""),"Dòng V1 Bột vàng 147,000đ 28/5/2026
Đang hỏi giá ncc
KD mua dự trù 1,000kg")</f>
        <v>Dòng V1 Bột vàng 147,000đ 28/5/2026
Đang hỏi giá ncc
KD mua dự trù 1,000kg</v>
      </c>
      <c r="BH114" s="2"/>
      <c r="BI114" s="2"/>
      <c r="BJ114" s="2"/>
      <c r="BK114" s="2"/>
      <c r="BL114" s="2"/>
      <c r="BM114" s="2"/>
      <c r="BN114" s="2"/>
      <c r="BO114" s="2"/>
      <c r="BP114" s="2"/>
      <c r="BQ114" s="2"/>
    </row>
    <row r="115">
      <c r="A115" s="2">
        <f>IFERROR(__xludf.DUMMYFUNCTION("""COMPUTED_VALUE"""),112.0)</f>
        <v>112</v>
      </c>
      <c r="B115" s="2" t="str">
        <f>IFERROR(__xludf.DUMMYFUNCTION("""COMPUTED_VALUE"""),"Yamato")</f>
        <v>Yamato</v>
      </c>
      <c r="C115" s="2" t="str">
        <f>IFERROR(__xludf.DUMMYFUNCTION("""COMPUTED_VALUE"""),"ATP28052602")</f>
        <v>ATP28052602</v>
      </c>
      <c r="D115" s="39">
        <f>IFERROR(__xludf.DUMMYFUNCTION("""COMPUTED_VALUE"""),46170.0)</f>
        <v>46170</v>
      </c>
      <c r="E115" s="2" t="str">
        <f>IFERROR(__xludf.DUMMYFUNCTION("""COMPUTED_VALUE"""),"Đã duyệt")</f>
        <v>Đã duyệt</v>
      </c>
      <c r="F115" s="2" t="str">
        <f>IFERROR(__xludf.DUMMYFUNCTION("""COMPUTED_VALUE"""),"ABA")</f>
        <v>ABA</v>
      </c>
      <c r="G115" s="2" t="str">
        <f>IFERROR(__xludf.DUMMYFUNCTION("""COMPUTED_VALUE"""),"HH5051")</f>
        <v>HH5051</v>
      </c>
      <c r="H115" s="2" t="str">
        <f>IFERROR(__xludf.DUMMYFUNCTION("""COMPUTED_VALUE"""),"GC - V - 5051 - NHP GROUP - MANCOBGO 80WP (Bột xanh) - 1kg - 20")</f>
        <v>GC - V - 5051 - NHP GROUP - MANCOBGO 80WP (Bột xanh) - 1kg - 20</v>
      </c>
      <c r="I115" s="2" t="str">
        <f>IFERROR(__xludf.DUMMYFUNCTION("""COMPUTED_VALUE"""),"Thuốc trừ bệnh")</f>
        <v>Thuốc trừ bệnh</v>
      </c>
      <c r="J115" s="142" t="str">
        <f>IFERROR(__xludf.DUMMYFUNCTION("""COMPUTED_VALUE"""),"MANCOBGO 80WP")</f>
        <v>MANCOBGO 80WP</v>
      </c>
      <c r="K115" s="2" t="str">
        <f>IFERROR(__xludf.DUMMYFUNCTION("""COMPUTED_VALUE"""),"Dòng V1")</f>
        <v>Dòng V1</v>
      </c>
      <c r="L115" s="2" t="str">
        <f>IFERROR(__xludf.DUMMYFUNCTION("""COMPUTED_VALUE"""),"Bột xanh")</f>
        <v>Bột xanh</v>
      </c>
      <c r="M115" s="2" t="str">
        <f>IFERROR(__xludf.DUMMYFUNCTION("""COMPUTED_VALUE"""),"Túi/Gói")</f>
        <v>Túi/Gói</v>
      </c>
      <c r="N115" s="142">
        <f>IFERROR(__xludf.DUMMYFUNCTION("""COMPUTED_VALUE"""),20.0)</f>
        <v>20</v>
      </c>
      <c r="O115" s="142">
        <f>IFERROR(__xludf.DUMMYFUNCTION("""COMPUTED_VALUE"""),20.0)</f>
        <v>20</v>
      </c>
      <c r="P115" s="142">
        <f>IFERROR(__xludf.DUMMYFUNCTION("""COMPUTED_VALUE"""),400.0)</f>
        <v>400</v>
      </c>
      <c r="Q115" s="143">
        <f>IFERROR(__xludf.DUMMYFUNCTION("""COMPUTED_VALUE"""),46185.0)</f>
        <v>46185</v>
      </c>
      <c r="R115" s="2"/>
      <c r="S115" s="142" t="str">
        <f>IFERROR(__xludf.DUMMYFUNCTION("""COMPUTED_VALUE"""),"lấy chẳn thùng")</f>
        <v>lấy chẳn thùng</v>
      </c>
      <c r="T115" s="2"/>
      <c r="U115" s="2"/>
      <c r="V115" s="2"/>
      <c r="W115" s="2" t="str">
        <f>IFERROR(__xludf.DUMMYFUNCTION("""COMPUTED_VALUE"""),"NHP GROUP - Giá bán 120000 - Ngày dự kiến thu tiền:  - Dự kiến ngày ra hết hàng: ")</f>
        <v>NHP GROUP - Giá bán 120000 - Ngày dự kiến thu tiền:  - Dự kiến ngày ra hết hàng: </v>
      </c>
      <c r="X115" s="2"/>
      <c r="Y115" s="2" t="str">
        <f>IFERROR(__xludf.DUMMYFUNCTION("""COMPUTED_VALUE"""),"Yamato")</f>
        <v>Yamato</v>
      </c>
      <c r="Z115" s="2" t="str">
        <f>IFERROR(__xludf.DUMMYFUNCTION("""COMPUTED_VALUE"""),"Chưa có lịch SX")</f>
        <v>Chưa có lịch SX</v>
      </c>
      <c r="AA115" s="2"/>
      <c r="AB115" s="2" t="str">
        <f>IFERROR(__xludf.DUMMYFUNCTION("""COMPUTED_VALUE"""),"29/05 chưa duyệt PL
30/05 Thiếu túi KH 3/6
")</f>
        <v>29/05 chưa duyệt PL
30/05 Thiếu túi KH 3/6
</v>
      </c>
      <c r="AC115" s="146">
        <f>IFERROR(__xludf.DUMMYFUNCTION("""COMPUTED_VALUE"""),400.0)</f>
        <v>400</v>
      </c>
      <c r="AD115" s="2"/>
      <c r="AE115" s="143" t="str">
        <f>IFERROR(__xludf.DUMMYFUNCTION("""COMPUTED_VALUE"""),"Chưa chốt lịch")</f>
        <v>Chưa chốt lịch</v>
      </c>
      <c r="AF115" s="146" t="str">
        <f>IFERROR(__xludf.DUMMYFUNCTION("""COMPUTED_VALUE"""),"")</f>
        <v/>
      </c>
      <c r="AG115" s="2"/>
      <c r="AH115" s="2"/>
      <c r="AI115" s="2"/>
      <c r="AJ115" s="2"/>
      <c r="AK115" s="2"/>
      <c r="AL115" s="2"/>
      <c r="AM115" s="2"/>
      <c r="AN115" s="2"/>
      <c r="AO115" s="2"/>
      <c r="AP115" s="2"/>
      <c r="AQ115" s="2"/>
      <c r="AR115" s="2"/>
      <c r="AS115" s="2"/>
      <c r="AT115" s="2"/>
      <c r="AU115" s="2"/>
      <c r="AV115" s="2"/>
      <c r="AW115" s="2"/>
      <c r="AX115" s="2"/>
      <c r="AY115" s="2"/>
      <c r="AZ115" s="2"/>
      <c r="BA115" s="2" t="str">
        <f>IFERROR(__xludf.DUMMYFUNCTION("""COMPUTED_VALUE"""),"Đủ điều kiện")</f>
        <v>Đủ điều kiện</v>
      </c>
      <c r="BB115" s="2" t="str">
        <f>IFERROR(__xludf.DUMMYFUNCTION("""COMPUTED_VALUE"""),"Duyệt")</f>
        <v>Duyệt</v>
      </c>
      <c r="BC115" s="143">
        <f>IFERROR(__xludf.DUMMYFUNCTION("""COMPUTED_VALUE"""),46170.0)</f>
        <v>46170</v>
      </c>
      <c r="BD115" s="2" t="str">
        <f>IFERROR(__xludf.DUMMYFUNCTION("""COMPUTED_VALUE"""),"Duyệt")</f>
        <v>Duyệt</v>
      </c>
      <c r="BE115" s="143">
        <f>IFERROR(__xludf.DUMMYFUNCTION("""COMPUTED_VALUE"""),46170.0)</f>
        <v>46170</v>
      </c>
      <c r="BF115" s="2" t="str">
        <f>IFERROR(__xludf.DUMMYFUNCTION("""COMPUTED_VALUE"""),"Đã xử lí giá")</f>
        <v>Đã xử lí giá</v>
      </c>
      <c r="BG115" s="2" t="str">
        <f>IFERROR(__xludf.DUMMYFUNCTION("""COMPUTED_VALUE"""),"Dòng V1 Bột xanh 120,000đ 28/5/2026")</f>
        <v>Dòng V1 Bột xanh 120,000đ 28/5/2026</v>
      </c>
      <c r="BH115" s="2"/>
      <c r="BI115" s="2"/>
      <c r="BJ115" s="2"/>
      <c r="BK115" s="2"/>
      <c r="BL115" s="2"/>
      <c r="BM115" s="2"/>
      <c r="BN115" s="2"/>
      <c r="BO115" s="2"/>
      <c r="BP115" s="2"/>
      <c r="BQ115" s="2"/>
    </row>
    <row r="116">
      <c r="A116" s="2">
        <f>IFERROR(__xludf.DUMMYFUNCTION("""COMPUTED_VALUE"""),113.0)</f>
        <v>113</v>
      </c>
      <c r="B116" s="2" t="str">
        <f>IFERROR(__xludf.DUMMYFUNCTION("""COMPUTED_VALUE"""),"Thu Loan")</f>
        <v>Thu Loan</v>
      </c>
      <c r="C116" s="2" t="str">
        <f>IFERROR(__xludf.DUMMYFUNCTION("""COMPUTED_VALUE"""),"ITP27052601")</f>
        <v>ITP27052601</v>
      </c>
      <c r="D116" s="39">
        <f>IFERROR(__xludf.DUMMYFUNCTION("""COMPUTED_VALUE"""),46169.0)</f>
        <v>46169</v>
      </c>
      <c r="E116" s="2"/>
      <c r="F116" s="2" t="str">
        <f>IFERROR(__xludf.DUMMYFUNCTION("""COMPUTED_VALUE"""),"IDA")</f>
        <v>IDA</v>
      </c>
      <c r="G116" s="2" t="str">
        <f>IFERROR(__xludf.DUMMYFUNCTION("""COMPUTED_VALUE"""),"HH5041")</f>
        <v>HH5041</v>
      </c>
      <c r="H116" s="2" t="str">
        <f>IFERROR(__xludf.DUMMYFUNCTION("""COMPUTED_VALUE"""),"IDA Global - I - 5041 - ĐL ÚT TÈO - IDA VIL (Xanh Lá) (Nước trắng) - 1L - 20")</f>
        <v>IDA Global - I - 5041 - ĐL ÚT TÈO - IDA VIL (Xanh Lá) (Nước trắng) - 1L - 20</v>
      </c>
      <c r="I116" s="2" t="str">
        <f>IFERROR(__xludf.DUMMYFUNCTION("""COMPUTED_VALUE"""),"Thuốc trừ bệnh")</f>
        <v>Thuốc trừ bệnh</v>
      </c>
      <c r="J116" s="142" t="str">
        <f>IFERROR(__xludf.DUMMYFUNCTION("""COMPUTED_VALUE"""),"Mekongvil 5SC")</f>
        <v>Mekongvil 5SC</v>
      </c>
      <c r="K116" s="2" t="str">
        <f>IFERROR(__xludf.DUMMYFUNCTION("""COMPUTED_VALUE"""),"Dòng V1")</f>
        <v>Dòng V1</v>
      </c>
      <c r="L116" s="2" t="str">
        <f>IFERROR(__xludf.DUMMYFUNCTION("""COMPUTED_VALUE"""),"Nước trắng sữa")</f>
        <v>Nước trắng sữa</v>
      </c>
      <c r="M116" s="2" t="str">
        <f>IFERROR(__xludf.DUMMYFUNCTION("""COMPUTED_VALUE"""),"Chai")</f>
        <v>Chai</v>
      </c>
      <c r="N116" s="142">
        <f>IFERROR(__xludf.DUMMYFUNCTION("""COMPUTED_VALUE"""),20.0)</f>
        <v>20</v>
      </c>
      <c r="O116" s="142">
        <f>IFERROR(__xludf.DUMMYFUNCTION("""COMPUTED_VALUE"""),25.0)</f>
        <v>25</v>
      </c>
      <c r="P116" s="142">
        <f>IFERROR(__xludf.DUMMYFUNCTION("""COMPUTED_VALUE"""),500.0)</f>
        <v>500</v>
      </c>
      <c r="Q116" s="143">
        <f>IFERROR(__xludf.DUMMYFUNCTION("""COMPUTED_VALUE"""),46179.0)</f>
        <v>46179</v>
      </c>
      <c r="R116" s="2" t="str">
        <f>IFERROR(__xludf.DUMMYFUNCTION("""COMPUTED_VALUE"""),"x")</f>
        <v>x</v>
      </c>
      <c r="S116" s="142" t="str">
        <f>IFERROR(__xludf.DUMMYFUNCTION("""COMPUTED_VALUE"""),"Hàng gấp")</f>
        <v>Hàng gấp</v>
      </c>
      <c r="T116" s="142" t="str">
        <f>IFERROR(__xludf.DUMMYFUNCTION("""COMPUTED_VALUE"""),"x")</f>
        <v>x</v>
      </c>
      <c r="U116" s="142" t="str">
        <f>IFERROR(__xludf.DUMMYFUNCTION("""COMPUTED_VALUE"""),"x")</f>
        <v>x</v>
      </c>
      <c r="V116" s="142">
        <f>IFERROR(__xludf.DUMMYFUNCTION("""COMPUTED_VALUE"""),10.0)</f>
        <v>10</v>
      </c>
      <c r="W116" s="2" t="str">
        <f>IFERROR(__xludf.DUMMYFUNCTION("""COMPUTED_VALUE"""),"x - Giá bán 55000 - Ngày dự kiến thu tiền: x - Dự kiến ngày ra hết hàng: 30 ngày")</f>
        <v>x - Giá bán 55000 - Ngày dự kiến thu tiền: x - Dự kiến ngày ra hết hàng: 30 ngày</v>
      </c>
      <c r="X116" s="2"/>
      <c r="Y116" s="2" t="str">
        <f>IFERROR(__xludf.DUMMYFUNCTION("""COMPUTED_VALUE"""),"Thu Loan")</f>
        <v>Thu Loan</v>
      </c>
      <c r="Z116" s="2" t="str">
        <f>IFERROR(__xludf.DUMMYFUNCTION("""COMPUTED_VALUE"""),"Chưa có lịch SX")</f>
        <v>Chưa có lịch SX</v>
      </c>
      <c r="AA116" s="2"/>
      <c r="AB116" s="2" t="str">
        <f>IFERROR(__xludf.DUMMYFUNCTION("""COMPUTED_VALUE"""),"chưa duyêt, pháp lý , chưa duyệt giá -&gt; chưa gửi đơn 1-2/6
đã duyệt, đã gửi đơn 03/06")</f>
        <v>chưa duyêt, pháp lý , chưa duyệt giá -&gt; chưa gửi đơn 1-2/6
đã duyệt, đã gửi đơn 03/06</v>
      </c>
      <c r="AC116" s="146">
        <f>IFERROR(__xludf.DUMMYFUNCTION("""COMPUTED_VALUE"""),500.0)</f>
        <v>500</v>
      </c>
      <c r="AD116" s="2"/>
      <c r="AE116" s="143" t="str">
        <f>IFERROR(__xludf.DUMMYFUNCTION("""COMPUTED_VALUE"""),"Chưa chốt lịch")</f>
        <v>Chưa chốt lịch</v>
      </c>
      <c r="AF116" s="146" t="str">
        <f>IFERROR(__xludf.DUMMYFUNCTION("""COMPUTED_VALUE"""),"")</f>
        <v/>
      </c>
      <c r="AG116" s="2"/>
      <c r="AH116" s="2"/>
      <c r="AI116" s="2"/>
      <c r="AJ116" s="2"/>
      <c r="AK116" s="2"/>
      <c r="AL116" s="2"/>
      <c r="AM116" s="2"/>
      <c r="AN116" s="2"/>
      <c r="AO116" s="2"/>
      <c r="AP116" s="2"/>
      <c r="AQ116" s="2"/>
      <c r="AR116" s="2"/>
      <c r="AS116" s="2"/>
      <c r="AT116" s="2"/>
      <c r="AU116" s="2"/>
      <c r="AV116" s="2"/>
      <c r="AW116" s="2"/>
      <c r="AX116" s="2"/>
      <c r="AY116" s="2"/>
      <c r="AZ116" s="2"/>
      <c r="BA116" s="2" t="str">
        <f>IFERROR(__xludf.DUMMYFUNCTION("""COMPUTED_VALUE"""),"Đủ điều kiện")</f>
        <v>Đủ điều kiện</v>
      </c>
      <c r="BB116" s="2" t="str">
        <f>IFERROR(__xludf.DUMMYFUNCTION("""COMPUTED_VALUE"""),"Duyệt")</f>
        <v>Duyệt</v>
      </c>
      <c r="BC116" s="2"/>
      <c r="BD116" s="2" t="str">
        <f>IFERROR(__xludf.DUMMYFUNCTION("""COMPUTED_VALUE"""),"Duyệt")</f>
        <v>Duyệt</v>
      </c>
      <c r="BE116" s="2" t="str">
        <f>IFERROR(__xludf.DUMMYFUNCTION("""COMPUTED_VALUE"""),"xlg 02/06
03/06")</f>
        <v>xlg 02/06
03/06</v>
      </c>
      <c r="BF116" s="2" t="str">
        <f>IFERROR(__xludf.DUMMYFUNCTION("""COMPUTED_VALUE"""),"Đã xử lí giá")</f>
        <v>Đã xử lí giá</v>
      </c>
      <c r="BG116" s="2" t="str">
        <f>IFERROR(__xludf.DUMMYFUNCTION("""COMPUTED_VALUE"""),"Dòng V1 Nước trắng sữa 55,000đ 28/5/2026")</f>
        <v>Dòng V1 Nước trắng sữa 55,000đ 28/5/2026</v>
      </c>
      <c r="BH116" s="2"/>
      <c r="BI116" s="2"/>
      <c r="BJ116" s="2"/>
      <c r="BK116" s="2"/>
      <c r="BL116" s="2"/>
      <c r="BM116" s="2"/>
      <c r="BN116" s="2"/>
      <c r="BO116" s="2"/>
      <c r="BP116" s="2"/>
      <c r="BQ116" s="2"/>
    </row>
    <row r="117">
      <c r="A117" s="2">
        <f>IFERROR(__xludf.DUMMYFUNCTION("""COMPUTED_VALUE"""),114.0)</f>
        <v>114</v>
      </c>
      <c r="B117" s="2" t="str">
        <f>IFERROR(__xludf.DUMMYFUNCTION("""COMPUTED_VALUE"""),"Thu Loan")</f>
        <v>Thu Loan</v>
      </c>
      <c r="C117" s="2" t="str">
        <f>IFERROR(__xludf.DUMMYFUNCTION("""COMPUTED_VALUE"""),"ITP27052602")</f>
        <v>ITP27052602</v>
      </c>
      <c r="D117" s="39">
        <f>IFERROR(__xludf.DUMMYFUNCTION("""COMPUTED_VALUE"""),46169.0)</f>
        <v>46169</v>
      </c>
      <c r="E117" s="2"/>
      <c r="F117" s="2" t="str">
        <f>IFERROR(__xludf.DUMMYFUNCTION("""COMPUTED_VALUE"""),"IDA")</f>
        <v>IDA</v>
      </c>
      <c r="G117" s="2" t="str">
        <f>IFERROR(__xludf.DUMMYFUNCTION("""COMPUTED_VALUE"""),"HH5042")</f>
        <v>HH5042</v>
      </c>
      <c r="H117" s="2" t="str">
        <f>IFERROR(__xludf.DUMMYFUNCTION("""COMPUTED_VALUE"""),"IDA Global - I - 5042 - ĐL LỆ HỒNG - MEKONGVIL 5SC (Nước trắng sữa) - 1L - 20")</f>
        <v>IDA Global - I - 5042 - ĐL LỆ HỒNG - MEKONGVIL 5SC (Nước trắng sữa) - 1L - 20</v>
      </c>
      <c r="I117" s="2" t="str">
        <f>IFERROR(__xludf.DUMMYFUNCTION("""COMPUTED_VALUE"""),"Thuốc trừ bệnh")</f>
        <v>Thuốc trừ bệnh</v>
      </c>
      <c r="J117" s="142" t="str">
        <f>IFERROR(__xludf.DUMMYFUNCTION("""COMPUTED_VALUE"""),"Mekongvil 5SC")</f>
        <v>Mekongvil 5SC</v>
      </c>
      <c r="K117" s="2" t="str">
        <f>IFERROR(__xludf.DUMMYFUNCTION("""COMPUTED_VALUE"""),"Dòng V1")</f>
        <v>Dòng V1</v>
      </c>
      <c r="L117" s="2" t="str">
        <f>IFERROR(__xludf.DUMMYFUNCTION("""COMPUTED_VALUE"""),"Nước trắng sữa")</f>
        <v>Nước trắng sữa</v>
      </c>
      <c r="M117" s="2" t="str">
        <f>IFERROR(__xludf.DUMMYFUNCTION("""COMPUTED_VALUE"""),"Chai")</f>
        <v>Chai</v>
      </c>
      <c r="N117" s="142">
        <f>IFERROR(__xludf.DUMMYFUNCTION("""COMPUTED_VALUE"""),20.0)</f>
        <v>20</v>
      </c>
      <c r="O117" s="142">
        <f>IFERROR(__xludf.DUMMYFUNCTION("""COMPUTED_VALUE"""),30.0)</f>
        <v>30</v>
      </c>
      <c r="P117" s="142">
        <f>IFERROR(__xludf.DUMMYFUNCTION("""COMPUTED_VALUE"""),600.0)</f>
        <v>600</v>
      </c>
      <c r="Q117" s="143">
        <f>IFERROR(__xludf.DUMMYFUNCTION("""COMPUTED_VALUE"""),46179.0)</f>
        <v>46179</v>
      </c>
      <c r="R117" s="2" t="str">
        <f>IFERROR(__xludf.DUMMYFUNCTION("""COMPUTED_VALUE"""),"x")</f>
        <v>x</v>
      </c>
      <c r="S117" s="142" t="str">
        <f>IFERROR(__xludf.DUMMYFUNCTION("""COMPUTED_VALUE"""),"Hàng gấp")</f>
        <v>Hàng gấp</v>
      </c>
      <c r="T117" s="142" t="str">
        <f>IFERROR(__xludf.DUMMYFUNCTION("""COMPUTED_VALUE"""),"x")</f>
        <v>x</v>
      </c>
      <c r="U117" s="142" t="str">
        <f>IFERROR(__xludf.DUMMYFUNCTION("""COMPUTED_VALUE"""),"x")</f>
        <v>x</v>
      </c>
      <c r="V117" s="142">
        <f>IFERROR(__xludf.DUMMYFUNCTION("""COMPUTED_VALUE"""),10.0)</f>
        <v>10</v>
      </c>
      <c r="W117" s="2" t="str">
        <f>IFERROR(__xludf.DUMMYFUNCTION("""COMPUTED_VALUE"""),"x - Giá bán 55000 - Ngày dự kiến thu tiền: x - Dự kiến ngày ra hết hàng: 30 ngày")</f>
        <v>x - Giá bán 55000 - Ngày dự kiến thu tiền: x - Dự kiến ngày ra hết hàng: 30 ngày</v>
      </c>
      <c r="X117" s="2"/>
      <c r="Y117" s="2" t="str">
        <f>IFERROR(__xludf.DUMMYFUNCTION("""COMPUTED_VALUE"""),"Thu Loan")</f>
        <v>Thu Loan</v>
      </c>
      <c r="Z117" s="2" t="str">
        <f>IFERROR(__xludf.DUMMYFUNCTION("""COMPUTED_VALUE"""),"Chưa có lịch SX")</f>
        <v>Chưa có lịch SX</v>
      </c>
      <c r="AA117" s="2"/>
      <c r="AB117" s="2" t="str">
        <f>IFERROR(__xludf.DUMMYFUNCTION("""COMPUTED_VALUE"""),"chưa duyêt, pháp lý , chưa duyệt giá -&gt; chưa gửi đơn 1-2/6
đã duyệt, đã gửi đơn 03/06")</f>
        <v>chưa duyêt, pháp lý , chưa duyệt giá -&gt; chưa gửi đơn 1-2/6
đã duyệt, đã gửi đơn 03/06</v>
      </c>
      <c r="AC117" s="146">
        <f>IFERROR(__xludf.DUMMYFUNCTION("""COMPUTED_VALUE"""),600.0)</f>
        <v>600</v>
      </c>
      <c r="AD117" s="2"/>
      <c r="AE117" s="143" t="str">
        <f>IFERROR(__xludf.DUMMYFUNCTION("""COMPUTED_VALUE"""),"Chưa chốt lịch")</f>
        <v>Chưa chốt lịch</v>
      </c>
      <c r="AF117" s="146" t="str">
        <f>IFERROR(__xludf.DUMMYFUNCTION("""COMPUTED_VALUE"""),"")</f>
        <v/>
      </c>
      <c r="AG117" s="2"/>
      <c r="AH117" s="2"/>
      <c r="AI117" s="2"/>
      <c r="AJ117" s="2"/>
      <c r="AK117" s="2"/>
      <c r="AL117" s="2"/>
      <c r="AM117" s="2"/>
      <c r="AN117" s="2"/>
      <c r="AO117" s="2"/>
      <c r="AP117" s="2"/>
      <c r="AQ117" s="2"/>
      <c r="AR117" s="2"/>
      <c r="AS117" s="2"/>
      <c r="AT117" s="2"/>
      <c r="AU117" s="2"/>
      <c r="AV117" s="2"/>
      <c r="AW117" s="2"/>
      <c r="AX117" s="2"/>
      <c r="AY117" s="2"/>
      <c r="AZ117" s="2"/>
      <c r="BA117" s="2" t="str">
        <f>IFERROR(__xludf.DUMMYFUNCTION("""COMPUTED_VALUE"""),"Đủ điều kiện")</f>
        <v>Đủ điều kiện</v>
      </c>
      <c r="BB117" s="2" t="str">
        <f>IFERROR(__xludf.DUMMYFUNCTION("""COMPUTED_VALUE"""),"Duyệt")</f>
        <v>Duyệt</v>
      </c>
      <c r="BC117" s="2"/>
      <c r="BD117" s="2" t="str">
        <f>IFERROR(__xludf.DUMMYFUNCTION("""COMPUTED_VALUE"""),"Duyệt")</f>
        <v>Duyệt</v>
      </c>
      <c r="BE117" s="2" t="str">
        <f>IFERROR(__xludf.DUMMYFUNCTION("""COMPUTED_VALUE"""),"xlg 02/06
03/06")</f>
        <v>xlg 02/06
03/06</v>
      </c>
      <c r="BF117" s="2" t="str">
        <f>IFERROR(__xludf.DUMMYFUNCTION("""COMPUTED_VALUE"""),"Đã xử lí giá")</f>
        <v>Đã xử lí giá</v>
      </c>
      <c r="BG117" s="2" t="str">
        <f>IFERROR(__xludf.DUMMYFUNCTION("""COMPUTED_VALUE"""),"Dòng V1 Nước trắng sữa 55,000đ 28/5/2026")</f>
        <v>Dòng V1 Nước trắng sữa 55,000đ 28/5/2026</v>
      </c>
      <c r="BH117" s="2"/>
      <c r="BI117" s="2"/>
      <c r="BJ117" s="2"/>
      <c r="BK117" s="2"/>
      <c r="BL117" s="2"/>
      <c r="BM117" s="2"/>
      <c r="BN117" s="2"/>
      <c r="BO117" s="2"/>
      <c r="BP117" s="2"/>
      <c r="BQ117" s="2"/>
    </row>
    <row r="118">
      <c r="A118" s="2">
        <f>IFERROR(__xludf.DUMMYFUNCTION("""COMPUTED_VALUE"""),115.0)</f>
        <v>115</v>
      </c>
      <c r="B118" s="2" t="str">
        <f>IFERROR(__xludf.DUMMYFUNCTION("""COMPUTED_VALUE"""),"Basel")</f>
        <v>Basel</v>
      </c>
      <c r="C118" s="2" t="str">
        <f>IFERROR(__xludf.DUMMYFUNCTION("""COMPUTED_VALUE"""),"ITP28052601")</f>
        <v>ITP28052601</v>
      </c>
      <c r="D118" s="39">
        <f>IFERROR(__xludf.DUMMYFUNCTION("""COMPUTED_VALUE"""),46170.0)</f>
        <v>46170</v>
      </c>
      <c r="E118" s="2"/>
      <c r="F118" s="2" t="str">
        <f>IFERROR(__xludf.DUMMYFUNCTION("""COMPUTED_VALUE"""),"IDA")</f>
        <v>IDA</v>
      </c>
      <c r="G118" s="2" t="str">
        <f>IFERROR(__xludf.DUMMYFUNCTION("""COMPUTED_VALUE"""),"HH3984")</f>
        <v>HH3984</v>
      </c>
      <c r="H118" s="2" t="str">
        <f>IFERROR(__xludf.DUMMYFUNCTION("""COMPUTED_VALUE"""),"IDA Global - I - 3984 - TOTO-BOOST (Nước xanh dương) - 240ml - 40")</f>
        <v>IDA Global - I - 3984 - TOTO-BOOST (Nước xanh dương) - 240ml - 40</v>
      </c>
      <c r="I118" s="2" t="str">
        <f>IFERROR(__xludf.DUMMYFUNCTION("""COMPUTED_VALUE"""),"Phân bón")</f>
        <v>Phân bón</v>
      </c>
      <c r="J118" s="142" t="str">
        <f>IFERROR(__xludf.DUMMYFUNCTION("""COMPUTED_VALUE"""),"NPK-vi lượng BASEL NPK 6-6-8 IDA 33")</f>
        <v>NPK-vi lượng BASEL NPK 6-6-8 IDA 33</v>
      </c>
      <c r="K118" s="2">
        <f>IFERROR(__xludf.DUMMYFUNCTION("""COMPUTED_VALUE"""),3.0)</f>
        <v>3</v>
      </c>
      <c r="L118" s="2" t="str">
        <f>IFERROR(__xludf.DUMMYFUNCTION("""COMPUTED_VALUE"""),"Nước xanh dương")</f>
        <v>Nước xanh dương</v>
      </c>
      <c r="M118" s="2" t="str">
        <f>IFERROR(__xludf.DUMMYFUNCTION("""COMPUTED_VALUE"""),"Chai")</f>
        <v>Chai</v>
      </c>
      <c r="N118" s="142">
        <f>IFERROR(__xludf.DUMMYFUNCTION("""COMPUTED_VALUE"""),40.0)</f>
        <v>40</v>
      </c>
      <c r="O118" s="142">
        <f>IFERROR(__xludf.DUMMYFUNCTION("""COMPUTED_VALUE"""),15.0)</f>
        <v>15</v>
      </c>
      <c r="P118" s="142">
        <f>IFERROR(__xludf.DUMMYFUNCTION("""COMPUTED_VALUE"""),600.0)</f>
        <v>600</v>
      </c>
      <c r="Q118" s="143">
        <f>IFERROR(__xludf.DUMMYFUNCTION("""COMPUTED_VALUE"""),46177.0)</f>
        <v>46177</v>
      </c>
      <c r="R118" s="2" t="str">
        <f>IFERROR(__xludf.DUMMYFUNCTION("""COMPUTED_VALUE"""),"x")</f>
        <v>x</v>
      </c>
      <c r="S118" s="142" t="str">
        <f>IFERROR(__xludf.DUMMYFUNCTION("""COMPUTED_VALUE"""),"Hàng gấp")</f>
        <v>Hàng gấp</v>
      </c>
      <c r="T118" s="142" t="str">
        <f>IFERROR(__xludf.DUMMYFUNCTION("""COMPUTED_VALUE"""),"x")</f>
        <v>x</v>
      </c>
      <c r="U118" s="142" t="str">
        <f>IFERROR(__xludf.DUMMYFUNCTION("""COMPUTED_VALUE"""),"x")</f>
        <v>x</v>
      </c>
      <c r="V118" s="142">
        <f>IFERROR(__xludf.DUMMYFUNCTION("""COMPUTED_VALUE"""),7.0)</f>
        <v>7</v>
      </c>
      <c r="W118" s="2" t="str">
        <f>IFERROR(__xludf.DUMMYFUNCTION("""COMPUTED_VALUE"""),"x - Giá bán 50000 - Ngày dự kiến thu tiền: x - Dự kiến ngày ra hết hàng: 30 ngày")</f>
        <v>x - Giá bán 50000 - Ngày dự kiến thu tiền: x - Dự kiến ngày ra hết hàng: 30 ngày</v>
      </c>
      <c r="X118" s="2"/>
      <c r="Y118" s="2" t="str">
        <f>IFERROR(__xludf.DUMMYFUNCTION("""COMPUTED_VALUE"""),"Basel")</f>
        <v>Basel</v>
      </c>
      <c r="Z118" s="2" t="str">
        <f>IFERROR(__xludf.DUMMYFUNCTION("""COMPUTED_VALUE"""),"Chưa gửi đơn")</f>
        <v>Chưa gửi đơn</v>
      </c>
      <c r="AA118" s="2"/>
      <c r="AB118" s="2" t="str">
        <f>IFERROR(__xludf.DUMMYFUNCTION("""COMPUTED_VALUE"""),"chưa gửi đơn do chưa có giá vốn 28/05-03/06")</f>
        <v>chưa gửi đơn do chưa có giá vốn 28/05-03/06</v>
      </c>
      <c r="AC118" s="146">
        <f>IFERROR(__xludf.DUMMYFUNCTION("""COMPUTED_VALUE"""),600.0)</f>
        <v>600</v>
      </c>
      <c r="AD118" s="2"/>
      <c r="AE118" s="143" t="str">
        <f>IFERROR(__xludf.DUMMYFUNCTION("""COMPUTED_VALUE"""),"Chưa chốt lịch")</f>
        <v>Chưa chốt lịch</v>
      </c>
      <c r="AF118" s="146" t="str">
        <f>IFERROR(__xludf.DUMMYFUNCTION("""COMPUTED_VALUE"""),"")</f>
        <v/>
      </c>
      <c r="AG118" s="2"/>
      <c r="AH118" s="2"/>
      <c r="AI118" s="2"/>
      <c r="AJ118" s="2"/>
      <c r="AK118" s="2"/>
      <c r="AL118" s="2"/>
      <c r="AM118" s="2"/>
      <c r="AN118" s="2"/>
      <c r="AO118" s="2"/>
      <c r="AP118" s="2"/>
      <c r="AQ118" s="2"/>
      <c r="AR118" s="2"/>
      <c r="AS118" s="2"/>
      <c r="AT118" s="2"/>
      <c r="AU118" s="2"/>
      <c r="AV118" s="2"/>
      <c r="AW118" s="2"/>
      <c r="AX118" s="2"/>
      <c r="AY118" s="2"/>
      <c r="AZ118" s="2"/>
      <c r="BA118" s="2" t="str">
        <f>IFERROR(__xludf.DUMMYFUNCTION("""COMPUTED_VALUE"""),"Không đủ điều kiện")</f>
        <v>Không đủ điều kiện</v>
      </c>
      <c r="BB118" s="2" t="str">
        <f>IFERROR(__xludf.DUMMYFUNCTION("""COMPUTED_VALUE"""),"Duyệt")</f>
        <v>Duyệt</v>
      </c>
      <c r="BC118" s="148">
        <f>IFERROR(__xludf.DUMMYFUNCTION("""COMPUTED_VALUE"""),46172.0)</f>
        <v>46172</v>
      </c>
      <c r="BD118" s="2" t="str">
        <f>IFERROR(__xludf.DUMMYFUNCTION("""COMPUTED_VALUE"""),"Chưa đủ TT duyệt")</f>
        <v>Chưa đủ TT duyệt</v>
      </c>
      <c r="BE118" s="2"/>
      <c r="BF118" s="2" t="str">
        <f>IFERROR(__xludf.DUMMYFUNCTION("""COMPUTED_VALUE"""),"Chưa có giá vốn")</f>
        <v>Chưa có giá vốn</v>
      </c>
      <c r="BG118" s="2" t="str">
        <f>IFERROR(__xludf.DUMMYFUNCTION("""COMPUTED_VALUE"""),"3 Nước xanh dương 50,000đ 28/5/2026")</f>
        <v>3 Nước xanh dương 50,000đ 28/5/2026</v>
      </c>
      <c r="BH118" s="2"/>
      <c r="BI118" s="2"/>
      <c r="BJ118" s="2"/>
      <c r="BK118" s="2"/>
      <c r="BL118" s="2"/>
      <c r="BM118" s="2"/>
      <c r="BN118" s="2"/>
      <c r="BO118" s="2"/>
      <c r="BP118" s="2"/>
      <c r="BQ118" s="2"/>
    </row>
    <row r="119">
      <c r="A119" s="2">
        <f>IFERROR(__xludf.DUMMYFUNCTION("""COMPUTED_VALUE"""),116.0)</f>
        <v>116</v>
      </c>
      <c r="B119" s="2" t="str">
        <f>IFERROR(__xludf.DUMMYFUNCTION("""COMPUTED_VALUE"""),"Hà Long")</f>
        <v>Hà Long</v>
      </c>
      <c r="C119" s="2" t="str">
        <f>IFERROR(__xludf.DUMMYFUNCTION("""COMPUTED_VALUE"""),"ATP29052603")</f>
        <v>ATP29052603</v>
      </c>
      <c r="D119" s="39">
        <f>IFERROR(__xludf.DUMMYFUNCTION("""COMPUTED_VALUE"""),46171.0)</f>
        <v>46171</v>
      </c>
      <c r="E119" s="2" t="str">
        <f>IFERROR(__xludf.DUMMYFUNCTION("""COMPUTED_VALUE"""),"Đã duyệt")</f>
        <v>Đã duyệt</v>
      </c>
      <c r="F119" s="2" t="str">
        <f>IFERROR(__xludf.DUMMYFUNCTION("""COMPUTED_VALUE"""),"ABA")</f>
        <v>ABA</v>
      </c>
      <c r="G119" s="2" t="str">
        <f>IFERROR(__xludf.DUMMYFUNCTION("""COMPUTED_VALUE"""),"HH4600")</f>
        <v>HH4600</v>
      </c>
      <c r="H119" s="2" t="str">
        <f>IFERROR(__xludf.DUMMYFUNCTION("""COMPUTED_VALUE"""),"GC - V - 4600 - CTY NÔNG HÓA XANH - CARE PRO (Bột vàng) - 1kg - 20")</f>
        <v>GC - V - 4600 - CTY NÔNG HÓA XANH - CARE PRO (Bột vàng) - 1kg - 20</v>
      </c>
      <c r="I119" s="2" t="str">
        <f>IFERROR(__xludf.DUMMYFUNCTION("""COMPUTED_VALUE"""),"Thuốc trừ bệnh")</f>
        <v>Thuốc trừ bệnh</v>
      </c>
      <c r="J119" s="142" t="str">
        <f>IFERROR(__xludf.DUMMYFUNCTION("""COMPUTED_VALUE"""),"FORTAZEB 72WP")</f>
        <v>FORTAZEB 72WP</v>
      </c>
      <c r="K119" s="2" t="str">
        <f>IFERROR(__xludf.DUMMYFUNCTION("""COMPUTED_VALUE"""),"Dòng V1")</f>
        <v>Dòng V1</v>
      </c>
      <c r="L119" s="2" t="str">
        <f>IFERROR(__xludf.DUMMYFUNCTION("""COMPUTED_VALUE"""),"Bột vàng")</f>
        <v>Bột vàng</v>
      </c>
      <c r="M119" s="2" t="str">
        <f>IFERROR(__xludf.DUMMYFUNCTION("""COMPUTED_VALUE"""),"Túi/Gói")</f>
        <v>Túi/Gói</v>
      </c>
      <c r="N119" s="142">
        <f>IFERROR(__xludf.DUMMYFUNCTION("""COMPUTED_VALUE"""),20.0)</f>
        <v>20</v>
      </c>
      <c r="O119" s="142">
        <f>IFERROR(__xludf.DUMMYFUNCTION("""COMPUTED_VALUE"""),20.0)</f>
        <v>20</v>
      </c>
      <c r="P119" s="142">
        <f>IFERROR(__xludf.DUMMYFUNCTION("""COMPUTED_VALUE"""),400.0)</f>
        <v>400</v>
      </c>
      <c r="Q119" s="143">
        <f>IFERROR(__xludf.DUMMYFUNCTION("""COMPUTED_VALUE"""),46181.0)</f>
        <v>46181</v>
      </c>
      <c r="R119" s="2"/>
      <c r="S119" s="142" t="str">
        <f>IFERROR(__xludf.DUMMYFUNCTION("""COMPUTED_VALUE"""),"lấy chẳn thùng")</f>
        <v>lấy chẳn thùng</v>
      </c>
      <c r="T119" s="2"/>
      <c r="U119" s="2"/>
      <c r="V119" s="2"/>
      <c r="W119" s="2" t="str">
        <f>IFERROR(__xludf.DUMMYFUNCTION("""COMPUTED_VALUE"""),"Nông hóa xanh - Giá bán 147000 - Ngày dự kiến thu tiền:  - Dự kiến ngày ra hết hàng: ")</f>
        <v>Nông hóa xanh - Giá bán 147000 - Ngày dự kiến thu tiền:  - Dự kiến ngày ra hết hàng: </v>
      </c>
      <c r="X119" s="2"/>
      <c r="Y119" s="2" t="str">
        <f>IFERROR(__xludf.DUMMYFUNCTION("""COMPUTED_VALUE"""),"Hà Long")</f>
        <v>Hà Long</v>
      </c>
      <c r="Z119" s="2" t="str">
        <f>IFERROR(__xludf.DUMMYFUNCTION("""COMPUTED_VALUE"""),"Đã có lịch SX")</f>
        <v>Đã có lịch SX</v>
      </c>
      <c r="AA119" s="39">
        <f>IFERROR(__xludf.DUMMYFUNCTION("""COMPUTED_VALUE"""),46174.0)</f>
        <v>46174</v>
      </c>
      <c r="AB119" s="2" t="str">
        <f>IFERROR(__xludf.DUMMYFUNCTION("""COMPUTED_VALUE"""),"29/05 HL chưa đủ BTP")</f>
        <v>29/05 HL chưa đủ BTP</v>
      </c>
      <c r="AC119" s="146">
        <f>IFERROR(__xludf.DUMMYFUNCTION("""COMPUTED_VALUE"""),400.0)</f>
        <v>400</v>
      </c>
      <c r="AD119" s="2"/>
      <c r="AE119" s="143">
        <f>IFERROR(__xludf.DUMMYFUNCTION("""COMPUTED_VALUE"""),46190.0)</f>
        <v>46190</v>
      </c>
      <c r="AF119" s="146" t="str">
        <f>IFERROR(__xludf.DUMMYFUNCTION("""COMPUTED_VALUE"""),"")</f>
        <v/>
      </c>
      <c r="AG119" s="2"/>
      <c r="AH119" s="2"/>
      <c r="AI119" s="2"/>
      <c r="AJ119" s="2"/>
      <c r="AK119" s="2"/>
      <c r="AL119" s="2"/>
      <c r="AM119" s="2"/>
      <c r="AN119" s="2"/>
      <c r="AO119" s="2"/>
      <c r="AP119" s="2"/>
      <c r="AQ119" s="2"/>
      <c r="AR119" s="2"/>
      <c r="AS119" s="2"/>
      <c r="AT119" s="2"/>
      <c r="AU119" s="2"/>
      <c r="AV119" s="2"/>
      <c r="AW119" s="2"/>
      <c r="AX119" s="2"/>
      <c r="AY119" s="2"/>
      <c r="AZ119" s="2"/>
      <c r="BA119" s="2"/>
      <c r="BB119" s="2" t="str">
        <f>IFERROR(__xludf.DUMMYFUNCTION("""COMPUTED_VALUE"""),"Duyệt")</f>
        <v>Duyệt</v>
      </c>
      <c r="BC119" s="143">
        <f>IFERROR(__xludf.DUMMYFUNCTION("""COMPUTED_VALUE"""),46171.0)</f>
        <v>46171</v>
      </c>
      <c r="BD119" s="2" t="str">
        <f>IFERROR(__xludf.DUMMYFUNCTION("""COMPUTED_VALUE"""),"Duyệt")</f>
        <v>Duyệt</v>
      </c>
      <c r="BE119" s="143">
        <f>IFERROR(__xludf.DUMMYFUNCTION("""COMPUTED_VALUE"""),46171.0)</f>
        <v>46171</v>
      </c>
      <c r="BF119" s="2" t="str">
        <f>IFERROR(__xludf.DUMMYFUNCTION("""COMPUTED_VALUE"""),"Đã xử lí giá")</f>
        <v>Đã xử lí giá</v>
      </c>
      <c r="BG119" s="2" t="str">
        <f>IFERROR(__xludf.DUMMYFUNCTION("""COMPUTED_VALUE"""),"Dòng V1 Bột vàng 147,000đ 29/5/2026")</f>
        <v>Dòng V1 Bột vàng 147,000đ 29/5/2026</v>
      </c>
      <c r="BH119" s="2"/>
      <c r="BI119" s="2"/>
      <c r="BJ119" s="2"/>
      <c r="BK119" s="2"/>
      <c r="BL119" s="2"/>
      <c r="BM119" s="2"/>
      <c r="BN119" s="2"/>
      <c r="BO119" s="2"/>
      <c r="BP119" s="2"/>
      <c r="BQ119" s="2"/>
    </row>
    <row r="120">
      <c r="A120" s="2">
        <f>IFERROR(__xludf.DUMMYFUNCTION("""COMPUTED_VALUE"""),117.0)</f>
        <v>117</v>
      </c>
      <c r="B120" s="2" t="str">
        <f>IFERROR(__xludf.DUMMYFUNCTION("""COMPUTED_VALUE"""),"Hà Long")</f>
        <v>Hà Long</v>
      </c>
      <c r="C120" s="2" t="str">
        <f>IFERROR(__xludf.DUMMYFUNCTION("""COMPUTED_VALUE"""),"ATP29052605")</f>
        <v>ATP29052605</v>
      </c>
      <c r="D120" s="39">
        <f>IFERROR(__xludf.DUMMYFUNCTION("""COMPUTED_VALUE"""),46171.0)</f>
        <v>46171</v>
      </c>
      <c r="E120" s="2" t="str">
        <f>IFERROR(__xludf.DUMMYFUNCTION("""COMPUTED_VALUE"""),"Đã duyệt")</f>
        <v>Đã duyệt</v>
      </c>
      <c r="F120" s="2" t="str">
        <f>IFERROR(__xludf.DUMMYFUNCTION("""COMPUTED_VALUE"""),"ABA")</f>
        <v>ABA</v>
      </c>
      <c r="G120" s="2" t="str">
        <f>IFERROR(__xludf.DUMMYFUNCTION("""COMPUTED_VALUE"""),"HH4280")</f>
        <v>HH4280</v>
      </c>
      <c r="H120" s="2" t="str">
        <f>IFERROR(__xludf.DUMMYFUNCTION("""COMPUTED_VALUE"""),"GC - V - 4280 - Sen Hồng - Mekongvil 5SC (nước trắng sữa) - 1L - 20")</f>
        <v>GC - V - 4280 - Sen Hồng - Mekongvil 5SC (nước trắng sữa) - 1L - 20</v>
      </c>
      <c r="I120" s="2" t="str">
        <f>IFERROR(__xludf.DUMMYFUNCTION("""COMPUTED_VALUE"""),"Thuốc trừ bệnh")</f>
        <v>Thuốc trừ bệnh</v>
      </c>
      <c r="J120" s="142" t="str">
        <f>IFERROR(__xludf.DUMMYFUNCTION("""COMPUTED_VALUE"""),"Mekongvil 5SC")</f>
        <v>Mekongvil 5SC</v>
      </c>
      <c r="K120" s="2" t="str">
        <f>IFERROR(__xludf.DUMMYFUNCTION("""COMPUTED_VALUE"""),"DÒNG V1")</f>
        <v>DÒNG V1</v>
      </c>
      <c r="L120" s="2" t="str">
        <f>IFERROR(__xludf.DUMMYFUNCTION("""COMPUTED_VALUE"""),"Nước trắng sữa")</f>
        <v>Nước trắng sữa</v>
      </c>
      <c r="M120" s="2" t="str">
        <f>IFERROR(__xludf.DUMMYFUNCTION("""COMPUTED_VALUE"""),"Chai")</f>
        <v>Chai</v>
      </c>
      <c r="N120" s="142">
        <f>IFERROR(__xludf.DUMMYFUNCTION("""COMPUTED_VALUE"""),20.0)</f>
        <v>20</v>
      </c>
      <c r="O120" s="142">
        <f>IFERROR(__xludf.DUMMYFUNCTION("""COMPUTED_VALUE"""),10.0)</f>
        <v>10</v>
      </c>
      <c r="P120" s="142">
        <f>IFERROR(__xludf.DUMMYFUNCTION("""COMPUTED_VALUE"""),200.0)</f>
        <v>200</v>
      </c>
      <c r="Q120" s="143">
        <f>IFERROR(__xludf.DUMMYFUNCTION("""COMPUTED_VALUE"""),46183.0)</f>
        <v>46183</v>
      </c>
      <c r="R120" s="2"/>
      <c r="S120" s="142" t="str">
        <f>IFERROR(__xludf.DUMMYFUNCTION("""COMPUTED_VALUE"""),"lấy chẵn thùng 
đóng chai dày")</f>
        <v>lấy chẵn thùng 
đóng chai dày</v>
      </c>
      <c r="T120" s="2"/>
      <c r="U120" s="2"/>
      <c r="V120" s="2"/>
      <c r="W120" s="2" t="str">
        <f>IFERROR(__xludf.DUMMYFUNCTION("""COMPUTED_VALUE"""),"SEN HỒNG - Giá bán 43.000,00 đ - Ngày dự kiến thu tiền:  - Dự kiến ngày ra hết hàng: ")</f>
        <v>SEN HỒNG - Giá bán 43.000,00 đ - Ngày dự kiến thu tiền:  - Dự kiến ngày ra hết hàng: </v>
      </c>
      <c r="X120" s="2"/>
      <c r="Y120" s="2" t="str">
        <f>IFERROR(__xludf.DUMMYFUNCTION("""COMPUTED_VALUE"""),"Hà Long")</f>
        <v>Hà Long</v>
      </c>
      <c r="Z120" s="2" t="str">
        <f>IFERROR(__xludf.DUMMYFUNCTION("""COMPUTED_VALUE"""),"Đã có lịch SX")</f>
        <v>Đã có lịch SX</v>
      </c>
      <c r="AA120" s="39">
        <f>IFERROR(__xludf.DUMMYFUNCTION("""COMPUTED_VALUE"""),46174.0)</f>
        <v>46174</v>
      </c>
      <c r="AB120" s="2"/>
      <c r="AC120" s="146">
        <f>IFERROR(__xludf.DUMMYFUNCTION("""COMPUTED_VALUE"""),200.0)</f>
        <v>200</v>
      </c>
      <c r="AD120" s="2"/>
      <c r="AE120" s="143">
        <f>IFERROR(__xludf.DUMMYFUNCTION("""COMPUTED_VALUE"""),46178.0)</f>
        <v>46178</v>
      </c>
      <c r="AF120" s="146" t="str">
        <f>IFERROR(__xludf.DUMMYFUNCTION("""COMPUTED_VALUE"""),"")</f>
        <v/>
      </c>
      <c r="AG120" s="2"/>
      <c r="AH120" s="2"/>
      <c r="AI120" s="2"/>
      <c r="AJ120" s="2"/>
      <c r="AK120" s="2"/>
      <c r="AL120" s="2"/>
      <c r="AM120" s="2"/>
      <c r="AN120" s="2"/>
      <c r="AO120" s="2"/>
      <c r="AP120" s="2"/>
      <c r="AQ120" s="2"/>
      <c r="AR120" s="2"/>
      <c r="AS120" s="2"/>
      <c r="AT120" s="2"/>
      <c r="AU120" s="2"/>
      <c r="AV120" s="2"/>
      <c r="AW120" s="2"/>
      <c r="AX120" s="2"/>
      <c r="AY120" s="2"/>
      <c r="AZ120" s="2"/>
      <c r="BA120" s="2"/>
      <c r="BB120" s="2" t="str">
        <f>IFERROR(__xludf.DUMMYFUNCTION("""COMPUTED_VALUE"""),"Duyệt")</f>
        <v>Duyệt</v>
      </c>
      <c r="BC120" s="143">
        <f>IFERROR(__xludf.DUMMYFUNCTION("""COMPUTED_VALUE"""),46176.0)</f>
        <v>46176</v>
      </c>
      <c r="BD120" s="2" t="str">
        <f>IFERROR(__xludf.DUMMYFUNCTION("""COMPUTED_VALUE"""),"Duyệt")</f>
        <v>Duyệt</v>
      </c>
      <c r="BE120" s="143">
        <f>IFERROR(__xludf.DUMMYFUNCTION("""COMPUTED_VALUE"""),46174.0)</f>
        <v>46174</v>
      </c>
      <c r="BF120" s="2" t="str">
        <f>IFERROR(__xludf.DUMMYFUNCTION("""COMPUTED_VALUE"""),"Đã xử lí giá")</f>
        <v>Đã xử lí giá</v>
      </c>
      <c r="BG120" s="2" t="str">
        <f>IFERROR(__xludf.DUMMYFUNCTION("""COMPUTED_VALUE"""),"DÒNG V1 Nước trắng sữa 43,000đ 30/5/2026")</f>
        <v>DÒNG V1 Nước trắng sữa 43,000đ 30/5/2026</v>
      </c>
      <c r="BH120" s="2"/>
      <c r="BI120" s="2"/>
      <c r="BJ120" s="2"/>
      <c r="BK120" s="2"/>
      <c r="BL120" s="2"/>
      <c r="BM120" s="2"/>
      <c r="BN120" s="2"/>
      <c r="BO120" s="2"/>
      <c r="BP120" s="2"/>
      <c r="BQ120" s="2"/>
    </row>
    <row r="121">
      <c r="A121" s="2">
        <f>IFERROR(__xludf.DUMMYFUNCTION("""COMPUTED_VALUE"""),118.0)</f>
        <v>118</v>
      </c>
      <c r="B121" s="2" t="str">
        <f>IFERROR(__xludf.DUMMYFUNCTION("""COMPUTED_VALUE"""),"Hà Long")</f>
        <v>Hà Long</v>
      </c>
      <c r="C121" s="2" t="str">
        <f>IFERROR(__xludf.DUMMYFUNCTION("""COMPUTED_VALUE"""),"ATP30052601")</f>
        <v>ATP30052601</v>
      </c>
      <c r="D121" s="39">
        <f>IFERROR(__xludf.DUMMYFUNCTION("""COMPUTED_VALUE"""),46172.0)</f>
        <v>46172</v>
      </c>
      <c r="E121" s="2" t="str">
        <f>IFERROR(__xludf.DUMMYFUNCTION("""COMPUTED_VALUE"""),"Đã duyệt")</f>
        <v>Đã duyệt</v>
      </c>
      <c r="F121" s="2" t="str">
        <f>IFERROR(__xludf.DUMMYFUNCTION("""COMPUTED_VALUE"""),"ABA")</f>
        <v>ABA</v>
      </c>
      <c r="G121" s="2" t="str">
        <f>IFERROR(__xludf.DUMMYFUNCTION("""COMPUTED_VALUE"""),"HH5061")</f>
        <v>HH5061</v>
      </c>
      <c r="H121" s="2" t="str">
        <f>IFERROR(__xludf.DUMMYFUNCTION("""COMPUTED_VALUE"""),"GC - V - 5061 - CTY OLYMPUS - CITTIZEN 333SC (Nước cam sữa) - 250ml - 40")</f>
        <v>GC - V - 5061 - CTY OLYMPUS - CITTIZEN 333SC (Nước cam sữa) - 250ml - 40</v>
      </c>
      <c r="I121" s="2" t="str">
        <f>IFERROR(__xludf.DUMMYFUNCTION("""COMPUTED_VALUE"""),"Thuốc trừ bệnh")</f>
        <v>Thuốc trừ bệnh</v>
      </c>
      <c r="J121" s="142" t="str">
        <f>IFERROR(__xludf.DUMMYFUNCTION("""COMPUTED_VALUE"""),"CITTIZEN 333SC")</f>
        <v>CITTIZEN 333SC</v>
      </c>
      <c r="K121" s="2" t="str">
        <f>IFERROR(__xludf.DUMMYFUNCTION("""COMPUTED_VALUE"""),"DÒNG V1")</f>
        <v>DÒNG V1</v>
      </c>
      <c r="L121" s="2" t="str">
        <f>IFERROR(__xludf.DUMMYFUNCTION("""COMPUTED_VALUE"""),"Nước cam sữa")</f>
        <v>Nước cam sữa</v>
      </c>
      <c r="M121" s="2" t="str">
        <f>IFERROR(__xludf.DUMMYFUNCTION("""COMPUTED_VALUE"""),"Chai")</f>
        <v>Chai</v>
      </c>
      <c r="N121" s="142">
        <f>IFERROR(__xludf.DUMMYFUNCTION("""COMPUTED_VALUE"""),40.0)</f>
        <v>40</v>
      </c>
      <c r="O121" s="142">
        <f>IFERROR(__xludf.DUMMYFUNCTION("""COMPUTED_VALUE"""),15.0)</f>
        <v>15</v>
      </c>
      <c r="P121" s="142">
        <f>IFERROR(__xludf.DUMMYFUNCTION("""COMPUTED_VALUE"""),600.0)</f>
        <v>600</v>
      </c>
      <c r="Q121" s="143">
        <f>IFERROR(__xludf.DUMMYFUNCTION("""COMPUTED_VALUE"""),46188.0)</f>
        <v>46188</v>
      </c>
      <c r="R121" s="2"/>
      <c r="S121" s="142" t="str">
        <f>IFERROR(__xludf.DUMMYFUNCTION("""COMPUTED_VALUE"""),"Đóng hết chai tồn tròn thùng có thể giảm đơn
lấy chẳn thùng")</f>
        <v>Đóng hết chai tồn tròn thùng có thể giảm đơn
lấy chẳn thùng</v>
      </c>
      <c r="T121" s="2"/>
      <c r="U121" s="2"/>
      <c r="V121" s="2"/>
      <c r="W121" s="2" t="str">
        <f>IFERROR(__xludf.DUMMYFUNCTION("""COMPUTED_VALUE"""),"OLYMPUS - Giá bán 49500 - Ngày dự kiến thu tiền:  - Dự kiến ngày ra hết hàng: ")</f>
        <v>OLYMPUS - Giá bán 49500 - Ngày dự kiến thu tiền:  - Dự kiến ngày ra hết hàng: </v>
      </c>
      <c r="X121" s="2"/>
      <c r="Y121" s="2" t="str">
        <f>IFERROR(__xludf.DUMMYFUNCTION("""COMPUTED_VALUE"""),"Hà Long")</f>
        <v>Hà Long</v>
      </c>
      <c r="Z121" s="2" t="str">
        <f>IFERROR(__xludf.DUMMYFUNCTION("""COMPUTED_VALUE"""),"Chưa có lịch SX")</f>
        <v>Chưa có lịch SX</v>
      </c>
      <c r="AA121" s="2"/>
      <c r="AB121" s="142" t="str">
        <f>IFERROR(__xludf.DUMMYFUNCTION("""COMPUTED_VALUE"""),"01/06 Thiếu chai, thiếu nhãn dk 6/6")</f>
        <v>01/06 Thiếu chai, thiếu nhãn dk 6/6</v>
      </c>
      <c r="AC121" s="146">
        <f>IFERROR(__xludf.DUMMYFUNCTION("""COMPUTED_VALUE"""),600.0)</f>
        <v>600</v>
      </c>
      <c r="AD121" s="2"/>
      <c r="AE121" s="143" t="str">
        <f>IFERROR(__xludf.DUMMYFUNCTION("""COMPUTED_VALUE"""),"Chưa chốt lịch")</f>
        <v>Chưa chốt lịch</v>
      </c>
      <c r="AF121" s="146" t="str">
        <f>IFERROR(__xludf.DUMMYFUNCTION("""COMPUTED_VALUE"""),"")</f>
        <v/>
      </c>
      <c r="AG121" s="2"/>
      <c r="AH121" s="2"/>
      <c r="AI121" s="2"/>
      <c r="AJ121" s="2"/>
      <c r="AK121" s="2"/>
      <c r="AL121" s="2"/>
      <c r="AM121" s="2"/>
      <c r="AN121" s="2"/>
      <c r="AO121" s="2"/>
      <c r="AP121" s="2"/>
      <c r="AQ121" s="2"/>
      <c r="AR121" s="2"/>
      <c r="AS121" s="2"/>
      <c r="AT121" s="2"/>
      <c r="AU121" s="2"/>
      <c r="AV121" s="2"/>
      <c r="AW121" s="2"/>
      <c r="AX121" s="2"/>
      <c r="AY121" s="2"/>
      <c r="AZ121" s="2"/>
      <c r="BA121" s="2"/>
      <c r="BB121" s="2" t="str">
        <f>IFERROR(__xludf.DUMMYFUNCTION("""COMPUTED_VALUE"""),"Duyệt")</f>
        <v>Duyệt</v>
      </c>
      <c r="BC121" s="143">
        <f>IFERROR(__xludf.DUMMYFUNCTION("""COMPUTED_VALUE"""),46176.0)</f>
        <v>46176</v>
      </c>
      <c r="BD121" s="2" t="str">
        <f>IFERROR(__xludf.DUMMYFUNCTION("""COMPUTED_VALUE"""),"Duyệt")</f>
        <v>Duyệt</v>
      </c>
      <c r="BE121" s="143">
        <f>IFERROR(__xludf.DUMMYFUNCTION("""COMPUTED_VALUE"""),46174.0)</f>
        <v>46174</v>
      </c>
      <c r="BF121" s="2" t="str">
        <f>IFERROR(__xludf.DUMMYFUNCTION("""COMPUTED_VALUE"""),"Đã xử lí giá")</f>
        <v>Đã xử lí giá</v>
      </c>
      <c r="BG121" s="2" t="str">
        <f>IFERROR(__xludf.DUMMYFUNCTION("""COMPUTED_VALUE"""),"DÒNG V1 Nước cam sữa 49,500đ 1/6/2026")</f>
        <v>DÒNG V1 Nước cam sữa 49,500đ 1/6/2026</v>
      </c>
      <c r="BH121" s="2"/>
      <c r="BI121" s="2"/>
      <c r="BJ121" s="2"/>
      <c r="BK121" s="2"/>
      <c r="BL121" s="2"/>
      <c r="BM121" s="2"/>
      <c r="BN121" s="2"/>
      <c r="BO121" s="2"/>
      <c r="BP121" s="2"/>
      <c r="BQ121" s="2"/>
    </row>
    <row r="122">
      <c r="A122" s="2">
        <f>IFERROR(__xludf.DUMMYFUNCTION("""COMPUTED_VALUE"""),119.0)</f>
        <v>119</v>
      </c>
      <c r="B122" s="2" t="str">
        <f>IFERROR(__xludf.DUMMYFUNCTION("""COMPUTED_VALUE"""),"Hà Long")</f>
        <v>Hà Long</v>
      </c>
      <c r="C122" s="2" t="str">
        <f>IFERROR(__xludf.DUMMYFUNCTION("""COMPUTED_VALUE"""),"ATP30052603")</f>
        <v>ATP30052603</v>
      </c>
      <c r="D122" s="39">
        <f>IFERROR(__xludf.DUMMYFUNCTION("""COMPUTED_VALUE"""),46172.0)</f>
        <v>46172</v>
      </c>
      <c r="E122" s="2" t="str">
        <f>IFERROR(__xludf.DUMMYFUNCTION("""COMPUTED_VALUE"""),"Đã duyệt")</f>
        <v>Đã duyệt</v>
      </c>
      <c r="F122" s="2" t="str">
        <f>IFERROR(__xludf.DUMMYFUNCTION("""COMPUTED_VALUE"""),"ABA")</f>
        <v>ABA</v>
      </c>
      <c r="G122" s="2" t="str">
        <f>IFERROR(__xludf.DUMMYFUNCTION("""COMPUTED_VALUE"""),"HH4533")</f>
        <v>HH4533</v>
      </c>
      <c r="H122" s="2" t="str">
        <f>IFERROR(__xludf.DUMMYFUNCTION("""COMPUTED_VALUE"""),"GC - V - 4533 - KATO JAPAN - SẤM CHỚP (Nước trắng sữa) - 240ml - 40")</f>
        <v>GC - V - 4533 - KATO JAPAN - SẤM CHỚP (Nước trắng sữa) - 240ml - 40</v>
      </c>
      <c r="I122" s="2" t="str">
        <f>IFERROR(__xludf.DUMMYFUNCTION("""COMPUTED_VALUE"""),"Thuốc trừ sâu")</f>
        <v>Thuốc trừ sâu</v>
      </c>
      <c r="J122" s="142" t="str">
        <f>IFERROR(__xludf.DUMMYFUNCTION("""COMPUTED_VALUE"""),"NOFARA 350SC")</f>
        <v>NOFARA 350SC</v>
      </c>
      <c r="K122" s="2" t="str">
        <f>IFERROR(__xludf.DUMMYFUNCTION("""COMPUTED_VALUE"""),"DÒNG V1")</f>
        <v>DÒNG V1</v>
      </c>
      <c r="L122" s="2" t="str">
        <f>IFERROR(__xludf.DUMMYFUNCTION("""COMPUTED_VALUE"""),"Nước trắng sữa")</f>
        <v>Nước trắng sữa</v>
      </c>
      <c r="M122" s="2" t="str">
        <f>IFERROR(__xludf.DUMMYFUNCTION("""COMPUTED_VALUE"""),"Chai")</f>
        <v>Chai</v>
      </c>
      <c r="N122" s="142">
        <f>IFERROR(__xludf.DUMMYFUNCTION("""COMPUTED_VALUE"""),40.0)</f>
        <v>40</v>
      </c>
      <c r="O122" s="142">
        <f>IFERROR(__xludf.DUMMYFUNCTION("""COMPUTED_VALUE"""),17.7)</f>
        <v>17.7</v>
      </c>
      <c r="P122" s="142">
        <f>IFERROR(__xludf.DUMMYFUNCTION("""COMPUTED_VALUE"""),708.0)</f>
        <v>708</v>
      </c>
      <c r="Q122" s="143">
        <f>IFERROR(__xludf.DUMMYFUNCTION("""COMPUTED_VALUE"""),46184.0)</f>
        <v>46184</v>
      </c>
      <c r="R122" s="2"/>
      <c r="S122" s="142" t="str">
        <f>IFERROR(__xludf.DUMMYFUNCTION("""COMPUTED_VALUE"""),"Đóng hết nguyên liệu NHẬN LẺ")</f>
        <v>Đóng hết nguyên liệu NHẬN LẺ</v>
      </c>
      <c r="T122" s="2"/>
      <c r="U122" s="2"/>
      <c r="V122" s="2"/>
      <c r="W122" s="2" t="str">
        <f>IFERROR(__xludf.DUMMYFUNCTION("""COMPUTED_VALUE"""),"KATO - Giá bán 38000 - Ngày dự kiến thu tiền:  - Dự kiến ngày ra hết hàng: ")</f>
        <v>KATO - Giá bán 38000 - Ngày dự kiến thu tiền:  - Dự kiến ngày ra hết hàng: </v>
      </c>
      <c r="X122" s="2"/>
      <c r="Y122" s="2" t="str">
        <f>IFERROR(__xludf.DUMMYFUNCTION("""COMPUTED_VALUE"""),"Hà Long")</f>
        <v>Hà Long</v>
      </c>
      <c r="Z122" s="2" t="str">
        <f>IFERROR(__xludf.DUMMYFUNCTION("""COMPUTED_VALUE"""),"Chưa có lịch SX")</f>
        <v>Chưa có lịch SX</v>
      </c>
      <c r="AA122" s="2"/>
      <c r="AB122" s="142" t="str">
        <f>IFERROR(__xludf.DUMMYFUNCTION("""COMPUTED_VALUE"""),"01/06 Thiếu chai, thiếu nhãn dk 6/6
01/06/đóng lẻ hết nl")</f>
        <v>01/06 Thiếu chai, thiếu nhãn dk 6/6
01/06/đóng lẻ hết nl</v>
      </c>
      <c r="AC122" s="146">
        <f>IFERROR(__xludf.DUMMYFUNCTION("""COMPUTED_VALUE"""),708.0)</f>
        <v>708</v>
      </c>
      <c r="AD122" s="2"/>
      <c r="AE122" s="143" t="str">
        <f>IFERROR(__xludf.DUMMYFUNCTION("""COMPUTED_VALUE"""),"Chưa chốt lịch")</f>
        <v>Chưa chốt lịch</v>
      </c>
      <c r="AF122" s="146" t="str">
        <f>IFERROR(__xludf.DUMMYFUNCTION("""COMPUTED_VALUE"""),"")</f>
        <v/>
      </c>
      <c r="AG122" s="2"/>
      <c r="AH122" s="2"/>
      <c r="AI122" s="2"/>
      <c r="AJ122" s="2"/>
      <c r="AK122" s="2"/>
      <c r="AL122" s="2"/>
      <c r="AM122" s="2"/>
      <c r="AN122" s="2"/>
      <c r="AO122" s="2"/>
      <c r="AP122" s="2"/>
      <c r="AQ122" s="2"/>
      <c r="AR122" s="2"/>
      <c r="AS122" s="2"/>
      <c r="AT122" s="2"/>
      <c r="AU122" s="2"/>
      <c r="AV122" s="2"/>
      <c r="AW122" s="2"/>
      <c r="AX122" s="2"/>
      <c r="AY122" s="2"/>
      <c r="AZ122" s="2"/>
      <c r="BA122" s="2"/>
      <c r="BB122" s="2" t="str">
        <f>IFERROR(__xludf.DUMMYFUNCTION("""COMPUTED_VALUE"""),"Duyệt")</f>
        <v>Duyệt</v>
      </c>
      <c r="BC122" s="143">
        <f>IFERROR(__xludf.DUMMYFUNCTION("""COMPUTED_VALUE"""),46176.0)</f>
        <v>46176</v>
      </c>
      <c r="BD122" s="2" t="str">
        <f>IFERROR(__xludf.DUMMYFUNCTION("""COMPUTED_VALUE"""),"Duyệt")</f>
        <v>Duyệt</v>
      </c>
      <c r="BE122" s="143">
        <f>IFERROR(__xludf.DUMMYFUNCTION("""COMPUTED_VALUE"""),46174.0)</f>
        <v>46174</v>
      </c>
      <c r="BF122" s="2" t="str">
        <f>IFERROR(__xludf.DUMMYFUNCTION("""COMPUTED_VALUE"""),"Đã xử lí giá")</f>
        <v>Đã xử lí giá</v>
      </c>
      <c r="BG122" s="2" t="str">
        <f>IFERROR(__xludf.DUMMYFUNCTION("""COMPUTED_VALUE"""),"DÒNG V1 Nước trắng sữa 38,000đ 1/6/2026")</f>
        <v>DÒNG V1 Nước trắng sữa 38,000đ 1/6/2026</v>
      </c>
      <c r="BH122" s="2"/>
      <c r="BI122" s="2"/>
      <c r="BJ122" s="2"/>
      <c r="BK122" s="2"/>
      <c r="BL122" s="2"/>
      <c r="BM122" s="2"/>
      <c r="BN122" s="2"/>
      <c r="BO122" s="2"/>
      <c r="BP122" s="2"/>
      <c r="BQ122" s="2"/>
    </row>
    <row r="123">
      <c r="A123" s="2">
        <f>IFERROR(__xludf.DUMMYFUNCTION("""COMPUTED_VALUE"""),120.0)</f>
        <v>120</v>
      </c>
      <c r="B123" s="2" t="str">
        <f>IFERROR(__xludf.DUMMYFUNCTION("""COMPUTED_VALUE"""),"Hà Long")</f>
        <v>Hà Long</v>
      </c>
      <c r="C123" s="2" t="str">
        <f>IFERROR(__xludf.DUMMYFUNCTION("""COMPUTED_VALUE"""),"ATP01062601")</f>
        <v>ATP01062601</v>
      </c>
      <c r="D123" s="39">
        <f>IFERROR(__xludf.DUMMYFUNCTION("""COMPUTED_VALUE"""),46174.0)</f>
        <v>46174</v>
      </c>
      <c r="E123" s="2" t="str">
        <f>IFERROR(__xludf.DUMMYFUNCTION("""COMPUTED_VALUE"""),"Đã duyệt")</f>
        <v>Đã duyệt</v>
      </c>
      <c r="F123" s="2" t="str">
        <f>IFERROR(__xludf.DUMMYFUNCTION("""COMPUTED_VALUE"""),"ABA")</f>
        <v>ABA</v>
      </c>
      <c r="G123" s="2" t="str">
        <f>IFERROR(__xludf.DUMMYFUNCTION("""COMPUTED_VALUE"""),"HH4681")</f>
        <v>HH4681</v>
      </c>
      <c r="H123" s="2" t="str">
        <f>IFERROR(__xludf.DUMMYFUNCTION("""COMPUTED_VALUE"""),"GC - V - 4681 - TAGO - BỌ CẠP 3.6 (nước nâu đen) - 450ml - 40")</f>
        <v>GC - V - 4681 - TAGO - BỌ CẠP 3.6 (nước nâu đen) - 450ml - 40</v>
      </c>
      <c r="I123" s="2" t="str">
        <f>IFERROR(__xludf.DUMMYFUNCTION("""COMPUTED_VALUE"""),"Thuốc trừ sâu")</f>
        <v>Thuốc trừ sâu</v>
      </c>
      <c r="J123" s="142" t="str">
        <f>IFERROR(__xludf.DUMMYFUNCTION("""COMPUTED_VALUE"""),"HAIHAMEC 3.6EC")</f>
        <v>HAIHAMEC 3.6EC</v>
      </c>
      <c r="K123" s="2" t="str">
        <f>IFERROR(__xludf.DUMMYFUNCTION("""COMPUTED_VALUE"""),"DÒNG V1")</f>
        <v>DÒNG V1</v>
      </c>
      <c r="L123" s="2" t="str">
        <f>IFERROR(__xludf.DUMMYFUNCTION("""COMPUTED_VALUE"""),"Nước nâu đen")</f>
        <v>Nước nâu đen</v>
      </c>
      <c r="M123" s="2" t="str">
        <f>IFERROR(__xludf.DUMMYFUNCTION("""COMPUTED_VALUE"""),"Chai")</f>
        <v>Chai</v>
      </c>
      <c r="N123" s="142">
        <f>IFERROR(__xludf.DUMMYFUNCTION("""COMPUTED_VALUE"""),40.0)</f>
        <v>40</v>
      </c>
      <c r="O123" s="142">
        <f>IFERROR(__xludf.DUMMYFUNCTION("""COMPUTED_VALUE"""),100.0)</f>
        <v>100</v>
      </c>
      <c r="P123" s="142">
        <f>IFERROR(__xludf.DUMMYFUNCTION("""COMPUTED_VALUE"""),4000.0)</f>
        <v>4000</v>
      </c>
      <c r="Q123" s="143">
        <f>IFERROR(__xludf.DUMMYFUNCTION("""COMPUTED_VALUE"""),46184.0)</f>
        <v>46184</v>
      </c>
      <c r="R123" s="2"/>
      <c r="S123" s="142" t="str">
        <f>IFERROR(__xludf.DUMMYFUNCTION("""COMPUTED_VALUE"""),"lấy chẳn thùng")</f>
        <v>lấy chẳn thùng</v>
      </c>
      <c r="T123" s="2"/>
      <c r="U123" s="2"/>
      <c r="V123" s="2"/>
      <c r="W123" s="2" t="str">
        <f>IFERROR(__xludf.DUMMYFUNCTION("""COMPUTED_VALUE"""),"TAGO - Giá bán 42000 - Ngày dự kiến thu tiền:  - Dự kiến ngày ra hết hàng: ")</f>
        <v>TAGO - Giá bán 42000 - Ngày dự kiến thu tiền:  - Dự kiến ngày ra hết hàng: </v>
      </c>
      <c r="X123" s="2"/>
      <c r="Y123" s="2" t="str">
        <f>IFERROR(__xludf.DUMMYFUNCTION("""COMPUTED_VALUE"""),"Hà Long")</f>
        <v>Hà Long</v>
      </c>
      <c r="Z123" s="2" t="str">
        <f>IFERROR(__xludf.DUMMYFUNCTION("""COMPUTED_VALUE"""),"Chưa có lịch SX")</f>
        <v>Chưa có lịch SX</v>
      </c>
      <c r="AA123" s="2"/>
      <c r="AB123" s="2" t="str">
        <f>IFERROR(__xludf.DUMMYFUNCTION("""COMPUTED_VALUE"""),"03/06 Thiếu chai, thiếu nhãn KH 08/06")</f>
        <v>03/06 Thiếu chai, thiếu nhãn KH 08/06</v>
      </c>
      <c r="AC123" s="146">
        <f>IFERROR(__xludf.DUMMYFUNCTION("""COMPUTED_VALUE"""),4000.0)</f>
        <v>4000</v>
      </c>
      <c r="AD123" s="2"/>
      <c r="AE123" s="143" t="str">
        <f>IFERROR(__xludf.DUMMYFUNCTION("""COMPUTED_VALUE"""),"Chưa chốt lịch")</f>
        <v>Chưa chốt lịch</v>
      </c>
      <c r="AF123" s="146" t="str">
        <f>IFERROR(__xludf.DUMMYFUNCTION("""COMPUTED_VALUE"""),"")</f>
        <v/>
      </c>
      <c r="AG123" s="2"/>
      <c r="AH123" s="2"/>
      <c r="AI123" s="2"/>
      <c r="AJ123" s="2"/>
      <c r="AK123" s="2"/>
      <c r="AL123" s="2"/>
      <c r="AM123" s="2"/>
      <c r="AN123" s="2"/>
      <c r="AO123" s="2"/>
      <c r="AP123" s="2"/>
      <c r="AQ123" s="2"/>
      <c r="AR123" s="2"/>
      <c r="AS123" s="2"/>
      <c r="AT123" s="2"/>
      <c r="AU123" s="2"/>
      <c r="AV123" s="2"/>
      <c r="AW123" s="2"/>
      <c r="AX123" s="2"/>
      <c r="AY123" s="2"/>
      <c r="AZ123" s="2"/>
      <c r="BA123" s="2"/>
      <c r="BB123" s="2" t="str">
        <f>IFERROR(__xludf.DUMMYFUNCTION("""COMPUTED_VALUE"""),"Duyệt")</f>
        <v>Duyệt</v>
      </c>
      <c r="BC123" s="143">
        <f>IFERROR(__xludf.DUMMYFUNCTION("""COMPUTED_VALUE"""),46175.0)</f>
        <v>46175</v>
      </c>
      <c r="BD123" s="2" t="str">
        <f>IFERROR(__xludf.DUMMYFUNCTION("""COMPUTED_VALUE"""),"Duyệt")</f>
        <v>Duyệt</v>
      </c>
      <c r="BE123" s="143">
        <f>IFERROR(__xludf.DUMMYFUNCTION("""COMPUTED_VALUE"""),46174.0)</f>
        <v>46174</v>
      </c>
      <c r="BF123" s="2" t="str">
        <f>IFERROR(__xludf.DUMMYFUNCTION("""COMPUTED_VALUE"""),"Đã xử lí giá")</f>
        <v>Đã xử lí giá</v>
      </c>
      <c r="BG123" s="2" t="str">
        <f>IFERROR(__xludf.DUMMYFUNCTION("""COMPUTED_VALUE"""),"DÒNG V1 Nước nâu đen 42,000đ 1/6/2026")</f>
        <v>DÒNG V1 Nước nâu đen 42,000đ 1/6/2026</v>
      </c>
      <c r="BH123" s="2"/>
      <c r="BI123" s="2"/>
      <c r="BJ123" s="2"/>
      <c r="BK123" s="2"/>
      <c r="BL123" s="2"/>
      <c r="BM123" s="2"/>
      <c r="BN123" s="2"/>
      <c r="BO123" s="2"/>
      <c r="BP123" s="2"/>
      <c r="BQ123" s="2"/>
    </row>
    <row r="124">
      <c r="A124" s="2">
        <f>IFERROR(__xludf.DUMMYFUNCTION("""COMPUTED_VALUE"""),121.0)</f>
        <v>121</v>
      </c>
      <c r="B124" s="2" t="str">
        <f>IFERROR(__xludf.DUMMYFUNCTION("""COMPUTED_VALUE"""),"Hà Long")</f>
        <v>Hà Long</v>
      </c>
      <c r="C124" s="2" t="str">
        <f>IFERROR(__xludf.DUMMYFUNCTION("""COMPUTED_VALUE"""),"ITP01062601")</f>
        <v>ITP01062601</v>
      </c>
      <c r="D124" s="39">
        <f>IFERROR(__xludf.DUMMYFUNCTION("""COMPUTED_VALUE"""),46174.0)</f>
        <v>46174</v>
      </c>
      <c r="E124" s="2"/>
      <c r="F124" s="2" t="str">
        <f>IFERROR(__xludf.DUMMYFUNCTION("""COMPUTED_VALUE"""),"IDA")</f>
        <v>IDA</v>
      </c>
      <c r="G124" s="2" t="str">
        <f>IFERROR(__xludf.DUMMYFUNCTION("""COMPUTED_VALUE"""),"HH4615")</f>
        <v>HH4615</v>
      </c>
      <c r="H124" s="2" t="str">
        <f>IFERROR(__xludf.DUMMYFUNCTION("""COMPUTED_VALUE"""),"IDA GLOBAL - I - 4615 - CREEK 51WG (Dạng cốm màu vàng nhạt) - 30gr - 300")</f>
        <v>IDA GLOBAL - I - 4615 - CREEK 51WG (Dạng cốm màu vàng nhạt) - 30gr - 300</v>
      </c>
      <c r="I124" s="2" t="str">
        <f>IFERROR(__xludf.DUMMYFUNCTION("""COMPUTED_VALUE"""),"Thuốc trừ sâu")</f>
        <v>Thuốc trừ sâu</v>
      </c>
      <c r="J124" s="142" t="str">
        <f>IFERROR(__xludf.DUMMYFUNCTION("""COMPUTED_VALUE"""),"Creek 51WG")</f>
        <v>Creek 51WG</v>
      </c>
      <c r="K124" s="2" t="str">
        <f>IFERROR(__xludf.DUMMYFUNCTION("""COMPUTED_VALUE"""),"Đóng theo đơn gần nhất")</f>
        <v>Đóng theo đơn gần nhất</v>
      </c>
      <c r="L124" s="2" t="str">
        <f>IFERROR(__xludf.DUMMYFUNCTION("""COMPUTED_VALUE"""),"Dạng cốm Màu vàng nhạt")</f>
        <v>Dạng cốm Màu vàng nhạt</v>
      </c>
      <c r="M124" s="2" t="str">
        <f>IFERROR(__xludf.DUMMYFUNCTION("""COMPUTED_VALUE"""),"Túi/Gói")</f>
        <v>Túi/Gói</v>
      </c>
      <c r="N124" s="142">
        <f>IFERROR(__xludf.DUMMYFUNCTION("""COMPUTED_VALUE"""),300.0)</f>
        <v>300</v>
      </c>
      <c r="O124" s="142">
        <f>IFERROR(__xludf.DUMMYFUNCTION("""COMPUTED_VALUE"""),10.0)</f>
        <v>10</v>
      </c>
      <c r="P124" s="142">
        <f>IFERROR(__xludf.DUMMYFUNCTION("""COMPUTED_VALUE"""),3000.0)</f>
        <v>3000</v>
      </c>
      <c r="Q124" s="143">
        <f>IFERROR(__xludf.DUMMYFUNCTION("""COMPUTED_VALUE"""),46183.0)</f>
        <v>46183</v>
      </c>
      <c r="R124" s="2" t="str">
        <f>IFERROR(__xludf.DUMMYFUNCTION("""COMPUTED_VALUE"""),"x")</f>
        <v>x</v>
      </c>
      <c r="S124" s="142" t="str">
        <f>IFERROR(__xludf.DUMMYFUNCTION("""COMPUTED_VALUE"""),"x")</f>
        <v>x</v>
      </c>
      <c r="T124" s="142" t="str">
        <f>IFERROR(__xludf.DUMMYFUNCTION("""COMPUTED_VALUE"""),"x")</f>
        <v>x</v>
      </c>
      <c r="U124" s="142" t="str">
        <f>IFERROR(__xludf.DUMMYFUNCTION("""COMPUTED_VALUE"""),"x")</f>
        <v>x</v>
      </c>
      <c r="V124" s="142">
        <f>IFERROR(__xludf.DUMMYFUNCTION("""COMPUTED_VALUE"""),9.0)</f>
        <v>9</v>
      </c>
      <c r="W124" s="2" t="str">
        <f>IFERROR(__xludf.DUMMYFUNCTION("""COMPUTED_VALUE"""),"x - Giá bán x - Ngày dự kiến thu tiền: x - Dự kiến ngày ra hết hàng: 30 ngày")</f>
        <v>x - Giá bán x - Ngày dự kiến thu tiền: x - Dự kiến ngày ra hết hàng: 30 ngày</v>
      </c>
      <c r="X124" s="2"/>
      <c r="Y124" s="2" t="str">
        <f>IFERROR(__xludf.DUMMYFUNCTION("""COMPUTED_VALUE"""),"Hà Long")</f>
        <v>Hà Long</v>
      </c>
      <c r="Z124" s="2" t="str">
        <f>IFERROR(__xludf.DUMMYFUNCTION("""COMPUTED_VALUE"""),"Chưa gửi đơn")</f>
        <v>Chưa gửi đơn</v>
      </c>
      <c r="AA124" s="2"/>
      <c r="AB124" s="2" t="str">
        <f>IFERROR(__xludf.DUMMYFUNCTION("""COMPUTED_VALUE"""),"02/06 chưa đủ BTP chưa gửi đơn được")</f>
        <v>02/06 chưa đủ BTP chưa gửi đơn được</v>
      </c>
      <c r="AC124" s="146">
        <f>IFERROR(__xludf.DUMMYFUNCTION("""COMPUTED_VALUE"""),3000.0)</f>
        <v>3000</v>
      </c>
      <c r="AD124" s="2"/>
      <c r="AE124" s="143" t="str">
        <f>IFERROR(__xludf.DUMMYFUNCTION("""COMPUTED_VALUE"""),"Chưa chốt lịch")</f>
        <v>Chưa chốt lịch</v>
      </c>
      <c r="AF124" s="146" t="str">
        <f>IFERROR(__xludf.DUMMYFUNCTION("""COMPUTED_VALUE"""),"")</f>
        <v/>
      </c>
      <c r="AG124" s="2"/>
      <c r="AH124" s="2"/>
      <c r="AI124" s="2"/>
      <c r="AJ124" s="2"/>
      <c r="AK124" s="2"/>
      <c r="AL124" s="2"/>
      <c r="AM124" s="2"/>
      <c r="AN124" s="2"/>
      <c r="AO124" s="2"/>
      <c r="AP124" s="2"/>
      <c r="AQ124" s="2"/>
      <c r="AR124" s="2"/>
      <c r="AS124" s="2"/>
      <c r="AT124" s="2"/>
      <c r="AU124" s="2"/>
      <c r="AV124" s="2"/>
      <c r="AW124" s="2"/>
      <c r="AX124" s="2"/>
      <c r="AY124" s="2"/>
      <c r="AZ124" s="2"/>
      <c r="BA124" s="2"/>
      <c r="BB124" s="2" t="str">
        <f>IFERROR(__xludf.DUMMYFUNCTION("""COMPUTED_VALUE"""),"Duyệt")</f>
        <v>Duyệt</v>
      </c>
      <c r="BC124" s="143">
        <f>IFERROR(__xludf.DUMMYFUNCTION("""COMPUTED_VALUE"""),46175.0)</f>
        <v>46175</v>
      </c>
      <c r="BD124" s="2" t="str">
        <f>IFERROR(__xludf.DUMMYFUNCTION("""COMPUTED_VALUE"""),"Chờ duyệt")</f>
        <v>Chờ duyệt</v>
      </c>
      <c r="BE124" s="2"/>
      <c r="BF124" s="2" t="str">
        <f>IFERROR(__xludf.DUMMYFUNCTION("""COMPUTED_VALUE"""),"Chưa đủ BTP")</f>
        <v>Chưa đủ BTP</v>
      </c>
      <c r="BG124" s="2" t="str">
        <f>IFERROR(__xludf.DUMMYFUNCTION("""COMPUTED_VALUE"""),"Đóng theo đơn gần nhất Dạng cốm Màu vàng nhạt chưa có giá bán khách hàng 1/6/2026
Đơn hàng cần 90kg lượng tồn 68kg không đủ BTP đóng đơn đang báo KD")</f>
        <v>Đóng theo đơn gần nhất Dạng cốm Màu vàng nhạt chưa có giá bán khách hàng 1/6/2026
Đơn hàng cần 90kg lượng tồn 68kg không đủ BTP đóng đơn đang báo KD</v>
      </c>
      <c r="BH124" s="2"/>
      <c r="BI124" s="2"/>
      <c r="BJ124" s="2"/>
      <c r="BK124" s="2"/>
      <c r="BL124" s="2"/>
      <c r="BM124" s="2"/>
      <c r="BN124" s="2"/>
      <c r="BO124" s="2"/>
      <c r="BP124" s="2"/>
      <c r="BQ124" s="2"/>
    </row>
    <row r="125">
      <c r="A125" s="2">
        <f>IFERROR(__xludf.DUMMYFUNCTION("""COMPUTED_VALUE"""),122.0)</f>
        <v>122</v>
      </c>
      <c r="B125" s="2" t="str">
        <f>IFERROR(__xludf.DUMMYFUNCTION("""COMPUTED_VALUE"""),"Hà Long")</f>
        <v>Hà Long</v>
      </c>
      <c r="C125" s="2" t="str">
        <f>IFERROR(__xludf.DUMMYFUNCTION("""COMPUTED_VALUE"""),"ITP02062601")</f>
        <v>ITP02062601</v>
      </c>
      <c r="D125" s="39">
        <f>IFERROR(__xludf.DUMMYFUNCTION("""COMPUTED_VALUE"""),46175.0)</f>
        <v>46175</v>
      </c>
      <c r="E125" s="2"/>
      <c r="F125" s="2" t="str">
        <f>IFERROR(__xludf.DUMMYFUNCTION("""COMPUTED_VALUE"""),"IDA")</f>
        <v>IDA</v>
      </c>
      <c r="G125" s="2" t="str">
        <f>IFERROR(__xludf.DUMMYFUNCTION("""COMPUTED_VALUE"""),"HH5063")</f>
        <v>HH5063</v>
      </c>
      <c r="H125" s="2" t="str">
        <f>IFERROR(__xludf.DUMMYFUNCTION("""COMPUTED_VALUE"""),"IDA Global - I - 5063 - Cty Agronet - Genol 1.2SL (Nước đỏ) - 350ml - 40")</f>
        <v>IDA Global - I - 5063 - Cty Agronet - Genol 1.2SL (Nước đỏ) - 350ml - 40</v>
      </c>
      <c r="I125" s="2" t="str">
        <f>IFERROR(__xludf.DUMMYFUNCTION("""COMPUTED_VALUE"""),"Thuốc trừ bệnh")</f>
        <v>Thuốc trừ bệnh</v>
      </c>
      <c r="J125" s="142" t="str">
        <f>IFERROR(__xludf.DUMMYFUNCTION("""COMPUTED_VALUE"""),"GENOL 1.2SL")</f>
        <v>GENOL 1.2SL</v>
      </c>
      <c r="K125" s="2" t="str">
        <f>IFERROR(__xludf.DUMMYFUNCTION("""COMPUTED_VALUE"""),"Chung Ruột HH4858 
GENOL 1.2SL - V1 ĐỎ TƯƠI")</f>
        <v>Chung Ruột HH4858 
GENOL 1.2SL - V1 ĐỎ TƯƠI</v>
      </c>
      <c r="L125" s="2" t="str">
        <f>IFERROR(__xludf.DUMMYFUNCTION("""COMPUTED_VALUE"""),"Nước đỏ")</f>
        <v>Nước đỏ</v>
      </c>
      <c r="M125" s="2" t="str">
        <f>IFERROR(__xludf.DUMMYFUNCTION("""COMPUTED_VALUE"""),"Chai")</f>
        <v>Chai</v>
      </c>
      <c r="N125" s="142">
        <f>IFERROR(__xludf.DUMMYFUNCTION("""COMPUTED_VALUE"""),40.0)</f>
        <v>40</v>
      </c>
      <c r="O125" s="142">
        <f>IFERROR(__xludf.DUMMYFUNCTION("""COMPUTED_VALUE"""),10.0)</f>
        <v>10</v>
      </c>
      <c r="P125" s="142">
        <f>IFERROR(__xludf.DUMMYFUNCTION("""COMPUTED_VALUE"""),400.0)</f>
        <v>400</v>
      </c>
      <c r="Q125" s="143">
        <f>IFERROR(__xludf.DUMMYFUNCTION("""COMPUTED_VALUE"""),46183.0)</f>
        <v>46183</v>
      </c>
      <c r="R125" s="2" t="str">
        <f>IFERROR(__xludf.DUMMYFUNCTION("""COMPUTED_VALUE"""),"x")</f>
        <v>x</v>
      </c>
      <c r="S125" s="142" t="str">
        <f>IFERROR(__xludf.DUMMYFUNCTION("""COMPUTED_VALUE"""),"Thùng rộng, SX y/c nhà máy chiêm giấy vào thùng cho chắc, tránh đổ ngã thuốc khi nhận")</f>
        <v>Thùng rộng, SX y/c nhà máy chiêm giấy vào thùng cho chắc, tránh đổ ngã thuốc khi nhận</v>
      </c>
      <c r="T125" s="142" t="str">
        <f>IFERROR(__xludf.DUMMYFUNCTION("""COMPUTED_VALUE"""),"x")</f>
        <v>x</v>
      </c>
      <c r="U125" s="142" t="str">
        <f>IFERROR(__xludf.DUMMYFUNCTION("""COMPUTED_VALUE"""),"x")</f>
        <v>x</v>
      </c>
      <c r="V125" s="142">
        <f>IFERROR(__xludf.DUMMYFUNCTION("""COMPUTED_VALUE"""),8.0)</f>
        <v>8</v>
      </c>
      <c r="W125" s="2" t="str">
        <f>IFERROR(__xludf.DUMMYFUNCTION("""COMPUTED_VALUE"""),"x - Giá bán 63500 - Ngày dự kiến thu tiền: x - Dự kiến ngày ra hết hàng: 30 ngày")</f>
        <v>x - Giá bán 63500 - Ngày dự kiến thu tiền: x - Dự kiến ngày ra hết hàng: 30 ngày</v>
      </c>
      <c r="X125" s="2"/>
      <c r="Y125" s="2" t="str">
        <f>IFERROR(__xludf.DUMMYFUNCTION("""COMPUTED_VALUE"""),"Hà Long")</f>
        <v>Hà Long</v>
      </c>
      <c r="Z125" s="2" t="str">
        <f>IFERROR(__xludf.DUMMYFUNCTION("""COMPUTED_VALUE"""),"Chưa có lịch SX")</f>
        <v>Chưa có lịch SX</v>
      </c>
      <c r="AA125" s="2"/>
      <c r="AB125" s="2" t="str">
        <f>IFERROR(__xludf.DUMMYFUNCTION("""COMPUTED_VALUE"""),"03/06 Thiếu nhãn KH 8/6")</f>
        <v>03/06 Thiếu nhãn KH 8/6</v>
      </c>
      <c r="AC125" s="146">
        <f>IFERROR(__xludf.DUMMYFUNCTION("""COMPUTED_VALUE"""),400.0)</f>
        <v>400</v>
      </c>
      <c r="AD125" s="2"/>
      <c r="AE125" s="143" t="str">
        <f>IFERROR(__xludf.DUMMYFUNCTION("""COMPUTED_VALUE"""),"Chưa chốt lịch")</f>
        <v>Chưa chốt lịch</v>
      </c>
      <c r="AF125" s="146" t="str">
        <f>IFERROR(__xludf.DUMMYFUNCTION("""COMPUTED_VALUE"""),"")</f>
        <v/>
      </c>
      <c r="AG125" s="2"/>
      <c r="AH125" s="2"/>
      <c r="AI125" s="2"/>
      <c r="AJ125" s="2"/>
      <c r="AK125" s="2"/>
      <c r="AL125" s="2"/>
      <c r="AM125" s="2"/>
      <c r="AN125" s="2"/>
      <c r="AO125" s="2"/>
      <c r="AP125" s="2"/>
      <c r="AQ125" s="2"/>
      <c r="AR125" s="2"/>
      <c r="AS125" s="2"/>
      <c r="AT125" s="2"/>
      <c r="AU125" s="2"/>
      <c r="AV125" s="2"/>
      <c r="AW125" s="2"/>
      <c r="AX125" s="2"/>
      <c r="AY125" s="2"/>
      <c r="AZ125" s="2"/>
      <c r="BA125" s="2"/>
      <c r="BB125" s="2" t="str">
        <f>IFERROR(__xludf.DUMMYFUNCTION("""COMPUTED_VALUE"""),"Duyệt")</f>
        <v>Duyệt</v>
      </c>
      <c r="BC125" s="143">
        <f>IFERROR(__xludf.DUMMYFUNCTION("""COMPUTED_VALUE"""),46175.0)</f>
        <v>46175</v>
      </c>
      <c r="BD125" s="2" t="str">
        <f>IFERROR(__xludf.DUMMYFUNCTION("""COMPUTED_VALUE"""),"Chờ duyệt")</f>
        <v>Chờ duyệt</v>
      </c>
      <c r="BE125" s="143">
        <f>IFERROR(__xludf.DUMMYFUNCTION("""COMPUTED_VALUE"""),46177.0)</f>
        <v>46177</v>
      </c>
      <c r="BF125" s="2" t="str">
        <f>IFERROR(__xludf.DUMMYFUNCTION("""COMPUTED_VALUE"""),"Đã xử lí giá")</f>
        <v>Đã xử lí giá</v>
      </c>
      <c r="BG125" s="2" t="str">
        <f>IFERROR(__xludf.DUMMYFUNCTION("""COMPUTED_VALUE"""),"Chung Ruột HH4858 
GENOL 1.2SL - V1 ĐỎ TƯƠI Nước đỏ 63,500đ 2/6/2026")</f>
        <v>Chung Ruột HH4858 
GENOL 1.2SL - V1 ĐỎ TƯƠI Nước đỏ 63,500đ 2/6/2026</v>
      </c>
      <c r="BH125" s="2"/>
      <c r="BI125" s="2"/>
      <c r="BJ125" s="2"/>
      <c r="BK125" s="2"/>
      <c r="BL125" s="2"/>
      <c r="BM125" s="2"/>
      <c r="BN125" s="2"/>
      <c r="BO125" s="2"/>
      <c r="BP125" s="2"/>
      <c r="BQ125" s="2"/>
    </row>
    <row r="126">
      <c r="A126" s="2">
        <f>IFERROR(__xludf.DUMMYFUNCTION("""COMPUTED_VALUE"""),123.0)</f>
        <v>123</v>
      </c>
      <c r="B126" s="2" t="str">
        <f>IFERROR(__xludf.DUMMYFUNCTION("""COMPUTED_VALUE"""),"An Nông")</f>
        <v>An Nông</v>
      </c>
      <c r="C126" s="2" t="str">
        <f>IFERROR(__xludf.DUMMYFUNCTION("""COMPUTED_VALUE"""),"ITP02062602")</f>
        <v>ITP02062602</v>
      </c>
      <c r="D126" s="39">
        <f>IFERROR(__xludf.DUMMYFUNCTION("""COMPUTED_VALUE"""),46175.0)</f>
        <v>46175</v>
      </c>
      <c r="E126" s="2"/>
      <c r="F126" s="2" t="str">
        <f>IFERROR(__xludf.DUMMYFUNCTION("""COMPUTED_VALUE"""),"IDA")</f>
        <v>IDA</v>
      </c>
      <c r="G126" s="2" t="str">
        <f>IFERROR(__xludf.DUMMYFUNCTION("""COMPUTED_VALUE"""),"HH1858")</f>
        <v>HH1858</v>
      </c>
      <c r="H126" s="2" t="str">
        <f>IFERROR(__xludf.DUMMYFUNCTION("""COMPUTED_VALUE"""),"IDA Global - I - 1858 - Cty Agronet - Vatino Super 525SE (nước cam sữa) - 350ml - 40")</f>
        <v>IDA Global - I - 1858 - Cty Agronet - Vatino Super 525SE (nước cam sữa) - 350ml - 40</v>
      </c>
      <c r="I126" s="2" t="str">
        <f>IFERROR(__xludf.DUMMYFUNCTION("""COMPUTED_VALUE"""),"Thuốc trừ bệnh")</f>
        <v>Thuốc trừ bệnh</v>
      </c>
      <c r="J126" s="142" t="str">
        <f>IFERROR(__xludf.DUMMYFUNCTION("""COMPUTED_VALUE"""),"VATINO SUPER 525SE")</f>
        <v>VATINO SUPER 525SE</v>
      </c>
      <c r="K126" s="2" t="str">
        <f>IFERROR(__xludf.DUMMYFUNCTION("""COMPUTED_VALUE"""),"Chung ruột HH2401")</f>
        <v>Chung ruột HH2401</v>
      </c>
      <c r="L126" s="2" t="str">
        <f>IFERROR(__xludf.DUMMYFUNCTION("""COMPUTED_VALUE"""),"Nước cam sữa")</f>
        <v>Nước cam sữa</v>
      </c>
      <c r="M126" s="2" t="str">
        <f>IFERROR(__xludf.DUMMYFUNCTION("""COMPUTED_VALUE"""),"Chai")</f>
        <v>Chai</v>
      </c>
      <c r="N126" s="142">
        <f>IFERROR(__xludf.DUMMYFUNCTION("""COMPUTED_VALUE"""),40.0)</f>
        <v>40</v>
      </c>
      <c r="O126" s="142">
        <f>IFERROR(__xludf.DUMMYFUNCTION("""COMPUTED_VALUE"""),10.0)</f>
        <v>10</v>
      </c>
      <c r="P126" s="142">
        <f>IFERROR(__xludf.DUMMYFUNCTION("""COMPUTED_VALUE"""),400.0)</f>
        <v>400</v>
      </c>
      <c r="Q126" s="143">
        <f>IFERROR(__xludf.DUMMYFUNCTION("""COMPUTED_VALUE"""),46185.0)</f>
        <v>46185</v>
      </c>
      <c r="R126" s="2" t="str">
        <f>IFERROR(__xludf.DUMMYFUNCTION("""COMPUTED_VALUE"""),"x")</f>
        <v>x</v>
      </c>
      <c r="S126" s="142" t="str">
        <f>IFERROR(__xludf.DUMMYFUNCTION("""COMPUTED_VALUE"""),"Thùng rộng, SX y/c nhà máy chiêm giấy vào thùng cho chắc, tránh đổ ngã thuốc khi nhận")</f>
        <v>Thùng rộng, SX y/c nhà máy chiêm giấy vào thùng cho chắc, tránh đổ ngã thuốc khi nhận</v>
      </c>
      <c r="T126" s="142" t="str">
        <f>IFERROR(__xludf.DUMMYFUNCTION("""COMPUTED_VALUE"""),"x")</f>
        <v>x</v>
      </c>
      <c r="U126" s="142" t="str">
        <f>IFERROR(__xludf.DUMMYFUNCTION("""COMPUTED_VALUE"""),"x")</f>
        <v>x</v>
      </c>
      <c r="V126" s="142">
        <f>IFERROR(__xludf.DUMMYFUNCTION("""COMPUTED_VALUE"""),10.0)</f>
        <v>10</v>
      </c>
      <c r="W126" s="2" t="str">
        <f>IFERROR(__xludf.DUMMYFUNCTION("""COMPUTED_VALUE"""),"x - Giá bán 188500 - Ngày dự kiến thu tiền: x - Dự kiến ngày ra hết hàng: 30 ngày")</f>
        <v>x - Giá bán 188500 - Ngày dự kiến thu tiền: x - Dự kiến ngày ra hết hàng: 30 ngày</v>
      </c>
      <c r="X126" s="2"/>
      <c r="Y126" s="2" t="str">
        <f>IFERROR(__xludf.DUMMYFUNCTION("""COMPUTED_VALUE"""),"An Nông")</f>
        <v>An Nông</v>
      </c>
      <c r="Z126" s="2" t="str">
        <f>IFERROR(__xludf.DUMMYFUNCTION("""COMPUTED_VALUE"""),"Chưa gửi đơn")</f>
        <v>Chưa gửi đơn</v>
      </c>
      <c r="AA126" s="2"/>
      <c r="AB126" s="2"/>
      <c r="AC126" s="146">
        <f>IFERROR(__xludf.DUMMYFUNCTION("""COMPUTED_VALUE"""),400.0)</f>
        <v>400</v>
      </c>
      <c r="AD126" s="2"/>
      <c r="AE126" s="143" t="str">
        <f>IFERROR(__xludf.DUMMYFUNCTION("""COMPUTED_VALUE"""),"Chưa chốt lịch")</f>
        <v>Chưa chốt lịch</v>
      </c>
      <c r="AF126" s="146" t="str">
        <f>IFERROR(__xludf.DUMMYFUNCTION("""COMPUTED_VALUE"""),"")</f>
        <v/>
      </c>
      <c r="AG126" s="2"/>
      <c r="AH126" s="2"/>
      <c r="AI126" s="2"/>
      <c r="AJ126" s="2"/>
      <c r="AK126" s="2"/>
      <c r="AL126" s="2"/>
      <c r="AM126" s="2"/>
      <c r="AN126" s="2"/>
      <c r="AO126" s="2"/>
      <c r="AP126" s="2"/>
      <c r="AQ126" s="2"/>
      <c r="AR126" s="2"/>
      <c r="AS126" s="2"/>
      <c r="AT126" s="2"/>
      <c r="AU126" s="2"/>
      <c r="AV126" s="2"/>
      <c r="AW126" s="2"/>
      <c r="AX126" s="2"/>
      <c r="AY126" s="2"/>
      <c r="AZ126" s="2"/>
      <c r="BA126" s="2" t="str">
        <f>IFERROR(__xludf.DUMMYFUNCTION("""COMPUTED_VALUE"""),"Không đủ điều kiện")</f>
        <v>Không đủ điều kiện</v>
      </c>
      <c r="BB126" s="2" t="str">
        <f>IFERROR(__xludf.DUMMYFUNCTION("""COMPUTED_VALUE"""),"Duyệt")</f>
        <v>Duyệt</v>
      </c>
      <c r="BC126" s="148">
        <f>IFERROR(__xludf.DUMMYFUNCTION("""COMPUTED_VALUE"""),46177.0)</f>
        <v>46177</v>
      </c>
      <c r="BD126" s="2" t="str">
        <f>IFERROR(__xludf.DUMMYFUNCTION("""COMPUTED_VALUE"""),"Duyệt")</f>
        <v>Duyệt</v>
      </c>
      <c r="BE126" s="2" t="str">
        <f>IFERROR(__xludf.DUMMYFUNCTION("""COMPUTED_VALUE"""),"xlg 02/06
04/06")</f>
        <v>xlg 02/06
04/06</v>
      </c>
      <c r="BF126" s="2" t="str">
        <f>IFERROR(__xludf.DUMMYFUNCTION("""COMPUTED_VALUE"""),"Đã xử lí giá")</f>
        <v>Đã xử lí giá</v>
      </c>
      <c r="BG126" s="2" t="str">
        <f>IFERROR(__xludf.DUMMYFUNCTION("""COMPUTED_VALUE"""),"Chung ruột HH2401 Nước cam sữa 188,500đ 2/6/2026")</f>
        <v>Chung ruột HH2401 Nước cam sữa 188,500đ 2/6/2026</v>
      </c>
      <c r="BH126" s="2"/>
      <c r="BI126" s="2"/>
      <c r="BJ126" s="2"/>
      <c r="BK126" s="2"/>
      <c r="BL126" s="2"/>
      <c r="BM126" s="2"/>
      <c r="BN126" s="2"/>
      <c r="BO126" s="2"/>
      <c r="BP126" s="2"/>
      <c r="BQ126" s="2"/>
    </row>
    <row r="127">
      <c r="A127" s="2">
        <f>IFERROR(__xludf.DUMMYFUNCTION("""COMPUTED_VALUE"""),124.0)</f>
        <v>124</v>
      </c>
      <c r="B127" s="2" t="str">
        <f>IFERROR(__xludf.DUMMYFUNCTION("""COMPUTED_VALUE"""),"An Nông")</f>
        <v>An Nông</v>
      </c>
      <c r="C127" s="2" t="str">
        <f>IFERROR(__xludf.DUMMYFUNCTION("""COMPUTED_VALUE"""),"ITP02062603")</f>
        <v>ITP02062603</v>
      </c>
      <c r="D127" s="39">
        <f>IFERROR(__xludf.DUMMYFUNCTION("""COMPUTED_VALUE"""),46175.0)</f>
        <v>46175</v>
      </c>
      <c r="E127" s="2"/>
      <c r="F127" s="2" t="str">
        <f>IFERROR(__xludf.DUMMYFUNCTION("""COMPUTED_VALUE"""),"IDA")</f>
        <v>IDA</v>
      </c>
      <c r="G127" s="2" t="str">
        <f>IFERROR(__xludf.DUMMYFUNCTION("""COMPUTED_VALUE"""),"HH4803")</f>
        <v>HH4803</v>
      </c>
      <c r="H127" s="2" t="str">
        <f>IFERROR(__xludf.DUMMYFUNCTION("""COMPUTED_VALUE"""),"IDA Global - I - 4803 - Vatino Super 525SE (nước cam sữa) - 480ml - 40")</f>
        <v>IDA Global - I - 4803 - Vatino Super 525SE (nước cam sữa) - 480ml - 40</v>
      </c>
      <c r="I127" s="2" t="str">
        <f>IFERROR(__xludf.DUMMYFUNCTION("""COMPUTED_VALUE"""),"Thuốc trừ bệnh")</f>
        <v>Thuốc trừ bệnh</v>
      </c>
      <c r="J127" s="142" t="str">
        <f>IFERROR(__xludf.DUMMYFUNCTION("""COMPUTED_VALUE"""),"VATINO SUPER 525SE")</f>
        <v>VATINO SUPER 525SE</v>
      </c>
      <c r="K127" s="2" t="str">
        <f>IFERROR(__xludf.DUMMYFUNCTION("""COMPUTED_VALUE"""),"Chung ruột HH2401")</f>
        <v>Chung ruột HH2401</v>
      </c>
      <c r="L127" s="2" t="str">
        <f>IFERROR(__xludf.DUMMYFUNCTION("""COMPUTED_VALUE"""),"Nước cam sữa")</f>
        <v>Nước cam sữa</v>
      </c>
      <c r="M127" s="2" t="str">
        <f>IFERROR(__xludf.DUMMYFUNCTION("""COMPUTED_VALUE"""),"Chai")</f>
        <v>Chai</v>
      </c>
      <c r="N127" s="142">
        <f>IFERROR(__xludf.DUMMYFUNCTION("""COMPUTED_VALUE"""),40.0)</f>
        <v>40</v>
      </c>
      <c r="O127" s="142">
        <f>IFERROR(__xludf.DUMMYFUNCTION("""COMPUTED_VALUE"""),20.0)</f>
        <v>20</v>
      </c>
      <c r="P127" s="142">
        <f>IFERROR(__xludf.DUMMYFUNCTION("""COMPUTED_VALUE"""),800.0)</f>
        <v>800</v>
      </c>
      <c r="Q127" s="143">
        <f>IFERROR(__xludf.DUMMYFUNCTION("""COMPUTED_VALUE"""),46185.0)</f>
        <v>46185</v>
      </c>
      <c r="R127" s="2" t="str">
        <f>IFERROR(__xludf.DUMMYFUNCTION("""COMPUTED_VALUE"""),"x")</f>
        <v>x</v>
      </c>
      <c r="S127" s="142" t="str">
        <f>IFERROR(__xludf.DUMMYFUNCTION("""COMPUTED_VALUE"""),"x")</f>
        <v>x</v>
      </c>
      <c r="T127" s="142" t="str">
        <f>IFERROR(__xludf.DUMMYFUNCTION("""COMPUTED_VALUE"""),"x")</f>
        <v>x</v>
      </c>
      <c r="U127" s="142" t="str">
        <f>IFERROR(__xludf.DUMMYFUNCTION("""COMPUTED_VALUE"""),"x")</f>
        <v>x</v>
      </c>
      <c r="V127" s="142">
        <f>IFERROR(__xludf.DUMMYFUNCTION("""COMPUTED_VALUE"""),10.0)</f>
        <v>10</v>
      </c>
      <c r="W127" s="2" t="str">
        <f>IFERROR(__xludf.DUMMYFUNCTION("""COMPUTED_VALUE"""),"x - Giá bán 355000 - Ngày dự kiến thu tiền: x - Dự kiến ngày ra hết hàng: 30 ngày")</f>
        <v>x - Giá bán 355000 - Ngày dự kiến thu tiền: x - Dự kiến ngày ra hết hàng: 30 ngày</v>
      </c>
      <c r="X127" s="2"/>
      <c r="Y127" s="2" t="str">
        <f>IFERROR(__xludf.DUMMYFUNCTION("""COMPUTED_VALUE"""),"An Nông")</f>
        <v>An Nông</v>
      </c>
      <c r="Z127" s="2" t="str">
        <f>IFERROR(__xludf.DUMMYFUNCTION("""COMPUTED_VALUE"""),"Chưa gửi đơn")</f>
        <v>Chưa gửi đơn</v>
      </c>
      <c r="AA127" s="2"/>
      <c r="AB127" s="2"/>
      <c r="AC127" s="146">
        <f>IFERROR(__xludf.DUMMYFUNCTION("""COMPUTED_VALUE"""),800.0)</f>
        <v>800</v>
      </c>
      <c r="AD127" s="2"/>
      <c r="AE127" s="143" t="str">
        <f>IFERROR(__xludf.DUMMYFUNCTION("""COMPUTED_VALUE"""),"Chưa chốt lịch")</f>
        <v>Chưa chốt lịch</v>
      </c>
      <c r="AF127" s="146" t="str">
        <f>IFERROR(__xludf.DUMMYFUNCTION("""COMPUTED_VALUE"""),"")</f>
        <v/>
      </c>
      <c r="AG127" s="2"/>
      <c r="AH127" s="2"/>
      <c r="AI127" s="2"/>
      <c r="AJ127" s="2"/>
      <c r="AK127" s="2"/>
      <c r="AL127" s="2"/>
      <c r="AM127" s="2"/>
      <c r="AN127" s="2"/>
      <c r="AO127" s="2"/>
      <c r="AP127" s="2"/>
      <c r="AQ127" s="2"/>
      <c r="AR127" s="2"/>
      <c r="AS127" s="2"/>
      <c r="AT127" s="2"/>
      <c r="AU127" s="2"/>
      <c r="AV127" s="2"/>
      <c r="AW127" s="2"/>
      <c r="AX127" s="2"/>
      <c r="AY127" s="2"/>
      <c r="AZ127" s="2"/>
      <c r="BA127" s="2" t="str">
        <f>IFERROR(__xludf.DUMMYFUNCTION("""COMPUTED_VALUE"""),"Không đủ điều kiện")</f>
        <v>Không đủ điều kiện</v>
      </c>
      <c r="BB127" s="2" t="str">
        <f>IFERROR(__xludf.DUMMYFUNCTION("""COMPUTED_VALUE"""),"Duyệt")</f>
        <v>Duyệt</v>
      </c>
      <c r="BC127" s="148">
        <f>IFERROR(__xludf.DUMMYFUNCTION("""COMPUTED_VALUE"""),46177.0)</f>
        <v>46177</v>
      </c>
      <c r="BD127" s="2" t="str">
        <f>IFERROR(__xludf.DUMMYFUNCTION("""COMPUTED_VALUE"""),"Duyệt")</f>
        <v>Duyệt</v>
      </c>
      <c r="BE127" s="2" t="str">
        <f>IFERROR(__xludf.DUMMYFUNCTION("""COMPUTED_VALUE"""),"xlg 02/06
04/06")</f>
        <v>xlg 02/06
04/06</v>
      </c>
      <c r="BF127" s="2" t="str">
        <f>IFERROR(__xludf.DUMMYFUNCTION("""COMPUTED_VALUE"""),"Đã xử lí giá")</f>
        <v>Đã xử lí giá</v>
      </c>
      <c r="BG127" s="2" t="str">
        <f>IFERROR(__xludf.DUMMYFUNCTION("""COMPUTED_VALUE"""),"Chung ruột HH2401 Nước cam sữa 355,000đ 2/6/2026")</f>
        <v>Chung ruột HH2401 Nước cam sữa 355,000đ 2/6/2026</v>
      </c>
      <c r="BH127" s="2"/>
      <c r="BI127" s="2"/>
      <c r="BJ127" s="2"/>
      <c r="BK127" s="2"/>
      <c r="BL127" s="2"/>
      <c r="BM127" s="2"/>
      <c r="BN127" s="2"/>
      <c r="BO127" s="2"/>
      <c r="BP127" s="2"/>
      <c r="BQ127" s="2"/>
    </row>
    <row r="128">
      <c r="A128" s="2">
        <f>IFERROR(__xludf.DUMMYFUNCTION("""COMPUTED_VALUE"""),125.0)</f>
        <v>125</v>
      </c>
      <c r="B128" s="2" t="str">
        <f>IFERROR(__xludf.DUMMYFUNCTION("""COMPUTED_VALUE"""),"Hà Long")</f>
        <v>Hà Long</v>
      </c>
      <c r="C128" s="2" t="str">
        <f>IFERROR(__xludf.DUMMYFUNCTION("""COMPUTED_VALUE"""),"ATP02062602")</f>
        <v>ATP02062602</v>
      </c>
      <c r="D128" s="39">
        <f>IFERROR(__xludf.DUMMYFUNCTION("""COMPUTED_VALUE"""),46175.0)</f>
        <v>46175</v>
      </c>
      <c r="E128" s="2" t="str">
        <f>IFERROR(__xludf.DUMMYFUNCTION("""COMPUTED_VALUE"""),"Đã duyệt")</f>
        <v>Đã duyệt</v>
      </c>
      <c r="F128" s="2" t="str">
        <f>IFERROR(__xludf.DUMMYFUNCTION("""COMPUTED_VALUE"""),"ABA")</f>
        <v>ABA</v>
      </c>
      <c r="G128" s="2" t="str">
        <f>IFERROR(__xludf.DUMMYFUNCTION("""COMPUTED_VALUE"""),"HH3934")</f>
        <v>HH3934</v>
      </c>
      <c r="H128" s="2" t="str">
        <f>IFERROR(__xludf.DUMMYFUNCTION("""COMPUTED_VALUE"""),"GC - V - 3934 - TRẦN GIA - KIM CƯƠNG (Nước vàng trà) - 240ml - 40")</f>
        <v>GC - V - 3934 - TRẦN GIA - KIM CƯƠNG (Nước vàng trà) - 240ml - 40</v>
      </c>
      <c r="I128" s="2" t="str">
        <f>IFERROR(__xludf.DUMMYFUNCTION("""COMPUTED_VALUE"""),"Thuốc trừ sâu")</f>
        <v>Thuốc trừ sâu</v>
      </c>
      <c r="J128" s="142" t="str">
        <f>IFERROR(__xludf.DUMMYFUNCTION("""COMPUTED_VALUE"""),"AMICOL 360EC")</f>
        <v>AMICOL 360EC</v>
      </c>
      <c r="K128" s="2" t="str">
        <f>IFERROR(__xludf.DUMMYFUNCTION("""COMPUTED_VALUE"""),"DÒNG V1")</f>
        <v>DÒNG V1</v>
      </c>
      <c r="L128" s="2" t="str">
        <f>IFERROR(__xludf.DUMMYFUNCTION("""COMPUTED_VALUE"""),"Nước vàng trà")</f>
        <v>Nước vàng trà</v>
      </c>
      <c r="M128" s="2" t="str">
        <f>IFERROR(__xludf.DUMMYFUNCTION("""COMPUTED_VALUE"""),"Chai")</f>
        <v>Chai</v>
      </c>
      <c r="N128" s="142">
        <f>IFERROR(__xludf.DUMMYFUNCTION("""COMPUTED_VALUE"""),40.0)</f>
        <v>40</v>
      </c>
      <c r="O128" s="142">
        <f>IFERROR(__xludf.DUMMYFUNCTION("""COMPUTED_VALUE"""),10.0)</f>
        <v>10</v>
      </c>
      <c r="P128" s="142">
        <f>IFERROR(__xludf.DUMMYFUNCTION("""COMPUTED_VALUE"""),400.0)</f>
        <v>400</v>
      </c>
      <c r="Q128" s="143">
        <f>IFERROR(__xludf.DUMMYFUNCTION("""COMPUTED_VALUE"""),46185.0)</f>
        <v>46185</v>
      </c>
      <c r="R128" s="2"/>
      <c r="S128" s="142" t="str">
        <f>IFERROR(__xludf.DUMMYFUNCTION("""COMPUTED_VALUE"""),"CHUẨN BỊ HOÁ ĐƠN
-        Ngày sản xuất đóng đúng vị trí trên nhãn. (không đóng trên nắp chai)
-        Thùng cứng cáp, quy cách: 240ml*40 chai
-        Thêm 2 lớp carton: 1 lớp dưới đáy, 1lớp trên mặt. Để tăng độ cứng cáp, tránh ca"&amp;"́c chai va đập vào nhau. Vì lần trước chai nhôm nhưng vẫn bị móp chai.
-        Nhãn dán keo gọn gàng, không lem
- Chú ý đơn trước có mốp chai
- CÓ MÀN CO")</f>
        <v>CHUẨN BỊ HOÁ ĐƠN
-        Ngày sản xuất đóng đúng vị trí trên nhãn. (không đóng trên nắp chai)
-        Thùng cứng cáp, quy cách: 240ml*40 chai
-        Thêm 2 lớp carton: 1 lớp dưới đáy, 1lớp trên mặt. Để tăng độ cứng cáp, tránh các chai va đập vào nhau. Vì lần trước chai nhôm nhưng vẫn bị móp chai.
-        Nhãn dán keo gọn gàng, không lem
- Chú ý đơn trước có mốp chai
- CÓ MÀN CO</v>
      </c>
      <c r="T128" s="2"/>
      <c r="U128" s="2"/>
      <c r="V128" s="2"/>
      <c r="W128" s="2" t="str">
        <f>IFERROR(__xludf.DUMMYFUNCTION("""COMPUTED_VALUE"""),"TRẦN GIA - Giá bán 70000 - Ngày dự kiến thu tiền:  - Dự kiến ngày ra hết hàng: ")</f>
        <v>TRẦN GIA - Giá bán 70000 - Ngày dự kiến thu tiền:  - Dự kiến ngày ra hết hàng: </v>
      </c>
      <c r="X128" s="2"/>
      <c r="Y128" s="2" t="str">
        <f>IFERROR(__xludf.DUMMYFUNCTION("""COMPUTED_VALUE"""),"Hà Long")</f>
        <v>Hà Long</v>
      </c>
      <c r="Z128" s="2" t="str">
        <f>IFERROR(__xludf.DUMMYFUNCTION("""COMPUTED_VALUE"""),"Chưa có lịch SX")</f>
        <v>Chưa có lịch SX</v>
      </c>
      <c r="AA128" s="2"/>
      <c r="AB128" s="2" t="str">
        <f>IFERROR(__xludf.DUMMYFUNCTION("""COMPUTED_VALUE"""),"03/06 thiếu chai chưa có KH")</f>
        <v>03/06 thiếu chai chưa có KH</v>
      </c>
      <c r="AC128" s="146">
        <f>IFERROR(__xludf.DUMMYFUNCTION("""COMPUTED_VALUE"""),400.0)</f>
        <v>400</v>
      </c>
      <c r="AD128" s="2"/>
      <c r="AE128" s="143" t="str">
        <f>IFERROR(__xludf.DUMMYFUNCTION("""COMPUTED_VALUE"""),"Chưa chốt lịch")</f>
        <v>Chưa chốt lịch</v>
      </c>
      <c r="AF128" s="146" t="str">
        <f>IFERROR(__xludf.DUMMYFUNCTION("""COMPUTED_VALUE"""),"")</f>
        <v/>
      </c>
      <c r="AG128" s="2"/>
      <c r="AH128" s="2"/>
      <c r="AI128" s="2"/>
      <c r="AJ128" s="2"/>
      <c r="AK128" s="2"/>
      <c r="AL128" s="2"/>
      <c r="AM128" s="2"/>
      <c r="AN128" s="2"/>
      <c r="AO128" s="2"/>
      <c r="AP128" s="2"/>
      <c r="AQ128" s="2"/>
      <c r="AR128" s="2"/>
      <c r="AS128" s="2"/>
      <c r="AT128" s="2"/>
      <c r="AU128" s="2"/>
      <c r="AV128" s="2"/>
      <c r="AW128" s="2"/>
      <c r="AX128" s="2"/>
      <c r="AY128" s="2"/>
      <c r="AZ128" s="2"/>
      <c r="BA128" s="2"/>
      <c r="BB128" s="2" t="str">
        <f>IFERROR(__xludf.DUMMYFUNCTION("""COMPUTED_VALUE"""),"Duyệt")</f>
        <v>Duyệt</v>
      </c>
      <c r="BC128" s="143">
        <f>IFERROR(__xludf.DUMMYFUNCTION("""COMPUTED_VALUE"""),46175.0)</f>
        <v>46175</v>
      </c>
      <c r="BD128" s="2" t="str">
        <f>IFERROR(__xludf.DUMMYFUNCTION("""COMPUTED_VALUE"""),"Chờ duyệt")</f>
        <v>Chờ duyệt</v>
      </c>
      <c r="BE128" s="143">
        <f>IFERROR(__xludf.DUMMYFUNCTION("""COMPUTED_VALUE"""),46177.0)</f>
        <v>46177</v>
      </c>
      <c r="BF128" s="2" t="str">
        <f>IFERROR(__xludf.DUMMYFUNCTION("""COMPUTED_VALUE"""),"Đã xử lí giá")</f>
        <v>Đã xử lí giá</v>
      </c>
      <c r="BG128" s="2" t="str">
        <f>IFERROR(__xludf.DUMMYFUNCTION("""COMPUTED_VALUE"""),"Dòng V1 Nước vàng trà 70,000đ 2/6/2026")</f>
        <v>Dòng V1 Nước vàng trà 70,000đ 2/6/2026</v>
      </c>
      <c r="BH128" s="2"/>
      <c r="BI128" s="2"/>
      <c r="BJ128" s="2"/>
      <c r="BK128" s="2"/>
      <c r="BL128" s="2"/>
      <c r="BM128" s="2"/>
      <c r="BN128" s="2"/>
      <c r="BO128" s="2"/>
      <c r="BP128" s="2"/>
      <c r="BQ128" s="2"/>
    </row>
    <row r="129">
      <c r="A129" s="2">
        <f>IFERROR(__xludf.DUMMYFUNCTION("""COMPUTED_VALUE"""),126.0)</f>
        <v>126</v>
      </c>
      <c r="B129" s="2" t="str">
        <f>IFERROR(__xludf.DUMMYFUNCTION("""COMPUTED_VALUE"""),"Hà Long")</f>
        <v>Hà Long</v>
      </c>
      <c r="C129" s="2" t="str">
        <f>IFERROR(__xludf.DUMMYFUNCTION("""COMPUTED_VALUE"""),"ATP02062605")</f>
        <v>ATP02062605</v>
      </c>
      <c r="D129" s="39">
        <f>IFERROR(__xludf.DUMMYFUNCTION("""COMPUTED_VALUE"""),46175.0)</f>
        <v>46175</v>
      </c>
      <c r="E129" s="2" t="str">
        <f>IFERROR(__xludf.DUMMYFUNCTION("""COMPUTED_VALUE"""),"Đã duyệt")</f>
        <v>Đã duyệt</v>
      </c>
      <c r="F129" s="2" t="str">
        <f>IFERROR(__xludf.DUMMYFUNCTION("""COMPUTED_VALUE"""),"ABA")</f>
        <v>ABA</v>
      </c>
      <c r="G129" s="2" t="str">
        <f>IFERROR(__xludf.DUMMYFUNCTION("""COMPUTED_VALUE"""),"HH3918")</f>
        <v>HH3918</v>
      </c>
      <c r="H129" s="2" t="str">
        <f>IFERROR(__xludf.DUMMYFUNCTION("""COMPUTED_VALUE"""),"GC - V - 3918 - AGRIPLANT - OXYCIN 100WP (Bột trắng) - 25gr - 300")</f>
        <v>GC - V - 3918 - AGRIPLANT - OXYCIN 100WP (Bột trắng) - 25gr - 300</v>
      </c>
      <c r="I129" s="2" t="str">
        <f>IFERROR(__xludf.DUMMYFUNCTION("""COMPUTED_VALUE"""),"Thuốc trừ bệnh")</f>
        <v>Thuốc trừ bệnh</v>
      </c>
      <c r="J129" s="142" t="str">
        <f>IFERROR(__xludf.DUMMYFUNCTION("""COMPUTED_VALUE"""),"Oxycin 100WP")</f>
        <v>Oxycin 100WP</v>
      </c>
      <c r="K129" s="2" t="str">
        <f>IFERROR(__xludf.DUMMYFUNCTION("""COMPUTED_VALUE"""),"DÒNG V1")</f>
        <v>DÒNG V1</v>
      </c>
      <c r="L129" s="2" t="str">
        <f>IFERROR(__xludf.DUMMYFUNCTION("""COMPUTED_VALUE"""),"Bột trắng")</f>
        <v>Bột trắng</v>
      </c>
      <c r="M129" s="2" t="str">
        <f>IFERROR(__xludf.DUMMYFUNCTION("""COMPUTED_VALUE"""),"Túi/Gói")</f>
        <v>Túi/Gói</v>
      </c>
      <c r="N129" s="142">
        <f>IFERROR(__xludf.DUMMYFUNCTION("""COMPUTED_VALUE"""),300.0)</f>
        <v>300</v>
      </c>
      <c r="O129" s="142">
        <f>IFERROR(__xludf.DUMMYFUNCTION("""COMPUTED_VALUE"""),10.0)</f>
        <v>10</v>
      </c>
      <c r="P129" s="142">
        <f>IFERROR(__xludf.DUMMYFUNCTION("""COMPUTED_VALUE"""),3000.0)</f>
        <v>3000</v>
      </c>
      <c r="Q129" s="143">
        <f>IFERROR(__xludf.DUMMYFUNCTION("""COMPUTED_VALUE"""),46188.0)</f>
        <v>46188</v>
      </c>
      <c r="R129" s="2"/>
      <c r="S129" s="142" t="str">
        <f>IFERROR(__xludf.DUMMYFUNCTION("""COMPUTED_VALUE"""),"lấy chẳn thùng")</f>
        <v>lấy chẳn thùng</v>
      </c>
      <c r="T129" s="2"/>
      <c r="U129" s="2"/>
      <c r="V129" s="2"/>
      <c r="W129" s="2" t="str">
        <f>IFERROR(__xludf.DUMMYFUNCTION("""COMPUTED_VALUE"""),"AGRIPANT - Giá bán 7700 - Ngày dự kiến thu tiền:  - Dự kiến ngày ra hết hàng: ")</f>
        <v>AGRIPANT - Giá bán 7700 - Ngày dự kiến thu tiền:  - Dự kiến ngày ra hết hàng: </v>
      </c>
      <c r="X129" s="2"/>
      <c r="Y129" s="2" t="str">
        <f>IFERROR(__xludf.DUMMYFUNCTION("""COMPUTED_VALUE"""),"Hà Long")</f>
        <v>Hà Long</v>
      </c>
      <c r="Z129" s="2" t="str">
        <f>IFERROR(__xludf.DUMMYFUNCTION("""COMPUTED_VALUE"""),"Đã có lịch SX")</f>
        <v>Đã có lịch SX</v>
      </c>
      <c r="AA129" s="39">
        <f>IFERROR(__xludf.DUMMYFUNCTION("""COMPUTED_VALUE"""),46177.0)</f>
        <v>46177</v>
      </c>
      <c r="AB129" s="2" t="str">
        <f>IFERROR(__xludf.DUMMYFUNCTION("""COMPUTED_VALUE"""),"03/06 thiếu NDT")</f>
        <v>03/06 thiếu NDT</v>
      </c>
      <c r="AC129" s="146">
        <f>IFERROR(__xludf.DUMMYFUNCTION("""COMPUTED_VALUE"""),3000.0)</f>
        <v>3000</v>
      </c>
      <c r="AD129" s="2"/>
      <c r="AE129" s="143" t="str">
        <f>IFERROR(__xludf.DUMMYFUNCTION("""COMPUTED_VALUE"""),"Chưa chốt lịch")</f>
        <v>Chưa chốt lịch</v>
      </c>
      <c r="AF129" s="146" t="str">
        <f>IFERROR(__xludf.DUMMYFUNCTION("""COMPUTED_VALUE"""),"")</f>
        <v/>
      </c>
      <c r="AG129" s="2"/>
      <c r="AH129" s="2"/>
      <c r="AI129" s="2"/>
      <c r="AJ129" s="2"/>
      <c r="AK129" s="2"/>
      <c r="AL129" s="2"/>
      <c r="AM129" s="2"/>
      <c r="AN129" s="2"/>
      <c r="AO129" s="2"/>
      <c r="AP129" s="2"/>
      <c r="AQ129" s="2"/>
      <c r="AR129" s="2"/>
      <c r="AS129" s="2"/>
      <c r="AT129" s="2"/>
      <c r="AU129" s="2"/>
      <c r="AV129" s="2"/>
      <c r="AW129" s="2"/>
      <c r="AX129" s="2"/>
      <c r="AY129" s="2"/>
      <c r="AZ129" s="2"/>
      <c r="BA129" s="2"/>
      <c r="BB129" s="2" t="str">
        <f>IFERROR(__xludf.DUMMYFUNCTION("""COMPUTED_VALUE"""),"Duyệt")</f>
        <v>Duyệt</v>
      </c>
      <c r="BC129" s="143">
        <f>IFERROR(__xludf.DUMMYFUNCTION("""COMPUTED_VALUE"""),46175.0)</f>
        <v>46175</v>
      </c>
      <c r="BD129" s="2" t="str">
        <f>IFERROR(__xludf.DUMMYFUNCTION("""COMPUTED_VALUE"""),"Chờ duyệt")</f>
        <v>Chờ duyệt</v>
      </c>
      <c r="BE129" s="143">
        <f>IFERROR(__xludf.DUMMYFUNCTION("""COMPUTED_VALUE"""),46178.0)</f>
        <v>46178</v>
      </c>
      <c r="BF129" s="2" t="str">
        <f>IFERROR(__xludf.DUMMYFUNCTION("""COMPUTED_VALUE"""),"Đã xử lí giá")</f>
        <v>Đã xử lí giá</v>
      </c>
      <c r="BG129" s="2" t="str">
        <f>IFERROR(__xludf.DUMMYFUNCTION("""COMPUTED_VALUE"""),"DÒNG V1 Bột trắng 7,700đ 2/6/2026")</f>
        <v>DÒNG V1 Bột trắng 7,700đ 2/6/2026</v>
      </c>
      <c r="BH129" s="2"/>
      <c r="BI129" s="2"/>
      <c r="BJ129" s="2"/>
      <c r="BK129" s="2"/>
      <c r="BL129" s="2"/>
      <c r="BM129" s="2"/>
      <c r="BN129" s="2"/>
      <c r="BO129" s="2"/>
      <c r="BP129" s="2"/>
      <c r="BQ129" s="2"/>
    </row>
    <row r="130">
      <c r="A130" s="2">
        <f>IFERROR(__xludf.DUMMYFUNCTION("""COMPUTED_VALUE"""),127.0)</f>
        <v>127</v>
      </c>
      <c r="B130" s="2" t="str">
        <f>IFERROR(__xludf.DUMMYFUNCTION("""COMPUTED_VALUE"""),"Hà Long")</f>
        <v>Hà Long</v>
      </c>
      <c r="C130" s="2" t="str">
        <f>IFERROR(__xludf.DUMMYFUNCTION("""COMPUTED_VALUE"""),"ITP02062605")</f>
        <v>ITP02062605</v>
      </c>
      <c r="D130" s="39">
        <f>IFERROR(__xludf.DUMMYFUNCTION("""COMPUTED_VALUE"""),46175.0)</f>
        <v>46175</v>
      </c>
      <c r="E130" s="2"/>
      <c r="F130" s="2" t="str">
        <f>IFERROR(__xludf.DUMMYFUNCTION("""COMPUTED_VALUE"""),"IDA")</f>
        <v>IDA</v>
      </c>
      <c r="G130" s="2" t="str">
        <f>IFERROR(__xludf.DUMMYFUNCTION("""COMPUTED_VALUE"""),"HH4355")</f>
        <v>HH4355</v>
      </c>
      <c r="H130" s="2" t="str">
        <f>IFERROR(__xludf.DUMMYFUNCTION("""COMPUTED_VALUE"""),"IDA GLOBAL - I - 4355 - NOFARA 35WG (Dạng cốm màu trắng ngà) - 30gr - 300")</f>
        <v>IDA GLOBAL - I - 4355 - NOFARA 35WG (Dạng cốm màu trắng ngà) - 30gr - 300</v>
      </c>
      <c r="I130" s="2" t="str">
        <f>IFERROR(__xludf.DUMMYFUNCTION("""COMPUTED_VALUE"""),"Thuốc trừ bệnh")</f>
        <v>Thuốc trừ bệnh</v>
      </c>
      <c r="J130" s="142" t="str">
        <f>IFERROR(__xludf.DUMMYFUNCTION("""COMPUTED_VALUE"""),"NOFARA 35WG")</f>
        <v>NOFARA 35WG</v>
      </c>
      <c r="K130" s="2" t="str">
        <f>IFERROR(__xludf.DUMMYFUNCTION("""COMPUTED_VALUE"""),"Đóng theo đơn gần nhất")</f>
        <v>Đóng theo đơn gần nhất</v>
      </c>
      <c r="L130" s="2" t="str">
        <f>IFERROR(__xludf.DUMMYFUNCTION("""COMPUTED_VALUE"""),"Dạng cốm màu trắng ngà")</f>
        <v>Dạng cốm màu trắng ngà</v>
      </c>
      <c r="M130" s="2" t="str">
        <f>IFERROR(__xludf.DUMMYFUNCTION("""COMPUTED_VALUE"""),"Túi/Gói")</f>
        <v>Túi/Gói</v>
      </c>
      <c r="N130" s="142">
        <f>IFERROR(__xludf.DUMMYFUNCTION("""COMPUTED_VALUE"""),300.0)</f>
        <v>300</v>
      </c>
      <c r="O130" s="142">
        <f>IFERROR(__xludf.DUMMYFUNCTION("""COMPUTED_VALUE"""),20.0)</f>
        <v>20</v>
      </c>
      <c r="P130" s="142">
        <f>IFERROR(__xludf.DUMMYFUNCTION("""COMPUTED_VALUE"""),6000.0)</f>
        <v>6000</v>
      </c>
      <c r="Q130" s="143">
        <f>IFERROR(__xludf.DUMMYFUNCTION("""COMPUTED_VALUE"""),46185.0)</f>
        <v>46185</v>
      </c>
      <c r="R130" s="2" t="str">
        <f>IFERROR(__xludf.DUMMYFUNCTION("""COMPUTED_VALUE"""),"x")</f>
        <v>x</v>
      </c>
      <c r="S130" s="142" t="str">
        <f>IFERROR(__xludf.DUMMYFUNCTION("""COMPUTED_VALUE"""),"x")</f>
        <v>x</v>
      </c>
      <c r="T130" s="142" t="str">
        <f>IFERROR(__xludf.DUMMYFUNCTION("""COMPUTED_VALUE"""),"x")</f>
        <v>x</v>
      </c>
      <c r="U130" s="142" t="str">
        <f>IFERROR(__xludf.DUMMYFUNCTION("""COMPUTED_VALUE"""),"x")</f>
        <v>x</v>
      </c>
      <c r="V130" s="142">
        <f>IFERROR(__xludf.DUMMYFUNCTION("""COMPUTED_VALUE"""),10.0)</f>
        <v>10</v>
      </c>
      <c r="W130" s="2" t="str">
        <f>IFERROR(__xludf.DUMMYFUNCTION("""COMPUTED_VALUE"""),"x - Giá bán 11000 - Ngày dự kiến thu tiền: x - Dự kiến ngày ra hết hàng: 30 ngày")</f>
        <v>x - Giá bán 11000 - Ngày dự kiến thu tiền: x - Dự kiến ngày ra hết hàng: 30 ngày</v>
      </c>
      <c r="X130" s="2"/>
      <c r="Y130" s="2" t="str">
        <f>IFERROR(__xludf.DUMMYFUNCTION("""COMPUTED_VALUE"""),"Hà Long")</f>
        <v>Hà Long</v>
      </c>
      <c r="Z130" s="2" t="str">
        <f>IFERROR(__xludf.DUMMYFUNCTION("""COMPUTED_VALUE"""),"Đã có lịch SX")</f>
        <v>Đã có lịch SX</v>
      </c>
      <c r="AA130" s="39">
        <f>IFERROR(__xludf.DUMMYFUNCTION("""COMPUTED_VALUE"""),46177.0)</f>
        <v>46177</v>
      </c>
      <c r="AB130" s="2"/>
      <c r="AC130" s="146">
        <f>IFERROR(__xludf.DUMMYFUNCTION("""COMPUTED_VALUE"""),6000.0)</f>
        <v>6000</v>
      </c>
      <c r="AD130" s="2"/>
      <c r="AE130" s="143" t="str">
        <f>IFERROR(__xludf.DUMMYFUNCTION("""COMPUTED_VALUE"""),"Chưa chốt lịch")</f>
        <v>Chưa chốt lịch</v>
      </c>
      <c r="AF130" s="146" t="str">
        <f>IFERROR(__xludf.DUMMYFUNCTION("""COMPUTED_VALUE"""),"")</f>
        <v/>
      </c>
      <c r="AG130" s="2"/>
      <c r="AH130" s="2"/>
      <c r="AI130" s="2"/>
      <c r="AJ130" s="2"/>
      <c r="AK130" s="2"/>
      <c r="AL130" s="2"/>
      <c r="AM130" s="2"/>
      <c r="AN130" s="2"/>
      <c r="AO130" s="2"/>
      <c r="AP130" s="2"/>
      <c r="AQ130" s="2"/>
      <c r="AR130" s="2"/>
      <c r="AS130" s="2"/>
      <c r="AT130" s="2"/>
      <c r="AU130" s="2"/>
      <c r="AV130" s="2"/>
      <c r="AW130" s="2"/>
      <c r="AX130" s="2"/>
      <c r="AY130" s="2"/>
      <c r="AZ130" s="2"/>
      <c r="BA130" s="2"/>
      <c r="BB130" s="2" t="str">
        <f>IFERROR(__xludf.DUMMYFUNCTION("""COMPUTED_VALUE"""),"Duyệt")</f>
        <v>Duyệt</v>
      </c>
      <c r="BC130" s="143">
        <f>IFERROR(__xludf.DUMMYFUNCTION("""COMPUTED_VALUE"""),46176.0)</f>
        <v>46176</v>
      </c>
      <c r="BD130" s="2" t="str">
        <f>IFERROR(__xludf.DUMMYFUNCTION("""COMPUTED_VALUE"""),"Chờ duyệt")</f>
        <v>Chờ duyệt</v>
      </c>
      <c r="BE130" s="143">
        <f>IFERROR(__xludf.DUMMYFUNCTION("""COMPUTED_VALUE"""),46179.0)</f>
        <v>46179</v>
      </c>
      <c r="BF130" s="2" t="str">
        <f>IFERROR(__xludf.DUMMYFUNCTION("""COMPUTED_VALUE"""),"Đã xử lí giá")</f>
        <v>Đã xử lí giá</v>
      </c>
      <c r="BG130" s="2" t="str">
        <f>IFERROR(__xludf.DUMMYFUNCTION("""COMPUTED_VALUE"""),"Đóng theo đơn gần nhất Dạng cốm màu trắng ngà 11,000đ 2/6/2026")</f>
        <v>Đóng theo đơn gần nhất Dạng cốm màu trắng ngà 11,000đ 2/6/2026</v>
      </c>
      <c r="BH130" s="2"/>
      <c r="BI130" s="2"/>
      <c r="BJ130" s="2"/>
      <c r="BK130" s="2"/>
      <c r="BL130" s="2"/>
      <c r="BM130" s="2"/>
      <c r="BN130" s="2"/>
      <c r="BO130" s="2"/>
      <c r="BP130" s="2"/>
      <c r="BQ130" s="2"/>
    </row>
    <row r="131">
      <c r="A131" s="2">
        <f>IFERROR(__xludf.DUMMYFUNCTION("""COMPUTED_VALUE"""),128.0)</f>
        <v>128</v>
      </c>
      <c r="B131" s="2" t="str">
        <f>IFERROR(__xludf.DUMMYFUNCTION("""COMPUTED_VALUE"""),"Yamato")</f>
        <v>Yamato</v>
      </c>
      <c r="C131" s="2" t="str">
        <f>IFERROR(__xludf.DUMMYFUNCTION("""COMPUTED_VALUE"""),"ITP02062610")</f>
        <v>ITP02062610</v>
      </c>
      <c r="D131" s="39">
        <f>IFERROR(__xludf.DUMMYFUNCTION("""COMPUTED_VALUE"""),46175.0)</f>
        <v>46175</v>
      </c>
      <c r="E131" s="2"/>
      <c r="F131" s="2" t="str">
        <f>IFERROR(__xludf.DUMMYFUNCTION("""COMPUTED_VALUE"""),"IDA")</f>
        <v>IDA</v>
      </c>
      <c r="G131" s="2" t="str">
        <f>IFERROR(__xludf.DUMMYFUNCTION("""COMPUTED_VALUE"""),"HH2435")</f>
        <v>HH2435</v>
      </c>
      <c r="H131" s="2" t="str">
        <f>IFERROR(__xludf.DUMMYFUNCTION("""COMPUTED_VALUE"""),"IDA Global - I -  2435 - Diệt nhện Taiwan (Nước xanh lá) - 480ml - 40")</f>
        <v>IDA Global - I -  2435 - Diệt nhện Taiwan (Nước xanh lá) - 480ml - 40</v>
      </c>
      <c r="I131" s="2" t="str">
        <f>IFERROR(__xludf.DUMMYFUNCTION("""COMPUTED_VALUE"""),"Thuốc trừ sâu")</f>
        <v>Thuốc trừ sâu</v>
      </c>
      <c r="J131" s="142" t="str">
        <f>IFERROR(__xludf.DUMMYFUNCTION("""COMPUTED_VALUE"""),"Chitin 3.6EC")</f>
        <v>Chitin 3.6EC</v>
      </c>
      <c r="K131" s="2" t="str">
        <f>IFERROR(__xludf.DUMMYFUNCTION("""COMPUTED_VALUE"""),"Đóng theo đơn gần nhất")</f>
        <v>Đóng theo đơn gần nhất</v>
      </c>
      <c r="L131" s="2" t="str">
        <f>IFERROR(__xludf.DUMMYFUNCTION("""COMPUTED_VALUE"""),"Nước xanh lá")</f>
        <v>Nước xanh lá</v>
      </c>
      <c r="M131" s="2" t="str">
        <f>IFERROR(__xludf.DUMMYFUNCTION("""COMPUTED_VALUE"""),"Chai")</f>
        <v>Chai</v>
      </c>
      <c r="N131" s="142">
        <f>IFERROR(__xludf.DUMMYFUNCTION("""COMPUTED_VALUE"""),40.0)</f>
        <v>40</v>
      </c>
      <c r="O131" s="142">
        <f>IFERROR(__xludf.DUMMYFUNCTION("""COMPUTED_VALUE"""),10.0)</f>
        <v>10</v>
      </c>
      <c r="P131" s="142">
        <f>IFERROR(__xludf.DUMMYFUNCTION("""COMPUTED_VALUE"""),400.0)</f>
        <v>400</v>
      </c>
      <c r="Q131" s="143">
        <f>IFERROR(__xludf.DUMMYFUNCTION("""COMPUTED_VALUE"""),46185.0)</f>
        <v>46185</v>
      </c>
      <c r="R131" s="2" t="str">
        <f>IFERROR(__xludf.DUMMYFUNCTION("""COMPUTED_VALUE"""),"x")</f>
        <v>x</v>
      </c>
      <c r="S131" s="142" t="str">
        <f>IFERROR(__xludf.DUMMYFUNCTION("""COMPUTED_VALUE"""),"x")</f>
        <v>x</v>
      </c>
      <c r="T131" s="142" t="str">
        <f>IFERROR(__xludf.DUMMYFUNCTION("""COMPUTED_VALUE"""),"x")</f>
        <v>x</v>
      </c>
      <c r="U131" s="142" t="str">
        <f>IFERROR(__xludf.DUMMYFUNCTION("""COMPUTED_VALUE"""),"x")</f>
        <v>x</v>
      </c>
      <c r="V131" s="142">
        <f>IFERROR(__xludf.DUMMYFUNCTION("""COMPUTED_VALUE"""),10.0)</f>
        <v>10</v>
      </c>
      <c r="W131" s="2" t="str">
        <f>IFERROR(__xludf.DUMMYFUNCTION("""COMPUTED_VALUE"""),"x - Giá bán 130000 - Ngày dự kiến thu tiền: x - Dự kiến ngày ra hết hàng: 30 ngày")</f>
        <v>x - Giá bán 130000 - Ngày dự kiến thu tiền: x - Dự kiến ngày ra hết hàng: 30 ngày</v>
      </c>
      <c r="X131" s="2"/>
      <c r="Y131" s="2" t="str">
        <f>IFERROR(__xludf.DUMMYFUNCTION("""COMPUTED_VALUE"""),"Yamato")</f>
        <v>Yamato</v>
      </c>
      <c r="Z131" s="2" t="str">
        <f>IFERROR(__xludf.DUMMYFUNCTION("""COMPUTED_VALUE"""),"Chưa gửi đơn")</f>
        <v>Chưa gửi đơn</v>
      </c>
      <c r="AA131" s="2"/>
      <c r="AB131" s="2" t="str">
        <f>IFERROR(__xludf.DUMMYFUNCTION("""COMPUTED_VALUE"""),"03/06 chưa đủ BTP")</f>
        <v>03/06 chưa đủ BTP</v>
      </c>
      <c r="AC131" s="146">
        <f>IFERROR(__xludf.DUMMYFUNCTION("""COMPUTED_VALUE"""),400.0)</f>
        <v>400</v>
      </c>
      <c r="AD131" s="2"/>
      <c r="AE131" s="143" t="str">
        <f>IFERROR(__xludf.DUMMYFUNCTION("""COMPUTED_VALUE"""),"Chưa chốt lịch")</f>
        <v>Chưa chốt lịch</v>
      </c>
      <c r="AF131" s="146" t="str">
        <f>IFERROR(__xludf.DUMMYFUNCTION("""COMPUTED_VALUE"""),"")</f>
        <v/>
      </c>
      <c r="AG131" s="2"/>
      <c r="AH131" s="2"/>
      <c r="AI131" s="2"/>
      <c r="AJ131" s="2"/>
      <c r="AK131" s="2"/>
      <c r="AL131" s="2"/>
      <c r="AM131" s="2"/>
      <c r="AN131" s="2"/>
      <c r="AO131" s="2"/>
      <c r="AP131" s="2"/>
      <c r="AQ131" s="2"/>
      <c r="AR131" s="2"/>
      <c r="AS131" s="2"/>
      <c r="AT131" s="2"/>
      <c r="AU131" s="2"/>
      <c r="AV131" s="2"/>
      <c r="AW131" s="2"/>
      <c r="AX131" s="2"/>
      <c r="AY131" s="2"/>
      <c r="AZ131" s="2"/>
      <c r="BA131" s="2" t="str">
        <f>IFERROR(__xludf.DUMMYFUNCTION("""COMPUTED_VALUE"""),"Không đủ điều kiện")</f>
        <v>Không đủ điều kiện</v>
      </c>
      <c r="BB131" s="2" t="str">
        <f>IFERROR(__xludf.DUMMYFUNCTION("""COMPUTED_VALUE"""),"Chờ duyệt")</f>
        <v>Chờ duyệt</v>
      </c>
      <c r="BC131" s="2"/>
      <c r="BD131" s="2" t="str">
        <f>IFERROR(__xludf.DUMMYFUNCTION("""COMPUTED_VALUE"""),"Chờ duyệt")</f>
        <v>Chờ duyệt</v>
      </c>
      <c r="BE131" s="2"/>
      <c r="BF131" s="2" t="str">
        <f>IFERROR(__xludf.DUMMYFUNCTION("""COMPUTED_VALUE"""),"Chưa đủ BTP")</f>
        <v>Chưa đủ BTP</v>
      </c>
      <c r="BG131" s="2" t="str">
        <f>IFERROR(__xludf.DUMMYFUNCTION("""COMPUTED_VALUE"""),"Đóng theo đơn gần nhất Nước xanh lá 130,000đ 
KD lên dự trù 300L hiện tại đang mua NL về phối 2/6/2026")</f>
        <v>Đóng theo đơn gần nhất Nước xanh lá 130,000đ 
KD lên dự trù 300L hiện tại đang mua NL về phối 2/6/2026</v>
      </c>
      <c r="BH131" s="2"/>
      <c r="BI131" s="2"/>
      <c r="BJ131" s="2"/>
      <c r="BK131" s="2"/>
      <c r="BL131" s="2"/>
      <c r="BM131" s="2"/>
      <c r="BN131" s="2"/>
      <c r="BO131" s="2"/>
      <c r="BP131" s="2"/>
      <c r="BQ131" s="2"/>
    </row>
    <row r="132">
      <c r="A132" s="2">
        <f>IFERROR(__xludf.DUMMYFUNCTION("""COMPUTED_VALUE"""),129.0)</f>
        <v>129</v>
      </c>
      <c r="B132" s="2" t="str">
        <f>IFERROR(__xludf.DUMMYFUNCTION("""COMPUTED_VALUE"""),"Hà Long")</f>
        <v>Hà Long</v>
      </c>
      <c r="C132" s="2" t="str">
        <f>IFERROR(__xludf.DUMMYFUNCTION("""COMPUTED_VALUE"""),"ATP03062601")</f>
        <v>ATP03062601</v>
      </c>
      <c r="D132" s="39">
        <f>IFERROR(__xludf.DUMMYFUNCTION("""COMPUTED_VALUE"""),46176.0)</f>
        <v>46176</v>
      </c>
      <c r="E132" s="2" t="str">
        <f>IFERROR(__xludf.DUMMYFUNCTION("""COMPUTED_VALUE"""),"Đã duyệt")</f>
        <v>Đã duyệt</v>
      </c>
      <c r="F132" s="2" t="str">
        <f>IFERROR(__xludf.DUMMYFUNCTION("""COMPUTED_VALUE"""),"ABA")</f>
        <v>ABA</v>
      </c>
      <c r="G132" s="2" t="str">
        <f>IFERROR(__xludf.DUMMYFUNCTION("""COMPUTED_VALUE"""),"HH4893")</f>
        <v>HH4893</v>
      </c>
      <c r="H132" s="2" t="str">
        <f>IFERROR(__xludf.DUMMYFUNCTION("""COMPUTED_VALUE"""),"GC - V - 4893 - A Mạnh - VUA DIỆT NHỆN 7.2 (Nước tím) - 240ml - 60")</f>
        <v>GC - V - 4893 - A Mạnh - VUA DIỆT NHỆN 7.2 (Nước tím) - 240ml - 60</v>
      </c>
      <c r="I132" s="2" t="str">
        <f>IFERROR(__xludf.DUMMYFUNCTION("""COMPUTED_VALUE"""),"Thuốc trừ sâu")</f>
        <v>Thuốc trừ sâu</v>
      </c>
      <c r="J132" s="142" t="str">
        <f>IFERROR(__xludf.DUMMYFUNCTION("""COMPUTED_VALUE"""),"HAIHAMEC 3.6EC")</f>
        <v>HAIHAMEC 3.6EC</v>
      </c>
      <c r="K132" s="2" t="str">
        <f>IFERROR(__xludf.DUMMYFUNCTION("""COMPUTED_VALUE"""),"Cùng ruột HH2618")</f>
        <v>Cùng ruột HH2618</v>
      </c>
      <c r="L132" s="2" t="str">
        <f>IFERROR(__xludf.DUMMYFUNCTION("""COMPUTED_VALUE"""),"Nước tím")</f>
        <v>Nước tím</v>
      </c>
      <c r="M132" s="2" t="str">
        <f>IFERROR(__xludf.DUMMYFUNCTION("""COMPUTED_VALUE"""),"Chai")</f>
        <v>Chai</v>
      </c>
      <c r="N132" s="142">
        <f>IFERROR(__xludf.DUMMYFUNCTION("""COMPUTED_VALUE"""),60.0)</f>
        <v>60</v>
      </c>
      <c r="O132" s="142">
        <f>IFERROR(__xludf.DUMMYFUNCTION("""COMPUTED_VALUE"""),10.0)</f>
        <v>10</v>
      </c>
      <c r="P132" s="142">
        <f>IFERROR(__xludf.DUMMYFUNCTION("""COMPUTED_VALUE"""),600.0)</f>
        <v>600</v>
      </c>
      <c r="Q132" s="143">
        <f>IFERROR(__xludf.DUMMYFUNCTION("""COMPUTED_VALUE"""),46188.0)</f>
        <v>46188</v>
      </c>
      <c r="R132" s="2"/>
      <c r="S132" s="142" t="str">
        <f>IFERROR(__xludf.DUMMYFUNCTION("""COMPUTED_VALUE"""),"lấy chẳn thùng
")</f>
        <v>lấy chẳn thùng
</v>
      </c>
      <c r="T132" s="2"/>
      <c r="U132" s="2"/>
      <c r="V132" s="2"/>
      <c r="W132" s="2" t="str">
        <f>IFERROR(__xludf.DUMMYFUNCTION("""COMPUTED_VALUE"""),"ANH MẠNH - Giá bán 62.500,00 đ - Ngày dự kiến thu tiền:  - Dự kiến ngày ra hết hàng: ")</f>
        <v>ANH MẠNH - Giá bán 62.500,00 đ - Ngày dự kiến thu tiền:  - Dự kiến ngày ra hết hàng: </v>
      </c>
      <c r="X132" s="2"/>
      <c r="Y132" s="2" t="str">
        <f>IFERROR(__xludf.DUMMYFUNCTION("""COMPUTED_VALUE"""),"Hà Long")</f>
        <v>Hà Long</v>
      </c>
      <c r="Z132" s="2" t="str">
        <f>IFERROR(__xludf.DUMMYFUNCTION("""COMPUTED_VALUE"""),"Chưa có lịch SX")</f>
        <v>Chưa có lịch SX</v>
      </c>
      <c r="AA132" s="2"/>
      <c r="AB132" s="2"/>
      <c r="AC132" s="146">
        <f>IFERROR(__xludf.DUMMYFUNCTION("""COMPUTED_VALUE"""),600.0)</f>
        <v>600</v>
      </c>
      <c r="AD132" s="2"/>
      <c r="AE132" s="143" t="str">
        <f>IFERROR(__xludf.DUMMYFUNCTION("""COMPUTED_VALUE"""),"Chưa chốt lịch")</f>
        <v>Chưa chốt lịch</v>
      </c>
      <c r="AF132" s="146" t="str">
        <f>IFERROR(__xludf.DUMMYFUNCTION("""COMPUTED_VALUE"""),"")</f>
        <v/>
      </c>
      <c r="AG132" s="2"/>
      <c r="AH132" s="2"/>
      <c r="AI132" s="2"/>
      <c r="AJ132" s="2"/>
      <c r="AK132" s="2"/>
      <c r="AL132" s="2"/>
      <c r="AM132" s="2"/>
      <c r="AN132" s="2"/>
      <c r="AO132" s="2"/>
      <c r="AP132" s="2"/>
      <c r="AQ132" s="2"/>
      <c r="AR132" s="2"/>
      <c r="AS132" s="2"/>
      <c r="AT132" s="2"/>
      <c r="AU132" s="2"/>
      <c r="AV132" s="2"/>
      <c r="AW132" s="2"/>
      <c r="AX132" s="2"/>
      <c r="AY132" s="2"/>
      <c r="AZ132" s="2"/>
      <c r="BA132" s="2"/>
      <c r="BB132" s="2" t="str">
        <f>IFERROR(__xludf.DUMMYFUNCTION("""COMPUTED_VALUE"""),"Duyệt")</f>
        <v>Duyệt</v>
      </c>
      <c r="BC132" s="143">
        <f>IFERROR(__xludf.DUMMYFUNCTION("""COMPUTED_VALUE"""),46176.0)</f>
        <v>46176</v>
      </c>
      <c r="BD132" s="2" t="str">
        <f>IFERROR(__xludf.DUMMYFUNCTION("""COMPUTED_VALUE"""),"Chờ duyệt")</f>
        <v>Chờ duyệt</v>
      </c>
      <c r="BE132" s="2"/>
      <c r="BF132" s="2" t="str">
        <f>IFERROR(__xludf.DUMMYFUNCTION("""COMPUTED_VALUE"""),"Đã xử lí giá")</f>
        <v>Đã xử lí giá</v>
      </c>
      <c r="BG132" s="2" t="str">
        <f>IFERROR(__xludf.DUMMYFUNCTION("""COMPUTED_VALUE"""),"Cùng ruột HH2618 Nước tím 62,500đ 3/6/2026")</f>
        <v>Cùng ruột HH2618 Nước tím 62,500đ 3/6/2026</v>
      </c>
      <c r="BH132" s="2"/>
      <c r="BI132" s="2"/>
      <c r="BJ132" s="2"/>
      <c r="BK132" s="2"/>
      <c r="BL132" s="2"/>
      <c r="BM132" s="2"/>
      <c r="BN132" s="2"/>
      <c r="BO132" s="2"/>
      <c r="BP132" s="2"/>
      <c r="BQ132" s="2"/>
    </row>
    <row r="133">
      <c r="A133" s="2">
        <f>IFERROR(__xludf.DUMMYFUNCTION("""COMPUTED_VALUE"""),130.0)</f>
        <v>130</v>
      </c>
      <c r="B133" s="2" t="str">
        <f>IFERROR(__xludf.DUMMYFUNCTION("""COMPUTED_VALUE"""),"Thu Loan")</f>
        <v>Thu Loan</v>
      </c>
      <c r="C133" s="2" t="str">
        <f>IFERROR(__xludf.DUMMYFUNCTION("""COMPUTED_VALUE"""),"ATP03062602")</f>
        <v>ATP03062602</v>
      </c>
      <c r="D133" s="39">
        <f>IFERROR(__xludf.DUMMYFUNCTION("""COMPUTED_VALUE"""),46176.0)</f>
        <v>46176</v>
      </c>
      <c r="E133" s="2" t="str">
        <f>IFERROR(__xludf.DUMMYFUNCTION("""COMPUTED_VALUE"""),"Đã duyệt")</f>
        <v>Đã duyệt</v>
      </c>
      <c r="F133" s="2" t="str">
        <f>IFERROR(__xludf.DUMMYFUNCTION("""COMPUTED_VALUE"""),"ABA")</f>
        <v>ABA</v>
      </c>
      <c r="G133" s="2" t="str">
        <f>IFERROR(__xludf.DUMMYFUNCTION("""COMPUTED_VALUE"""),"HH5034")</f>
        <v>HH5034</v>
      </c>
      <c r="H133" s="2" t="str">
        <f>IFERROR(__xludf.DUMMYFUNCTION("""COMPUTED_VALUE"""),"GC - V - 5034 - CTY AGROCHEM KOREA - ABASIU (Nước nâu đen) - 450ml - 40")</f>
        <v>GC - V - 5034 - CTY AGROCHEM KOREA - ABASIU (Nước nâu đen) - 450ml - 40</v>
      </c>
      <c r="I133" s="2" t="str">
        <f>IFERROR(__xludf.DUMMYFUNCTION("""COMPUTED_VALUE"""),"Thuốc trừ sâu")</f>
        <v>Thuốc trừ sâu</v>
      </c>
      <c r="J133" s="142" t="str">
        <f>IFERROR(__xludf.DUMMYFUNCTION("""COMPUTED_VALUE"""),"HAIHAMEC 3.6EC")</f>
        <v>HAIHAMEC 3.6EC</v>
      </c>
      <c r="K133" s="2" t="str">
        <f>IFERROR(__xludf.DUMMYFUNCTION("""COMPUTED_VALUE"""),"DÒNG V1")</f>
        <v>DÒNG V1</v>
      </c>
      <c r="L133" s="2" t="str">
        <f>IFERROR(__xludf.DUMMYFUNCTION("""COMPUTED_VALUE"""),"Nước nâu đen")</f>
        <v>Nước nâu đen</v>
      </c>
      <c r="M133" s="2" t="str">
        <f>IFERROR(__xludf.DUMMYFUNCTION("""COMPUTED_VALUE"""),"Chai")</f>
        <v>Chai</v>
      </c>
      <c r="N133" s="142">
        <f>IFERROR(__xludf.DUMMYFUNCTION("""COMPUTED_VALUE"""),40.0)</f>
        <v>40</v>
      </c>
      <c r="O133" s="142">
        <f>IFERROR(__xludf.DUMMYFUNCTION("""COMPUTED_VALUE"""),10.0)</f>
        <v>10</v>
      </c>
      <c r="P133" s="142">
        <f>IFERROR(__xludf.DUMMYFUNCTION("""COMPUTED_VALUE"""),400.0)</f>
        <v>400</v>
      </c>
      <c r="Q133" s="143">
        <f>IFERROR(__xludf.DUMMYFUNCTION("""COMPUTED_VALUE"""),46188.0)</f>
        <v>46188</v>
      </c>
      <c r="R133" s="2"/>
      <c r="S133" s="142" t="str">
        <f>IFERROR(__xludf.DUMMYFUNCTION("""COMPUTED_VALUE"""),"lấy chẳn thùng
")</f>
        <v>lấy chẳn thùng
</v>
      </c>
      <c r="T133" s="2"/>
      <c r="U133" s="2"/>
      <c r="V133" s="2"/>
      <c r="W133" s="2" t="str">
        <f>IFERROR(__xludf.DUMMYFUNCTION("""COMPUTED_VALUE"""),"KOREA - Giá bán 42000 - Ngày dự kiến thu tiền:  - Dự kiến ngày ra hết hàng: ")</f>
        <v>KOREA - Giá bán 42000 - Ngày dự kiến thu tiền:  - Dự kiến ngày ra hết hàng: </v>
      </c>
      <c r="X133" s="2"/>
      <c r="Y133" s="2" t="str">
        <f>IFERROR(__xludf.DUMMYFUNCTION("""COMPUTED_VALUE"""),"Thu Loan")</f>
        <v>Thu Loan</v>
      </c>
      <c r="Z133" s="2" t="str">
        <f>IFERROR(__xludf.DUMMYFUNCTION("""COMPUTED_VALUE"""),"Chưa có lịch SX")</f>
        <v>Chưa có lịch SX</v>
      </c>
      <c r="AA133" s="2"/>
      <c r="AB133" s="2" t="str">
        <f>IFERROR(__xludf.DUMMYFUNCTION("""COMPUTED_VALUE"""),"đủ vtbb
đã gửi đơn 4/6")</f>
        <v>đủ vtbb
đã gửi đơn 4/6</v>
      </c>
      <c r="AC133" s="146">
        <f>IFERROR(__xludf.DUMMYFUNCTION("""COMPUTED_VALUE"""),400.0)</f>
        <v>400</v>
      </c>
      <c r="AD133" s="2"/>
      <c r="AE133" s="143" t="str">
        <f>IFERROR(__xludf.DUMMYFUNCTION("""COMPUTED_VALUE"""),"Chưa chốt lịch")</f>
        <v>Chưa chốt lịch</v>
      </c>
      <c r="AF133" s="146" t="str">
        <f>IFERROR(__xludf.DUMMYFUNCTION("""COMPUTED_VALUE"""),"")</f>
        <v/>
      </c>
      <c r="AG133" s="2"/>
      <c r="AH133" s="2"/>
      <c r="AI133" s="2"/>
      <c r="AJ133" s="2"/>
      <c r="AK133" s="2"/>
      <c r="AL133" s="2"/>
      <c r="AM133" s="2"/>
      <c r="AN133" s="2"/>
      <c r="AO133" s="2"/>
      <c r="AP133" s="2"/>
      <c r="AQ133" s="2"/>
      <c r="AR133" s="2"/>
      <c r="AS133" s="2"/>
      <c r="AT133" s="2"/>
      <c r="AU133" s="2"/>
      <c r="AV133" s="2"/>
      <c r="AW133" s="2"/>
      <c r="AX133" s="2"/>
      <c r="AY133" s="2"/>
      <c r="AZ133" s="2"/>
      <c r="BA133" s="2" t="str">
        <f>IFERROR(__xludf.DUMMYFUNCTION("""COMPUTED_VALUE"""),"Đủ điều kiện")</f>
        <v>Đủ điều kiện</v>
      </c>
      <c r="BB133" s="2" t="str">
        <f>IFERROR(__xludf.DUMMYFUNCTION("""COMPUTED_VALUE"""),"Duyệt")</f>
        <v>Duyệt</v>
      </c>
      <c r="BC133" s="148">
        <f>IFERROR(__xludf.DUMMYFUNCTION("""COMPUTED_VALUE"""),46177.0)</f>
        <v>46177</v>
      </c>
      <c r="BD133" s="2" t="str">
        <f>IFERROR(__xludf.DUMMYFUNCTION("""COMPUTED_VALUE"""),"Duyệt")</f>
        <v>Duyệt</v>
      </c>
      <c r="BE133" s="2" t="str">
        <f>IFERROR(__xludf.DUMMYFUNCTION("""COMPUTED_VALUE"""),"xlg 03/06
04/06")</f>
        <v>xlg 03/06
04/06</v>
      </c>
      <c r="BF133" s="2" t="str">
        <f>IFERROR(__xludf.DUMMYFUNCTION("""COMPUTED_VALUE"""),"Đã xử lí giá")</f>
        <v>Đã xử lí giá</v>
      </c>
      <c r="BG133" s="2" t="str">
        <f>IFERROR(__xludf.DUMMYFUNCTION("""COMPUTED_VALUE"""),"DÒNG V1 Nước nâu đen 42,000đ 3/6/2026
KD mua 540L BTP NCC để đóng đơn hàng 3/6/2026")</f>
        <v>DÒNG V1 Nước nâu đen 42,000đ 3/6/2026
KD mua 540L BTP NCC để đóng đơn hàng 3/6/2026</v>
      </c>
      <c r="BH133" s="2"/>
      <c r="BI133" s="2"/>
      <c r="BJ133" s="2"/>
      <c r="BK133" s="2"/>
      <c r="BL133" s="2"/>
      <c r="BM133" s="2"/>
      <c r="BN133" s="2"/>
      <c r="BO133" s="2"/>
      <c r="BP133" s="2"/>
      <c r="BQ133" s="2"/>
    </row>
    <row r="134">
      <c r="A134" s="2">
        <f>IFERROR(__xludf.DUMMYFUNCTION("""COMPUTED_VALUE"""),131.0)</f>
        <v>131</v>
      </c>
      <c r="B134" s="2" t="str">
        <f>IFERROR(__xludf.DUMMYFUNCTION("""COMPUTED_VALUE"""),"Thu Loan")</f>
        <v>Thu Loan</v>
      </c>
      <c r="C134" s="2" t="str">
        <f>IFERROR(__xludf.DUMMYFUNCTION("""COMPUTED_VALUE"""),"ATP03062603")</f>
        <v>ATP03062603</v>
      </c>
      <c r="D134" s="39">
        <f>IFERROR(__xludf.DUMMYFUNCTION("""COMPUTED_VALUE"""),46176.0)</f>
        <v>46176</v>
      </c>
      <c r="E134" s="2" t="str">
        <f>IFERROR(__xludf.DUMMYFUNCTION("""COMPUTED_VALUE"""),"Đã duyệt")</f>
        <v>Đã duyệt</v>
      </c>
      <c r="F134" s="2" t="str">
        <f>IFERROR(__xludf.DUMMYFUNCTION("""COMPUTED_VALUE"""),"ABA")</f>
        <v>ABA</v>
      </c>
      <c r="G134" s="2" t="str">
        <f>IFERROR(__xludf.DUMMYFUNCTION("""COMPUTED_VALUE"""),"HH5043")</f>
        <v>HH5043</v>
      </c>
      <c r="H134" s="2" t="str">
        <f>IFERROR(__xludf.DUMMYFUNCTION("""COMPUTED_VALUE"""),"GC - V - 5043 - CTY AGROCHEM KOREA - VOITHAI3.6 (Nước nâu đen) - 450ml - 40")</f>
        <v>GC - V - 5043 - CTY AGROCHEM KOREA - VOITHAI3.6 (Nước nâu đen) - 450ml - 40</v>
      </c>
      <c r="I134" s="2" t="str">
        <f>IFERROR(__xludf.DUMMYFUNCTION("""COMPUTED_VALUE"""),"Thuốc trừ sâu")</f>
        <v>Thuốc trừ sâu</v>
      </c>
      <c r="J134" s="142" t="str">
        <f>IFERROR(__xludf.DUMMYFUNCTION("""COMPUTED_VALUE"""),"HAIHAMEC 3.6EC")</f>
        <v>HAIHAMEC 3.6EC</v>
      </c>
      <c r="K134" s="2" t="str">
        <f>IFERROR(__xludf.DUMMYFUNCTION("""COMPUTED_VALUE"""),"DÒNG V1")</f>
        <v>DÒNG V1</v>
      </c>
      <c r="L134" s="2" t="str">
        <f>IFERROR(__xludf.DUMMYFUNCTION("""COMPUTED_VALUE"""),"Nước nâu đen")</f>
        <v>Nước nâu đen</v>
      </c>
      <c r="M134" s="2" t="str">
        <f>IFERROR(__xludf.DUMMYFUNCTION("""COMPUTED_VALUE"""),"Chai")</f>
        <v>Chai</v>
      </c>
      <c r="N134" s="142">
        <f>IFERROR(__xludf.DUMMYFUNCTION("""COMPUTED_VALUE"""),40.0)</f>
        <v>40</v>
      </c>
      <c r="O134" s="142">
        <f>IFERROR(__xludf.DUMMYFUNCTION("""COMPUTED_VALUE"""),20.0)</f>
        <v>20</v>
      </c>
      <c r="P134" s="142">
        <f>IFERROR(__xludf.DUMMYFUNCTION("""COMPUTED_VALUE"""),800.0)</f>
        <v>800</v>
      </c>
      <c r="Q134" s="143">
        <f>IFERROR(__xludf.DUMMYFUNCTION("""COMPUTED_VALUE"""),46188.0)</f>
        <v>46188</v>
      </c>
      <c r="R134" s="2"/>
      <c r="S134" s="142" t="str">
        <f>IFERROR(__xludf.DUMMYFUNCTION("""COMPUTED_VALUE"""),"lấy chẳn thùng
")</f>
        <v>lấy chẳn thùng
</v>
      </c>
      <c r="T134" s="2"/>
      <c r="U134" s="2"/>
      <c r="V134" s="2"/>
      <c r="W134" s="2" t="str">
        <f>IFERROR(__xludf.DUMMYFUNCTION("""COMPUTED_VALUE"""),"KOREA - Giá bán 43500 - Ngày dự kiến thu tiền:  - Dự kiến ngày ra hết hàng: ")</f>
        <v>KOREA - Giá bán 43500 - Ngày dự kiến thu tiền:  - Dự kiến ngày ra hết hàng: </v>
      </c>
      <c r="X134" s="2"/>
      <c r="Y134" s="2" t="str">
        <f>IFERROR(__xludf.DUMMYFUNCTION("""COMPUTED_VALUE"""),"Thu Loan")</f>
        <v>Thu Loan</v>
      </c>
      <c r="Z134" s="2" t="str">
        <f>IFERROR(__xludf.DUMMYFUNCTION("""COMPUTED_VALUE"""),"Chưa có lịch SX")</f>
        <v>Chưa có lịch SX</v>
      </c>
      <c r="AA134" s="2"/>
      <c r="AB134" s="2" t="str">
        <f>IFERROR(__xludf.DUMMYFUNCTION("""COMPUTED_VALUE"""),"đủ vtbb
đã gửi đơn 4/6")</f>
        <v>đủ vtbb
đã gửi đơn 4/6</v>
      </c>
      <c r="AC134" s="146">
        <f>IFERROR(__xludf.DUMMYFUNCTION("""COMPUTED_VALUE"""),800.0)</f>
        <v>800</v>
      </c>
      <c r="AD134" s="2"/>
      <c r="AE134" s="143" t="str">
        <f>IFERROR(__xludf.DUMMYFUNCTION("""COMPUTED_VALUE"""),"Chưa chốt lịch")</f>
        <v>Chưa chốt lịch</v>
      </c>
      <c r="AF134" s="146" t="str">
        <f>IFERROR(__xludf.DUMMYFUNCTION("""COMPUTED_VALUE"""),"")</f>
        <v/>
      </c>
      <c r="AG134" s="2"/>
      <c r="AH134" s="2"/>
      <c r="AI134" s="2"/>
      <c r="AJ134" s="2"/>
      <c r="AK134" s="2"/>
      <c r="AL134" s="2"/>
      <c r="AM134" s="2"/>
      <c r="AN134" s="2"/>
      <c r="AO134" s="2"/>
      <c r="AP134" s="2"/>
      <c r="AQ134" s="2"/>
      <c r="AR134" s="2"/>
      <c r="AS134" s="2"/>
      <c r="AT134" s="2"/>
      <c r="AU134" s="2"/>
      <c r="AV134" s="2"/>
      <c r="AW134" s="2"/>
      <c r="AX134" s="2"/>
      <c r="AY134" s="2"/>
      <c r="AZ134" s="2"/>
      <c r="BA134" s="2" t="str">
        <f>IFERROR(__xludf.DUMMYFUNCTION("""COMPUTED_VALUE"""),"Đủ điều kiện")</f>
        <v>Đủ điều kiện</v>
      </c>
      <c r="BB134" s="2" t="str">
        <f>IFERROR(__xludf.DUMMYFUNCTION("""COMPUTED_VALUE"""),"Duyệt")</f>
        <v>Duyệt</v>
      </c>
      <c r="BC134" s="148">
        <f>IFERROR(__xludf.DUMMYFUNCTION("""COMPUTED_VALUE"""),46177.0)</f>
        <v>46177</v>
      </c>
      <c r="BD134" s="2" t="str">
        <f>IFERROR(__xludf.DUMMYFUNCTION("""COMPUTED_VALUE"""),"Duyệt")</f>
        <v>Duyệt</v>
      </c>
      <c r="BE134" s="2" t="str">
        <f>IFERROR(__xludf.DUMMYFUNCTION("""COMPUTED_VALUE"""),"xlg 03/06
04/06")</f>
        <v>xlg 03/06
04/06</v>
      </c>
      <c r="BF134" s="2" t="str">
        <f>IFERROR(__xludf.DUMMYFUNCTION("""COMPUTED_VALUE"""),"Đã xử lí giá")</f>
        <v>Đã xử lí giá</v>
      </c>
      <c r="BG134" s="2" t="str">
        <f>IFERROR(__xludf.DUMMYFUNCTION("""COMPUTED_VALUE"""),"DÒNG V1 Nước nâu đen 43,500đ 3/6/2026
KD mua 540L BTP NCC để đóng đơn hàng 3/6/2026")</f>
        <v>DÒNG V1 Nước nâu đen 43,500đ 3/6/2026
KD mua 540L BTP NCC để đóng đơn hàng 3/6/2026</v>
      </c>
      <c r="BH134" s="2"/>
      <c r="BI134" s="2"/>
      <c r="BJ134" s="2"/>
      <c r="BK134" s="2"/>
      <c r="BL134" s="2"/>
      <c r="BM134" s="2"/>
      <c r="BN134" s="2"/>
      <c r="BO134" s="2"/>
      <c r="BP134" s="2"/>
      <c r="BQ134" s="2"/>
    </row>
    <row r="135">
      <c r="A135" s="2">
        <f>IFERROR(__xludf.DUMMYFUNCTION("""COMPUTED_VALUE"""),132.0)</f>
        <v>132</v>
      </c>
      <c r="B135" s="2" t="str">
        <f>IFERROR(__xludf.DUMMYFUNCTION("""COMPUTED_VALUE"""),"Yamato")</f>
        <v>Yamato</v>
      </c>
      <c r="C135" s="2" t="str">
        <f>IFERROR(__xludf.DUMMYFUNCTION("""COMPUTED_VALUE"""),"ATP03062605")</f>
        <v>ATP03062605</v>
      </c>
      <c r="D135" s="39">
        <f>IFERROR(__xludf.DUMMYFUNCTION("""COMPUTED_VALUE"""),46176.0)</f>
        <v>46176</v>
      </c>
      <c r="E135" s="2" t="str">
        <f>IFERROR(__xludf.DUMMYFUNCTION("""COMPUTED_VALUE"""),"Đã duyệt")</f>
        <v>Đã duyệt</v>
      </c>
      <c r="F135" s="2" t="str">
        <f>IFERROR(__xludf.DUMMYFUNCTION("""COMPUTED_VALUE"""),"ABA")</f>
        <v>ABA</v>
      </c>
      <c r="G135" s="2" t="str">
        <f>IFERROR(__xludf.DUMMYFUNCTION("""COMPUTED_VALUE"""),"HH5073")</f>
        <v>HH5073</v>
      </c>
      <c r="H135" s="2" t="str">
        <f>IFERROR(__xludf.DUMMYFUNCTION("""COMPUTED_VALUE"""),"GC - V - 5073 - CTY TÂY NAM - SPIDER REX (Nước xanh lá) - 240ml - 40")</f>
        <v>GC - V - 5073 - CTY TÂY NAM - SPIDER REX (Nước xanh lá) - 240ml - 40</v>
      </c>
      <c r="I135" s="2" t="str">
        <f>IFERROR(__xludf.DUMMYFUNCTION("""COMPUTED_VALUE"""),"Thuốc trừ sâu")</f>
        <v>Thuốc trừ sâu</v>
      </c>
      <c r="J135" s="142" t="str">
        <f>IFERROR(__xludf.DUMMYFUNCTION("""COMPUTED_VALUE"""),"Chitin 3.6EC")</f>
        <v>Chitin 3.6EC</v>
      </c>
      <c r="K135" s="2" t="str">
        <f>IFERROR(__xludf.DUMMYFUNCTION("""COMPUTED_VALUE"""),"DÒNG V1")</f>
        <v>DÒNG V1</v>
      </c>
      <c r="L135" s="2" t="str">
        <f>IFERROR(__xludf.DUMMYFUNCTION("""COMPUTED_VALUE"""),"Nước xanh lá")</f>
        <v>Nước xanh lá</v>
      </c>
      <c r="M135" s="2" t="str">
        <f>IFERROR(__xludf.DUMMYFUNCTION("""COMPUTED_VALUE"""),"Chai")</f>
        <v>Chai</v>
      </c>
      <c r="N135" s="142">
        <f>IFERROR(__xludf.DUMMYFUNCTION("""COMPUTED_VALUE"""),40.0)</f>
        <v>40</v>
      </c>
      <c r="O135" s="142">
        <f>IFERROR(__xludf.DUMMYFUNCTION("""COMPUTED_VALUE"""),21.0)</f>
        <v>21</v>
      </c>
      <c r="P135" s="142">
        <f>IFERROR(__xludf.DUMMYFUNCTION("""COMPUTED_VALUE"""),840.0)</f>
        <v>840</v>
      </c>
      <c r="Q135" s="143">
        <f>IFERROR(__xludf.DUMMYFUNCTION("""COMPUTED_VALUE"""),46191.0)</f>
        <v>46191</v>
      </c>
      <c r="R135" s="2"/>
      <c r="S135" s="142" t="str">
        <f>IFERROR(__xludf.DUMMYFUNCTION("""COMPUTED_VALUE"""),"lấy chẳn thùng")</f>
        <v>lấy chẳn thùng</v>
      </c>
      <c r="T135" s="2"/>
      <c r="U135" s="2"/>
      <c r="V135" s="2"/>
      <c r="W135" s="2" t="str">
        <f>IFERROR(__xludf.DUMMYFUNCTION("""COMPUTED_VALUE"""),"TÂY NAM - Giá bán 38000 - Ngày dự kiến thu tiền:  - Dự kiến ngày ra hết hàng: ")</f>
        <v>TÂY NAM - Giá bán 38000 - Ngày dự kiến thu tiền:  - Dự kiến ngày ra hết hàng: </v>
      </c>
      <c r="X135" s="2"/>
      <c r="Y135" s="2" t="str">
        <f>IFERROR(__xludf.DUMMYFUNCTION("""COMPUTED_VALUE"""),"Yamato")</f>
        <v>Yamato</v>
      </c>
      <c r="Z135" s="2" t="str">
        <f>IFERROR(__xludf.DUMMYFUNCTION("""COMPUTED_VALUE"""),"Chưa gửi đơn")</f>
        <v>Chưa gửi đơn</v>
      </c>
      <c r="AA135" s="2"/>
      <c r="AB135" s="2"/>
      <c r="AC135" s="146">
        <f>IFERROR(__xludf.DUMMYFUNCTION("""COMPUTED_VALUE"""),840.0)</f>
        <v>840</v>
      </c>
      <c r="AD135" s="2"/>
      <c r="AE135" s="143" t="str">
        <f>IFERROR(__xludf.DUMMYFUNCTION("""COMPUTED_VALUE"""),"Chưa chốt lịch")</f>
        <v>Chưa chốt lịch</v>
      </c>
      <c r="AF135" s="146" t="str">
        <f>IFERROR(__xludf.DUMMYFUNCTION("""COMPUTED_VALUE"""),"")</f>
        <v/>
      </c>
      <c r="AG135" s="2"/>
      <c r="AH135" s="2"/>
      <c r="AI135" s="2"/>
      <c r="AJ135" s="2"/>
      <c r="AK135" s="2"/>
      <c r="AL135" s="2"/>
      <c r="AM135" s="2"/>
      <c r="AN135" s="2"/>
      <c r="AO135" s="2"/>
      <c r="AP135" s="2"/>
      <c r="AQ135" s="2"/>
      <c r="AR135" s="2"/>
      <c r="AS135" s="2"/>
      <c r="AT135" s="2"/>
      <c r="AU135" s="2"/>
      <c r="AV135" s="2"/>
      <c r="AW135" s="2"/>
      <c r="AX135" s="2"/>
      <c r="AY135" s="2"/>
      <c r="AZ135" s="2"/>
      <c r="BA135" s="2"/>
      <c r="BB135" s="2" t="str">
        <f>IFERROR(__xludf.DUMMYFUNCTION("""COMPUTED_VALUE"""),"Chờ duyệt")</f>
        <v>Chờ duyệt</v>
      </c>
      <c r="BC135" s="2"/>
      <c r="BD135" s="2" t="str">
        <f>IFERROR(__xludf.DUMMYFUNCTION("""COMPUTED_VALUE"""),"Chờ duyệt")</f>
        <v>Chờ duyệt</v>
      </c>
      <c r="BE135" s="2"/>
      <c r="BF135" s="2" t="str">
        <f>IFERROR(__xludf.DUMMYFUNCTION("""COMPUTED_VALUE"""),"Chưa đủ BTP")</f>
        <v>Chưa đủ BTP</v>
      </c>
      <c r="BG135" s="2" t="str">
        <f>IFERROR(__xludf.DUMMYFUNCTION("""COMPUTED_VALUE"""),"DÒNG V1 Nước xanh lá 38,000đ 3/6/2026")</f>
        <v>DÒNG V1 Nước xanh lá 38,000đ 3/6/2026</v>
      </c>
      <c r="BH135" s="2"/>
      <c r="BI135" s="2"/>
      <c r="BJ135" s="2"/>
      <c r="BK135" s="2"/>
      <c r="BL135" s="2"/>
      <c r="BM135" s="2"/>
      <c r="BN135" s="2"/>
      <c r="BO135" s="2"/>
      <c r="BP135" s="2"/>
      <c r="BQ135" s="2"/>
    </row>
    <row r="136">
      <c r="A136" s="2">
        <f>IFERROR(__xludf.DUMMYFUNCTION("""COMPUTED_VALUE"""),133.0)</f>
        <v>133</v>
      </c>
      <c r="B136" s="2" t="str">
        <f>IFERROR(__xludf.DUMMYFUNCTION("""COMPUTED_VALUE"""),"Hà Long")</f>
        <v>Hà Long</v>
      </c>
      <c r="C136" s="2" t="str">
        <f>IFERROR(__xludf.DUMMYFUNCTION("""COMPUTED_VALUE"""),"ATP03062606")</f>
        <v>ATP03062606</v>
      </c>
      <c r="D136" s="39">
        <f>IFERROR(__xludf.DUMMYFUNCTION("""COMPUTED_VALUE"""),46176.0)</f>
        <v>46176</v>
      </c>
      <c r="E136" s="2" t="str">
        <f>IFERROR(__xludf.DUMMYFUNCTION("""COMPUTED_VALUE"""),"Đã duyệt")</f>
        <v>Đã duyệt</v>
      </c>
      <c r="F136" s="2" t="str">
        <f>IFERROR(__xludf.DUMMYFUNCTION("""COMPUTED_VALUE"""),"ABA")</f>
        <v>ABA</v>
      </c>
      <c r="G136" s="2" t="str">
        <f>IFERROR(__xludf.DUMMYFUNCTION("""COMPUTED_VALUE"""),"HH4382")</f>
        <v>HH4382</v>
      </c>
      <c r="H136" s="2" t="str">
        <f>IFERROR(__xludf.DUMMYFUNCTION("""COMPUTED_VALUE"""),"GC - V - 4382 - NHP GROUP - NHỆN ĐỎ (Nước tím) - 240ml - 40")</f>
        <v>GC - V - 4382 - NHP GROUP - NHỆN ĐỎ (Nước tím) - 240ml - 40</v>
      </c>
      <c r="I136" s="2" t="str">
        <f>IFERROR(__xludf.DUMMYFUNCTION("""COMPUTED_VALUE"""),"Thuốc trừ sâu")</f>
        <v>Thuốc trừ sâu</v>
      </c>
      <c r="J136" s="142" t="str">
        <f>IFERROR(__xludf.DUMMYFUNCTION("""COMPUTED_VALUE"""),"Chitin 3.6EC")</f>
        <v>Chitin 3.6EC</v>
      </c>
      <c r="K136" s="2" t="str">
        <f>IFERROR(__xludf.DUMMYFUNCTION("""COMPUTED_VALUE"""),"Cùng ruột 3220")</f>
        <v>Cùng ruột 3220</v>
      </c>
      <c r="L136" s="2" t="str">
        <f>IFERROR(__xludf.DUMMYFUNCTION("""COMPUTED_VALUE"""),"Nước tím")</f>
        <v>Nước tím</v>
      </c>
      <c r="M136" s="2" t="str">
        <f>IFERROR(__xludf.DUMMYFUNCTION("""COMPUTED_VALUE"""),"Chai")</f>
        <v>Chai</v>
      </c>
      <c r="N136" s="142">
        <f>IFERROR(__xludf.DUMMYFUNCTION("""COMPUTED_VALUE"""),40.0)</f>
        <v>40</v>
      </c>
      <c r="O136" s="142">
        <f>IFERROR(__xludf.DUMMYFUNCTION("""COMPUTED_VALUE"""),25.0)</f>
        <v>25</v>
      </c>
      <c r="P136" s="142">
        <f>IFERROR(__xludf.DUMMYFUNCTION("""COMPUTED_VALUE"""),1000.0)</f>
        <v>1000</v>
      </c>
      <c r="Q136" s="143">
        <f>IFERROR(__xludf.DUMMYFUNCTION("""COMPUTED_VALUE"""),46191.0)</f>
        <v>46191</v>
      </c>
      <c r="R136" s="2"/>
      <c r="S136" s="142" t="str">
        <f>IFERROR(__xludf.DUMMYFUNCTION("""COMPUTED_VALUE"""),"lấy chẳn thùng")</f>
        <v>lấy chẳn thùng</v>
      </c>
      <c r="T136" s="2"/>
      <c r="U136" s="2"/>
      <c r="V136" s="2"/>
      <c r="W136" s="2" t="str">
        <f>IFERROR(__xludf.DUMMYFUNCTION("""COMPUTED_VALUE"""),"NHP GROUP - Giá bán 63.500,00 đ - Ngày dự kiến thu tiền:  - Dự kiến ngày ra hết hàng: ")</f>
        <v>NHP GROUP - Giá bán 63.500,00 đ - Ngày dự kiến thu tiền:  - Dự kiến ngày ra hết hàng: </v>
      </c>
      <c r="X136" s="2"/>
      <c r="Y136" s="2" t="str">
        <f>IFERROR(__xludf.DUMMYFUNCTION("""COMPUTED_VALUE"""),"Hà Long")</f>
        <v>Hà Long</v>
      </c>
      <c r="Z136" s="2" t="str">
        <f>IFERROR(__xludf.DUMMYFUNCTION("""COMPUTED_VALUE"""),"Hủy đơn")</f>
        <v>Hủy đơn</v>
      </c>
      <c r="AA136" s="2"/>
      <c r="AB136" s="2" t="str">
        <f>IFERROR(__xludf.DUMMYFUNCTION("""COMPUTED_VALUE"""),"04/06 VTBB báo đổi mã do chỉnh lại nhãn
04/06 hủy đơn lên đơn mã 5079")</f>
        <v>04/06 VTBB báo đổi mã do chỉnh lại nhãn
04/06 hủy đơn lên đơn mã 5079</v>
      </c>
      <c r="AC136" s="146">
        <f>IFERROR(__xludf.DUMMYFUNCTION("""COMPUTED_VALUE"""),1000.0)</f>
        <v>1000</v>
      </c>
      <c r="AD136" s="2"/>
      <c r="AE136" s="143" t="str">
        <f>IFERROR(__xludf.DUMMYFUNCTION("""COMPUTED_VALUE"""),"Chưa chốt lịch")</f>
        <v>Chưa chốt lịch</v>
      </c>
      <c r="AF136" s="146" t="str">
        <f>IFERROR(__xludf.DUMMYFUNCTION("""COMPUTED_VALUE"""),"")</f>
        <v/>
      </c>
      <c r="AG136" s="2"/>
      <c r="AH136" s="2"/>
      <c r="AI136" s="2"/>
      <c r="AJ136" s="2"/>
      <c r="AK136" s="2"/>
      <c r="AL136" s="2"/>
      <c r="AM136" s="2"/>
      <c r="AN136" s="2"/>
      <c r="AO136" s="2"/>
      <c r="AP136" s="2"/>
      <c r="AQ136" s="2"/>
      <c r="AR136" s="2"/>
      <c r="AS136" s="2"/>
      <c r="AT136" s="2"/>
      <c r="AU136" s="2"/>
      <c r="AV136" s="2"/>
      <c r="AW136" s="2"/>
      <c r="AX136" s="2"/>
      <c r="AY136" s="2"/>
      <c r="AZ136" s="2"/>
      <c r="BA136" s="2"/>
      <c r="BB136" s="2" t="str">
        <f>IFERROR(__xludf.DUMMYFUNCTION("""COMPUTED_VALUE"""),"Chưa đủ TT duyệt")</f>
        <v>Chưa đủ TT duyệt</v>
      </c>
      <c r="BC136" s="2"/>
      <c r="BD136" s="2" t="str">
        <f>IFERROR(__xludf.DUMMYFUNCTION("""COMPUTED_VALUE"""),"Chờ duyệt")</f>
        <v>Chờ duyệt</v>
      </c>
      <c r="BE136" s="2"/>
      <c r="BF136" s="2" t="str">
        <f>IFERROR(__xludf.DUMMYFUNCTION("""COMPUTED_VALUE"""),"Đã xử lí giá")</f>
        <v>Đã xử lí giá</v>
      </c>
      <c r="BG136" s="2" t="str">
        <f>IFERROR(__xludf.DUMMYFUNCTION("""COMPUTED_VALUE"""),"Cùng ruột 3220 Nước tím 62,500đ 3/6/2026")</f>
        <v>Cùng ruột 3220 Nước tím 62,500đ 3/6/2026</v>
      </c>
      <c r="BH136" s="2"/>
      <c r="BI136" s="2"/>
      <c r="BJ136" s="2"/>
      <c r="BK136" s="2"/>
      <c r="BL136" s="2"/>
      <c r="BM136" s="2"/>
      <c r="BN136" s="2"/>
      <c r="BO136" s="2"/>
      <c r="BP136" s="2"/>
      <c r="BQ136" s="2"/>
    </row>
    <row r="137">
      <c r="A137" s="2">
        <f>IFERROR(__xludf.DUMMYFUNCTION("""COMPUTED_VALUE"""),134.0)</f>
        <v>134</v>
      </c>
      <c r="B137" s="2" t="str">
        <f>IFERROR(__xludf.DUMMYFUNCTION("""COMPUTED_VALUE"""),"Basel")</f>
        <v>Basel</v>
      </c>
      <c r="C137" s="2" t="str">
        <f>IFERROR(__xludf.DUMMYFUNCTION("""COMPUTED_VALUE"""),"ATP03062607")</f>
        <v>ATP03062607</v>
      </c>
      <c r="D137" s="39">
        <f>IFERROR(__xludf.DUMMYFUNCTION("""COMPUTED_VALUE"""),46176.0)</f>
        <v>46176</v>
      </c>
      <c r="E137" s="2" t="str">
        <f>IFERROR(__xludf.DUMMYFUNCTION("""COMPUTED_VALUE"""),"Đã duyệt")</f>
        <v>Đã duyệt</v>
      </c>
      <c r="F137" s="2" t="str">
        <f>IFERROR(__xludf.DUMMYFUNCTION("""COMPUTED_VALUE"""),"ABA")</f>
        <v>ABA</v>
      </c>
      <c r="G137" s="2" t="str">
        <f>IFERROR(__xludf.DUMMYFUNCTION("""COMPUTED_VALUE"""),"HH4362")</f>
        <v>HH4362</v>
      </c>
      <c r="H137" s="2" t="str">
        <f>IFERROR(__xludf.DUMMYFUNCTION("""COMPUTED_VALUE"""),"GC - V - 4362 - A Thời GNH - Siêu To Củ (Nước nâu đen) - 500ml - 40")</f>
        <v>GC - V - 4362 - A Thời GNH - Siêu To Củ (Nước nâu đen) - 500ml - 40</v>
      </c>
      <c r="I137" s="2" t="str">
        <f>IFERROR(__xludf.DUMMYFUNCTION("""COMPUTED_VALUE"""),"Phân bón")</f>
        <v>Phân bón</v>
      </c>
      <c r="J137" s="142" t="str">
        <f>IFERROR(__xludf.DUMMYFUNCTION("""COMPUTED_VALUE"""),"Vi lượng Basel VA02")</f>
        <v>Vi lượng Basel VA02</v>
      </c>
      <c r="K137" s="2">
        <f>IFERROR(__xludf.DUMMYFUNCTION("""COMPUTED_VALUE"""),24.0)</f>
        <v>24</v>
      </c>
      <c r="L137" s="2" t="str">
        <f>IFERROR(__xludf.DUMMYFUNCTION("""COMPUTED_VALUE"""),"Nước nâu đen")</f>
        <v>Nước nâu đen</v>
      </c>
      <c r="M137" s="2" t="str">
        <f>IFERROR(__xludf.DUMMYFUNCTION("""COMPUTED_VALUE"""),"Chai")</f>
        <v>Chai</v>
      </c>
      <c r="N137" s="142">
        <f>IFERROR(__xludf.DUMMYFUNCTION("""COMPUTED_VALUE"""),40.0)</f>
        <v>40</v>
      </c>
      <c r="O137" s="142">
        <f>IFERROR(__xludf.DUMMYFUNCTION("""COMPUTED_VALUE"""),15.0)</f>
        <v>15</v>
      </c>
      <c r="P137" s="142">
        <f>IFERROR(__xludf.DUMMYFUNCTION("""COMPUTED_VALUE"""),600.0)</f>
        <v>600</v>
      </c>
      <c r="Q137" s="143">
        <f>IFERROR(__xludf.DUMMYFUNCTION("""COMPUTED_VALUE"""),46191.0)</f>
        <v>46191</v>
      </c>
      <c r="R137" s="2"/>
      <c r="S137" s="142" t="str">
        <f>IFERROR(__xludf.DUMMYFUNCTION("""COMPUTED_VALUE"""),"lấy chẳn thùng")</f>
        <v>lấy chẳn thùng</v>
      </c>
      <c r="T137" s="2"/>
      <c r="U137" s="2"/>
      <c r="V137" s="2"/>
      <c r="W137" s="2" t="str">
        <f>IFERROR(__xludf.DUMMYFUNCTION("""COMPUTED_VALUE"""),"GNH - Giá bán 22.050,00 đ - Ngày dự kiến thu tiền:  - Dự kiến ngày ra hết hàng: ")</f>
        <v>GNH - Giá bán 22.050,00 đ - Ngày dự kiến thu tiền:  - Dự kiến ngày ra hết hàng: </v>
      </c>
      <c r="X137" s="2"/>
      <c r="Y137" s="2" t="str">
        <f>IFERROR(__xludf.DUMMYFUNCTION("""COMPUTED_VALUE"""),"Basel")</f>
        <v>Basel</v>
      </c>
      <c r="Z137" s="2" t="str">
        <f>IFERROR(__xludf.DUMMYFUNCTION("""COMPUTED_VALUE"""),"Chưa gửi đơn")</f>
        <v>Chưa gửi đơn</v>
      </c>
      <c r="AA137" s="2"/>
      <c r="AB137" s="2" t="str">
        <f>IFERROR(__xludf.DUMMYFUNCTION("""COMPUTED_VALUE"""),"đổi thành thùng 146")</f>
        <v>đổi thành thùng 146</v>
      </c>
      <c r="AC137" s="146">
        <f>IFERROR(__xludf.DUMMYFUNCTION("""COMPUTED_VALUE"""),600.0)</f>
        <v>600</v>
      </c>
      <c r="AD137" s="2"/>
      <c r="AE137" s="143" t="str">
        <f>IFERROR(__xludf.DUMMYFUNCTION("""COMPUTED_VALUE"""),"Chưa chốt lịch")</f>
        <v>Chưa chốt lịch</v>
      </c>
      <c r="AF137" s="146" t="str">
        <f>IFERROR(__xludf.DUMMYFUNCTION("""COMPUTED_VALUE"""),"")</f>
        <v/>
      </c>
      <c r="AG137" s="2"/>
      <c r="AH137" s="2"/>
      <c r="AI137" s="2"/>
      <c r="AJ137" s="2"/>
      <c r="AK137" s="2"/>
      <c r="AL137" s="2"/>
      <c r="AM137" s="2"/>
      <c r="AN137" s="2"/>
      <c r="AO137" s="2"/>
      <c r="AP137" s="2"/>
      <c r="AQ137" s="2"/>
      <c r="AR137" s="2"/>
      <c r="AS137" s="2"/>
      <c r="AT137" s="2"/>
      <c r="AU137" s="2"/>
      <c r="AV137" s="2"/>
      <c r="AW137" s="2"/>
      <c r="AX137" s="2"/>
      <c r="AY137" s="2"/>
      <c r="AZ137" s="2"/>
      <c r="BA137" s="2" t="str">
        <f>IFERROR(__xludf.DUMMYFUNCTION("""COMPUTED_VALUE"""),"Không đủ điều kiện")</f>
        <v>Không đủ điều kiện</v>
      </c>
      <c r="BB137" s="2" t="str">
        <f>IFERROR(__xludf.DUMMYFUNCTION("""COMPUTED_VALUE"""),"Duyệt")</f>
        <v>Duyệt</v>
      </c>
      <c r="BC137" s="149">
        <f>IFERROR(__xludf.DUMMYFUNCTION("""COMPUTED_VALUE"""),46177.0)</f>
        <v>46177</v>
      </c>
      <c r="BD137" s="2" t="str">
        <f>IFERROR(__xludf.DUMMYFUNCTION("""COMPUTED_VALUE"""),"Duyệt")</f>
        <v>Duyệt</v>
      </c>
      <c r="BE137" s="2" t="str">
        <f>IFERROR(__xludf.DUMMYFUNCTION("""COMPUTED_VALUE"""),"xlg 04/06
4/6")</f>
        <v>xlg 04/06
4/6</v>
      </c>
      <c r="BF137" s="2" t="str">
        <f>IFERROR(__xludf.DUMMYFUNCTION("""COMPUTED_VALUE"""),"Đã xử lí giá")</f>
        <v>Đã xử lí giá</v>
      </c>
      <c r="BG137" s="2" t="str">
        <f>IFERROR(__xludf.DUMMYFUNCTION("""COMPUTED_VALUE"""),"24 Nước nâu đen 22,050đ 3/6/2026")</f>
        <v>24 Nước nâu đen 22,050đ 3/6/2026</v>
      </c>
      <c r="BH137" s="2"/>
      <c r="BI137" s="2"/>
      <c r="BJ137" s="2"/>
      <c r="BK137" s="2"/>
      <c r="BL137" s="2"/>
      <c r="BM137" s="2"/>
      <c r="BN137" s="2"/>
      <c r="BO137" s="2"/>
      <c r="BP137" s="2"/>
      <c r="BQ137" s="2"/>
    </row>
    <row r="138">
      <c r="A138" s="2">
        <f>IFERROR(__xludf.DUMMYFUNCTION("""COMPUTED_VALUE"""),135.0)</f>
        <v>135</v>
      </c>
      <c r="B138" s="2" t="str">
        <f>IFERROR(__xludf.DUMMYFUNCTION("""COMPUTED_VALUE"""),"Yamato")</f>
        <v>Yamato</v>
      </c>
      <c r="C138" s="2" t="str">
        <f>IFERROR(__xludf.DUMMYFUNCTION("""COMPUTED_VALUE"""),"ATP04062601")</f>
        <v>ATP04062601</v>
      </c>
      <c r="D138" s="39">
        <f>IFERROR(__xludf.DUMMYFUNCTION("""COMPUTED_VALUE"""),46177.0)</f>
        <v>46177</v>
      </c>
      <c r="E138" s="2" t="str">
        <f>IFERROR(__xludf.DUMMYFUNCTION("""COMPUTED_VALUE"""),"Đã duyệt")</f>
        <v>Đã duyệt</v>
      </c>
      <c r="F138" s="2" t="str">
        <f>IFERROR(__xludf.DUMMYFUNCTION("""COMPUTED_VALUE"""),"ABA")</f>
        <v>ABA</v>
      </c>
      <c r="G138" s="2" t="str">
        <f>IFERROR(__xludf.DUMMYFUNCTION("""COMPUTED_VALUE"""),"HH4837")</f>
        <v>HH4837</v>
      </c>
      <c r="H138" s="2" t="str">
        <f>IFERROR(__xludf.DUMMYFUNCTION("""COMPUTED_VALUE"""),"GC - V - 4837 - Cty Thiên Di (A Thành Dol) - Mancozeb Xanh (Bột xanh) - 100gr - 100")</f>
        <v>GC - V - 4837 - Cty Thiên Di (A Thành Dol) - Mancozeb Xanh (Bột xanh) - 100gr - 100</v>
      </c>
      <c r="I138" s="2" t="str">
        <f>IFERROR(__xludf.DUMMYFUNCTION("""COMPUTED_VALUE"""),"Thuốc trừ bệnh")</f>
        <v>Thuốc trừ bệnh</v>
      </c>
      <c r="J138" s="142" t="str">
        <f>IFERROR(__xludf.DUMMYFUNCTION("""COMPUTED_VALUE"""),"MANCOBGO 80WP")</f>
        <v>MANCOBGO 80WP</v>
      </c>
      <c r="K138" s="2" t="str">
        <f>IFERROR(__xludf.DUMMYFUNCTION("""COMPUTED_VALUE"""),"Dòng V1")</f>
        <v>Dòng V1</v>
      </c>
      <c r="L138" s="2" t="str">
        <f>IFERROR(__xludf.DUMMYFUNCTION("""COMPUTED_VALUE"""),"Bột xanh")</f>
        <v>Bột xanh</v>
      </c>
      <c r="M138" s="2" t="str">
        <f>IFERROR(__xludf.DUMMYFUNCTION("""COMPUTED_VALUE"""),"Túi/Gói")</f>
        <v>Túi/Gói</v>
      </c>
      <c r="N138" s="142">
        <f>IFERROR(__xludf.DUMMYFUNCTION("""COMPUTED_VALUE"""),100.0)</f>
        <v>100</v>
      </c>
      <c r="O138" s="142">
        <f>IFERROR(__xludf.DUMMYFUNCTION("""COMPUTED_VALUE"""),50.0)</f>
        <v>50</v>
      </c>
      <c r="P138" s="142">
        <f>IFERROR(__xludf.DUMMYFUNCTION("""COMPUTED_VALUE"""),5000.0)</f>
        <v>5000</v>
      </c>
      <c r="Q138" s="143">
        <f>IFERROR(__xludf.DUMMYFUNCTION("""COMPUTED_VALUE"""),46186.0)</f>
        <v>46186</v>
      </c>
      <c r="R138" s="2"/>
      <c r="S138" s="142" t="str">
        <f>IFERROR(__xludf.DUMMYFUNCTION("""COMPUTED_VALUE"""),"lấy chẳn thùng
nguyên liệu khách đã mua trước đó
xong đơn này còn 2 tấn 1")</f>
        <v>lấy chẳn thùng
nguyên liệu khách đã mua trước đó
xong đơn này còn 2 tấn 1</v>
      </c>
      <c r="T138" s="2"/>
      <c r="U138" s="2"/>
      <c r="V138" s="2"/>
      <c r="W138" s="2" t="str">
        <f>IFERROR(__xludf.DUMMYFUNCTION("""COMPUTED_VALUE"""),"THIÊN DI - Giá bán 11800 - Ngày dự kiến thu tiền:  - Dự kiến ngày ra hết hàng: ")</f>
        <v>THIÊN DI - Giá bán 11800 - Ngày dự kiến thu tiền:  - Dự kiến ngày ra hết hàng: </v>
      </c>
      <c r="X138" s="2"/>
      <c r="Y138" s="2" t="str">
        <f>IFERROR(__xludf.DUMMYFUNCTION("""COMPUTED_VALUE"""),"Yamato")</f>
        <v>Yamato</v>
      </c>
      <c r="Z138" s="2" t="str">
        <f>IFERROR(__xludf.DUMMYFUNCTION("""COMPUTED_VALUE"""),"Chưa gửi đơn")</f>
        <v>Chưa gửi đơn</v>
      </c>
      <c r="AA138" s="2"/>
      <c r="AB138" s="2"/>
      <c r="AC138" s="146">
        <f>IFERROR(__xludf.DUMMYFUNCTION("""COMPUTED_VALUE"""),5000.0)</f>
        <v>5000</v>
      </c>
      <c r="AD138" s="2"/>
      <c r="AE138" s="143" t="str">
        <f>IFERROR(__xludf.DUMMYFUNCTION("""COMPUTED_VALUE"""),"Chưa chốt lịch")</f>
        <v>Chưa chốt lịch</v>
      </c>
      <c r="AF138" s="146" t="str">
        <f>IFERROR(__xludf.DUMMYFUNCTION("""COMPUTED_VALUE"""),"")</f>
        <v/>
      </c>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t="str">
        <f>IFERROR(__xludf.DUMMYFUNCTION("""COMPUTED_VALUE"""),"Chưa xử lí giá")</f>
        <v>Chưa xử lí giá</v>
      </c>
      <c r="BG138" s="2"/>
      <c r="BH138" s="2"/>
      <c r="BI138" s="2"/>
      <c r="BJ138" s="2"/>
      <c r="BK138" s="2"/>
      <c r="BL138" s="2"/>
      <c r="BM138" s="2"/>
      <c r="BN138" s="2"/>
      <c r="BO138" s="2"/>
      <c r="BP138" s="2"/>
      <c r="BQ138" s="2"/>
    </row>
    <row r="139">
      <c r="A139" s="2">
        <f>IFERROR(__xludf.DUMMYFUNCTION("""COMPUTED_VALUE"""),136.0)</f>
        <v>136</v>
      </c>
      <c r="B139" s="2" t="str">
        <f>IFERROR(__xludf.DUMMYFUNCTION("""COMPUTED_VALUE"""),"Hà Long")</f>
        <v>Hà Long</v>
      </c>
      <c r="C139" s="2" t="str">
        <f>IFERROR(__xludf.DUMMYFUNCTION("""COMPUTED_VALUE"""),"ATP04062602")</f>
        <v>ATP04062602</v>
      </c>
      <c r="D139" s="39">
        <f>IFERROR(__xludf.DUMMYFUNCTION("""COMPUTED_VALUE"""),46177.0)</f>
        <v>46177</v>
      </c>
      <c r="E139" s="2" t="str">
        <f>IFERROR(__xludf.DUMMYFUNCTION("""COMPUTED_VALUE"""),"Đã duyệt")</f>
        <v>Đã duyệt</v>
      </c>
      <c r="F139" s="2" t="str">
        <f>IFERROR(__xludf.DUMMYFUNCTION("""COMPUTED_VALUE"""),"ABA")</f>
        <v>ABA</v>
      </c>
      <c r="G139" s="2" t="str">
        <f>IFERROR(__xludf.DUMMYFUNCTION("""COMPUTED_VALUE"""),"HH4110")</f>
        <v>HH4110</v>
      </c>
      <c r="H139" s="2" t="str">
        <f>IFERROR(__xludf.DUMMYFUNCTION("""COMPUTED_VALUE"""),"GC - V - 4110 - SEN HỒNG - ĐỤC THÂN NEW (Bột trắng ngà) - 100gr - 100")</f>
        <v>GC - V - 4110 - SEN HỒNG - ĐỤC THÂN NEW (Bột trắng ngà) - 100gr - 100</v>
      </c>
      <c r="I139" s="2" t="str">
        <f>IFERROR(__xludf.DUMMYFUNCTION("""COMPUTED_VALUE"""),"Thuốc trừ sâu")</f>
        <v>Thuốc trừ sâu</v>
      </c>
      <c r="J139" s="142" t="str">
        <f>IFERROR(__xludf.DUMMYFUNCTION("""COMPUTED_VALUE"""),"FORVIN 85WP")</f>
        <v>FORVIN 85WP</v>
      </c>
      <c r="K139" s="2" t="str">
        <f>IFERROR(__xludf.DUMMYFUNCTION("""COMPUTED_VALUE"""),"Dòng V1")</f>
        <v>Dòng V1</v>
      </c>
      <c r="L139" s="2" t="str">
        <f>IFERROR(__xludf.DUMMYFUNCTION("""COMPUTED_VALUE"""),"Bột trắng ngà")</f>
        <v>Bột trắng ngà</v>
      </c>
      <c r="M139" s="2" t="str">
        <f>IFERROR(__xludf.DUMMYFUNCTION("""COMPUTED_VALUE"""),"Túi/Gói")</f>
        <v>Túi/Gói</v>
      </c>
      <c r="N139" s="142">
        <f>IFERROR(__xludf.DUMMYFUNCTION("""COMPUTED_VALUE"""),100.0)</f>
        <v>100</v>
      </c>
      <c r="O139" s="142">
        <f>IFERROR(__xludf.DUMMYFUNCTION("""COMPUTED_VALUE"""),10.0)</f>
        <v>10</v>
      </c>
      <c r="P139" s="142">
        <f>IFERROR(__xludf.DUMMYFUNCTION("""COMPUTED_VALUE"""),1000.0)</f>
        <v>1000</v>
      </c>
      <c r="Q139" s="143">
        <f>IFERROR(__xludf.DUMMYFUNCTION("""COMPUTED_VALUE"""),46193.0)</f>
        <v>46193</v>
      </c>
      <c r="R139" s="2"/>
      <c r="S139" s="142" t="str">
        <f>IFERROR(__xludf.DUMMYFUNCTION("""COMPUTED_VALUE"""),"lấy chẳn thùng")</f>
        <v>lấy chẳn thùng</v>
      </c>
      <c r="T139" s="2"/>
      <c r="U139" s="2"/>
      <c r="V139" s="2"/>
      <c r="W139" s="2" t="str">
        <f>IFERROR(__xludf.DUMMYFUNCTION("""COMPUTED_VALUE"""),"SEN HỒNG - Giá bán 30000 - Ngày dự kiến thu tiền:  - Dự kiến ngày ra hết hàng: ")</f>
        <v>SEN HỒNG - Giá bán 30000 - Ngày dự kiến thu tiền:  - Dự kiến ngày ra hết hàng: </v>
      </c>
      <c r="X139" s="2"/>
      <c r="Y139" s="2" t="str">
        <f>IFERROR(__xludf.DUMMYFUNCTION("""COMPUTED_VALUE"""),"Hà Long")</f>
        <v>Hà Long</v>
      </c>
      <c r="Z139" s="2" t="str">
        <f>IFERROR(__xludf.DUMMYFUNCTION("""COMPUTED_VALUE"""),"Chưa gửi đơn")</f>
        <v>Chưa gửi đơn</v>
      </c>
      <c r="AA139" s="2"/>
      <c r="AB139" s="2"/>
      <c r="AC139" s="146">
        <f>IFERROR(__xludf.DUMMYFUNCTION("""COMPUTED_VALUE"""),1000.0)</f>
        <v>1000</v>
      </c>
      <c r="AD139" s="2"/>
      <c r="AE139" s="143" t="str">
        <f>IFERROR(__xludf.DUMMYFUNCTION("""COMPUTED_VALUE"""),"Chưa chốt lịch")</f>
        <v>Chưa chốt lịch</v>
      </c>
      <c r="AF139" s="146" t="str">
        <f>IFERROR(__xludf.DUMMYFUNCTION("""COMPUTED_VALUE"""),"")</f>
        <v/>
      </c>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t="str">
        <f>IFERROR(__xludf.DUMMYFUNCTION("""COMPUTED_VALUE"""),"Chưa xử lí giá")</f>
        <v>Chưa xử lí giá</v>
      </c>
      <c r="BG139" s="2"/>
      <c r="BH139" s="2"/>
      <c r="BI139" s="2"/>
      <c r="BJ139" s="2"/>
      <c r="BK139" s="2"/>
      <c r="BL139" s="2"/>
      <c r="BM139" s="2"/>
      <c r="BN139" s="2"/>
      <c r="BO139" s="2"/>
      <c r="BP139" s="2"/>
      <c r="BQ139" s="2"/>
    </row>
    <row r="140">
      <c r="A140" s="2">
        <f>IFERROR(__xludf.DUMMYFUNCTION("""COMPUTED_VALUE"""),137.0)</f>
        <v>137</v>
      </c>
      <c r="B140" s="2" t="str">
        <f>IFERROR(__xludf.DUMMYFUNCTION("""COMPUTED_VALUE"""),"Hà Long")</f>
        <v>Hà Long</v>
      </c>
      <c r="C140" s="2" t="str">
        <f>IFERROR(__xludf.DUMMYFUNCTION("""COMPUTED_VALUE"""),"ATP04062603")</f>
        <v>ATP04062603</v>
      </c>
      <c r="D140" s="39">
        <f>IFERROR(__xludf.DUMMYFUNCTION("""COMPUTED_VALUE"""),46177.0)</f>
        <v>46177</v>
      </c>
      <c r="E140" s="2" t="str">
        <f>IFERROR(__xludf.DUMMYFUNCTION("""COMPUTED_VALUE"""),"Đã duyệt")</f>
        <v>Đã duyệt</v>
      </c>
      <c r="F140" s="2" t="str">
        <f>IFERROR(__xludf.DUMMYFUNCTION("""COMPUTED_VALUE"""),"ABA")</f>
        <v>ABA</v>
      </c>
      <c r="G140" s="2" t="str">
        <f>IFERROR(__xludf.DUMMYFUNCTION("""COMPUTED_VALUE"""),"HH4152")</f>
        <v>HH4152</v>
      </c>
      <c r="H140" s="2" t="str">
        <f>IFERROR(__xludf.DUMMYFUNCTION("""COMPUTED_VALUE"""),"GC - V - 4152 - Thiên Di - Super 55 (dạng cốm màu trắng ngà) - 100gr - 100")</f>
        <v>GC - V - 4152 - Thiên Di - Super 55 (dạng cốm màu trắng ngà) - 100gr - 100</v>
      </c>
      <c r="I140" s="2" t="str">
        <f>IFERROR(__xludf.DUMMYFUNCTION("""COMPUTED_VALUE"""),"Thuốc trừ sâu")</f>
        <v>Thuốc trừ sâu</v>
      </c>
      <c r="J140" s="142" t="str">
        <f>IFERROR(__xludf.DUMMYFUNCTION("""COMPUTED_VALUE"""),"MAKEGREEN 55WG")</f>
        <v>MAKEGREEN 55WG</v>
      </c>
      <c r="K140" s="2" t="str">
        <f>IFERROR(__xludf.DUMMYFUNCTION("""COMPUTED_VALUE"""),"Dòng V1")</f>
        <v>Dòng V1</v>
      </c>
      <c r="L140" s="2" t="str">
        <f>IFERROR(__xludf.DUMMYFUNCTION("""COMPUTED_VALUE"""),"Dạng cốm màu trắng ngà")</f>
        <v>Dạng cốm màu trắng ngà</v>
      </c>
      <c r="M140" s="2" t="str">
        <f>IFERROR(__xludf.DUMMYFUNCTION("""COMPUTED_VALUE"""),"Túi/Gói")</f>
        <v>Túi/Gói</v>
      </c>
      <c r="N140" s="142">
        <f>IFERROR(__xludf.DUMMYFUNCTION("""COMPUTED_VALUE"""),100.0)</f>
        <v>100</v>
      </c>
      <c r="O140" s="142">
        <f>IFERROR(__xludf.DUMMYFUNCTION("""COMPUTED_VALUE"""),20.0)</f>
        <v>20</v>
      </c>
      <c r="P140" s="142">
        <f>IFERROR(__xludf.DUMMYFUNCTION("""COMPUTED_VALUE"""),2000.0)</f>
        <v>2000</v>
      </c>
      <c r="Q140" s="143">
        <f>IFERROR(__xludf.DUMMYFUNCTION("""COMPUTED_VALUE"""),46189.0)</f>
        <v>46189</v>
      </c>
      <c r="R140" s="2"/>
      <c r="S140" s="142" t="str">
        <f>IFERROR(__xludf.DUMMYFUNCTION("""COMPUTED_VALUE"""),"lấy chẳn thùng
đóng hết túi tròn thùng")</f>
        <v>lấy chẳn thùng
đóng hết túi tròn thùng</v>
      </c>
      <c r="T140" s="2"/>
      <c r="U140" s="2"/>
      <c r="V140" s="2"/>
      <c r="W140" s="2" t="str">
        <f>IFERROR(__xludf.DUMMYFUNCTION("""COMPUTED_VALUE"""),"THIÊN DI - Giá bán 23000 - Ngày dự kiến thu tiền:  - Dự kiến ngày ra hết hàng: ")</f>
        <v>THIÊN DI - Giá bán 23000 - Ngày dự kiến thu tiền:  - Dự kiến ngày ra hết hàng: </v>
      </c>
      <c r="X140" s="2"/>
      <c r="Y140" s="2" t="str">
        <f>IFERROR(__xludf.DUMMYFUNCTION("""COMPUTED_VALUE"""),"Hà Long")</f>
        <v>Hà Long</v>
      </c>
      <c r="Z140" s="2" t="str">
        <f>IFERROR(__xludf.DUMMYFUNCTION("""COMPUTED_VALUE"""),"Chưa gửi đơn")</f>
        <v>Chưa gửi đơn</v>
      </c>
      <c r="AA140" s="2"/>
      <c r="AB140" s="2"/>
      <c r="AC140" s="146">
        <f>IFERROR(__xludf.DUMMYFUNCTION("""COMPUTED_VALUE"""),2000.0)</f>
        <v>2000</v>
      </c>
      <c r="AD140" s="2"/>
      <c r="AE140" s="143" t="str">
        <f>IFERROR(__xludf.DUMMYFUNCTION("""COMPUTED_VALUE"""),"Chưa chốt lịch")</f>
        <v>Chưa chốt lịch</v>
      </c>
      <c r="AF140" s="146" t="str">
        <f>IFERROR(__xludf.DUMMYFUNCTION("""COMPUTED_VALUE"""),"")</f>
        <v/>
      </c>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t="str">
        <f>IFERROR(__xludf.DUMMYFUNCTION("""COMPUTED_VALUE"""),"Chưa xử lí giá")</f>
        <v>Chưa xử lí giá</v>
      </c>
      <c r="BG140" s="2"/>
      <c r="BH140" s="2"/>
      <c r="BI140" s="2"/>
      <c r="BJ140" s="2"/>
      <c r="BK140" s="2"/>
      <c r="BL140" s="2"/>
      <c r="BM140" s="2"/>
      <c r="BN140" s="2"/>
      <c r="BO140" s="2"/>
      <c r="BP140" s="2"/>
      <c r="BQ140" s="2"/>
    </row>
    <row r="141">
      <c r="A141" s="2">
        <f>IFERROR(__xludf.DUMMYFUNCTION("""COMPUTED_VALUE"""),138.0)</f>
        <v>138</v>
      </c>
      <c r="B141" s="2" t="str">
        <f>IFERROR(__xludf.DUMMYFUNCTION("""COMPUTED_VALUE"""),"Hà Long")</f>
        <v>Hà Long</v>
      </c>
      <c r="C141" s="2" t="str">
        <f>IFERROR(__xludf.DUMMYFUNCTION("""COMPUTED_VALUE"""),"ATP04062605")</f>
        <v>ATP04062605</v>
      </c>
      <c r="D141" s="39">
        <f>IFERROR(__xludf.DUMMYFUNCTION("""COMPUTED_VALUE"""),46177.0)</f>
        <v>46177</v>
      </c>
      <c r="E141" s="2" t="str">
        <f>IFERROR(__xludf.DUMMYFUNCTION("""COMPUTED_VALUE"""),"Đã duyệt")</f>
        <v>Đã duyệt</v>
      </c>
      <c r="F141" s="2" t="str">
        <f>IFERROR(__xludf.DUMMYFUNCTION("""COMPUTED_VALUE"""),"ABA")</f>
        <v>ABA</v>
      </c>
      <c r="G141" s="2" t="str">
        <f>IFERROR(__xludf.DUMMYFUNCTION("""COMPUTED_VALUE"""),"HH5076")</f>
        <v>HH5076</v>
      </c>
      <c r="H141" s="2" t="str">
        <f>IFERROR(__xludf.DUMMYFUNCTION("""COMPUTED_VALUE"""),"GC - V - 5076 - Cty Hóa Nông Shino - OC 666 (Nước nâu đen) - 450ml - 30")</f>
        <v>GC - V - 5076 - Cty Hóa Nông Shino - OC 666 (Nước nâu đen) - 450ml - 30</v>
      </c>
      <c r="I141" s="2" t="str">
        <f>IFERROR(__xludf.DUMMYFUNCTION("""COMPUTED_VALUE"""),"Thuốc trừ sâu")</f>
        <v>Thuốc trừ sâu</v>
      </c>
      <c r="J141" s="142" t="str">
        <f>IFERROR(__xludf.DUMMYFUNCTION("""COMPUTED_VALUE"""),"HAIHAMEC 3.6EC")</f>
        <v>HAIHAMEC 3.6EC</v>
      </c>
      <c r="K141" s="2" t="str">
        <f>IFERROR(__xludf.DUMMYFUNCTION("""COMPUTED_VALUE"""),"Dòng V1")</f>
        <v>Dòng V1</v>
      </c>
      <c r="L141" s="2" t="str">
        <f>IFERROR(__xludf.DUMMYFUNCTION("""COMPUTED_VALUE"""),"Nước nâu đen")</f>
        <v>Nước nâu đen</v>
      </c>
      <c r="M141" s="2" t="str">
        <f>IFERROR(__xludf.DUMMYFUNCTION("""COMPUTED_VALUE"""),"Chai")</f>
        <v>Chai</v>
      </c>
      <c r="N141" s="142">
        <f>IFERROR(__xludf.DUMMYFUNCTION("""COMPUTED_VALUE"""),30.0)</f>
        <v>30</v>
      </c>
      <c r="O141" s="142">
        <f>IFERROR(__xludf.DUMMYFUNCTION("""COMPUTED_VALUE"""),50.0)</f>
        <v>50</v>
      </c>
      <c r="P141" s="142">
        <f>IFERROR(__xludf.DUMMYFUNCTION("""COMPUTED_VALUE"""),1500.0)</f>
        <v>1500</v>
      </c>
      <c r="Q141" s="143">
        <f>IFERROR(__xludf.DUMMYFUNCTION("""COMPUTED_VALUE"""),46195.0)</f>
        <v>46195</v>
      </c>
      <c r="R141" s="2"/>
      <c r="S141" s="142" t="str">
        <f>IFERROR(__xludf.DUMMYFUNCTION("""COMPUTED_VALUE"""),"lấy chẳn thùng
hàng cần gấp")</f>
        <v>lấy chẳn thùng
hàng cần gấp</v>
      </c>
      <c r="T141" s="2"/>
      <c r="U141" s="2"/>
      <c r="V141" s="2"/>
      <c r="W141" s="2" t="str">
        <f>IFERROR(__xludf.DUMMYFUNCTION("""COMPUTED_VALUE"""),"SHINO - Giá bán 42500 - Ngày dự kiến thu tiền:  - Dự kiến ngày ra hết hàng: ")</f>
        <v>SHINO - Giá bán 42500 - Ngày dự kiến thu tiền:  - Dự kiến ngày ra hết hàng: </v>
      </c>
      <c r="X141" s="2"/>
      <c r="Y141" s="2" t="str">
        <f>IFERROR(__xludf.DUMMYFUNCTION("""COMPUTED_VALUE"""),"Hà Long")</f>
        <v>Hà Long</v>
      </c>
      <c r="Z141" s="2" t="str">
        <f>IFERROR(__xludf.DUMMYFUNCTION("""COMPUTED_VALUE"""),"Chưa gửi đơn")</f>
        <v>Chưa gửi đơn</v>
      </c>
      <c r="AA141" s="2"/>
      <c r="AB141" s="2"/>
      <c r="AC141" s="146">
        <f>IFERROR(__xludf.DUMMYFUNCTION("""COMPUTED_VALUE"""),1500.0)</f>
        <v>1500</v>
      </c>
      <c r="AD141" s="2"/>
      <c r="AE141" s="143" t="str">
        <f>IFERROR(__xludf.DUMMYFUNCTION("""COMPUTED_VALUE"""),"Chưa chốt lịch")</f>
        <v>Chưa chốt lịch</v>
      </c>
      <c r="AF141" s="146" t="str">
        <f>IFERROR(__xludf.DUMMYFUNCTION("""COMPUTED_VALUE"""),"")</f>
        <v/>
      </c>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t="str">
        <f>IFERROR(__xludf.DUMMYFUNCTION("""COMPUTED_VALUE"""),"Chưa xử lí giá")</f>
        <v>Chưa xử lí giá</v>
      </c>
      <c r="BG141" s="2"/>
      <c r="BH141" s="2"/>
      <c r="BI141" s="2"/>
      <c r="BJ141" s="2"/>
      <c r="BK141" s="2"/>
      <c r="BL141" s="2"/>
      <c r="BM141" s="2"/>
      <c r="BN141" s="2"/>
      <c r="BO141" s="2"/>
      <c r="BP141" s="2"/>
      <c r="BQ141" s="2"/>
    </row>
    <row r="142">
      <c r="A142" s="2">
        <f>IFERROR(__xludf.DUMMYFUNCTION("""COMPUTED_VALUE"""),139.0)</f>
        <v>139</v>
      </c>
      <c r="B142" s="2" t="str">
        <f>IFERROR(__xludf.DUMMYFUNCTION("""COMPUTED_VALUE"""),"Hà Long")</f>
        <v>Hà Long</v>
      </c>
      <c r="C142" s="2" t="str">
        <f>IFERROR(__xludf.DUMMYFUNCTION("""COMPUTED_VALUE"""),"ATP04062606")</f>
        <v>ATP04062606</v>
      </c>
      <c r="D142" s="39">
        <f>IFERROR(__xludf.DUMMYFUNCTION("""COMPUTED_VALUE"""),46177.0)</f>
        <v>46177</v>
      </c>
      <c r="E142" s="2" t="str">
        <f>IFERROR(__xludf.DUMMYFUNCTION("""COMPUTED_VALUE"""),"Đã duyệt")</f>
        <v>Đã duyệt</v>
      </c>
      <c r="F142" s="2" t="str">
        <f>IFERROR(__xludf.DUMMYFUNCTION("""COMPUTED_VALUE"""),"ABA")</f>
        <v>ABA</v>
      </c>
      <c r="G142" s="2" t="str">
        <f>IFERROR(__xludf.DUMMYFUNCTION("""COMPUTED_VALUE"""),"HH5079")</f>
        <v>HH5079</v>
      </c>
      <c r="H142" s="2" t="str">
        <f>IFERROR(__xludf.DUMMYFUNCTION("""COMPUTED_VALUE"""),"GC - V - 5079 - NHP GROUP - NHỆN ĐỎ (Nước tím) - 240ml - 40")</f>
        <v>GC - V - 5079 - NHP GROUP - NHỆN ĐỎ (Nước tím) - 240ml - 40</v>
      </c>
      <c r="I142" s="2" t="str">
        <f>IFERROR(__xludf.DUMMYFUNCTION("""COMPUTED_VALUE"""),"Thuốc trừ sâu")</f>
        <v>Thuốc trừ sâu</v>
      </c>
      <c r="J142" s="142" t="str">
        <f>IFERROR(__xludf.DUMMYFUNCTION("""COMPUTED_VALUE"""),"Chitin 3.6EC")</f>
        <v>Chitin 3.6EC</v>
      </c>
      <c r="K142" s="2" t="str">
        <f>IFERROR(__xludf.DUMMYFUNCTION("""COMPUTED_VALUE"""),"Cùng ruột 3220")</f>
        <v>Cùng ruột 3220</v>
      </c>
      <c r="L142" s="2" t="str">
        <f>IFERROR(__xludf.DUMMYFUNCTION("""COMPUTED_VALUE"""),"Nước tím")</f>
        <v>Nước tím</v>
      </c>
      <c r="M142" s="2" t="str">
        <f>IFERROR(__xludf.DUMMYFUNCTION("""COMPUTED_VALUE"""),"Chai")</f>
        <v>Chai</v>
      </c>
      <c r="N142" s="142">
        <f>IFERROR(__xludf.DUMMYFUNCTION("""COMPUTED_VALUE"""),40.0)</f>
        <v>40</v>
      </c>
      <c r="O142" s="142">
        <f>IFERROR(__xludf.DUMMYFUNCTION("""COMPUTED_VALUE"""),25.0)</f>
        <v>25</v>
      </c>
      <c r="P142" s="142">
        <f>IFERROR(__xludf.DUMMYFUNCTION("""COMPUTED_VALUE"""),1000.0)</f>
        <v>1000</v>
      </c>
      <c r="Q142" s="143">
        <f>IFERROR(__xludf.DUMMYFUNCTION("""COMPUTED_VALUE"""),46195.0)</f>
        <v>46195</v>
      </c>
      <c r="R142" s="2"/>
      <c r="S142" s="142" t="str">
        <f>IFERROR(__xludf.DUMMYFUNCTION("""COMPUTED_VALUE"""),"lấy chẳn thùng")</f>
        <v>lấy chẳn thùng</v>
      </c>
      <c r="T142" s="2"/>
      <c r="U142" s="2"/>
      <c r="V142" s="2"/>
      <c r="W142" s="2" t="str">
        <f>IFERROR(__xludf.DUMMYFUNCTION("""COMPUTED_VALUE"""),"NHP GROUP - Giá bán 63500 - Ngày dự kiến thu tiền:  - Dự kiến ngày ra hết hàng: ")</f>
        <v>NHP GROUP - Giá bán 63500 - Ngày dự kiến thu tiền:  - Dự kiến ngày ra hết hàng: </v>
      </c>
      <c r="X142" s="2"/>
      <c r="Y142" s="2" t="str">
        <f>IFERROR(__xludf.DUMMYFUNCTION("""COMPUTED_VALUE"""),"Hà Long")</f>
        <v>Hà Long</v>
      </c>
      <c r="Z142" s="2" t="str">
        <f>IFERROR(__xludf.DUMMYFUNCTION("""COMPUTED_VALUE"""),"Chưa gửi đơn")</f>
        <v>Chưa gửi đơn</v>
      </c>
      <c r="AA142" s="2"/>
      <c r="AB142" s="2"/>
      <c r="AC142" s="146">
        <f>IFERROR(__xludf.DUMMYFUNCTION("""COMPUTED_VALUE"""),1000.0)</f>
        <v>1000</v>
      </c>
      <c r="AD142" s="2"/>
      <c r="AE142" s="143" t="str">
        <f>IFERROR(__xludf.DUMMYFUNCTION("""COMPUTED_VALUE"""),"Chưa chốt lịch")</f>
        <v>Chưa chốt lịch</v>
      </c>
      <c r="AF142" s="146" t="str">
        <f>IFERROR(__xludf.DUMMYFUNCTION("""COMPUTED_VALUE"""),"")</f>
        <v/>
      </c>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t="str">
        <f>IFERROR(__xludf.DUMMYFUNCTION("""COMPUTED_VALUE"""),"Chưa xử lí giá")</f>
        <v>Chưa xử lí giá</v>
      </c>
      <c r="BG142" s="2"/>
      <c r="BH142" s="2"/>
      <c r="BI142" s="2"/>
      <c r="BJ142" s="2"/>
      <c r="BK142" s="2"/>
      <c r="BL142" s="2"/>
      <c r="BM142" s="2"/>
      <c r="BN142" s="2"/>
      <c r="BO142" s="2"/>
      <c r="BP142" s="2"/>
      <c r="BQ142" s="2"/>
    </row>
    <row r="143">
      <c r="A143" s="2" t="str">
        <f>IFERROR(__xludf.DUMMYFUNCTION("""COMPUTED_VALUE"""),"")</f>
        <v/>
      </c>
      <c r="B143" s="2"/>
      <c r="C143" s="2"/>
      <c r="D143" s="39" t="str">
        <f>IFERROR(__xludf.DUMMYFUNCTION("""COMPUTED_VALUE"""),"#N/A")</f>
        <v>#N/A</v>
      </c>
      <c r="E143" s="2"/>
      <c r="F143" s="2"/>
      <c r="G143" s="2"/>
      <c r="H143" s="2"/>
      <c r="I143" s="2"/>
      <c r="J143" s="2"/>
      <c r="K143" s="2"/>
      <c r="L143" s="2"/>
      <c r="M143" s="2"/>
      <c r="N143" s="2"/>
      <c r="O143" s="2"/>
      <c r="P143" s="2"/>
      <c r="Q143" s="2"/>
      <c r="R143" s="2"/>
      <c r="S143" s="2"/>
      <c r="T143" s="2"/>
      <c r="U143" s="2"/>
      <c r="V143" s="2"/>
      <c r="W143" s="2" t="str">
        <f>IFERROR(__xludf.DUMMYFUNCTION("""COMPUTED_VALUE"""),"#N/A")</f>
        <v>#N/A</v>
      </c>
      <c r="X143" s="2"/>
      <c r="Y143" s="2"/>
      <c r="Z143" s="2" t="str">
        <f>IFERROR(__xludf.DUMMYFUNCTION("""COMPUTED_VALUE"""),"Chưa gửi đơn")</f>
        <v>Chưa gửi đơn</v>
      </c>
      <c r="AA143" s="2"/>
      <c r="AB143" s="2"/>
      <c r="AC143" s="2"/>
      <c r="AD143" s="2"/>
      <c r="AE143" s="143" t="str">
        <f>IFERROR(__xludf.DUMMYFUNCTION("""COMPUTED_VALUE"""),"Chưa chốt lịch")</f>
        <v>Chưa chốt lịch</v>
      </c>
      <c r="AF143" s="146" t="str">
        <f>IFERROR(__xludf.DUMMYFUNCTION("""COMPUTED_VALUE"""),"")</f>
        <v/>
      </c>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t="str">
        <f>IFERROR(__xludf.DUMMYFUNCTION("""COMPUTED_VALUE"""),"Chưa xử lí giá")</f>
        <v>Chưa xử lí giá</v>
      </c>
      <c r="BG143" s="2"/>
      <c r="BH143" s="2"/>
      <c r="BI143" s="2"/>
      <c r="BJ143" s="2"/>
      <c r="BK143" s="2"/>
      <c r="BL143" s="2"/>
      <c r="BM143" s="2"/>
      <c r="BN143" s="2"/>
      <c r="BO143" s="2"/>
      <c r="BP143" s="2"/>
      <c r="BQ143" s="2"/>
    </row>
    <row r="144">
      <c r="A144" s="2" t="str">
        <f>IFERROR(__xludf.DUMMYFUNCTION("""COMPUTED_VALUE"""),"")</f>
        <v/>
      </c>
      <c r="B144" s="2"/>
      <c r="C144" s="2"/>
      <c r="D144" s="39" t="str">
        <f>IFERROR(__xludf.DUMMYFUNCTION("""COMPUTED_VALUE"""),"#N/A")</f>
        <v>#N/A</v>
      </c>
      <c r="E144" s="2"/>
      <c r="F144" s="2"/>
      <c r="G144" s="2"/>
      <c r="H144" s="2"/>
      <c r="I144" s="2"/>
      <c r="J144" s="2"/>
      <c r="K144" s="2"/>
      <c r="L144" s="2"/>
      <c r="M144" s="2"/>
      <c r="N144" s="2"/>
      <c r="O144" s="2"/>
      <c r="P144" s="2"/>
      <c r="Q144" s="2"/>
      <c r="R144" s="2"/>
      <c r="S144" s="2"/>
      <c r="T144" s="2"/>
      <c r="U144" s="2"/>
      <c r="V144" s="2"/>
      <c r="W144" s="2" t="str">
        <f>IFERROR(__xludf.DUMMYFUNCTION("""COMPUTED_VALUE"""),"#N/A")</f>
        <v>#N/A</v>
      </c>
      <c r="X144" s="2"/>
      <c r="Y144" s="2"/>
      <c r="Z144" s="2" t="str">
        <f>IFERROR(__xludf.DUMMYFUNCTION("""COMPUTED_VALUE"""),"Chưa gửi đơn")</f>
        <v>Chưa gửi đơn</v>
      </c>
      <c r="AA144" s="2"/>
      <c r="AB144" s="2"/>
      <c r="AC144" s="2"/>
      <c r="AD144" s="2"/>
      <c r="AE144" s="143" t="str">
        <f>IFERROR(__xludf.DUMMYFUNCTION("""COMPUTED_VALUE"""),"Chưa chốt lịch")</f>
        <v>Chưa chốt lịch</v>
      </c>
      <c r="AF144" s="146" t="str">
        <f>IFERROR(__xludf.DUMMYFUNCTION("""COMPUTED_VALUE"""),"")</f>
        <v/>
      </c>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t="str">
        <f>IFERROR(__xludf.DUMMYFUNCTION("""COMPUTED_VALUE"""),"Chưa xử lí giá")</f>
        <v>Chưa xử lí giá</v>
      </c>
      <c r="BG144" s="2"/>
      <c r="BH144" s="2"/>
      <c r="BI144" s="2"/>
      <c r="BJ144" s="2"/>
      <c r="BK144" s="2"/>
      <c r="BL144" s="2"/>
      <c r="BM144" s="2"/>
      <c r="BN144" s="2"/>
      <c r="BO144" s="2"/>
      <c r="BP144" s="2"/>
      <c r="BQ144" s="2"/>
    </row>
    <row r="145">
      <c r="A145" s="2" t="str">
        <f>IFERROR(__xludf.DUMMYFUNCTION("""COMPUTED_VALUE"""),"")</f>
        <v/>
      </c>
      <c r="B145" s="2"/>
      <c r="C145" s="2"/>
      <c r="D145" s="39" t="str">
        <f>IFERROR(__xludf.DUMMYFUNCTION("""COMPUTED_VALUE"""),"#N/A")</f>
        <v>#N/A</v>
      </c>
      <c r="E145" s="2"/>
      <c r="F145" s="2"/>
      <c r="G145" s="2"/>
      <c r="H145" s="2"/>
      <c r="I145" s="2"/>
      <c r="J145" s="2"/>
      <c r="K145" s="2"/>
      <c r="L145" s="2"/>
      <c r="M145" s="2"/>
      <c r="N145" s="2"/>
      <c r="O145" s="2"/>
      <c r="P145" s="2"/>
      <c r="Q145" s="2"/>
      <c r="R145" s="2"/>
      <c r="S145" s="2"/>
      <c r="T145" s="2"/>
      <c r="U145" s="2"/>
      <c r="V145" s="2"/>
      <c r="W145" s="2" t="str">
        <f>IFERROR(__xludf.DUMMYFUNCTION("""COMPUTED_VALUE"""),"#N/A")</f>
        <v>#N/A</v>
      </c>
      <c r="X145" s="2"/>
      <c r="Y145" s="2"/>
      <c r="Z145" s="2" t="str">
        <f>IFERROR(__xludf.DUMMYFUNCTION("""COMPUTED_VALUE"""),"Chưa gửi đơn")</f>
        <v>Chưa gửi đơn</v>
      </c>
      <c r="AA145" s="2"/>
      <c r="AB145" s="2"/>
      <c r="AC145" s="2"/>
      <c r="AD145" s="2"/>
      <c r="AE145" s="143" t="str">
        <f>IFERROR(__xludf.DUMMYFUNCTION("""COMPUTED_VALUE"""),"Chưa chốt lịch")</f>
        <v>Chưa chốt lịch</v>
      </c>
      <c r="AF145" s="146" t="str">
        <f>IFERROR(__xludf.DUMMYFUNCTION("""COMPUTED_VALUE"""),"")</f>
        <v/>
      </c>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t="str">
        <f>IFERROR(__xludf.DUMMYFUNCTION("""COMPUTED_VALUE"""),"Chưa xử lí giá")</f>
        <v>Chưa xử lí giá</v>
      </c>
      <c r="BG145" s="2"/>
      <c r="BH145" s="2"/>
      <c r="BI145" s="2"/>
      <c r="BJ145" s="2"/>
      <c r="BK145" s="2"/>
      <c r="BL145" s="2"/>
      <c r="BM145" s="2"/>
      <c r="BN145" s="2"/>
      <c r="BO145" s="2"/>
      <c r="BP145" s="2"/>
      <c r="BQ145" s="2"/>
    </row>
    <row r="146">
      <c r="A146" s="2" t="str">
        <f>IFERROR(__xludf.DUMMYFUNCTION("""COMPUTED_VALUE"""),"")</f>
        <v/>
      </c>
      <c r="B146" s="2"/>
      <c r="C146" s="2"/>
      <c r="D146" s="39" t="str">
        <f>IFERROR(__xludf.DUMMYFUNCTION("""COMPUTED_VALUE"""),"#N/A")</f>
        <v>#N/A</v>
      </c>
      <c r="E146" s="2"/>
      <c r="F146" s="2"/>
      <c r="G146" s="2"/>
      <c r="H146" s="2"/>
      <c r="I146" s="2"/>
      <c r="J146" s="2"/>
      <c r="K146" s="2"/>
      <c r="L146" s="2"/>
      <c r="M146" s="2"/>
      <c r="N146" s="2"/>
      <c r="O146" s="2"/>
      <c r="P146" s="2"/>
      <c r="Q146" s="2"/>
      <c r="R146" s="2"/>
      <c r="S146" s="2"/>
      <c r="T146" s="2"/>
      <c r="U146" s="2"/>
      <c r="V146" s="2"/>
      <c r="W146" s="2" t="str">
        <f>IFERROR(__xludf.DUMMYFUNCTION("""COMPUTED_VALUE"""),"#N/A")</f>
        <v>#N/A</v>
      </c>
      <c r="X146" s="2"/>
      <c r="Y146" s="2"/>
      <c r="Z146" s="2" t="str">
        <f>IFERROR(__xludf.DUMMYFUNCTION("""COMPUTED_VALUE"""),"Chưa gửi đơn")</f>
        <v>Chưa gửi đơn</v>
      </c>
      <c r="AA146" s="2"/>
      <c r="AB146" s="2"/>
      <c r="AC146" s="2"/>
      <c r="AD146" s="2"/>
      <c r="AE146" s="143" t="str">
        <f>IFERROR(__xludf.DUMMYFUNCTION("""COMPUTED_VALUE"""),"Chưa chốt lịch")</f>
        <v>Chưa chốt lịch</v>
      </c>
      <c r="AF146" s="146" t="str">
        <f>IFERROR(__xludf.DUMMYFUNCTION("""COMPUTED_VALUE"""),"")</f>
        <v/>
      </c>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t="str">
        <f>IFERROR(__xludf.DUMMYFUNCTION("""COMPUTED_VALUE"""),"Chưa xử lí giá")</f>
        <v>Chưa xử lí giá</v>
      </c>
      <c r="BG146" s="2"/>
      <c r="BH146" s="2"/>
      <c r="BI146" s="2"/>
      <c r="BJ146" s="2"/>
      <c r="BK146" s="2"/>
      <c r="BL146" s="2"/>
      <c r="BM146" s="2"/>
      <c r="BN146" s="2"/>
      <c r="BO146" s="2"/>
      <c r="BP146" s="2"/>
      <c r="BQ146" s="2"/>
    </row>
    <row r="147">
      <c r="A147" s="2" t="str">
        <f>IFERROR(__xludf.DUMMYFUNCTION("""COMPUTED_VALUE"""),"")</f>
        <v/>
      </c>
      <c r="B147" s="2"/>
      <c r="C147" s="2"/>
      <c r="D147" s="39" t="str">
        <f>IFERROR(__xludf.DUMMYFUNCTION("""COMPUTED_VALUE"""),"#N/A")</f>
        <v>#N/A</v>
      </c>
      <c r="E147" s="2"/>
      <c r="F147" s="2"/>
      <c r="G147" s="2"/>
      <c r="H147" s="2"/>
      <c r="I147" s="2"/>
      <c r="J147" s="2"/>
      <c r="K147" s="2"/>
      <c r="L147" s="2"/>
      <c r="M147" s="2"/>
      <c r="N147" s="2"/>
      <c r="O147" s="2"/>
      <c r="P147" s="2"/>
      <c r="Q147" s="2"/>
      <c r="R147" s="2"/>
      <c r="S147" s="2"/>
      <c r="T147" s="2"/>
      <c r="U147" s="2"/>
      <c r="V147" s="2"/>
      <c r="W147" s="2" t="str">
        <f>IFERROR(__xludf.DUMMYFUNCTION("""COMPUTED_VALUE"""),"#N/A")</f>
        <v>#N/A</v>
      </c>
      <c r="X147" s="2"/>
      <c r="Y147" s="2"/>
      <c r="Z147" s="2" t="str">
        <f>IFERROR(__xludf.DUMMYFUNCTION("""COMPUTED_VALUE"""),"Chưa gửi đơn")</f>
        <v>Chưa gửi đơn</v>
      </c>
      <c r="AA147" s="2"/>
      <c r="AB147" s="2"/>
      <c r="AC147" s="2"/>
      <c r="AD147" s="2"/>
      <c r="AE147" s="143" t="str">
        <f>IFERROR(__xludf.DUMMYFUNCTION("""COMPUTED_VALUE"""),"Chưa chốt lịch")</f>
        <v>Chưa chốt lịch</v>
      </c>
      <c r="AF147" s="146" t="str">
        <f>IFERROR(__xludf.DUMMYFUNCTION("""COMPUTED_VALUE"""),"")</f>
        <v/>
      </c>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t="str">
        <f>IFERROR(__xludf.DUMMYFUNCTION("""COMPUTED_VALUE"""),"Chưa xử lí giá")</f>
        <v>Chưa xử lí giá</v>
      </c>
      <c r="BG147" s="2"/>
      <c r="BH147" s="2"/>
      <c r="BI147" s="2"/>
      <c r="BJ147" s="2"/>
      <c r="BK147" s="2"/>
      <c r="BL147" s="2"/>
      <c r="BM147" s="2"/>
      <c r="BN147" s="2"/>
      <c r="BO147" s="2"/>
      <c r="BP147" s="2"/>
      <c r="BQ147" s="2"/>
    </row>
    <row r="148">
      <c r="A148" s="2" t="str">
        <f>IFERROR(__xludf.DUMMYFUNCTION("""COMPUTED_VALUE"""),"")</f>
        <v/>
      </c>
      <c r="B148" s="2"/>
      <c r="C148" s="2"/>
      <c r="D148" s="39" t="str">
        <f>IFERROR(__xludf.DUMMYFUNCTION("""COMPUTED_VALUE"""),"#N/A")</f>
        <v>#N/A</v>
      </c>
      <c r="E148" s="2"/>
      <c r="F148" s="2"/>
      <c r="G148" s="2"/>
      <c r="H148" s="2"/>
      <c r="I148" s="2"/>
      <c r="J148" s="2"/>
      <c r="K148" s="2"/>
      <c r="L148" s="2"/>
      <c r="M148" s="2"/>
      <c r="N148" s="2"/>
      <c r="O148" s="2"/>
      <c r="P148" s="2"/>
      <c r="Q148" s="2"/>
      <c r="R148" s="2"/>
      <c r="S148" s="2"/>
      <c r="T148" s="2"/>
      <c r="U148" s="2"/>
      <c r="V148" s="2"/>
      <c r="W148" s="2" t="str">
        <f>IFERROR(__xludf.DUMMYFUNCTION("""COMPUTED_VALUE"""),"#N/A")</f>
        <v>#N/A</v>
      </c>
      <c r="X148" s="2"/>
      <c r="Y148" s="2"/>
      <c r="Z148" s="2" t="str">
        <f>IFERROR(__xludf.DUMMYFUNCTION("""COMPUTED_VALUE"""),"Chưa gửi đơn")</f>
        <v>Chưa gửi đơn</v>
      </c>
      <c r="AA148" s="2"/>
      <c r="AB148" s="2"/>
      <c r="AC148" s="2"/>
      <c r="AD148" s="2"/>
      <c r="AE148" s="143" t="str">
        <f>IFERROR(__xludf.DUMMYFUNCTION("""COMPUTED_VALUE"""),"Chưa chốt lịch")</f>
        <v>Chưa chốt lịch</v>
      </c>
      <c r="AF148" s="146" t="str">
        <f>IFERROR(__xludf.DUMMYFUNCTION("""COMPUTED_VALUE"""),"")</f>
        <v/>
      </c>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t="str">
        <f>IFERROR(__xludf.DUMMYFUNCTION("""COMPUTED_VALUE"""),"Chưa xử lí giá")</f>
        <v>Chưa xử lí giá</v>
      </c>
      <c r="BG148" s="2"/>
      <c r="BH148" s="2"/>
      <c r="BI148" s="2"/>
      <c r="BJ148" s="2"/>
      <c r="BK148" s="2"/>
      <c r="BL148" s="2"/>
      <c r="BM148" s="2"/>
      <c r="BN148" s="2"/>
      <c r="BO148" s="2"/>
      <c r="BP148" s="2"/>
      <c r="BQ148" s="2"/>
    </row>
    <row r="149">
      <c r="A149" s="2" t="str">
        <f>IFERROR(__xludf.DUMMYFUNCTION("""COMPUTED_VALUE"""),"")</f>
        <v/>
      </c>
      <c r="B149" s="2"/>
      <c r="C149" s="2"/>
      <c r="D149" s="39" t="str">
        <f>IFERROR(__xludf.DUMMYFUNCTION("""COMPUTED_VALUE"""),"#N/A")</f>
        <v>#N/A</v>
      </c>
      <c r="E149" s="2"/>
      <c r="F149" s="2"/>
      <c r="G149" s="2"/>
      <c r="H149" s="2"/>
      <c r="I149" s="2"/>
      <c r="J149" s="2"/>
      <c r="K149" s="2"/>
      <c r="L149" s="2"/>
      <c r="M149" s="2"/>
      <c r="N149" s="2"/>
      <c r="O149" s="2"/>
      <c r="P149" s="2"/>
      <c r="Q149" s="2"/>
      <c r="R149" s="2"/>
      <c r="S149" s="2"/>
      <c r="T149" s="2"/>
      <c r="U149" s="2"/>
      <c r="V149" s="2"/>
      <c r="W149" s="2" t="str">
        <f>IFERROR(__xludf.DUMMYFUNCTION("""COMPUTED_VALUE"""),"#N/A")</f>
        <v>#N/A</v>
      </c>
      <c r="X149" s="2"/>
      <c r="Y149" s="2"/>
      <c r="Z149" s="2" t="str">
        <f>IFERROR(__xludf.DUMMYFUNCTION("""COMPUTED_VALUE"""),"Chưa gửi đơn")</f>
        <v>Chưa gửi đơn</v>
      </c>
      <c r="AA149" s="2"/>
      <c r="AB149" s="2"/>
      <c r="AC149" s="2"/>
      <c r="AD149" s="2"/>
      <c r="AE149" s="143" t="str">
        <f>IFERROR(__xludf.DUMMYFUNCTION("""COMPUTED_VALUE"""),"Chưa chốt lịch")</f>
        <v>Chưa chốt lịch</v>
      </c>
      <c r="AF149" s="146" t="str">
        <f>IFERROR(__xludf.DUMMYFUNCTION("""COMPUTED_VALUE"""),"")</f>
        <v/>
      </c>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t="str">
        <f>IFERROR(__xludf.DUMMYFUNCTION("""COMPUTED_VALUE"""),"Chưa xử lí giá")</f>
        <v>Chưa xử lí giá</v>
      </c>
      <c r="BG149" s="2"/>
      <c r="BH149" s="2"/>
      <c r="BI149" s="2"/>
      <c r="BJ149" s="2"/>
      <c r="BK149" s="2"/>
      <c r="BL149" s="2"/>
      <c r="BM149" s="2"/>
      <c r="BN149" s="2"/>
      <c r="BO149" s="2"/>
      <c r="BP149" s="2"/>
      <c r="BQ149" s="2"/>
    </row>
    <row r="150">
      <c r="A150" s="2" t="str">
        <f>IFERROR(__xludf.DUMMYFUNCTION("""COMPUTED_VALUE"""),"")</f>
        <v/>
      </c>
      <c r="B150" s="2"/>
      <c r="C150" s="2"/>
      <c r="D150" s="39" t="str">
        <f>IFERROR(__xludf.DUMMYFUNCTION("""COMPUTED_VALUE"""),"#N/A")</f>
        <v>#N/A</v>
      </c>
      <c r="E150" s="2"/>
      <c r="F150" s="2"/>
      <c r="G150" s="2"/>
      <c r="H150" s="2"/>
      <c r="I150" s="2"/>
      <c r="J150" s="2"/>
      <c r="K150" s="2"/>
      <c r="L150" s="2"/>
      <c r="M150" s="2"/>
      <c r="N150" s="2"/>
      <c r="O150" s="2"/>
      <c r="P150" s="2"/>
      <c r="Q150" s="2"/>
      <c r="R150" s="2"/>
      <c r="S150" s="2"/>
      <c r="T150" s="2"/>
      <c r="U150" s="2"/>
      <c r="V150" s="2"/>
      <c r="W150" s="2" t="str">
        <f>IFERROR(__xludf.DUMMYFUNCTION("""COMPUTED_VALUE"""),"#N/A")</f>
        <v>#N/A</v>
      </c>
      <c r="X150" s="2"/>
      <c r="Y150" s="2"/>
      <c r="Z150" s="2" t="str">
        <f>IFERROR(__xludf.DUMMYFUNCTION("""COMPUTED_VALUE"""),"Chưa gửi đơn")</f>
        <v>Chưa gửi đơn</v>
      </c>
      <c r="AA150" s="2"/>
      <c r="AB150" s="2"/>
      <c r="AC150" s="2"/>
      <c r="AD150" s="2"/>
      <c r="AE150" s="143" t="str">
        <f>IFERROR(__xludf.DUMMYFUNCTION("""COMPUTED_VALUE"""),"Chưa chốt lịch")</f>
        <v>Chưa chốt lịch</v>
      </c>
      <c r="AF150" s="146" t="str">
        <f>IFERROR(__xludf.DUMMYFUNCTION("""COMPUTED_VALUE"""),"")</f>
        <v/>
      </c>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t="str">
        <f>IFERROR(__xludf.DUMMYFUNCTION("""COMPUTED_VALUE"""),"Chưa xử lí giá")</f>
        <v>Chưa xử lí giá</v>
      </c>
      <c r="BG150" s="2"/>
      <c r="BH150" s="2"/>
      <c r="BI150" s="2"/>
      <c r="BJ150" s="2"/>
      <c r="BK150" s="2"/>
      <c r="BL150" s="2"/>
      <c r="BM150" s="2"/>
      <c r="BN150" s="2"/>
      <c r="BO150" s="2"/>
      <c r="BP150" s="2"/>
      <c r="BQ150" s="2"/>
    </row>
    <row r="151">
      <c r="A151" s="2" t="str">
        <f>IFERROR(__xludf.DUMMYFUNCTION("""COMPUTED_VALUE"""),"")</f>
        <v/>
      </c>
      <c r="B151" s="2"/>
      <c r="C151" s="2"/>
      <c r="D151" s="39" t="str">
        <f>IFERROR(__xludf.DUMMYFUNCTION("""COMPUTED_VALUE"""),"#N/A")</f>
        <v>#N/A</v>
      </c>
      <c r="E151" s="2"/>
      <c r="F151" s="2"/>
      <c r="G151" s="2"/>
      <c r="H151" s="2"/>
      <c r="I151" s="2"/>
      <c r="J151" s="2"/>
      <c r="K151" s="2"/>
      <c r="L151" s="2"/>
      <c r="M151" s="2"/>
      <c r="N151" s="2"/>
      <c r="O151" s="2"/>
      <c r="P151" s="2"/>
      <c r="Q151" s="2"/>
      <c r="R151" s="2"/>
      <c r="S151" s="2"/>
      <c r="T151" s="2"/>
      <c r="U151" s="2"/>
      <c r="V151" s="2"/>
      <c r="W151" s="2" t="str">
        <f>IFERROR(__xludf.DUMMYFUNCTION("""COMPUTED_VALUE"""),"#N/A")</f>
        <v>#N/A</v>
      </c>
      <c r="X151" s="2"/>
      <c r="Y151" s="2"/>
      <c r="Z151" s="2" t="str">
        <f>IFERROR(__xludf.DUMMYFUNCTION("""COMPUTED_VALUE"""),"Chưa gửi đơn")</f>
        <v>Chưa gửi đơn</v>
      </c>
      <c r="AA151" s="2"/>
      <c r="AB151" s="2"/>
      <c r="AC151" s="2"/>
      <c r="AD151" s="2"/>
      <c r="AE151" s="143" t="str">
        <f>IFERROR(__xludf.DUMMYFUNCTION("""COMPUTED_VALUE"""),"Chưa chốt lịch")</f>
        <v>Chưa chốt lịch</v>
      </c>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t="str">
        <f>IFERROR(__xludf.DUMMYFUNCTION("""COMPUTED_VALUE"""),"Chưa xử lí giá")</f>
        <v>Chưa xử lí giá</v>
      </c>
      <c r="BG151" s="2"/>
      <c r="BH151" s="2"/>
      <c r="BI151" s="2"/>
      <c r="BJ151" s="2"/>
      <c r="BK151" s="2"/>
      <c r="BL151" s="2"/>
      <c r="BM151" s="2"/>
      <c r="BN151" s="2"/>
      <c r="BO151" s="2"/>
      <c r="BP151" s="2"/>
      <c r="BQ151" s="2"/>
    </row>
    <row r="152">
      <c r="A152" s="2" t="str">
        <f>IFERROR(__xludf.DUMMYFUNCTION("""COMPUTED_VALUE"""),"")</f>
        <v/>
      </c>
      <c r="B152" s="2"/>
      <c r="C152" s="2"/>
      <c r="D152" s="39" t="str">
        <f>IFERROR(__xludf.DUMMYFUNCTION("""COMPUTED_VALUE"""),"#N/A")</f>
        <v>#N/A</v>
      </c>
      <c r="E152" s="2"/>
      <c r="F152" s="2"/>
      <c r="G152" s="2"/>
      <c r="H152" s="2"/>
      <c r="I152" s="2"/>
      <c r="J152" s="2"/>
      <c r="K152" s="2"/>
      <c r="L152" s="2"/>
      <c r="M152" s="2"/>
      <c r="N152" s="2"/>
      <c r="O152" s="2"/>
      <c r="P152" s="2"/>
      <c r="Q152" s="2"/>
      <c r="R152" s="2"/>
      <c r="S152" s="2"/>
      <c r="T152" s="2"/>
      <c r="U152" s="2"/>
      <c r="V152" s="2"/>
      <c r="W152" s="2" t="str">
        <f>IFERROR(__xludf.DUMMYFUNCTION("""COMPUTED_VALUE"""),"#N/A")</f>
        <v>#N/A</v>
      </c>
      <c r="X152" s="2"/>
      <c r="Y152" s="2"/>
      <c r="Z152" s="2" t="str">
        <f>IFERROR(__xludf.DUMMYFUNCTION("""COMPUTED_VALUE"""),"Chưa gửi đơn")</f>
        <v>Chưa gửi đơn</v>
      </c>
      <c r="AA152" s="2"/>
      <c r="AB152" s="2"/>
      <c r="AC152" s="2"/>
      <c r="AD152" s="2"/>
      <c r="AE152" s="143" t="str">
        <f>IFERROR(__xludf.DUMMYFUNCTION("""COMPUTED_VALUE"""),"Chưa chốt lịch")</f>
        <v>Chưa chốt lịch</v>
      </c>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t="str">
        <f>IFERROR(__xludf.DUMMYFUNCTION("""COMPUTED_VALUE"""),"Chưa xử lí giá")</f>
        <v>Chưa xử lí giá</v>
      </c>
      <c r="BG152" s="2"/>
      <c r="BH152" s="2"/>
      <c r="BI152" s="2"/>
      <c r="BJ152" s="2"/>
      <c r="BK152" s="2"/>
      <c r="BL152" s="2"/>
      <c r="BM152" s="2"/>
      <c r="BN152" s="2"/>
      <c r="BO152" s="2"/>
      <c r="BP152" s="2"/>
      <c r="BQ152" s="2"/>
    </row>
    <row r="153">
      <c r="A153" s="2" t="str">
        <f>IFERROR(__xludf.DUMMYFUNCTION("""COMPUTED_VALUE"""),"")</f>
        <v/>
      </c>
      <c r="B153" s="2"/>
      <c r="C153" s="2"/>
      <c r="D153" s="39" t="str">
        <f>IFERROR(__xludf.DUMMYFUNCTION("""COMPUTED_VALUE"""),"#N/A")</f>
        <v>#N/A</v>
      </c>
      <c r="E153" s="2"/>
      <c r="F153" s="2"/>
      <c r="G153" s="2"/>
      <c r="H153" s="2"/>
      <c r="I153" s="2"/>
      <c r="J153" s="2"/>
      <c r="K153" s="2"/>
      <c r="L153" s="2"/>
      <c r="M153" s="2"/>
      <c r="N153" s="2"/>
      <c r="O153" s="2"/>
      <c r="P153" s="2"/>
      <c r="Q153" s="2"/>
      <c r="R153" s="2"/>
      <c r="S153" s="2"/>
      <c r="T153" s="2"/>
      <c r="U153" s="2"/>
      <c r="V153" s="2"/>
      <c r="W153" s="2" t="str">
        <f>IFERROR(__xludf.DUMMYFUNCTION("""COMPUTED_VALUE"""),"#N/A")</f>
        <v>#N/A</v>
      </c>
      <c r="X153" s="2"/>
      <c r="Y153" s="2"/>
      <c r="Z153" s="2" t="str">
        <f>IFERROR(__xludf.DUMMYFUNCTION("""COMPUTED_VALUE"""),"Chưa gửi đơn")</f>
        <v>Chưa gửi đơn</v>
      </c>
      <c r="AA153" s="2"/>
      <c r="AB153" s="2"/>
      <c r="AC153" s="2"/>
      <c r="AD153" s="2"/>
      <c r="AE153" s="143" t="str">
        <f>IFERROR(__xludf.DUMMYFUNCTION("""COMPUTED_VALUE"""),"Chưa chốt lịch")</f>
        <v>Chưa chốt lịch</v>
      </c>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t="str">
        <f>IFERROR(__xludf.DUMMYFUNCTION("""COMPUTED_VALUE"""),"Chưa xử lí giá")</f>
        <v>Chưa xử lí giá</v>
      </c>
      <c r="BG153" s="2"/>
      <c r="BH153" s="2"/>
      <c r="BI153" s="2"/>
      <c r="BJ153" s="2"/>
      <c r="BK153" s="2"/>
      <c r="BL153" s="2"/>
      <c r="BM153" s="2"/>
      <c r="BN153" s="2"/>
      <c r="BO153" s="2"/>
      <c r="BP153" s="2"/>
      <c r="BQ153" s="2"/>
    </row>
    <row r="154">
      <c r="A154" s="2" t="str">
        <f>IFERROR(__xludf.DUMMYFUNCTION("""COMPUTED_VALUE"""),"")</f>
        <v/>
      </c>
      <c r="B154" s="2"/>
      <c r="C154" s="2"/>
      <c r="D154" s="39" t="str">
        <f>IFERROR(__xludf.DUMMYFUNCTION("""COMPUTED_VALUE"""),"#N/A")</f>
        <v>#N/A</v>
      </c>
      <c r="E154" s="2"/>
      <c r="F154" s="2"/>
      <c r="G154" s="2"/>
      <c r="H154" s="2"/>
      <c r="I154" s="2"/>
      <c r="J154" s="2"/>
      <c r="K154" s="2"/>
      <c r="L154" s="2"/>
      <c r="M154" s="2"/>
      <c r="N154" s="2"/>
      <c r="O154" s="2"/>
      <c r="P154" s="2"/>
      <c r="Q154" s="2"/>
      <c r="R154" s="2"/>
      <c r="S154" s="2"/>
      <c r="T154" s="2"/>
      <c r="U154" s="2"/>
      <c r="V154" s="2"/>
      <c r="W154" s="2" t="str">
        <f>IFERROR(__xludf.DUMMYFUNCTION("""COMPUTED_VALUE"""),"#N/A")</f>
        <v>#N/A</v>
      </c>
      <c r="X154" s="2"/>
      <c r="Y154" s="2"/>
      <c r="Z154" s="2" t="str">
        <f>IFERROR(__xludf.DUMMYFUNCTION("""COMPUTED_VALUE"""),"Chưa gửi đơn")</f>
        <v>Chưa gửi đơn</v>
      </c>
      <c r="AA154" s="2"/>
      <c r="AB154" s="2"/>
      <c r="AC154" s="2"/>
      <c r="AD154" s="2"/>
      <c r="AE154" s="143" t="str">
        <f>IFERROR(__xludf.DUMMYFUNCTION("""COMPUTED_VALUE"""),"Chưa chốt lịch")</f>
        <v>Chưa chốt lịch</v>
      </c>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t="str">
        <f>IFERROR(__xludf.DUMMYFUNCTION("""COMPUTED_VALUE"""),"Chưa xử lí giá")</f>
        <v>Chưa xử lí giá</v>
      </c>
      <c r="BG154" s="2"/>
      <c r="BH154" s="2"/>
      <c r="BI154" s="2"/>
      <c r="BJ154" s="2"/>
      <c r="BK154" s="2"/>
      <c r="BL154" s="2"/>
      <c r="BM154" s="2"/>
      <c r="BN154" s="2"/>
      <c r="BO154" s="2"/>
      <c r="BP154" s="2"/>
      <c r="BQ154" s="2"/>
    </row>
    <row r="155">
      <c r="A155" s="2" t="str">
        <f>IFERROR(__xludf.DUMMYFUNCTION("""COMPUTED_VALUE"""),"")</f>
        <v/>
      </c>
      <c r="B155" s="2"/>
      <c r="C155" s="2"/>
      <c r="D155" s="39" t="str">
        <f>IFERROR(__xludf.DUMMYFUNCTION("""COMPUTED_VALUE"""),"#N/A")</f>
        <v>#N/A</v>
      </c>
      <c r="E155" s="2"/>
      <c r="F155" s="2"/>
      <c r="G155" s="2"/>
      <c r="H155" s="2"/>
      <c r="I155" s="2"/>
      <c r="J155" s="2"/>
      <c r="K155" s="2"/>
      <c r="L155" s="2"/>
      <c r="M155" s="2"/>
      <c r="N155" s="2"/>
      <c r="O155" s="2"/>
      <c r="P155" s="2"/>
      <c r="Q155" s="2"/>
      <c r="R155" s="2"/>
      <c r="S155" s="2"/>
      <c r="T155" s="2"/>
      <c r="U155" s="2"/>
      <c r="V155" s="2"/>
      <c r="W155" s="2" t="str">
        <f>IFERROR(__xludf.DUMMYFUNCTION("""COMPUTED_VALUE"""),"#N/A")</f>
        <v>#N/A</v>
      </c>
      <c r="X155" s="2"/>
      <c r="Y155" s="2"/>
      <c r="Z155" s="2" t="str">
        <f>IFERROR(__xludf.DUMMYFUNCTION("""COMPUTED_VALUE"""),"Chưa gửi đơn")</f>
        <v>Chưa gửi đơn</v>
      </c>
      <c r="AA155" s="2"/>
      <c r="AB155" s="2"/>
      <c r="AC155" s="2"/>
      <c r="AD155" s="2"/>
      <c r="AE155" s="143" t="str">
        <f>IFERROR(__xludf.DUMMYFUNCTION("""COMPUTED_VALUE"""),"Chưa chốt lịch")</f>
        <v>Chưa chốt lịch</v>
      </c>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t="str">
        <f>IFERROR(__xludf.DUMMYFUNCTION("""COMPUTED_VALUE"""),"Chưa xử lí giá")</f>
        <v>Chưa xử lí giá</v>
      </c>
      <c r="BG155" s="2"/>
      <c r="BH155" s="2"/>
      <c r="BI155" s="2"/>
      <c r="BJ155" s="2"/>
      <c r="BK155" s="2"/>
      <c r="BL155" s="2"/>
      <c r="BM155" s="2"/>
      <c r="BN155" s="2"/>
      <c r="BO155" s="2"/>
      <c r="BP155" s="2"/>
      <c r="BQ155" s="2"/>
    </row>
    <row r="156">
      <c r="A156" s="2" t="str">
        <f>IFERROR(__xludf.DUMMYFUNCTION("""COMPUTED_VALUE"""),"")</f>
        <v/>
      </c>
      <c r="B156" s="2"/>
      <c r="C156" s="2"/>
      <c r="D156" s="39" t="str">
        <f>IFERROR(__xludf.DUMMYFUNCTION("""COMPUTED_VALUE"""),"#N/A")</f>
        <v>#N/A</v>
      </c>
      <c r="E156" s="2"/>
      <c r="F156" s="2"/>
      <c r="G156" s="2"/>
      <c r="H156" s="2"/>
      <c r="I156" s="2"/>
      <c r="J156" s="2"/>
      <c r="K156" s="2"/>
      <c r="L156" s="2"/>
      <c r="M156" s="2"/>
      <c r="N156" s="2"/>
      <c r="O156" s="2"/>
      <c r="P156" s="2"/>
      <c r="Q156" s="2"/>
      <c r="R156" s="2"/>
      <c r="S156" s="2"/>
      <c r="T156" s="2"/>
      <c r="U156" s="2"/>
      <c r="V156" s="2"/>
      <c r="W156" s="2" t="str">
        <f>IFERROR(__xludf.DUMMYFUNCTION("""COMPUTED_VALUE"""),"#N/A")</f>
        <v>#N/A</v>
      </c>
      <c r="X156" s="2"/>
      <c r="Y156" s="2"/>
      <c r="Z156" s="2" t="str">
        <f>IFERROR(__xludf.DUMMYFUNCTION("""COMPUTED_VALUE"""),"Chưa gửi đơn")</f>
        <v>Chưa gửi đơn</v>
      </c>
      <c r="AA156" s="2"/>
      <c r="AB156" s="2"/>
      <c r="AC156" s="2"/>
      <c r="AD156" s="2"/>
      <c r="AE156" s="143" t="str">
        <f>IFERROR(__xludf.DUMMYFUNCTION("""COMPUTED_VALUE"""),"Chưa chốt lịch")</f>
        <v>Chưa chốt lịch</v>
      </c>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t="str">
        <f>IFERROR(__xludf.DUMMYFUNCTION("""COMPUTED_VALUE"""),"Chưa xử lí giá")</f>
        <v>Chưa xử lí giá</v>
      </c>
      <c r="BG156" s="2"/>
      <c r="BH156" s="2"/>
      <c r="BI156" s="2"/>
      <c r="BJ156" s="2"/>
      <c r="BK156" s="2"/>
      <c r="BL156" s="2"/>
      <c r="BM156" s="2"/>
      <c r="BN156" s="2"/>
      <c r="BO156" s="2"/>
      <c r="BP156" s="2"/>
      <c r="BQ156" s="2"/>
    </row>
    <row r="157">
      <c r="A157" s="2" t="str">
        <f>IFERROR(__xludf.DUMMYFUNCTION("""COMPUTED_VALUE"""),"")</f>
        <v/>
      </c>
      <c r="B157" s="2"/>
      <c r="C157" s="2"/>
      <c r="D157" s="39" t="str">
        <f>IFERROR(__xludf.DUMMYFUNCTION("""COMPUTED_VALUE"""),"#N/A")</f>
        <v>#N/A</v>
      </c>
      <c r="E157" s="2"/>
      <c r="F157" s="2"/>
      <c r="G157" s="2"/>
      <c r="H157" s="2"/>
      <c r="I157" s="2"/>
      <c r="J157" s="2"/>
      <c r="K157" s="2"/>
      <c r="L157" s="2"/>
      <c r="M157" s="2"/>
      <c r="N157" s="2"/>
      <c r="O157" s="2"/>
      <c r="P157" s="2"/>
      <c r="Q157" s="2"/>
      <c r="R157" s="2"/>
      <c r="S157" s="2"/>
      <c r="T157" s="2"/>
      <c r="U157" s="2"/>
      <c r="V157" s="2"/>
      <c r="W157" s="2" t="str">
        <f>IFERROR(__xludf.DUMMYFUNCTION("""COMPUTED_VALUE"""),"#N/A")</f>
        <v>#N/A</v>
      </c>
      <c r="X157" s="2"/>
      <c r="Y157" s="2"/>
      <c r="Z157" s="2" t="str">
        <f>IFERROR(__xludf.DUMMYFUNCTION("""COMPUTED_VALUE"""),"Chưa gửi đơn")</f>
        <v>Chưa gửi đơn</v>
      </c>
      <c r="AA157" s="2"/>
      <c r="AB157" s="2"/>
      <c r="AC157" s="2"/>
      <c r="AD157" s="2"/>
      <c r="AE157" s="143" t="str">
        <f>IFERROR(__xludf.DUMMYFUNCTION("""COMPUTED_VALUE"""),"Chưa chốt lịch")</f>
        <v>Chưa chốt lịch</v>
      </c>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t="str">
        <f>IFERROR(__xludf.DUMMYFUNCTION("""COMPUTED_VALUE"""),"Chưa xử lí giá")</f>
        <v>Chưa xử lí giá</v>
      </c>
      <c r="BG157" s="2"/>
      <c r="BH157" s="2"/>
      <c r="BI157" s="2"/>
      <c r="BJ157" s="2"/>
      <c r="BK157" s="2"/>
      <c r="BL157" s="2"/>
      <c r="BM157" s="2"/>
      <c r="BN157" s="2"/>
      <c r="BO157" s="2"/>
      <c r="BP157" s="2"/>
      <c r="BQ157" s="2"/>
    </row>
    <row r="158">
      <c r="A158" s="2" t="str">
        <f>IFERROR(__xludf.DUMMYFUNCTION("""COMPUTED_VALUE"""),"")</f>
        <v/>
      </c>
      <c r="B158" s="2"/>
      <c r="C158" s="2"/>
      <c r="D158" s="39" t="str">
        <f>IFERROR(__xludf.DUMMYFUNCTION("""COMPUTED_VALUE"""),"#N/A")</f>
        <v>#N/A</v>
      </c>
      <c r="E158" s="2"/>
      <c r="F158" s="2"/>
      <c r="G158" s="2"/>
      <c r="H158" s="2"/>
      <c r="I158" s="2"/>
      <c r="J158" s="2"/>
      <c r="K158" s="2"/>
      <c r="L158" s="2"/>
      <c r="M158" s="2"/>
      <c r="N158" s="2"/>
      <c r="O158" s="2"/>
      <c r="P158" s="2"/>
      <c r="Q158" s="2"/>
      <c r="R158" s="2"/>
      <c r="S158" s="2"/>
      <c r="T158" s="2"/>
      <c r="U158" s="2"/>
      <c r="V158" s="2"/>
      <c r="W158" s="2" t="str">
        <f>IFERROR(__xludf.DUMMYFUNCTION("""COMPUTED_VALUE"""),"#N/A")</f>
        <v>#N/A</v>
      </c>
      <c r="X158" s="2"/>
      <c r="Y158" s="2"/>
      <c r="Z158" s="2" t="str">
        <f>IFERROR(__xludf.DUMMYFUNCTION("""COMPUTED_VALUE"""),"Chưa gửi đơn")</f>
        <v>Chưa gửi đơn</v>
      </c>
      <c r="AA158" s="2"/>
      <c r="AB158" s="2"/>
      <c r="AC158" s="2"/>
      <c r="AD158" s="2"/>
      <c r="AE158" s="143" t="str">
        <f>IFERROR(__xludf.DUMMYFUNCTION("""COMPUTED_VALUE"""),"Chưa chốt lịch")</f>
        <v>Chưa chốt lịch</v>
      </c>
      <c r="AF158" s="146" t="str">
        <f>IFERROR(__xludf.DUMMYFUNCTION("""COMPUTED_VALUE"""),"")</f>
        <v/>
      </c>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t="str">
        <f>IFERROR(__xludf.DUMMYFUNCTION("""COMPUTED_VALUE"""),"Chưa xử lí giá")</f>
        <v>Chưa xử lí giá</v>
      </c>
      <c r="BG158" s="2"/>
      <c r="BH158" s="2"/>
      <c r="BI158" s="2"/>
      <c r="BJ158" s="2"/>
      <c r="BK158" s="2"/>
      <c r="BL158" s="2"/>
      <c r="BM158" s="2"/>
      <c r="BN158" s="2"/>
      <c r="BO158" s="2"/>
      <c r="BP158" s="2"/>
      <c r="BQ158" s="2"/>
    </row>
    <row r="159">
      <c r="A159" s="2" t="str">
        <f>IFERROR(__xludf.DUMMYFUNCTION("""COMPUTED_VALUE"""),"")</f>
        <v/>
      </c>
      <c r="B159" s="2"/>
      <c r="C159" s="2"/>
      <c r="D159" s="39" t="str">
        <f>IFERROR(__xludf.DUMMYFUNCTION("""COMPUTED_VALUE"""),"#N/A")</f>
        <v>#N/A</v>
      </c>
      <c r="E159" s="2"/>
      <c r="F159" s="2"/>
      <c r="G159" s="2"/>
      <c r="H159" s="2"/>
      <c r="I159" s="2"/>
      <c r="J159" s="2"/>
      <c r="K159" s="2"/>
      <c r="L159" s="2"/>
      <c r="M159" s="2"/>
      <c r="N159" s="2"/>
      <c r="O159" s="2"/>
      <c r="P159" s="2"/>
      <c r="Q159" s="2"/>
      <c r="R159" s="2"/>
      <c r="S159" s="2"/>
      <c r="T159" s="2"/>
      <c r="U159" s="2"/>
      <c r="V159" s="2"/>
      <c r="W159" s="2" t="str">
        <f>IFERROR(__xludf.DUMMYFUNCTION("""COMPUTED_VALUE"""),"#N/A")</f>
        <v>#N/A</v>
      </c>
      <c r="X159" s="2"/>
      <c r="Y159" s="2"/>
      <c r="Z159" s="2" t="str">
        <f>IFERROR(__xludf.DUMMYFUNCTION("""COMPUTED_VALUE"""),"Chưa gửi đơn")</f>
        <v>Chưa gửi đơn</v>
      </c>
      <c r="AA159" s="2"/>
      <c r="AB159" s="2"/>
      <c r="AC159" s="2"/>
      <c r="AD159" s="2"/>
      <c r="AE159" s="143" t="str">
        <f>IFERROR(__xludf.DUMMYFUNCTION("""COMPUTED_VALUE"""),"Chưa chốt lịch")</f>
        <v>Chưa chốt lịch</v>
      </c>
      <c r="AF159" s="146" t="str">
        <f>IFERROR(__xludf.DUMMYFUNCTION("""COMPUTED_VALUE"""),"")</f>
        <v/>
      </c>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t="str">
        <f>IFERROR(__xludf.DUMMYFUNCTION("""COMPUTED_VALUE"""),"Chưa xử lí giá")</f>
        <v>Chưa xử lí giá</v>
      </c>
      <c r="BG159" s="2"/>
      <c r="BH159" s="2"/>
      <c r="BI159" s="2"/>
      <c r="BJ159" s="2"/>
      <c r="BK159" s="2"/>
      <c r="BL159" s="2"/>
      <c r="BM159" s="2"/>
      <c r="BN159" s="2"/>
      <c r="BO159" s="2"/>
      <c r="BP159" s="2"/>
      <c r="BQ159" s="2"/>
    </row>
    <row r="160">
      <c r="A160" s="2" t="str">
        <f>IFERROR(__xludf.DUMMYFUNCTION("""COMPUTED_VALUE"""),"")</f>
        <v/>
      </c>
      <c r="B160" s="2"/>
      <c r="C160" s="2"/>
      <c r="D160" s="39" t="str">
        <f>IFERROR(__xludf.DUMMYFUNCTION("""COMPUTED_VALUE"""),"#N/A")</f>
        <v>#N/A</v>
      </c>
      <c r="E160" s="2"/>
      <c r="F160" s="2"/>
      <c r="G160" s="2"/>
      <c r="H160" s="2"/>
      <c r="I160" s="2"/>
      <c r="J160" s="2"/>
      <c r="K160" s="2"/>
      <c r="L160" s="2"/>
      <c r="M160" s="2"/>
      <c r="N160" s="2"/>
      <c r="O160" s="2"/>
      <c r="P160" s="2"/>
      <c r="Q160" s="2"/>
      <c r="R160" s="2"/>
      <c r="S160" s="2"/>
      <c r="T160" s="2"/>
      <c r="U160" s="2"/>
      <c r="V160" s="2"/>
      <c r="W160" s="2" t="str">
        <f>IFERROR(__xludf.DUMMYFUNCTION("""COMPUTED_VALUE"""),"#N/A")</f>
        <v>#N/A</v>
      </c>
      <c r="X160" s="2"/>
      <c r="Y160" s="2"/>
      <c r="Z160" s="2" t="str">
        <f>IFERROR(__xludf.DUMMYFUNCTION("""COMPUTED_VALUE"""),"Chưa gửi đơn")</f>
        <v>Chưa gửi đơn</v>
      </c>
      <c r="AA160" s="2"/>
      <c r="AB160" s="2"/>
      <c r="AC160" s="2"/>
      <c r="AD160" s="2"/>
      <c r="AE160" s="143" t="str">
        <f>IFERROR(__xludf.DUMMYFUNCTION("""COMPUTED_VALUE"""),"Chưa chốt lịch")</f>
        <v>Chưa chốt lịch</v>
      </c>
      <c r="AF160" s="146" t="str">
        <f>IFERROR(__xludf.DUMMYFUNCTION("""COMPUTED_VALUE"""),"")</f>
        <v/>
      </c>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t="str">
        <f>IFERROR(__xludf.DUMMYFUNCTION("""COMPUTED_VALUE"""),"Chưa xử lí giá")</f>
        <v>Chưa xử lí giá</v>
      </c>
      <c r="BG160" s="2"/>
      <c r="BH160" s="2"/>
      <c r="BI160" s="2"/>
      <c r="BJ160" s="2"/>
      <c r="BK160" s="2"/>
      <c r="BL160" s="2"/>
      <c r="BM160" s="2"/>
      <c r="BN160" s="2"/>
      <c r="BO160" s="2"/>
      <c r="BP160" s="2"/>
      <c r="BQ160" s="2"/>
    </row>
    <row r="161">
      <c r="A161" s="2" t="str">
        <f>IFERROR(__xludf.DUMMYFUNCTION("""COMPUTED_VALUE"""),"")</f>
        <v/>
      </c>
      <c r="B161" s="2"/>
      <c r="C161" s="2"/>
      <c r="D161" s="39" t="str">
        <f>IFERROR(__xludf.DUMMYFUNCTION("""COMPUTED_VALUE"""),"#N/A")</f>
        <v>#N/A</v>
      </c>
      <c r="E161" s="2"/>
      <c r="F161" s="2"/>
      <c r="G161" s="2"/>
      <c r="H161" s="2"/>
      <c r="I161" s="2"/>
      <c r="J161" s="2"/>
      <c r="K161" s="2"/>
      <c r="L161" s="2"/>
      <c r="M161" s="2"/>
      <c r="N161" s="2"/>
      <c r="O161" s="2"/>
      <c r="P161" s="2"/>
      <c r="Q161" s="2"/>
      <c r="R161" s="2"/>
      <c r="S161" s="2"/>
      <c r="T161" s="2"/>
      <c r="U161" s="2"/>
      <c r="V161" s="2"/>
      <c r="W161" s="2" t="str">
        <f>IFERROR(__xludf.DUMMYFUNCTION("""COMPUTED_VALUE"""),"#N/A")</f>
        <v>#N/A</v>
      </c>
      <c r="X161" s="2"/>
      <c r="Y161" s="2"/>
      <c r="Z161" s="2" t="str">
        <f>IFERROR(__xludf.DUMMYFUNCTION("""COMPUTED_VALUE"""),"Chưa gửi đơn")</f>
        <v>Chưa gửi đơn</v>
      </c>
      <c r="AA161" s="2"/>
      <c r="AB161" s="2"/>
      <c r="AC161" s="2"/>
      <c r="AD161" s="2"/>
      <c r="AE161" s="143" t="str">
        <f>IFERROR(__xludf.DUMMYFUNCTION("""COMPUTED_VALUE"""),"Chưa chốt lịch")</f>
        <v>Chưa chốt lịch</v>
      </c>
      <c r="AF161" s="146" t="str">
        <f>IFERROR(__xludf.DUMMYFUNCTION("""COMPUTED_VALUE"""),"")</f>
        <v/>
      </c>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t="str">
        <f>IFERROR(__xludf.DUMMYFUNCTION("""COMPUTED_VALUE"""),"Chưa xử lí giá")</f>
        <v>Chưa xử lí giá</v>
      </c>
      <c r="BG161" s="2"/>
      <c r="BH161" s="2"/>
      <c r="BI161" s="2"/>
      <c r="BJ161" s="2"/>
      <c r="BK161" s="2"/>
      <c r="BL161" s="2"/>
      <c r="BM161" s="2"/>
      <c r="BN161" s="2"/>
      <c r="BO161" s="2"/>
      <c r="BP161" s="2"/>
      <c r="BQ161" s="2"/>
    </row>
    <row r="162">
      <c r="A162" s="2" t="str">
        <f>IFERROR(__xludf.DUMMYFUNCTION("""COMPUTED_VALUE"""),"")</f>
        <v/>
      </c>
      <c r="B162" s="2"/>
      <c r="C162" s="2"/>
      <c r="D162" s="39" t="str">
        <f>IFERROR(__xludf.DUMMYFUNCTION("""COMPUTED_VALUE"""),"#N/A")</f>
        <v>#N/A</v>
      </c>
      <c r="E162" s="2"/>
      <c r="F162" s="2"/>
      <c r="G162" s="2"/>
      <c r="H162" s="2"/>
      <c r="I162" s="2"/>
      <c r="J162" s="2"/>
      <c r="K162" s="2"/>
      <c r="L162" s="2"/>
      <c r="M162" s="2"/>
      <c r="N162" s="2"/>
      <c r="O162" s="2"/>
      <c r="P162" s="2"/>
      <c r="Q162" s="2"/>
      <c r="R162" s="2"/>
      <c r="S162" s="2"/>
      <c r="T162" s="2"/>
      <c r="U162" s="2"/>
      <c r="V162" s="2"/>
      <c r="W162" s="2" t="str">
        <f>IFERROR(__xludf.DUMMYFUNCTION("""COMPUTED_VALUE"""),"#N/A")</f>
        <v>#N/A</v>
      </c>
      <c r="X162" s="2"/>
      <c r="Y162" s="2"/>
      <c r="Z162" s="2" t="str">
        <f>IFERROR(__xludf.DUMMYFUNCTION("""COMPUTED_VALUE"""),"Chưa gửi đơn")</f>
        <v>Chưa gửi đơn</v>
      </c>
      <c r="AA162" s="2"/>
      <c r="AB162" s="2"/>
      <c r="AC162" s="2"/>
      <c r="AD162" s="2"/>
      <c r="AE162" s="143" t="str">
        <f>IFERROR(__xludf.DUMMYFUNCTION("""COMPUTED_VALUE"""),"Chưa chốt lịch")</f>
        <v>Chưa chốt lịch</v>
      </c>
      <c r="AF162" s="146" t="str">
        <f>IFERROR(__xludf.DUMMYFUNCTION("""COMPUTED_VALUE"""),"")</f>
        <v/>
      </c>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t="str">
        <f>IFERROR(__xludf.DUMMYFUNCTION("""COMPUTED_VALUE"""),"Chưa xử lí giá")</f>
        <v>Chưa xử lí giá</v>
      </c>
      <c r="BG162" s="2"/>
      <c r="BH162" s="2"/>
      <c r="BI162" s="2"/>
      <c r="BJ162" s="2"/>
      <c r="BK162" s="2"/>
      <c r="BL162" s="2"/>
      <c r="BM162" s="2"/>
      <c r="BN162" s="2"/>
      <c r="BO162" s="2"/>
      <c r="BP162" s="2"/>
      <c r="BQ162" s="2"/>
    </row>
    <row r="163">
      <c r="A163" s="2" t="str">
        <f>IFERROR(__xludf.DUMMYFUNCTION("""COMPUTED_VALUE"""),"")</f>
        <v/>
      </c>
      <c r="B163" s="2"/>
      <c r="C163" s="2"/>
      <c r="D163" s="39" t="str">
        <f>IFERROR(__xludf.DUMMYFUNCTION("""COMPUTED_VALUE"""),"#N/A")</f>
        <v>#N/A</v>
      </c>
      <c r="E163" s="2"/>
      <c r="F163" s="2"/>
      <c r="G163" s="2"/>
      <c r="H163" s="2"/>
      <c r="I163" s="2"/>
      <c r="J163" s="2"/>
      <c r="K163" s="2"/>
      <c r="L163" s="2"/>
      <c r="M163" s="2"/>
      <c r="N163" s="2"/>
      <c r="O163" s="2"/>
      <c r="P163" s="2"/>
      <c r="Q163" s="2"/>
      <c r="R163" s="2"/>
      <c r="S163" s="2"/>
      <c r="T163" s="2"/>
      <c r="U163" s="2"/>
      <c r="V163" s="2"/>
      <c r="W163" s="2" t="str">
        <f>IFERROR(__xludf.DUMMYFUNCTION("""COMPUTED_VALUE"""),"#N/A")</f>
        <v>#N/A</v>
      </c>
      <c r="X163" s="2"/>
      <c r="Y163" s="2"/>
      <c r="Z163" s="2" t="str">
        <f>IFERROR(__xludf.DUMMYFUNCTION("""COMPUTED_VALUE"""),"Chưa gửi đơn")</f>
        <v>Chưa gửi đơn</v>
      </c>
      <c r="AA163" s="2"/>
      <c r="AB163" s="2"/>
      <c r="AC163" s="2"/>
      <c r="AD163" s="2"/>
      <c r="AE163" s="143" t="str">
        <f>IFERROR(__xludf.DUMMYFUNCTION("""COMPUTED_VALUE"""),"Chưa chốt lịch")</f>
        <v>Chưa chốt lịch</v>
      </c>
      <c r="AF163" s="146" t="str">
        <f>IFERROR(__xludf.DUMMYFUNCTION("""COMPUTED_VALUE"""),"")</f>
        <v/>
      </c>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t="str">
        <f>IFERROR(__xludf.DUMMYFUNCTION("""COMPUTED_VALUE"""),"Chưa xử lí giá")</f>
        <v>Chưa xử lí giá</v>
      </c>
      <c r="BG163" s="2"/>
      <c r="BH163" s="2"/>
      <c r="BI163" s="2"/>
      <c r="BJ163" s="2"/>
      <c r="BK163" s="2"/>
      <c r="BL163" s="2"/>
      <c r="BM163" s="2"/>
      <c r="BN163" s="2"/>
      <c r="BO163" s="2"/>
      <c r="BP163" s="2"/>
      <c r="BQ163" s="2"/>
    </row>
    <row r="164">
      <c r="A164" s="2" t="str">
        <f>IFERROR(__xludf.DUMMYFUNCTION("""COMPUTED_VALUE"""),"")</f>
        <v/>
      </c>
      <c r="B164" s="2"/>
      <c r="C164" s="2"/>
      <c r="D164" s="39" t="str">
        <f>IFERROR(__xludf.DUMMYFUNCTION("""COMPUTED_VALUE"""),"#N/A")</f>
        <v>#N/A</v>
      </c>
      <c r="E164" s="2"/>
      <c r="F164" s="2"/>
      <c r="G164" s="2"/>
      <c r="H164" s="2"/>
      <c r="I164" s="2"/>
      <c r="J164" s="2"/>
      <c r="K164" s="2"/>
      <c r="L164" s="2"/>
      <c r="M164" s="2"/>
      <c r="N164" s="2"/>
      <c r="O164" s="2"/>
      <c r="P164" s="2"/>
      <c r="Q164" s="2"/>
      <c r="R164" s="2"/>
      <c r="S164" s="2"/>
      <c r="T164" s="2"/>
      <c r="U164" s="2"/>
      <c r="V164" s="2"/>
      <c r="W164" s="2" t="str">
        <f>IFERROR(__xludf.DUMMYFUNCTION("""COMPUTED_VALUE"""),"#N/A")</f>
        <v>#N/A</v>
      </c>
      <c r="X164" s="2"/>
      <c r="Y164" s="2"/>
      <c r="Z164" s="2" t="str">
        <f>IFERROR(__xludf.DUMMYFUNCTION("""COMPUTED_VALUE"""),"Chưa gửi đơn")</f>
        <v>Chưa gửi đơn</v>
      </c>
      <c r="AA164" s="2"/>
      <c r="AB164" s="2"/>
      <c r="AC164" s="2"/>
      <c r="AD164" s="2"/>
      <c r="AE164" s="143" t="str">
        <f>IFERROR(__xludf.DUMMYFUNCTION("""COMPUTED_VALUE"""),"Chưa chốt lịch")</f>
        <v>Chưa chốt lịch</v>
      </c>
      <c r="AF164" s="146" t="str">
        <f>IFERROR(__xludf.DUMMYFUNCTION("""COMPUTED_VALUE"""),"")</f>
        <v/>
      </c>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t="str">
        <f>IFERROR(__xludf.DUMMYFUNCTION("""COMPUTED_VALUE"""),"Chưa xử lí giá")</f>
        <v>Chưa xử lí giá</v>
      </c>
      <c r="BG164" s="2"/>
      <c r="BH164" s="2"/>
      <c r="BI164" s="2"/>
      <c r="BJ164" s="2"/>
      <c r="BK164" s="2"/>
      <c r="BL164" s="2"/>
      <c r="BM164" s="2"/>
      <c r="BN164" s="2"/>
      <c r="BO164" s="2"/>
      <c r="BP164" s="2"/>
      <c r="BQ164" s="2"/>
    </row>
    <row r="165">
      <c r="A165" s="2" t="str">
        <f>IFERROR(__xludf.DUMMYFUNCTION("""COMPUTED_VALUE"""),"")</f>
        <v/>
      </c>
      <c r="B165" s="2"/>
      <c r="C165" s="2"/>
      <c r="D165" s="39" t="str">
        <f>IFERROR(__xludf.DUMMYFUNCTION("""COMPUTED_VALUE"""),"#N/A")</f>
        <v>#N/A</v>
      </c>
      <c r="E165" s="2"/>
      <c r="F165" s="2"/>
      <c r="G165" s="2"/>
      <c r="H165" s="2"/>
      <c r="I165" s="2"/>
      <c r="J165" s="2"/>
      <c r="K165" s="2"/>
      <c r="L165" s="2"/>
      <c r="M165" s="2"/>
      <c r="N165" s="2"/>
      <c r="O165" s="2"/>
      <c r="P165" s="2"/>
      <c r="Q165" s="2"/>
      <c r="R165" s="2"/>
      <c r="S165" s="2"/>
      <c r="T165" s="2"/>
      <c r="U165" s="2"/>
      <c r="V165" s="2"/>
      <c r="W165" s="2" t="str">
        <f>IFERROR(__xludf.DUMMYFUNCTION("""COMPUTED_VALUE"""),"#N/A")</f>
        <v>#N/A</v>
      </c>
      <c r="X165" s="2"/>
      <c r="Y165" s="2"/>
      <c r="Z165" s="2" t="str">
        <f>IFERROR(__xludf.DUMMYFUNCTION("""COMPUTED_VALUE"""),"Chưa gửi đơn")</f>
        <v>Chưa gửi đơn</v>
      </c>
      <c r="AA165" s="2"/>
      <c r="AB165" s="2"/>
      <c r="AC165" s="2"/>
      <c r="AD165" s="2"/>
      <c r="AE165" s="143" t="str">
        <f>IFERROR(__xludf.DUMMYFUNCTION("""COMPUTED_VALUE"""),"Chưa chốt lịch")</f>
        <v>Chưa chốt lịch</v>
      </c>
      <c r="AF165" s="146" t="str">
        <f>IFERROR(__xludf.DUMMYFUNCTION("""COMPUTED_VALUE"""),"")</f>
        <v/>
      </c>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t="str">
        <f>IFERROR(__xludf.DUMMYFUNCTION("""COMPUTED_VALUE"""),"Chưa xử lí giá")</f>
        <v>Chưa xử lí giá</v>
      </c>
      <c r="BG165" s="2"/>
      <c r="BH165" s="2"/>
      <c r="BI165" s="2"/>
      <c r="BJ165" s="2"/>
      <c r="BK165" s="2"/>
      <c r="BL165" s="2"/>
      <c r="BM165" s="2"/>
      <c r="BN165" s="2"/>
      <c r="BO165" s="2"/>
      <c r="BP165" s="2"/>
      <c r="BQ165" s="2"/>
    </row>
    <row r="166">
      <c r="A166" s="2" t="str">
        <f>IFERROR(__xludf.DUMMYFUNCTION("""COMPUTED_VALUE"""),"")</f>
        <v/>
      </c>
      <c r="B166" s="2"/>
      <c r="C166" s="2"/>
      <c r="D166" s="39" t="str">
        <f>IFERROR(__xludf.DUMMYFUNCTION("""COMPUTED_VALUE"""),"#N/A")</f>
        <v>#N/A</v>
      </c>
      <c r="E166" s="2"/>
      <c r="F166" s="2"/>
      <c r="G166" s="2"/>
      <c r="H166" s="2"/>
      <c r="I166" s="2"/>
      <c r="J166" s="2"/>
      <c r="K166" s="2"/>
      <c r="L166" s="2"/>
      <c r="M166" s="2"/>
      <c r="N166" s="2"/>
      <c r="O166" s="2"/>
      <c r="P166" s="2"/>
      <c r="Q166" s="2"/>
      <c r="R166" s="2"/>
      <c r="S166" s="2"/>
      <c r="T166" s="2"/>
      <c r="U166" s="2"/>
      <c r="V166" s="2"/>
      <c r="W166" s="2" t="str">
        <f>IFERROR(__xludf.DUMMYFUNCTION("""COMPUTED_VALUE"""),"#N/A")</f>
        <v>#N/A</v>
      </c>
      <c r="X166" s="2"/>
      <c r="Y166" s="2"/>
      <c r="Z166" s="2" t="str">
        <f>IFERROR(__xludf.DUMMYFUNCTION("""COMPUTED_VALUE"""),"Chưa gửi đơn")</f>
        <v>Chưa gửi đơn</v>
      </c>
      <c r="AA166" s="2"/>
      <c r="AB166" s="2"/>
      <c r="AC166" s="2"/>
      <c r="AD166" s="2"/>
      <c r="AE166" s="143" t="str">
        <f>IFERROR(__xludf.DUMMYFUNCTION("""COMPUTED_VALUE"""),"Chưa chốt lịch")</f>
        <v>Chưa chốt lịch</v>
      </c>
      <c r="AF166" s="146" t="str">
        <f>IFERROR(__xludf.DUMMYFUNCTION("""COMPUTED_VALUE"""),"")</f>
        <v/>
      </c>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t="str">
        <f>IFERROR(__xludf.DUMMYFUNCTION("""COMPUTED_VALUE"""),"Chưa xử lí giá")</f>
        <v>Chưa xử lí giá</v>
      </c>
      <c r="BG166" s="2"/>
      <c r="BH166" s="2"/>
      <c r="BI166" s="2"/>
      <c r="BJ166" s="2"/>
      <c r="BK166" s="2"/>
      <c r="BL166" s="2"/>
      <c r="BM166" s="2"/>
      <c r="BN166" s="2"/>
      <c r="BO166" s="2"/>
      <c r="BP166" s="2"/>
      <c r="BQ166" s="2"/>
    </row>
    <row r="167">
      <c r="A167" s="2" t="str">
        <f>IFERROR(__xludf.DUMMYFUNCTION("""COMPUTED_VALUE"""),"")</f>
        <v/>
      </c>
      <c r="B167" s="2"/>
      <c r="C167" s="2"/>
      <c r="D167" s="39" t="str">
        <f>IFERROR(__xludf.DUMMYFUNCTION("""COMPUTED_VALUE"""),"#N/A")</f>
        <v>#N/A</v>
      </c>
      <c r="E167" s="2"/>
      <c r="F167" s="2"/>
      <c r="G167" s="2"/>
      <c r="H167" s="2"/>
      <c r="I167" s="2"/>
      <c r="J167" s="2"/>
      <c r="K167" s="2"/>
      <c r="L167" s="2"/>
      <c r="M167" s="2"/>
      <c r="N167" s="2"/>
      <c r="O167" s="2"/>
      <c r="P167" s="2"/>
      <c r="Q167" s="2"/>
      <c r="R167" s="2"/>
      <c r="S167" s="2"/>
      <c r="T167" s="2"/>
      <c r="U167" s="2"/>
      <c r="V167" s="2"/>
      <c r="W167" s="2" t="str">
        <f>IFERROR(__xludf.DUMMYFUNCTION("""COMPUTED_VALUE"""),"#N/A")</f>
        <v>#N/A</v>
      </c>
      <c r="X167" s="2"/>
      <c r="Y167" s="2"/>
      <c r="Z167" s="2" t="str">
        <f>IFERROR(__xludf.DUMMYFUNCTION("""COMPUTED_VALUE"""),"Chưa gửi đơn")</f>
        <v>Chưa gửi đơn</v>
      </c>
      <c r="AA167" s="2"/>
      <c r="AB167" s="2"/>
      <c r="AC167" s="2"/>
      <c r="AD167" s="2"/>
      <c r="AE167" s="143" t="str">
        <f>IFERROR(__xludf.DUMMYFUNCTION("""COMPUTED_VALUE"""),"Chưa chốt lịch")</f>
        <v>Chưa chốt lịch</v>
      </c>
      <c r="AF167" s="146" t="str">
        <f>IFERROR(__xludf.DUMMYFUNCTION("""COMPUTED_VALUE"""),"")</f>
        <v/>
      </c>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t="str">
        <f>IFERROR(__xludf.DUMMYFUNCTION("""COMPUTED_VALUE"""),"Chưa xử lí giá")</f>
        <v>Chưa xử lí giá</v>
      </c>
      <c r="BG167" s="2"/>
      <c r="BH167" s="2"/>
      <c r="BI167" s="2"/>
      <c r="BJ167" s="2"/>
      <c r="BK167" s="2"/>
      <c r="BL167" s="2"/>
      <c r="BM167" s="2"/>
      <c r="BN167" s="2"/>
      <c r="BO167" s="2"/>
      <c r="BP167" s="2"/>
      <c r="BQ167" s="2"/>
    </row>
    <row r="168">
      <c r="A168" s="2" t="str">
        <f>IFERROR(__xludf.DUMMYFUNCTION("""COMPUTED_VALUE"""),"")</f>
        <v/>
      </c>
      <c r="B168" s="2"/>
      <c r="C168" s="2"/>
      <c r="D168" s="39" t="str">
        <f>IFERROR(__xludf.DUMMYFUNCTION("""COMPUTED_VALUE"""),"#N/A")</f>
        <v>#N/A</v>
      </c>
      <c r="E168" s="2"/>
      <c r="F168" s="2"/>
      <c r="G168" s="2"/>
      <c r="H168" s="2"/>
      <c r="I168" s="2"/>
      <c r="J168" s="2"/>
      <c r="K168" s="2"/>
      <c r="L168" s="2"/>
      <c r="M168" s="2"/>
      <c r="N168" s="2"/>
      <c r="O168" s="2"/>
      <c r="P168" s="2"/>
      <c r="Q168" s="2"/>
      <c r="R168" s="2"/>
      <c r="S168" s="2"/>
      <c r="T168" s="2"/>
      <c r="U168" s="2"/>
      <c r="V168" s="2"/>
      <c r="W168" s="2" t="str">
        <f>IFERROR(__xludf.DUMMYFUNCTION("""COMPUTED_VALUE"""),"#N/A")</f>
        <v>#N/A</v>
      </c>
      <c r="X168" s="2"/>
      <c r="Y168" s="2"/>
      <c r="Z168" s="2" t="str">
        <f>IFERROR(__xludf.DUMMYFUNCTION("""COMPUTED_VALUE"""),"Chưa gửi đơn")</f>
        <v>Chưa gửi đơn</v>
      </c>
      <c r="AA168" s="2"/>
      <c r="AB168" s="2"/>
      <c r="AC168" s="2"/>
      <c r="AD168" s="2"/>
      <c r="AE168" s="143" t="str">
        <f>IFERROR(__xludf.DUMMYFUNCTION("""COMPUTED_VALUE"""),"Chưa chốt lịch")</f>
        <v>Chưa chốt lịch</v>
      </c>
      <c r="AF168" s="146" t="str">
        <f>IFERROR(__xludf.DUMMYFUNCTION("""COMPUTED_VALUE"""),"")</f>
        <v/>
      </c>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t="str">
        <f>IFERROR(__xludf.DUMMYFUNCTION("""COMPUTED_VALUE"""),"Chưa xử lí giá")</f>
        <v>Chưa xử lí giá</v>
      </c>
      <c r="BG168" s="2"/>
      <c r="BH168" s="2"/>
      <c r="BI168" s="2"/>
      <c r="BJ168" s="2"/>
      <c r="BK168" s="2"/>
      <c r="BL168" s="2"/>
      <c r="BM168" s="2"/>
      <c r="BN168" s="2"/>
      <c r="BO168" s="2"/>
      <c r="BP168" s="2"/>
      <c r="BQ168" s="2"/>
    </row>
    <row r="169">
      <c r="A169" s="2" t="str">
        <f>IFERROR(__xludf.DUMMYFUNCTION("""COMPUTED_VALUE"""),"")</f>
        <v/>
      </c>
      <c r="B169" s="2"/>
      <c r="C169" s="2"/>
      <c r="D169" s="39" t="str">
        <f>IFERROR(__xludf.DUMMYFUNCTION("""COMPUTED_VALUE"""),"#N/A")</f>
        <v>#N/A</v>
      </c>
      <c r="E169" s="2"/>
      <c r="F169" s="2"/>
      <c r="G169" s="2"/>
      <c r="H169" s="2"/>
      <c r="I169" s="2"/>
      <c r="J169" s="2"/>
      <c r="K169" s="2"/>
      <c r="L169" s="2"/>
      <c r="M169" s="2"/>
      <c r="N169" s="2"/>
      <c r="O169" s="2"/>
      <c r="P169" s="2"/>
      <c r="Q169" s="2"/>
      <c r="R169" s="2"/>
      <c r="S169" s="2"/>
      <c r="T169" s="2"/>
      <c r="U169" s="2"/>
      <c r="V169" s="2"/>
      <c r="W169" s="2" t="str">
        <f>IFERROR(__xludf.DUMMYFUNCTION("""COMPUTED_VALUE"""),"#N/A")</f>
        <v>#N/A</v>
      </c>
      <c r="X169" s="2"/>
      <c r="Y169" s="2"/>
      <c r="Z169" s="2" t="str">
        <f>IFERROR(__xludf.DUMMYFUNCTION("""COMPUTED_VALUE"""),"Chưa gửi đơn")</f>
        <v>Chưa gửi đơn</v>
      </c>
      <c r="AA169" s="2"/>
      <c r="AB169" s="2"/>
      <c r="AC169" s="2"/>
      <c r="AD169" s="2"/>
      <c r="AE169" s="143" t="str">
        <f>IFERROR(__xludf.DUMMYFUNCTION("""COMPUTED_VALUE"""),"Chưa chốt lịch")</f>
        <v>Chưa chốt lịch</v>
      </c>
      <c r="AF169" s="146" t="str">
        <f>IFERROR(__xludf.DUMMYFUNCTION("""COMPUTED_VALUE"""),"")</f>
        <v/>
      </c>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t="str">
        <f>IFERROR(__xludf.DUMMYFUNCTION("""COMPUTED_VALUE"""),"Chưa xử lí giá")</f>
        <v>Chưa xử lí giá</v>
      </c>
      <c r="BG169" s="2"/>
      <c r="BH169" s="2"/>
      <c r="BI169" s="2"/>
      <c r="BJ169" s="2"/>
      <c r="BK169" s="2"/>
      <c r="BL169" s="2"/>
      <c r="BM169" s="2"/>
      <c r="BN169" s="2"/>
      <c r="BO169" s="2"/>
      <c r="BP169" s="2"/>
      <c r="BQ169" s="2"/>
    </row>
    <row r="170">
      <c r="A170" s="2" t="str">
        <f>IFERROR(__xludf.DUMMYFUNCTION("""COMPUTED_VALUE"""),"")</f>
        <v/>
      </c>
      <c r="B170" s="2"/>
      <c r="C170" s="2"/>
      <c r="D170" s="39" t="str">
        <f>IFERROR(__xludf.DUMMYFUNCTION("""COMPUTED_VALUE"""),"#N/A")</f>
        <v>#N/A</v>
      </c>
      <c r="E170" s="2"/>
      <c r="F170" s="2"/>
      <c r="G170" s="2"/>
      <c r="H170" s="2"/>
      <c r="I170" s="2"/>
      <c r="J170" s="2"/>
      <c r="K170" s="2"/>
      <c r="L170" s="2"/>
      <c r="M170" s="2"/>
      <c r="N170" s="2"/>
      <c r="O170" s="2"/>
      <c r="P170" s="2"/>
      <c r="Q170" s="2"/>
      <c r="R170" s="2"/>
      <c r="S170" s="2"/>
      <c r="T170" s="2"/>
      <c r="U170" s="2"/>
      <c r="V170" s="2"/>
      <c r="W170" s="2" t="str">
        <f>IFERROR(__xludf.DUMMYFUNCTION("""COMPUTED_VALUE"""),"#N/A")</f>
        <v>#N/A</v>
      </c>
      <c r="X170" s="2"/>
      <c r="Y170" s="2"/>
      <c r="Z170" s="2" t="str">
        <f>IFERROR(__xludf.DUMMYFUNCTION("""COMPUTED_VALUE"""),"Chưa gửi đơn")</f>
        <v>Chưa gửi đơn</v>
      </c>
      <c r="AA170" s="2"/>
      <c r="AB170" s="2"/>
      <c r="AC170" s="2"/>
      <c r="AD170" s="2"/>
      <c r="AE170" s="143" t="str">
        <f>IFERROR(__xludf.DUMMYFUNCTION("""COMPUTED_VALUE"""),"Chưa chốt lịch")</f>
        <v>Chưa chốt lịch</v>
      </c>
      <c r="AF170" s="146" t="str">
        <f>IFERROR(__xludf.DUMMYFUNCTION("""COMPUTED_VALUE"""),"")</f>
        <v/>
      </c>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t="str">
        <f>IFERROR(__xludf.DUMMYFUNCTION("""COMPUTED_VALUE"""),"Chưa xử lí giá")</f>
        <v>Chưa xử lí giá</v>
      </c>
      <c r="BG170" s="2"/>
      <c r="BH170" s="2"/>
      <c r="BI170" s="2"/>
      <c r="BJ170" s="2"/>
      <c r="BK170" s="2"/>
      <c r="BL170" s="2"/>
      <c r="BM170" s="2"/>
      <c r="BN170" s="2"/>
      <c r="BO170" s="2"/>
      <c r="BP170" s="2"/>
      <c r="BQ170" s="2"/>
    </row>
    <row r="171">
      <c r="A171" s="2" t="str">
        <f>IFERROR(__xludf.DUMMYFUNCTION("""COMPUTED_VALUE"""),"")</f>
        <v/>
      </c>
      <c r="B171" s="2"/>
      <c r="C171" s="2"/>
      <c r="D171" s="39" t="str">
        <f>IFERROR(__xludf.DUMMYFUNCTION("""COMPUTED_VALUE"""),"#N/A")</f>
        <v>#N/A</v>
      </c>
      <c r="E171" s="2"/>
      <c r="F171" s="2"/>
      <c r="G171" s="2"/>
      <c r="H171" s="2"/>
      <c r="I171" s="2"/>
      <c r="J171" s="2"/>
      <c r="K171" s="2"/>
      <c r="L171" s="2"/>
      <c r="M171" s="2"/>
      <c r="N171" s="2"/>
      <c r="O171" s="2"/>
      <c r="P171" s="2"/>
      <c r="Q171" s="2"/>
      <c r="R171" s="2"/>
      <c r="S171" s="2"/>
      <c r="T171" s="2"/>
      <c r="U171" s="2"/>
      <c r="V171" s="2"/>
      <c r="W171" s="2" t="str">
        <f>IFERROR(__xludf.DUMMYFUNCTION("""COMPUTED_VALUE"""),"#N/A")</f>
        <v>#N/A</v>
      </c>
      <c r="X171" s="2"/>
      <c r="Y171" s="2"/>
      <c r="Z171" s="2" t="str">
        <f>IFERROR(__xludf.DUMMYFUNCTION("""COMPUTED_VALUE"""),"Chưa gửi đơn")</f>
        <v>Chưa gửi đơn</v>
      </c>
      <c r="AA171" s="2"/>
      <c r="AB171" s="2"/>
      <c r="AC171" s="2"/>
      <c r="AD171" s="2"/>
      <c r="AE171" s="143" t="str">
        <f>IFERROR(__xludf.DUMMYFUNCTION("""COMPUTED_VALUE"""),"Chưa chốt lịch")</f>
        <v>Chưa chốt lịch</v>
      </c>
      <c r="AF171" s="146" t="str">
        <f>IFERROR(__xludf.DUMMYFUNCTION("""COMPUTED_VALUE"""),"")</f>
        <v/>
      </c>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t="str">
        <f>IFERROR(__xludf.DUMMYFUNCTION("""COMPUTED_VALUE"""),"Chưa xử lí giá")</f>
        <v>Chưa xử lí giá</v>
      </c>
      <c r="BG171" s="2"/>
      <c r="BH171" s="2"/>
      <c r="BI171" s="2"/>
      <c r="BJ171" s="2"/>
      <c r="BK171" s="2"/>
      <c r="BL171" s="2"/>
      <c r="BM171" s="2"/>
      <c r="BN171" s="2"/>
      <c r="BO171" s="2"/>
      <c r="BP171" s="2"/>
      <c r="BQ171" s="2"/>
    </row>
    <row r="172">
      <c r="A172" s="2" t="str">
        <f>IFERROR(__xludf.DUMMYFUNCTION("""COMPUTED_VALUE"""),"")</f>
        <v/>
      </c>
      <c r="B172" s="2"/>
      <c r="C172" s="2"/>
      <c r="D172" s="39" t="str">
        <f>IFERROR(__xludf.DUMMYFUNCTION("""COMPUTED_VALUE"""),"#N/A")</f>
        <v>#N/A</v>
      </c>
      <c r="E172" s="2"/>
      <c r="F172" s="2"/>
      <c r="G172" s="2"/>
      <c r="H172" s="2"/>
      <c r="I172" s="2"/>
      <c r="J172" s="2"/>
      <c r="K172" s="2"/>
      <c r="L172" s="2"/>
      <c r="M172" s="2"/>
      <c r="N172" s="2"/>
      <c r="O172" s="2"/>
      <c r="P172" s="2"/>
      <c r="Q172" s="2"/>
      <c r="R172" s="2"/>
      <c r="S172" s="2"/>
      <c r="T172" s="2"/>
      <c r="U172" s="2"/>
      <c r="V172" s="2"/>
      <c r="W172" s="2" t="str">
        <f>IFERROR(__xludf.DUMMYFUNCTION("""COMPUTED_VALUE"""),"#N/A")</f>
        <v>#N/A</v>
      </c>
      <c r="X172" s="2"/>
      <c r="Y172" s="2"/>
      <c r="Z172" s="2" t="str">
        <f>IFERROR(__xludf.DUMMYFUNCTION("""COMPUTED_VALUE"""),"Chưa gửi đơn")</f>
        <v>Chưa gửi đơn</v>
      </c>
      <c r="AA172" s="2"/>
      <c r="AB172" s="2"/>
      <c r="AC172" s="2"/>
      <c r="AD172" s="2"/>
      <c r="AE172" s="143" t="str">
        <f>IFERROR(__xludf.DUMMYFUNCTION("""COMPUTED_VALUE"""),"Chưa chốt lịch")</f>
        <v>Chưa chốt lịch</v>
      </c>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t="str">
        <f>IFERROR(__xludf.DUMMYFUNCTION("""COMPUTED_VALUE"""),"Chưa xử lí giá")</f>
        <v>Chưa xử lí giá</v>
      </c>
      <c r="BG172" s="2"/>
      <c r="BH172" s="2"/>
      <c r="BI172" s="2"/>
      <c r="BJ172" s="2"/>
      <c r="BK172" s="2"/>
      <c r="BL172" s="2"/>
      <c r="BM172" s="2"/>
      <c r="BN172" s="2"/>
      <c r="BO172" s="2"/>
      <c r="BP172" s="2"/>
      <c r="BQ172" s="2"/>
    </row>
    <row r="173">
      <c r="A173" s="2" t="str">
        <f>IFERROR(__xludf.DUMMYFUNCTION("""COMPUTED_VALUE"""),"")</f>
        <v/>
      </c>
      <c r="B173" s="2"/>
      <c r="C173" s="2"/>
      <c r="D173" s="39" t="str">
        <f>IFERROR(__xludf.DUMMYFUNCTION("""COMPUTED_VALUE"""),"#N/A")</f>
        <v>#N/A</v>
      </c>
      <c r="E173" s="2"/>
      <c r="F173" s="2"/>
      <c r="G173" s="2"/>
      <c r="H173" s="2"/>
      <c r="I173" s="2"/>
      <c r="J173" s="2"/>
      <c r="K173" s="2"/>
      <c r="L173" s="2"/>
      <c r="M173" s="2"/>
      <c r="N173" s="2"/>
      <c r="O173" s="2"/>
      <c r="P173" s="2"/>
      <c r="Q173" s="2"/>
      <c r="R173" s="2"/>
      <c r="S173" s="2"/>
      <c r="T173" s="2"/>
      <c r="U173" s="2"/>
      <c r="V173" s="2"/>
      <c r="W173" s="2" t="str">
        <f>IFERROR(__xludf.DUMMYFUNCTION("""COMPUTED_VALUE"""),"#N/A")</f>
        <v>#N/A</v>
      </c>
      <c r="X173" s="2"/>
      <c r="Y173" s="2"/>
      <c r="Z173" s="2" t="str">
        <f>IFERROR(__xludf.DUMMYFUNCTION("""COMPUTED_VALUE"""),"Chưa gửi đơn")</f>
        <v>Chưa gửi đơn</v>
      </c>
      <c r="AA173" s="2"/>
      <c r="AB173" s="2"/>
      <c r="AC173" s="2"/>
      <c r="AD173" s="2"/>
      <c r="AE173" s="143" t="str">
        <f>IFERROR(__xludf.DUMMYFUNCTION("""COMPUTED_VALUE"""),"Chưa chốt lịch")</f>
        <v>Chưa chốt lịch</v>
      </c>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t="str">
        <f>IFERROR(__xludf.DUMMYFUNCTION("""COMPUTED_VALUE"""),"Chưa xử lí giá")</f>
        <v>Chưa xử lí giá</v>
      </c>
      <c r="BG173" s="2"/>
      <c r="BH173" s="2"/>
      <c r="BI173" s="2"/>
      <c r="BJ173" s="2"/>
      <c r="BK173" s="2"/>
      <c r="BL173" s="2"/>
      <c r="BM173" s="2"/>
      <c r="BN173" s="2"/>
      <c r="BO173" s="2"/>
      <c r="BP173" s="2"/>
      <c r="BQ173" s="2"/>
    </row>
    <row r="174">
      <c r="A174" s="2" t="str">
        <f>IFERROR(__xludf.DUMMYFUNCTION("""COMPUTED_VALUE"""),"")</f>
        <v/>
      </c>
      <c r="B174" s="2"/>
      <c r="C174" s="2"/>
      <c r="D174" s="39" t="str">
        <f>IFERROR(__xludf.DUMMYFUNCTION("""COMPUTED_VALUE"""),"#N/A")</f>
        <v>#N/A</v>
      </c>
      <c r="E174" s="2"/>
      <c r="F174" s="2"/>
      <c r="G174" s="2"/>
      <c r="H174" s="2"/>
      <c r="I174" s="2"/>
      <c r="J174" s="2"/>
      <c r="K174" s="2"/>
      <c r="L174" s="2"/>
      <c r="M174" s="2"/>
      <c r="N174" s="2"/>
      <c r="O174" s="2"/>
      <c r="P174" s="2"/>
      <c r="Q174" s="2"/>
      <c r="R174" s="2"/>
      <c r="S174" s="2"/>
      <c r="T174" s="2"/>
      <c r="U174" s="2"/>
      <c r="V174" s="2"/>
      <c r="W174" s="2" t="str">
        <f>IFERROR(__xludf.DUMMYFUNCTION("""COMPUTED_VALUE"""),"#N/A")</f>
        <v>#N/A</v>
      </c>
      <c r="X174" s="2"/>
      <c r="Y174" s="2"/>
      <c r="Z174" s="2" t="str">
        <f>IFERROR(__xludf.DUMMYFUNCTION("""COMPUTED_VALUE"""),"Chưa gửi đơn")</f>
        <v>Chưa gửi đơn</v>
      </c>
      <c r="AA174" s="2"/>
      <c r="AB174" s="2"/>
      <c r="AC174" s="2"/>
      <c r="AD174" s="2"/>
      <c r="AE174" s="143" t="str">
        <f>IFERROR(__xludf.DUMMYFUNCTION("""COMPUTED_VALUE"""),"Chưa chốt lịch")</f>
        <v>Chưa chốt lịch</v>
      </c>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t="str">
        <f>IFERROR(__xludf.DUMMYFUNCTION("""COMPUTED_VALUE"""),"Chưa xử lí giá")</f>
        <v>Chưa xử lí giá</v>
      </c>
      <c r="BG174" s="2"/>
      <c r="BH174" s="2"/>
      <c r="BI174" s="2"/>
      <c r="BJ174" s="2"/>
      <c r="BK174" s="2"/>
      <c r="BL174" s="2"/>
      <c r="BM174" s="2"/>
      <c r="BN174" s="2"/>
      <c r="BO174" s="2"/>
      <c r="BP174" s="2"/>
      <c r="BQ174" s="2"/>
    </row>
    <row r="175">
      <c r="A175" s="2" t="str">
        <f>IFERROR(__xludf.DUMMYFUNCTION("""COMPUTED_VALUE"""),"")</f>
        <v/>
      </c>
      <c r="B175" s="2"/>
      <c r="C175" s="2"/>
      <c r="D175" s="39" t="str">
        <f>IFERROR(__xludf.DUMMYFUNCTION("""COMPUTED_VALUE"""),"#N/A")</f>
        <v>#N/A</v>
      </c>
      <c r="E175" s="2"/>
      <c r="F175" s="2"/>
      <c r="G175" s="2"/>
      <c r="H175" s="2"/>
      <c r="I175" s="2"/>
      <c r="J175" s="2"/>
      <c r="K175" s="2"/>
      <c r="L175" s="2"/>
      <c r="M175" s="2"/>
      <c r="N175" s="2"/>
      <c r="O175" s="2"/>
      <c r="P175" s="2"/>
      <c r="Q175" s="2"/>
      <c r="R175" s="2"/>
      <c r="S175" s="2"/>
      <c r="T175" s="2"/>
      <c r="U175" s="2"/>
      <c r="V175" s="2"/>
      <c r="W175" s="2" t="str">
        <f>IFERROR(__xludf.DUMMYFUNCTION("""COMPUTED_VALUE"""),"#N/A")</f>
        <v>#N/A</v>
      </c>
      <c r="X175" s="2"/>
      <c r="Y175" s="2"/>
      <c r="Z175" s="2" t="str">
        <f>IFERROR(__xludf.DUMMYFUNCTION("""COMPUTED_VALUE"""),"Chưa gửi đơn")</f>
        <v>Chưa gửi đơn</v>
      </c>
      <c r="AA175" s="2"/>
      <c r="AB175" s="2"/>
      <c r="AC175" s="2"/>
      <c r="AD175" s="2"/>
      <c r="AE175" s="143" t="str">
        <f>IFERROR(__xludf.DUMMYFUNCTION("""COMPUTED_VALUE"""),"Chưa chốt lịch")</f>
        <v>Chưa chốt lịch</v>
      </c>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t="str">
        <f>IFERROR(__xludf.DUMMYFUNCTION("""COMPUTED_VALUE"""),"Chưa xử lí giá")</f>
        <v>Chưa xử lí giá</v>
      </c>
      <c r="BG175" s="2"/>
      <c r="BH175" s="2"/>
      <c r="BI175" s="2"/>
      <c r="BJ175" s="2"/>
      <c r="BK175" s="2"/>
      <c r="BL175" s="2"/>
      <c r="BM175" s="2"/>
      <c r="BN175" s="2"/>
      <c r="BO175" s="2"/>
      <c r="BP175" s="2"/>
      <c r="BQ175" s="2"/>
    </row>
    <row r="176">
      <c r="A176" s="2" t="str">
        <f>IFERROR(__xludf.DUMMYFUNCTION("""COMPUTED_VALUE"""),"")</f>
        <v/>
      </c>
      <c r="B176" s="2"/>
      <c r="C176" s="2"/>
      <c r="D176" s="39" t="str">
        <f>IFERROR(__xludf.DUMMYFUNCTION("""COMPUTED_VALUE"""),"#N/A")</f>
        <v>#N/A</v>
      </c>
      <c r="E176" s="2"/>
      <c r="F176" s="2"/>
      <c r="G176" s="2"/>
      <c r="H176" s="2"/>
      <c r="I176" s="2"/>
      <c r="J176" s="2"/>
      <c r="K176" s="2"/>
      <c r="L176" s="2"/>
      <c r="M176" s="2"/>
      <c r="N176" s="2"/>
      <c r="O176" s="2"/>
      <c r="P176" s="2"/>
      <c r="Q176" s="2"/>
      <c r="R176" s="2"/>
      <c r="S176" s="2"/>
      <c r="T176" s="2"/>
      <c r="U176" s="2"/>
      <c r="V176" s="2"/>
      <c r="W176" s="2" t="str">
        <f>IFERROR(__xludf.DUMMYFUNCTION("""COMPUTED_VALUE"""),"#N/A")</f>
        <v>#N/A</v>
      </c>
      <c r="X176" s="2"/>
      <c r="Y176" s="2"/>
      <c r="Z176" s="2" t="str">
        <f>IFERROR(__xludf.DUMMYFUNCTION("""COMPUTED_VALUE"""),"Chưa gửi đơn")</f>
        <v>Chưa gửi đơn</v>
      </c>
      <c r="AA176" s="2"/>
      <c r="AB176" s="2"/>
      <c r="AC176" s="2"/>
      <c r="AD176" s="2"/>
      <c r="AE176" s="143" t="str">
        <f>IFERROR(__xludf.DUMMYFUNCTION("""COMPUTED_VALUE"""),"Chưa chốt lịch")</f>
        <v>Chưa chốt lịch</v>
      </c>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t="str">
        <f>IFERROR(__xludf.DUMMYFUNCTION("""COMPUTED_VALUE"""),"Chưa xử lí giá")</f>
        <v>Chưa xử lí giá</v>
      </c>
      <c r="BG176" s="2"/>
      <c r="BH176" s="2"/>
      <c r="BI176" s="2"/>
      <c r="BJ176" s="2"/>
      <c r="BK176" s="2"/>
      <c r="BL176" s="2"/>
      <c r="BM176" s="2"/>
      <c r="BN176" s="2"/>
      <c r="BO176" s="2"/>
      <c r="BP176" s="2"/>
      <c r="BQ176" s="2"/>
    </row>
    <row r="177">
      <c r="A177" s="2" t="str">
        <f>IFERROR(__xludf.DUMMYFUNCTION("""COMPUTED_VALUE"""),"")</f>
        <v/>
      </c>
      <c r="B177" s="2"/>
      <c r="C177" s="2"/>
      <c r="D177" s="39" t="str">
        <f>IFERROR(__xludf.DUMMYFUNCTION("""COMPUTED_VALUE"""),"#N/A")</f>
        <v>#N/A</v>
      </c>
      <c r="E177" s="2"/>
      <c r="F177" s="2"/>
      <c r="G177" s="2"/>
      <c r="H177" s="2"/>
      <c r="I177" s="2"/>
      <c r="J177" s="2"/>
      <c r="K177" s="2"/>
      <c r="L177" s="2"/>
      <c r="M177" s="2"/>
      <c r="N177" s="2"/>
      <c r="O177" s="2"/>
      <c r="P177" s="2"/>
      <c r="Q177" s="2"/>
      <c r="R177" s="2"/>
      <c r="S177" s="2"/>
      <c r="T177" s="2"/>
      <c r="U177" s="2"/>
      <c r="V177" s="2"/>
      <c r="W177" s="2" t="str">
        <f>IFERROR(__xludf.DUMMYFUNCTION("""COMPUTED_VALUE"""),"#N/A")</f>
        <v>#N/A</v>
      </c>
      <c r="X177" s="2"/>
      <c r="Y177" s="2"/>
      <c r="Z177" s="2" t="str">
        <f>IFERROR(__xludf.DUMMYFUNCTION("""COMPUTED_VALUE"""),"Chưa gửi đơn")</f>
        <v>Chưa gửi đơn</v>
      </c>
      <c r="AA177" s="2"/>
      <c r="AB177" s="2"/>
      <c r="AC177" s="2"/>
      <c r="AD177" s="2"/>
      <c r="AE177" s="143" t="str">
        <f>IFERROR(__xludf.DUMMYFUNCTION("""COMPUTED_VALUE"""),"Chưa chốt lịch")</f>
        <v>Chưa chốt lịch</v>
      </c>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t="str">
        <f>IFERROR(__xludf.DUMMYFUNCTION("""COMPUTED_VALUE"""),"Chưa xử lí giá")</f>
        <v>Chưa xử lí giá</v>
      </c>
      <c r="BG177" s="2"/>
      <c r="BH177" s="2"/>
      <c r="BI177" s="2"/>
      <c r="BJ177" s="2"/>
      <c r="BK177" s="2"/>
      <c r="BL177" s="2"/>
      <c r="BM177" s="2"/>
      <c r="BN177" s="2"/>
      <c r="BO177" s="2"/>
      <c r="BP177" s="2"/>
      <c r="BQ177" s="2"/>
    </row>
    <row r="178">
      <c r="A178" s="2" t="str">
        <f>IFERROR(__xludf.DUMMYFUNCTION("""COMPUTED_VALUE"""),"")</f>
        <v/>
      </c>
      <c r="B178" s="2"/>
      <c r="C178" s="2"/>
      <c r="D178" s="39" t="str">
        <f>IFERROR(__xludf.DUMMYFUNCTION("""COMPUTED_VALUE"""),"#N/A")</f>
        <v>#N/A</v>
      </c>
      <c r="E178" s="2"/>
      <c r="F178" s="2"/>
      <c r="G178" s="2"/>
      <c r="H178" s="2"/>
      <c r="I178" s="2"/>
      <c r="J178" s="2"/>
      <c r="K178" s="2"/>
      <c r="L178" s="2"/>
      <c r="M178" s="2"/>
      <c r="N178" s="2"/>
      <c r="O178" s="2"/>
      <c r="P178" s="2"/>
      <c r="Q178" s="2"/>
      <c r="R178" s="2"/>
      <c r="S178" s="2"/>
      <c r="T178" s="2"/>
      <c r="U178" s="2"/>
      <c r="V178" s="2"/>
      <c r="W178" s="2" t="str">
        <f>IFERROR(__xludf.DUMMYFUNCTION("""COMPUTED_VALUE"""),"#N/A")</f>
        <v>#N/A</v>
      </c>
      <c r="X178" s="2"/>
      <c r="Y178" s="2"/>
      <c r="Z178" s="2" t="str">
        <f>IFERROR(__xludf.DUMMYFUNCTION("""COMPUTED_VALUE"""),"Chưa gửi đơn")</f>
        <v>Chưa gửi đơn</v>
      </c>
      <c r="AA178" s="2"/>
      <c r="AB178" s="2"/>
      <c r="AC178" s="2"/>
      <c r="AD178" s="2"/>
      <c r="AE178" s="143" t="str">
        <f>IFERROR(__xludf.DUMMYFUNCTION("""COMPUTED_VALUE"""),"Chưa chốt lịch")</f>
        <v>Chưa chốt lịch</v>
      </c>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t="str">
        <f>IFERROR(__xludf.DUMMYFUNCTION("""COMPUTED_VALUE"""),"Chưa xử lí giá")</f>
        <v>Chưa xử lí giá</v>
      </c>
      <c r="BG178" s="2"/>
      <c r="BH178" s="2"/>
      <c r="BI178" s="2"/>
      <c r="BJ178" s="2"/>
      <c r="BK178" s="2"/>
      <c r="BL178" s="2"/>
      <c r="BM178" s="2"/>
      <c r="BN178" s="2"/>
      <c r="BO178" s="2"/>
      <c r="BP178" s="2"/>
      <c r="BQ178" s="2"/>
    </row>
    <row r="179">
      <c r="A179" s="2" t="str">
        <f>IFERROR(__xludf.DUMMYFUNCTION("""COMPUTED_VALUE"""),"")</f>
        <v/>
      </c>
      <c r="B179" s="2"/>
      <c r="C179" s="2"/>
      <c r="D179" s="39" t="str">
        <f>IFERROR(__xludf.DUMMYFUNCTION("""COMPUTED_VALUE"""),"#N/A")</f>
        <v>#N/A</v>
      </c>
      <c r="E179" s="2"/>
      <c r="F179" s="2"/>
      <c r="G179" s="2"/>
      <c r="H179" s="2"/>
      <c r="I179" s="2"/>
      <c r="J179" s="2"/>
      <c r="K179" s="2"/>
      <c r="L179" s="2"/>
      <c r="M179" s="2"/>
      <c r="N179" s="2"/>
      <c r="O179" s="2"/>
      <c r="P179" s="2"/>
      <c r="Q179" s="2"/>
      <c r="R179" s="2"/>
      <c r="S179" s="2"/>
      <c r="T179" s="2"/>
      <c r="U179" s="2"/>
      <c r="V179" s="2"/>
      <c r="W179" s="2" t="str">
        <f>IFERROR(__xludf.DUMMYFUNCTION("""COMPUTED_VALUE"""),"#N/A")</f>
        <v>#N/A</v>
      </c>
      <c r="X179" s="2"/>
      <c r="Y179" s="2"/>
      <c r="Z179" s="2" t="str">
        <f>IFERROR(__xludf.DUMMYFUNCTION("""COMPUTED_VALUE"""),"Chưa gửi đơn")</f>
        <v>Chưa gửi đơn</v>
      </c>
      <c r="AA179" s="2"/>
      <c r="AB179" s="2"/>
      <c r="AC179" s="2"/>
      <c r="AD179" s="2"/>
      <c r="AE179" s="143" t="str">
        <f>IFERROR(__xludf.DUMMYFUNCTION("""COMPUTED_VALUE"""),"Chưa chốt lịch")</f>
        <v>Chưa chốt lịch</v>
      </c>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t="str">
        <f>IFERROR(__xludf.DUMMYFUNCTION("""COMPUTED_VALUE"""),"Chưa xử lí giá")</f>
        <v>Chưa xử lí giá</v>
      </c>
      <c r="BG179" s="2"/>
      <c r="BH179" s="2"/>
      <c r="BI179" s="2"/>
      <c r="BJ179" s="2"/>
      <c r="BK179" s="2"/>
      <c r="BL179" s="2"/>
      <c r="BM179" s="2"/>
      <c r="BN179" s="2"/>
      <c r="BO179" s="2"/>
      <c r="BP179" s="2"/>
      <c r="BQ179" s="2"/>
    </row>
    <row r="180">
      <c r="A180" s="2" t="str">
        <f>IFERROR(__xludf.DUMMYFUNCTION("""COMPUTED_VALUE"""),"")</f>
        <v/>
      </c>
      <c r="B180" s="2"/>
      <c r="C180" s="2"/>
      <c r="D180" s="39" t="str">
        <f>IFERROR(__xludf.DUMMYFUNCTION("""COMPUTED_VALUE"""),"#N/A")</f>
        <v>#N/A</v>
      </c>
      <c r="E180" s="2"/>
      <c r="F180" s="2"/>
      <c r="G180" s="2"/>
      <c r="H180" s="2"/>
      <c r="I180" s="2"/>
      <c r="J180" s="2"/>
      <c r="K180" s="2"/>
      <c r="L180" s="2"/>
      <c r="M180" s="2"/>
      <c r="N180" s="2"/>
      <c r="O180" s="2"/>
      <c r="P180" s="2"/>
      <c r="Q180" s="2"/>
      <c r="R180" s="2"/>
      <c r="S180" s="2"/>
      <c r="T180" s="2"/>
      <c r="U180" s="2"/>
      <c r="V180" s="2"/>
      <c r="W180" s="2" t="str">
        <f>IFERROR(__xludf.DUMMYFUNCTION("""COMPUTED_VALUE"""),"#N/A")</f>
        <v>#N/A</v>
      </c>
      <c r="X180" s="2"/>
      <c r="Y180" s="2"/>
      <c r="Z180" s="2" t="str">
        <f>IFERROR(__xludf.DUMMYFUNCTION("""COMPUTED_VALUE"""),"Chưa gửi đơn")</f>
        <v>Chưa gửi đơn</v>
      </c>
      <c r="AA180" s="2"/>
      <c r="AB180" s="2"/>
      <c r="AC180" s="2"/>
      <c r="AD180" s="2"/>
      <c r="AE180" s="143" t="str">
        <f>IFERROR(__xludf.DUMMYFUNCTION("""COMPUTED_VALUE"""),"Chưa chốt lịch")</f>
        <v>Chưa chốt lịch</v>
      </c>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t="str">
        <f>IFERROR(__xludf.DUMMYFUNCTION("""COMPUTED_VALUE"""),"Chưa xử lí giá")</f>
        <v>Chưa xử lí giá</v>
      </c>
      <c r="BG180" s="2"/>
      <c r="BH180" s="2"/>
      <c r="BI180" s="2"/>
      <c r="BJ180" s="2"/>
      <c r="BK180" s="2"/>
      <c r="BL180" s="2"/>
      <c r="BM180" s="2"/>
      <c r="BN180" s="2"/>
      <c r="BO180" s="2"/>
      <c r="BP180" s="2"/>
      <c r="BQ180" s="2"/>
    </row>
    <row r="181">
      <c r="A181" s="2" t="str">
        <f>IFERROR(__xludf.DUMMYFUNCTION("""COMPUTED_VALUE"""),"")</f>
        <v/>
      </c>
      <c r="B181" s="2"/>
      <c r="C181" s="2"/>
      <c r="D181" s="39" t="str">
        <f>IFERROR(__xludf.DUMMYFUNCTION("""COMPUTED_VALUE"""),"#N/A")</f>
        <v>#N/A</v>
      </c>
      <c r="E181" s="2"/>
      <c r="F181" s="2"/>
      <c r="G181" s="2"/>
      <c r="H181" s="2"/>
      <c r="I181" s="2"/>
      <c r="J181" s="2"/>
      <c r="K181" s="2"/>
      <c r="L181" s="2"/>
      <c r="M181" s="2"/>
      <c r="N181" s="2"/>
      <c r="O181" s="2"/>
      <c r="P181" s="2"/>
      <c r="Q181" s="2"/>
      <c r="R181" s="2"/>
      <c r="S181" s="2"/>
      <c r="T181" s="2"/>
      <c r="U181" s="2"/>
      <c r="V181" s="2"/>
      <c r="W181" s="2" t="str">
        <f>IFERROR(__xludf.DUMMYFUNCTION("""COMPUTED_VALUE"""),"#N/A")</f>
        <v>#N/A</v>
      </c>
      <c r="X181" s="2"/>
      <c r="Y181" s="2"/>
      <c r="Z181" s="2" t="str">
        <f>IFERROR(__xludf.DUMMYFUNCTION("""COMPUTED_VALUE"""),"Chưa gửi đơn")</f>
        <v>Chưa gửi đơn</v>
      </c>
      <c r="AA181" s="2"/>
      <c r="AB181" s="2"/>
      <c r="AC181" s="2"/>
      <c r="AD181" s="2"/>
      <c r="AE181" s="143" t="str">
        <f>IFERROR(__xludf.DUMMYFUNCTION("""COMPUTED_VALUE"""),"Chưa chốt lịch")</f>
        <v>Chưa chốt lịch</v>
      </c>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t="str">
        <f>IFERROR(__xludf.DUMMYFUNCTION("""COMPUTED_VALUE"""),"Chưa xử lí giá")</f>
        <v>Chưa xử lí giá</v>
      </c>
      <c r="BG181" s="2"/>
      <c r="BH181" s="2"/>
      <c r="BI181" s="2"/>
      <c r="BJ181" s="2"/>
      <c r="BK181" s="2"/>
      <c r="BL181" s="2"/>
      <c r="BM181" s="2"/>
      <c r="BN181" s="2"/>
      <c r="BO181" s="2"/>
      <c r="BP181" s="2"/>
      <c r="BQ181" s="2"/>
    </row>
    <row r="182">
      <c r="A182" s="2" t="str">
        <f>IFERROR(__xludf.DUMMYFUNCTION("""COMPUTED_VALUE"""),"")</f>
        <v/>
      </c>
      <c r="B182" s="2"/>
      <c r="C182" s="2"/>
      <c r="D182" s="39" t="str">
        <f>IFERROR(__xludf.DUMMYFUNCTION("""COMPUTED_VALUE"""),"#N/A")</f>
        <v>#N/A</v>
      </c>
      <c r="E182" s="2"/>
      <c r="F182" s="2"/>
      <c r="G182" s="2"/>
      <c r="H182" s="2"/>
      <c r="I182" s="2"/>
      <c r="J182" s="2"/>
      <c r="K182" s="2"/>
      <c r="L182" s="2"/>
      <c r="M182" s="2"/>
      <c r="N182" s="2"/>
      <c r="O182" s="2"/>
      <c r="P182" s="2"/>
      <c r="Q182" s="2"/>
      <c r="R182" s="2"/>
      <c r="S182" s="2"/>
      <c r="T182" s="2"/>
      <c r="U182" s="2"/>
      <c r="V182" s="2"/>
      <c r="W182" s="2" t="str">
        <f>IFERROR(__xludf.DUMMYFUNCTION("""COMPUTED_VALUE"""),"#N/A")</f>
        <v>#N/A</v>
      </c>
      <c r="X182" s="2"/>
      <c r="Y182" s="2"/>
      <c r="Z182" s="2" t="str">
        <f>IFERROR(__xludf.DUMMYFUNCTION("""COMPUTED_VALUE"""),"Chưa gửi đơn")</f>
        <v>Chưa gửi đơn</v>
      </c>
      <c r="AA182" s="2"/>
      <c r="AB182" s="2"/>
      <c r="AC182" s="2"/>
      <c r="AD182" s="2"/>
      <c r="AE182" s="143" t="str">
        <f>IFERROR(__xludf.DUMMYFUNCTION("""COMPUTED_VALUE"""),"Chưa chốt lịch")</f>
        <v>Chưa chốt lịch</v>
      </c>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t="str">
        <f>IFERROR(__xludf.DUMMYFUNCTION("""COMPUTED_VALUE"""),"Chưa xử lí giá")</f>
        <v>Chưa xử lí giá</v>
      </c>
      <c r="BG182" s="2"/>
      <c r="BH182" s="2"/>
      <c r="BI182" s="2"/>
      <c r="BJ182" s="2"/>
      <c r="BK182" s="2"/>
      <c r="BL182" s="2"/>
      <c r="BM182" s="2"/>
      <c r="BN182" s="2"/>
      <c r="BO182" s="2"/>
      <c r="BP182" s="2"/>
      <c r="BQ182" s="2"/>
    </row>
    <row r="183">
      <c r="A183" s="2" t="str">
        <f>IFERROR(__xludf.DUMMYFUNCTION("""COMPUTED_VALUE"""),"")</f>
        <v/>
      </c>
      <c r="B183" s="2"/>
      <c r="C183" s="2"/>
      <c r="D183" s="39" t="str">
        <f>IFERROR(__xludf.DUMMYFUNCTION("""COMPUTED_VALUE"""),"#N/A")</f>
        <v>#N/A</v>
      </c>
      <c r="E183" s="2"/>
      <c r="F183" s="2"/>
      <c r="G183" s="2"/>
      <c r="H183" s="2"/>
      <c r="I183" s="2"/>
      <c r="J183" s="2"/>
      <c r="K183" s="2"/>
      <c r="L183" s="2"/>
      <c r="M183" s="2"/>
      <c r="N183" s="2"/>
      <c r="O183" s="2"/>
      <c r="P183" s="2"/>
      <c r="Q183" s="2"/>
      <c r="R183" s="2"/>
      <c r="S183" s="2"/>
      <c r="T183" s="2"/>
      <c r="U183" s="2"/>
      <c r="V183" s="2"/>
      <c r="W183" s="2" t="str">
        <f>IFERROR(__xludf.DUMMYFUNCTION("""COMPUTED_VALUE"""),"#N/A")</f>
        <v>#N/A</v>
      </c>
      <c r="X183" s="2"/>
      <c r="Y183" s="2"/>
      <c r="Z183" s="2" t="str">
        <f>IFERROR(__xludf.DUMMYFUNCTION("""COMPUTED_VALUE"""),"Chưa gửi đơn")</f>
        <v>Chưa gửi đơn</v>
      </c>
      <c r="AA183" s="2"/>
      <c r="AB183" s="2"/>
      <c r="AC183" s="2"/>
      <c r="AD183" s="2"/>
      <c r="AE183" s="143" t="str">
        <f>IFERROR(__xludf.DUMMYFUNCTION("""COMPUTED_VALUE"""),"Chưa chốt lịch")</f>
        <v>Chưa chốt lịch</v>
      </c>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t="str">
        <f>IFERROR(__xludf.DUMMYFUNCTION("""COMPUTED_VALUE"""),"Chưa xử lí giá")</f>
        <v>Chưa xử lí giá</v>
      </c>
      <c r="BG183" s="2"/>
      <c r="BH183" s="2"/>
      <c r="BI183" s="2"/>
      <c r="BJ183" s="2"/>
      <c r="BK183" s="2"/>
      <c r="BL183" s="2"/>
      <c r="BM183" s="2"/>
      <c r="BN183" s="2"/>
      <c r="BO183" s="2"/>
      <c r="BP183" s="2"/>
      <c r="BQ183" s="2"/>
    </row>
    <row r="184">
      <c r="A184" s="2" t="str">
        <f>IFERROR(__xludf.DUMMYFUNCTION("""COMPUTED_VALUE"""),"")</f>
        <v/>
      </c>
      <c r="B184" s="2"/>
      <c r="C184" s="2"/>
      <c r="D184" s="39" t="str">
        <f>IFERROR(__xludf.DUMMYFUNCTION("""COMPUTED_VALUE"""),"#N/A")</f>
        <v>#N/A</v>
      </c>
      <c r="E184" s="2"/>
      <c r="F184" s="2"/>
      <c r="G184" s="2"/>
      <c r="H184" s="2"/>
      <c r="I184" s="2"/>
      <c r="J184" s="2"/>
      <c r="K184" s="2"/>
      <c r="L184" s="2"/>
      <c r="M184" s="2"/>
      <c r="N184" s="2"/>
      <c r="O184" s="2"/>
      <c r="P184" s="2"/>
      <c r="Q184" s="2"/>
      <c r="R184" s="2"/>
      <c r="S184" s="2"/>
      <c r="T184" s="2"/>
      <c r="U184" s="2"/>
      <c r="V184" s="2"/>
      <c r="W184" s="2" t="str">
        <f>IFERROR(__xludf.DUMMYFUNCTION("""COMPUTED_VALUE"""),"#N/A")</f>
        <v>#N/A</v>
      </c>
      <c r="X184" s="2"/>
      <c r="Y184" s="2"/>
      <c r="Z184" s="2" t="str">
        <f>IFERROR(__xludf.DUMMYFUNCTION("""COMPUTED_VALUE"""),"Chưa gửi đơn")</f>
        <v>Chưa gửi đơn</v>
      </c>
      <c r="AA184" s="2"/>
      <c r="AB184" s="2"/>
      <c r="AC184" s="2"/>
      <c r="AD184" s="2"/>
      <c r="AE184" s="143" t="str">
        <f>IFERROR(__xludf.DUMMYFUNCTION("""COMPUTED_VALUE"""),"Chưa chốt lịch")</f>
        <v>Chưa chốt lịch</v>
      </c>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t="str">
        <f>IFERROR(__xludf.DUMMYFUNCTION("""COMPUTED_VALUE"""),"Chưa xử lí giá")</f>
        <v>Chưa xử lí giá</v>
      </c>
      <c r="BG184" s="2"/>
      <c r="BH184" s="2"/>
      <c r="BI184" s="2"/>
      <c r="BJ184" s="2"/>
      <c r="BK184" s="2"/>
      <c r="BL184" s="2"/>
      <c r="BM184" s="2"/>
      <c r="BN184" s="2"/>
      <c r="BO184" s="2"/>
      <c r="BP184" s="2"/>
      <c r="BQ184" s="2"/>
    </row>
    <row r="185">
      <c r="A185" s="2" t="str">
        <f>IFERROR(__xludf.DUMMYFUNCTION("""COMPUTED_VALUE"""),"")</f>
        <v/>
      </c>
      <c r="B185" s="2"/>
      <c r="C185" s="2"/>
      <c r="D185" s="39" t="str">
        <f>IFERROR(__xludf.DUMMYFUNCTION("""COMPUTED_VALUE"""),"#N/A")</f>
        <v>#N/A</v>
      </c>
      <c r="E185" s="2"/>
      <c r="F185" s="2"/>
      <c r="G185" s="2"/>
      <c r="H185" s="2"/>
      <c r="I185" s="2"/>
      <c r="J185" s="2"/>
      <c r="K185" s="2"/>
      <c r="L185" s="2"/>
      <c r="M185" s="2"/>
      <c r="N185" s="2"/>
      <c r="O185" s="2"/>
      <c r="P185" s="2"/>
      <c r="Q185" s="2"/>
      <c r="R185" s="2"/>
      <c r="S185" s="2"/>
      <c r="T185" s="2"/>
      <c r="U185" s="2"/>
      <c r="V185" s="2"/>
      <c r="W185" s="2" t="str">
        <f>IFERROR(__xludf.DUMMYFUNCTION("""COMPUTED_VALUE"""),"#N/A")</f>
        <v>#N/A</v>
      </c>
      <c r="X185" s="2"/>
      <c r="Y185" s="2"/>
      <c r="Z185" s="2" t="str">
        <f>IFERROR(__xludf.DUMMYFUNCTION("""COMPUTED_VALUE"""),"Chưa gửi đơn")</f>
        <v>Chưa gửi đơn</v>
      </c>
      <c r="AA185" s="2"/>
      <c r="AB185" s="2"/>
      <c r="AC185" s="2"/>
      <c r="AD185" s="2"/>
      <c r="AE185" s="143" t="str">
        <f>IFERROR(__xludf.DUMMYFUNCTION("""COMPUTED_VALUE"""),"Chưa chốt lịch")</f>
        <v>Chưa chốt lịch</v>
      </c>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t="str">
        <f>IFERROR(__xludf.DUMMYFUNCTION("""COMPUTED_VALUE"""),"Chưa xử lí giá")</f>
        <v>Chưa xử lí giá</v>
      </c>
      <c r="BG185" s="2"/>
      <c r="BH185" s="2"/>
      <c r="BI185" s="2"/>
      <c r="BJ185" s="2"/>
      <c r="BK185" s="2"/>
      <c r="BL185" s="2"/>
      <c r="BM185" s="2"/>
      <c r="BN185" s="2"/>
      <c r="BO185" s="2"/>
      <c r="BP185" s="2"/>
      <c r="BQ185" s="2"/>
    </row>
    <row r="186">
      <c r="A186" s="2" t="str">
        <f>IFERROR(__xludf.DUMMYFUNCTION("""COMPUTED_VALUE"""),"")</f>
        <v/>
      </c>
      <c r="B186" s="2"/>
      <c r="C186" s="2"/>
      <c r="D186" s="39" t="str">
        <f>IFERROR(__xludf.DUMMYFUNCTION("""COMPUTED_VALUE"""),"#N/A")</f>
        <v>#N/A</v>
      </c>
      <c r="E186" s="2"/>
      <c r="F186" s="2"/>
      <c r="G186" s="2"/>
      <c r="H186" s="2"/>
      <c r="I186" s="2"/>
      <c r="J186" s="2"/>
      <c r="K186" s="2"/>
      <c r="L186" s="2"/>
      <c r="M186" s="2"/>
      <c r="N186" s="2"/>
      <c r="O186" s="2"/>
      <c r="P186" s="2"/>
      <c r="Q186" s="2"/>
      <c r="R186" s="2"/>
      <c r="S186" s="2"/>
      <c r="T186" s="2"/>
      <c r="U186" s="2"/>
      <c r="V186" s="2"/>
      <c r="W186" s="2" t="str">
        <f>IFERROR(__xludf.DUMMYFUNCTION("""COMPUTED_VALUE"""),"#N/A")</f>
        <v>#N/A</v>
      </c>
      <c r="X186" s="2"/>
      <c r="Y186" s="2"/>
      <c r="Z186" s="2" t="str">
        <f>IFERROR(__xludf.DUMMYFUNCTION("""COMPUTED_VALUE"""),"Chưa gửi đơn")</f>
        <v>Chưa gửi đơn</v>
      </c>
      <c r="AA186" s="2"/>
      <c r="AB186" s="2"/>
      <c r="AC186" s="2"/>
      <c r="AD186" s="2"/>
      <c r="AE186" s="143" t="str">
        <f>IFERROR(__xludf.DUMMYFUNCTION("""COMPUTED_VALUE"""),"Chưa chốt lịch")</f>
        <v>Chưa chốt lịch</v>
      </c>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t="str">
        <f>IFERROR(__xludf.DUMMYFUNCTION("""COMPUTED_VALUE"""),"Chưa xử lí giá")</f>
        <v>Chưa xử lí giá</v>
      </c>
      <c r="BG186" s="2"/>
      <c r="BH186" s="2"/>
      <c r="BI186" s="2"/>
      <c r="BJ186" s="2"/>
      <c r="BK186" s="2"/>
      <c r="BL186" s="2"/>
      <c r="BM186" s="2"/>
      <c r="BN186" s="2"/>
      <c r="BO186" s="2"/>
      <c r="BP186" s="2"/>
      <c r="BQ186" s="2"/>
    </row>
    <row r="187">
      <c r="A187" s="2" t="str">
        <f>IFERROR(__xludf.DUMMYFUNCTION("""COMPUTED_VALUE"""),"")</f>
        <v/>
      </c>
      <c r="B187" s="2"/>
      <c r="C187" s="2"/>
      <c r="D187" s="39" t="str">
        <f>IFERROR(__xludf.DUMMYFUNCTION("""COMPUTED_VALUE"""),"#N/A")</f>
        <v>#N/A</v>
      </c>
      <c r="E187" s="2"/>
      <c r="F187" s="2"/>
      <c r="G187" s="2"/>
      <c r="H187" s="2"/>
      <c r="I187" s="2"/>
      <c r="J187" s="2"/>
      <c r="K187" s="2"/>
      <c r="L187" s="2"/>
      <c r="M187" s="2"/>
      <c r="N187" s="2"/>
      <c r="O187" s="2"/>
      <c r="P187" s="2"/>
      <c r="Q187" s="45"/>
      <c r="R187" s="2"/>
      <c r="S187" s="2"/>
      <c r="T187" s="2"/>
      <c r="U187" s="2"/>
      <c r="V187" s="2"/>
      <c r="W187" s="2" t="str">
        <f>IFERROR(__xludf.DUMMYFUNCTION("""COMPUTED_VALUE"""),"#N/A")</f>
        <v>#N/A</v>
      </c>
      <c r="X187" s="2"/>
      <c r="Y187" s="2"/>
      <c r="Z187" s="2" t="str">
        <f>IFERROR(__xludf.DUMMYFUNCTION("""COMPUTED_VALUE"""),"Chưa gửi đơn")</f>
        <v>Chưa gửi đơn</v>
      </c>
      <c r="AA187" s="2"/>
      <c r="AB187" s="2"/>
      <c r="AC187" s="2"/>
      <c r="AD187" s="2"/>
      <c r="AE187" s="143" t="str">
        <f>IFERROR(__xludf.DUMMYFUNCTION("""COMPUTED_VALUE"""),"Chưa chốt lịch")</f>
        <v>Chưa chốt lịch</v>
      </c>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t="str">
        <f>IFERROR(__xludf.DUMMYFUNCTION("""COMPUTED_VALUE"""),"Chưa xử lí giá")</f>
        <v>Chưa xử lí giá</v>
      </c>
      <c r="BG187" s="2"/>
      <c r="BH187" s="2"/>
      <c r="BI187" s="2"/>
      <c r="BJ187" s="2"/>
      <c r="BK187" s="2"/>
      <c r="BL187" s="2"/>
      <c r="BM187" s="2"/>
      <c r="BN187" s="2"/>
      <c r="BO187" s="2"/>
      <c r="BP187" s="2"/>
      <c r="BQ187" s="2"/>
    </row>
    <row r="188">
      <c r="A188" s="2" t="str">
        <f>IFERROR(__xludf.DUMMYFUNCTION("""COMPUTED_VALUE"""),"")</f>
        <v/>
      </c>
      <c r="B188" s="2"/>
      <c r="C188" s="2"/>
      <c r="D188" s="39" t="str">
        <f>IFERROR(__xludf.DUMMYFUNCTION("""COMPUTED_VALUE"""),"#N/A")</f>
        <v>#N/A</v>
      </c>
      <c r="E188" s="2"/>
      <c r="F188" s="2"/>
      <c r="G188" s="2"/>
      <c r="H188" s="2"/>
      <c r="I188" s="2"/>
      <c r="J188" s="2"/>
      <c r="K188" s="2"/>
      <c r="L188" s="2"/>
      <c r="M188" s="2"/>
      <c r="N188" s="2"/>
      <c r="O188" s="2"/>
      <c r="P188" s="2"/>
      <c r="Q188" s="2"/>
      <c r="R188" s="2"/>
      <c r="S188" s="2"/>
      <c r="T188" s="2"/>
      <c r="U188" s="2"/>
      <c r="V188" s="2"/>
      <c r="W188" s="2" t="str">
        <f>IFERROR(__xludf.DUMMYFUNCTION("""COMPUTED_VALUE"""),"#N/A")</f>
        <v>#N/A</v>
      </c>
      <c r="X188" s="2"/>
      <c r="Y188" s="2"/>
      <c r="Z188" s="2" t="str">
        <f>IFERROR(__xludf.DUMMYFUNCTION("""COMPUTED_VALUE"""),"Chưa gửi đơn")</f>
        <v>Chưa gửi đơn</v>
      </c>
      <c r="AA188" s="2"/>
      <c r="AB188" s="2"/>
      <c r="AC188" s="2"/>
      <c r="AD188" s="2"/>
      <c r="AE188" s="143" t="str">
        <f>IFERROR(__xludf.DUMMYFUNCTION("""COMPUTED_VALUE"""),"Chưa chốt lịch")</f>
        <v>Chưa chốt lịch</v>
      </c>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t="str">
        <f>IFERROR(__xludf.DUMMYFUNCTION("""COMPUTED_VALUE"""),"Chưa xử lí giá")</f>
        <v>Chưa xử lí giá</v>
      </c>
      <c r="BG188" s="2"/>
      <c r="BH188" s="2"/>
      <c r="BI188" s="2"/>
      <c r="BJ188" s="2"/>
      <c r="BK188" s="2"/>
      <c r="BL188" s="2"/>
      <c r="BM188" s="2"/>
      <c r="BN188" s="2"/>
      <c r="BO188" s="2"/>
      <c r="BP188" s="2"/>
      <c r="BQ188" s="2"/>
    </row>
    <row r="189">
      <c r="A189" s="2" t="str">
        <f>IFERROR(__xludf.DUMMYFUNCTION("""COMPUTED_VALUE"""),"")</f>
        <v/>
      </c>
      <c r="B189" s="2"/>
      <c r="C189" s="2"/>
      <c r="D189" s="39" t="str">
        <f>IFERROR(__xludf.DUMMYFUNCTION("""COMPUTED_VALUE"""),"#N/A")</f>
        <v>#N/A</v>
      </c>
      <c r="E189" s="2"/>
      <c r="F189" s="2"/>
      <c r="G189" s="2"/>
      <c r="H189" s="2"/>
      <c r="I189" s="2"/>
      <c r="J189" s="2"/>
      <c r="K189" s="2"/>
      <c r="L189" s="2"/>
      <c r="M189" s="2"/>
      <c r="N189" s="2"/>
      <c r="O189" s="2"/>
      <c r="P189" s="2"/>
      <c r="Q189" s="2"/>
      <c r="R189" s="2"/>
      <c r="S189" s="2"/>
      <c r="T189" s="2"/>
      <c r="U189" s="2"/>
      <c r="V189" s="2"/>
      <c r="W189" s="2" t="str">
        <f>IFERROR(__xludf.DUMMYFUNCTION("""COMPUTED_VALUE"""),"#N/A")</f>
        <v>#N/A</v>
      </c>
      <c r="X189" s="2"/>
      <c r="Y189" s="2"/>
      <c r="Z189" s="2" t="str">
        <f>IFERROR(__xludf.DUMMYFUNCTION("""COMPUTED_VALUE"""),"Chưa gửi đơn")</f>
        <v>Chưa gửi đơn</v>
      </c>
      <c r="AA189" s="2"/>
      <c r="AB189" s="2"/>
      <c r="AC189" s="2"/>
      <c r="AD189" s="2"/>
      <c r="AE189" s="143" t="str">
        <f>IFERROR(__xludf.DUMMYFUNCTION("""COMPUTED_VALUE"""),"Chưa chốt lịch")</f>
        <v>Chưa chốt lịch</v>
      </c>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t="str">
        <f>IFERROR(__xludf.DUMMYFUNCTION("""COMPUTED_VALUE"""),"Chưa xử lí giá")</f>
        <v>Chưa xử lí giá</v>
      </c>
      <c r="BG189" s="2"/>
      <c r="BH189" s="2"/>
      <c r="BI189" s="2"/>
      <c r="BJ189" s="2"/>
      <c r="BK189" s="2"/>
      <c r="BL189" s="2"/>
      <c r="BM189" s="2"/>
      <c r="BN189" s="2"/>
      <c r="BO189" s="2"/>
      <c r="BP189" s="2"/>
      <c r="BQ189" s="2"/>
    </row>
    <row r="190">
      <c r="A190" s="2" t="str">
        <f>IFERROR(__xludf.DUMMYFUNCTION("""COMPUTED_VALUE"""),"")</f>
        <v/>
      </c>
      <c r="B190" s="2"/>
      <c r="C190" s="2"/>
      <c r="D190" s="39" t="str">
        <f>IFERROR(__xludf.DUMMYFUNCTION("""COMPUTED_VALUE"""),"#N/A")</f>
        <v>#N/A</v>
      </c>
      <c r="E190" s="2"/>
      <c r="F190" s="2"/>
      <c r="G190" s="2"/>
      <c r="H190" s="2"/>
      <c r="I190" s="2"/>
      <c r="J190" s="2"/>
      <c r="K190" s="2"/>
      <c r="L190" s="2"/>
      <c r="M190" s="2"/>
      <c r="N190" s="2"/>
      <c r="O190" s="2"/>
      <c r="P190" s="2"/>
      <c r="Q190" s="2"/>
      <c r="R190" s="2"/>
      <c r="S190" s="2"/>
      <c r="T190" s="2"/>
      <c r="U190" s="2"/>
      <c r="V190" s="2"/>
      <c r="W190" s="2" t="str">
        <f>IFERROR(__xludf.DUMMYFUNCTION("""COMPUTED_VALUE"""),"#N/A")</f>
        <v>#N/A</v>
      </c>
      <c r="X190" s="2"/>
      <c r="Y190" s="2"/>
      <c r="Z190" s="2" t="str">
        <f>IFERROR(__xludf.DUMMYFUNCTION("""COMPUTED_VALUE"""),"Chưa gửi đơn")</f>
        <v>Chưa gửi đơn</v>
      </c>
      <c r="AA190" s="2"/>
      <c r="AB190" s="2"/>
      <c r="AC190" s="2"/>
      <c r="AD190" s="2"/>
      <c r="AE190" s="143" t="str">
        <f>IFERROR(__xludf.DUMMYFUNCTION("""COMPUTED_VALUE"""),"Chưa chốt lịch")</f>
        <v>Chưa chốt lịch</v>
      </c>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t="str">
        <f>IFERROR(__xludf.DUMMYFUNCTION("""COMPUTED_VALUE"""),"Chưa xử lí giá")</f>
        <v>Chưa xử lí giá</v>
      </c>
      <c r="BG190" s="2"/>
      <c r="BH190" s="2"/>
      <c r="BI190" s="2"/>
      <c r="BJ190" s="2"/>
      <c r="BK190" s="2"/>
      <c r="BL190" s="2"/>
      <c r="BM190" s="2"/>
      <c r="BN190" s="2"/>
      <c r="BO190" s="2"/>
      <c r="BP190" s="2"/>
      <c r="BQ190" s="2"/>
    </row>
    <row r="191">
      <c r="A191" s="2" t="str">
        <f>IFERROR(__xludf.DUMMYFUNCTION("""COMPUTED_VALUE"""),"")</f>
        <v/>
      </c>
      <c r="B191" s="2"/>
      <c r="C191" s="2"/>
      <c r="D191" s="39" t="str">
        <f>IFERROR(__xludf.DUMMYFUNCTION("""COMPUTED_VALUE"""),"#N/A")</f>
        <v>#N/A</v>
      </c>
      <c r="E191" s="2"/>
      <c r="F191" s="2"/>
      <c r="G191" s="2"/>
      <c r="H191" s="2"/>
      <c r="I191" s="2"/>
      <c r="J191" s="2"/>
      <c r="K191" s="2"/>
      <c r="L191" s="2"/>
      <c r="M191" s="2"/>
      <c r="N191" s="2"/>
      <c r="O191" s="2"/>
      <c r="P191" s="2"/>
      <c r="Q191" s="2"/>
      <c r="R191" s="2"/>
      <c r="S191" s="2"/>
      <c r="T191" s="2"/>
      <c r="U191" s="2"/>
      <c r="V191" s="2"/>
      <c r="W191" s="2" t="str">
        <f>IFERROR(__xludf.DUMMYFUNCTION("""COMPUTED_VALUE"""),"#N/A")</f>
        <v>#N/A</v>
      </c>
      <c r="X191" s="2"/>
      <c r="Y191" s="2"/>
      <c r="Z191" s="2" t="str">
        <f>IFERROR(__xludf.DUMMYFUNCTION("""COMPUTED_VALUE"""),"Chưa gửi đơn")</f>
        <v>Chưa gửi đơn</v>
      </c>
      <c r="AA191" s="2"/>
      <c r="AB191" s="2"/>
      <c r="AC191" s="2"/>
      <c r="AD191" s="2"/>
      <c r="AE191" s="143" t="str">
        <f>IFERROR(__xludf.DUMMYFUNCTION("""COMPUTED_VALUE"""),"Chưa chốt lịch")</f>
        <v>Chưa chốt lịch</v>
      </c>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t="str">
        <f>IFERROR(__xludf.DUMMYFUNCTION("""COMPUTED_VALUE"""),"Chưa xử lí giá")</f>
        <v>Chưa xử lí giá</v>
      </c>
      <c r="BG191" s="2"/>
      <c r="BH191" s="2"/>
      <c r="BI191" s="2"/>
      <c r="BJ191" s="2"/>
      <c r="BK191" s="2"/>
      <c r="BL191" s="2"/>
      <c r="BM191" s="2"/>
      <c r="BN191" s="2"/>
      <c r="BO191" s="2"/>
      <c r="BP191" s="2"/>
      <c r="BQ191" s="2"/>
    </row>
    <row r="192">
      <c r="A192" s="2" t="str">
        <f>IFERROR(__xludf.DUMMYFUNCTION("""COMPUTED_VALUE"""),"")</f>
        <v/>
      </c>
      <c r="B192" s="2"/>
      <c r="C192" s="2"/>
      <c r="D192" s="39" t="str">
        <f>IFERROR(__xludf.DUMMYFUNCTION("""COMPUTED_VALUE"""),"#N/A")</f>
        <v>#N/A</v>
      </c>
      <c r="E192" s="2"/>
      <c r="F192" s="2"/>
      <c r="G192" s="2"/>
      <c r="H192" s="2"/>
      <c r="I192" s="2"/>
      <c r="J192" s="2"/>
      <c r="K192" s="2"/>
      <c r="L192" s="2"/>
      <c r="M192" s="2"/>
      <c r="N192" s="2"/>
      <c r="O192" s="2"/>
      <c r="P192" s="2"/>
      <c r="Q192" s="2"/>
      <c r="R192" s="2"/>
      <c r="S192" s="2"/>
      <c r="T192" s="2"/>
      <c r="U192" s="2"/>
      <c r="V192" s="2"/>
      <c r="W192" s="2" t="str">
        <f>IFERROR(__xludf.DUMMYFUNCTION("""COMPUTED_VALUE"""),"#N/A")</f>
        <v>#N/A</v>
      </c>
      <c r="X192" s="2"/>
      <c r="Y192" s="2"/>
      <c r="Z192" s="2" t="str">
        <f>IFERROR(__xludf.DUMMYFUNCTION("""COMPUTED_VALUE"""),"Chưa gửi đơn")</f>
        <v>Chưa gửi đơn</v>
      </c>
      <c r="AA192" s="2"/>
      <c r="AB192" s="2"/>
      <c r="AC192" s="2"/>
      <c r="AD192" s="2"/>
      <c r="AE192" s="143" t="str">
        <f>IFERROR(__xludf.DUMMYFUNCTION("""COMPUTED_VALUE"""),"Chưa chốt lịch")</f>
        <v>Chưa chốt lịch</v>
      </c>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t="str">
        <f>IFERROR(__xludf.DUMMYFUNCTION("""COMPUTED_VALUE"""),"Chưa xử lí giá")</f>
        <v>Chưa xử lí giá</v>
      </c>
      <c r="BG192" s="2"/>
      <c r="BH192" s="2"/>
      <c r="BI192" s="2"/>
      <c r="BJ192" s="2"/>
      <c r="BK192" s="2"/>
      <c r="BL192" s="2"/>
      <c r="BM192" s="2"/>
      <c r="BN192" s="2"/>
      <c r="BO192" s="2"/>
      <c r="BP192" s="2"/>
      <c r="BQ192" s="2"/>
    </row>
    <row r="193">
      <c r="A193" s="2" t="str">
        <f>IFERROR(__xludf.DUMMYFUNCTION("""COMPUTED_VALUE"""),"")</f>
        <v/>
      </c>
      <c r="B193" s="2"/>
      <c r="C193" s="2"/>
      <c r="D193" s="39" t="str">
        <f>IFERROR(__xludf.DUMMYFUNCTION("""COMPUTED_VALUE"""),"#N/A")</f>
        <v>#N/A</v>
      </c>
      <c r="E193" s="2"/>
      <c r="F193" s="2"/>
      <c r="G193" s="2"/>
      <c r="H193" s="2"/>
      <c r="I193" s="2"/>
      <c r="J193" s="2"/>
      <c r="K193" s="2"/>
      <c r="L193" s="2"/>
      <c r="M193" s="2"/>
      <c r="N193" s="2"/>
      <c r="O193" s="2"/>
      <c r="P193" s="2"/>
      <c r="Q193" s="2"/>
      <c r="R193" s="2"/>
      <c r="S193" s="2"/>
      <c r="T193" s="2"/>
      <c r="U193" s="2"/>
      <c r="V193" s="2"/>
      <c r="W193" s="2" t="str">
        <f>IFERROR(__xludf.DUMMYFUNCTION("""COMPUTED_VALUE"""),"#N/A")</f>
        <v>#N/A</v>
      </c>
      <c r="X193" s="2"/>
      <c r="Y193" s="2"/>
      <c r="Z193" s="2" t="str">
        <f>IFERROR(__xludf.DUMMYFUNCTION("""COMPUTED_VALUE"""),"Chưa gửi đơn")</f>
        <v>Chưa gửi đơn</v>
      </c>
      <c r="AA193" s="2"/>
      <c r="AB193" s="2"/>
      <c r="AC193" s="2"/>
      <c r="AD193" s="2"/>
      <c r="AE193" s="143" t="str">
        <f>IFERROR(__xludf.DUMMYFUNCTION("""COMPUTED_VALUE"""),"Chưa chốt lịch")</f>
        <v>Chưa chốt lịch</v>
      </c>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t="str">
        <f>IFERROR(__xludf.DUMMYFUNCTION("""COMPUTED_VALUE"""),"Chưa xử lí giá")</f>
        <v>Chưa xử lí giá</v>
      </c>
      <c r="BG193" s="2"/>
      <c r="BH193" s="2"/>
      <c r="BI193" s="2"/>
      <c r="BJ193" s="2"/>
      <c r="BK193" s="2"/>
      <c r="BL193" s="2"/>
      <c r="BM193" s="2"/>
      <c r="BN193" s="2"/>
      <c r="BO193" s="2"/>
      <c r="BP193" s="2"/>
      <c r="BQ193" s="2"/>
    </row>
    <row r="194">
      <c r="A194" s="2" t="str">
        <f>IFERROR(__xludf.DUMMYFUNCTION("""COMPUTED_VALUE"""),"")</f>
        <v/>
      </c>
      <c r="B194" s="2"/>
      <c r="C194" s="2"/>
      <c r="D194" s="39" t="str">
        <f>IFERROR(__xludf.DUMMYFUNCTION("""COMPUTED_VALUE"""),"#N/A")</f>
        <v>#N/A</v>
      </c>
      <c r="E194" s="2"/>
      <c r="F194" s="2"/>
      <c r="G194" s="2"/>
      <c r="H194" s="2"/>
      <c r="I194" s="2"/>
      <c r="J194" s="2"/>
      <c r="K194" s="2"/>
      <c r="L194" s="2"/>
      <c r="M194" s="2"/>
      <c r="N194" s="2"/>
      <c r="O194" s="2"/>
      <c r="P194" s="2"/>
      <c r="Q194" s="2"/>
      <c r="R194" s="2"/>
      <c r="S194" s="2"/>
      <c r="T194" s="2"/>
      <c r="U194" s="2"/>
      <c r="V194" s="2"/>
      <c r="W194" s="2" t="str">
        <f>IFERROR(__xludf.DUMMYFUNCTION("""COMPUTED_VALUE"""),"#N/A")</f>
        <v>#N/A</v>
      </c>
      <c r="X194" s="2"/>
      <c r="Y194" s="2"/>
      <c r="Z194" s="2" t="str">
        <f>IFERROR(__xludf.DUMMYFUNCTION("""COMPUTED_VALUE"""),"Chưa gửi đơn")</f>
        <v>Chưa gửi đơn</v>
      </c>
      <c r="AA194" s="2"/>
      <c r="AB194" s="2"/>
      <c r="AC194" s="2"/>
      <c r="AD194" s="2"/>
      <c r="AE194" s="143" t="str">
        <f>IFERROR(__xludf.DUMMYFUNCTION("""COMPUTED_VALUE"""),"Chưa chốt lịch")</f>
        <v>Chưa chốt lịch</v>
      </c>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t="str">
        <f>IFERROR(__xludf.DUMMYFUNCTION("""COMPUTED_VALUE"""),"Chưa xử lí giá")</f>
        <v>Chưa xử lí giá</v>
      </c>
      <c r="BG194" s="2"/>
      <c r="BH194" s="2"/>
      <c r="BI194" s="2"/>
      <c r="BJ194" s="2"/>
      <c r="BK194" s="2"/>
      <c r="BL194" s="2"/>
      <c r="BM194" s="2"/>
      <c r="BN194" s="2"/>
      <c r="BO194" s="2"/>
      <c r="BP194" s="2"/>
      <c r="BQ194" s="2"/>
    </row>
    <row r="195">
      <c r="A195" s="2" t="str">
        <f>IFERROR(__xludf.DUMMYFUNCTION("""COMPUTED_VALUE"""),"")</f>
        <v/>
      </c>
      <c r="B195" s="2"/>
      <c r="C195" s="2"/>
      <c r="D195" s="39" t="str">
        <f>IFERROR(__xludf.DUMMYFUNCTION("""COMPUTED_VALUE"""),"#N/A")</f>
        <v>#N/A</v>
      </c>
      <c r="E195" s="2"/>
      <c r="F195" s="2"/>
      <c r="G195" s="2"/>
      <c r="H195" s="2"/>
      <c r="I195" s="2"/>
      <c r="J195" s="2"/>
      <c r="K195" s="2"/>
      <c r="L195" s="2"/>
      <c r="M195" s="2"/>
      <c r="N195" s="2"/>
      <c r="O195" s="2"/>
      <c r="P195" s="2"/>
      <c r="Q195" s="2"/>
      <c r="R195" s="2"/>
      <c r="S195" s="2"/>
      <c r="T195" s="2"/>
      <c r="U195" s="2"/>
      <c r="V195" s="2"/>
      <c r="W195" s="2" t="str">
        <f>IFERROR(__xludf.DUMMYFUNCTION("""COMPUTED_VALUE"""),"#N/A")</f>
        <v>#N/A</v>
      </c>
      <c r="X195" s="2"/>
      <c r="Y195" s="2"/>
      <c r="Z195" s="2" t="str">
        <f>IFERROR(__xludf.DUMMYFUNCTION("""COMPUTED_VALUE"""),"Chưa gửi đơn")</f>
        <v>Chưa gửi đơn</v>
      </c>
      <c r="AA195" s="2"/>
      <c r="AB195" s="2"/>
      <c r="AC195" s="2"/>
      <c r="AD195" s="2"/>
      <c r="AE195" s="143" t="str">
        <f>IFERROR(__xludf.DUMMYFUNCTION("""COMPUTED_VALUE"""),"Chưa chốt lịch")</f>
        <v>Chưa chốt lịch</v>
      </c>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t="str">
        <f>IFERROR(__xludf.DUMMYFUNCTION("""COMPUTED_VALUE"""),"Chưa xử lí giá")</f>
        <v>Chưa xử lí giá</v>
      </c>
      <c r="BG195" s="2"/>
      <c r="BH195" s="2"/>
      <c r="BI195" s="2"/>
      <c r="BJ195" s="2"/>
      <c r="BK195" s="2"/>
      <c r="BL195" s="2"/>
      <c r="BM195" s="2"/>
      <c r="BN195" s="2"/>
      <c r="BO195" s="2"/>
      <c r="BP195" s="2"/>
      <c r="BQ195" s="2"/>
    </row>
    <row r="196">
      <c r="A196" s="2" t="str">
        <f>IFERROR(__xludf.DUMMYFUNCTION("""COMPUTED_VALUE"""),"")</f>
        <v/>
      </c>
      <c r="B196" s="2"/>
      <c r="C196" s="2"/>
      <c r="D196" s="39" t="str">
        <f>IFERROR(__xludf.DUMMYFUNCTION("""COMPUTED_VALUE"""),"#N/A")</f>
        <v>#N/A</v>
      </c>
      <c r="E196" s="2"/>
      <c r="F196" s="2"/>
      <c r="G196" s="2"/>
      <c r="H196" s="2"/>
      <c r="I196" s="2"/>
      <c r="J196" s="2"/>
      <c r="K196" s="2"/>
      <c r="L196" s="2"/>
      <c r="M196" s="2"/>
      <c r="N196" s="2"/>
      <c r="O196" s="2"/>
      <c r="P196" s="2"/>
      <c r="Q196" s="2"/>
      <c r="R196" s="2"/>
      <c r="S196" s="2"/>
      <c r="T196" s="2"/>
      <c r="U196" s="2"/>
      <c r="V196" s="2"/>
      <c r="W196" s="2" t="str">
        <f>IFERROR(__xludf.DUMMYFUNCTION("""COMPUTED_VALUE"""),"#N/A")</f>
        <v>#N/A</v>
      </c>
      <c r="X196" s="2"/>
      <c r="Y196" s="2"/>
      <c r="Z196" s="2" t="str">
        <f>IFERROR(__xludf.DUMMYFUNCTION("""COMPUTED_VALUE"""),"Chưa gửi đơn")</f>
        <v>Chưa gửi đơn</v>
      </c>
      <c r="AA196" s="2"/>
      <c r="AB196" s="2"/>
      <c r="AC196" s="2"/>
      <c r="AD196" s="2"/>
      <c r="AE196" s="143" t="str">
        <f>IFERROR(__xludf.DUMMYFUNCTION("""COMPUTED_VALUE"""),"Chưa chốt lịch")</f>
        <v>Chưa chốt lịch</v>
      </c>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t="str">
        <f>IFERROR(__xludf.DUMMYFUNCTION("""COMPUTED_VALUE"""),"Chưa xử lí giá")</f>
        <v>Chưa xử lí giá</v>
      </c>
      <c r="BG196" s="2"/>
      <c r="BH196" s="2"/>
      <c r="BI196" s="2"/>
      <c r="BJ196" s="2"/>
      <c r="BK196" s="2"/>
      <c r="BL196" s="2"/>
      <c r="BM196" s="2"/>
      <c r="BN196" s="2"/>
      <c r="BO196" s="2"/>
      <c r="BP196" s="2"/>
      <c r="BQ196" s="2"/>
    </row>
    <row r="197">
      <c r="A197" s="2" t="str">
        <f>IFERROR(__xludf.DUMMYFUNCTION("""COMPUTED_VALUE"""),"")</f>
        <v/>
      </c>
      <c r="B197" s="2"/>
      <c r="C197" s="2"/>
      <c r="D197" s="39" t="str">
        <f>IFERROR(__xludf.DUMMYFUNCTION("""COMPUTED_VALUE"""),"#N/A")</f>
        <v>#N/A</v>
      </c>
      <c r="E197" s="2"/>
      <c r="F197" s="2"/>
      <c r="G197" s="2"/>
      <c r="H197" s="2"/>
      <c r="I197" s="2"/>
      <c r="J197" s="2"/>
      <c r="K197" s="2"/>
      <c r="L197" s="2"/>
      <c r="M197" s="2"/>
      <c r="N197" s="2"/>
      <c r="O197" s="2"/>
      <c r="P197" s="2"/>
      <c r="Q197" s="2"/>
      <c r="R197" s="2"/>
      <c r="S197" s="2"/>
      <c r="T197" s="2"/>
      <c r="U197" s="2"/>
      <c r="V197" s="2"/>
      <c r="W197" s="2" t="str">
        <f>IFERROR(__xludf.DUMMYFUNCTION("""COMPUTED_VALUE"""),"#N/A")</f>
        <v>#N/A</v>
      </c>
      <c r="X197" s="2"/>
      <c r="Y197" s="2"/>
      <c r="Z197" s="2" t="str">
        <f>IFERROR(__xludf.DUMMYFUNCTION("""COMPUTED_VALUE"""),"Chưa gửi đơn")</f>
        <v>Chưa gửi đơn</v>
      </c>
      <c r="AA197" s="2"/>
      <c r="AB197" s="2"/>
      <c r="AC197" s="2"/>
      <c r="AD197" s="2"/>
      <c r="AE197" s="143" t="str">
        <f>IFERROR(__xludf.DUMMYFUNCTION("""COMPUTED_VALUE"""),"Chưa chốt lịch")</f>
        <v>Chưa chốt lịch</v>
      </c>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t="str">
        <f>IFERROR(__xludf.DUMMYFUNCTION("""COMPUTED_VALUE"""),"Chưa xử lí giá")</f>
        <v>Chưa xử lí giá</v>
      </c>
      <c r="BG197" s="2"/>
      <c r="BH197" s="2"/>
      <c r="BI197" s="2"/>
      <c r="BJ197" s="2"/>
      <c r="BK197" s="2"/>
      <c r="BL197" s="2"/>
      <c r="BM197" s="2"/>
      <c r="BN197" s="2"/>
      <c r="BO197" s="2"/>
      <c r="BP197" s="2"/>
      <c r="BQ197" s="2"/>
    </row>
    <row r="198">
      <c r="A198" s="2" t="str">
        <f>IFERROR(__xludf.DUMMYFUNCTION("""COMPUTED_VALUE"""),"")</f>
        <v/>
      </c>
      <c r="B198" s="2"/>
      <c r="C198" s="2"/>
      <c r="D198" s="39" t="str">
        <f>IFERROR(__xludf.DUMMYFUNCTION("""COMPUTED_VALUE"""),"#N/A")</f>
        <v>#N/A</v>
      </c>
      <c r="E198" s="2"/>
      <c r="F198" s="2"/>
      <c r="G198" s="2"/>
      <c r="H198" s="2"/>
      <c r="I198" s="2"/>
      <c r="J198" s="2"/>
      <c r="K198" s="2"/>
      <c r="L198" s="2"/>
      <c r="M198" s="2"/>
      <c r="N198" s="2"/>
      <c r="O198" s="2"/>
      <c r="P198" s="2"/>
      <c r="Q198" s="2"/>
      <c r="R198" s="2"/>
      <c r="S198" s="2"/>
      <c r="T198" s="2"/>
      <c r="U198" s="2"/>
      <c r="V198" s="2"/>
      <c r="W198" s="2" t="str">
        <f>IFERROR(__xludf.DUMMYFUNCTION("""COMPUTED_VALUE"""),"#N/A")</f>
        <v>#N/A</v>
      </c>
      <c r="X198" s="2"/>
      <c r="Y198" s="2"/>
      <c r="Z198" s="2" t="str">
        <f>IFERROR(__xludf.DUMMYFUNCTION("""COMPUTED_VALUE"""),"Chưa gửi đơn")</f>
        <v>Chưa gửi đơn</v>
      </c>
      <c r="AA198" s="2"/>
      <c r="AB198" s="2"/>
      <c r="AC198" s="2"/>
      <c r="AD198" s="2"/>
      <c r="AE198" s="143" t="str">
        <f>IFERROR(__xludf.DUMMYFUNCTION("""COMPUTED_VALUE"""),"Chưa chốt lịch")</f>
        <v>Chưa chốt lịch</v>
      </c>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t="str">
        <f>IFERROR(__xludf.DUMMYFUNCTION("""COMPUTED_VALUE"""),"Chưa xử lí giá")</f>
        <v>Chưa xử lí giá</v>
      </c>
      <c r="BG198" s="2"/>
      <c r="BH198" s="2"/>
      <c r="BI198" s="2"/>
      <c r="BJ198" s="2"/>
      <c r="BK198" s="2"/>
      <c r="BL198" s="2"/>
      <c r="BM198" s="2"/>
      <c r="BN198" s="2"/>
      <c r="BO198" s="2"/>
      <c r="BP198" s="2"/>
      <c r="BQ198" s="2"/>
    </row>
    <row r="199">
      <c r="A199" s="2" t="str">
        <f>IFERROR(__xludf.DUMMYFUNCTION("""COMPUTED_VALUE"""),"")</f>
        <v/>
      </c>
      <c r="B199" s="2"/>
      <c r="C199" s="2"/>
      <c r="D199" s="39" t="str">
        <f>IFERROR(__xludf.DUMMYFUNCTION("""COMPUTED_VALUE"""),"#N/A")</f>
        <v>#N/A</v>
      </c>
      <c r="E199" s="2"/>
      <c r="F199" s="2"/>
      <c r="G199" s="2"/>
      <c r="H199" s="2"/>
      <c r="I199" s="2"/>
      <c r="J199" s="2"/>
      <c r="K199" s="2"/>
      <c r="L199" s="2"/>
      <c r="M199" s="2"/>
      <c r="N199" s="2"/>
      <c r="O199" s="2"/>
      <c r="P199" s="2"/>
      <c r="Q199" s="2"/>
      <c r="R199" s="2"/>
      <c r="S199" s="2"/>
      <c r="T199" s="2"/>
      <c r="U199" s="2"/>
      <c r="V199" s="2"/>
      <c r="W199" s="2" t="str">
        <f>IFERROR(__xludf.DUMMYFUNCTION("""COMPUTED_VALUE"""),"#N/A")</f>
        <v>#N/A</v>
      </c>
      <c r="X199" s="2"/>
      <c r="Y199" s="2"/>
      <c r="Z199" s="2" t="str">
        <f>IFERROR(__xludf.DUMMYFUNCTION("""COMPUTED_VALUE"""),"Chưa gửi đơn")</f>
        <v>Chưa gửi đơn</v>
      </c>
      <c r="AA199" s="2"/>
      <c r="AB199" s="2"/>
      <c r="AC199" s="2"/>
      <c r="AD199" s="2"/>
      <c r="AE199" s="143" t="str">
        <f>IFERROR(__xludf.DUMMYFUNCTION("""COMPUTED_VALUE"""),"Chưa chốt lịch")</f>
        <v>Chưa chốt lịch</v>
      </c>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t="str">
        <f>IFERROR(__xludf.DUMMYFUNCTION("""COMPUTED_VALUE"""),"Chưa xử lí giá")</f>
        <v>Chưa xử lí giá</v>
      </c>
      <c r="BG199" s="2"/>
      <c r="BH199" s="2"/>
      <c r="BI199" s="2"/>
      <c r="BJ199" s="2"/>
      <c r="BK199" s="2"/>
      <c r="BL199" s="2"/>
      <c r="BM199" s="2"/>
      <c r="BN199" s="2"/>
      <c r="BO199" s="2"/>
      <c r="BP199" s="2"/>
      <c r="BQ199" s="2"/>
    </row>
    <row r="200">
      <c r="A200" s="2" t="str">
        <f>IFERROR(__xludf.DUMMYFUNCTION("""COMPUTED_VALUE"""),"")</f>
        <v/>
      </c>
      <c r="B200" s="2"/>
      <c r="C200" s="2"/>
      <c r="D200" s="39" t="str">
        <f>IFERROR(__xludf.DUMMYFUNCTION("""COMPUTED_VALUE"""),"#N/A")</f>
        <v>#N/A</v>
      </c>
      <c r="E200" s="2"/>
      <c r="F200" s="2"/>
      <c r="G200" s="2"/>
      <c r="H200" s="2"/>
      <c r="I200" s="2"/>
      <c r="J200" s="2"/>
      <c r="K200" s="2"/>
      <c r="L200" s="2"/>
      <c r="M200" s="2"/>
      <c r="N200" s="2"/>
      <c r="O200" s="2"/>
      <c r="P200" s="2"/>
      <c r="Q200" s="2"/>
      <c r="R200" s="2"/>
      <c r="S200" s="2"/>
      <c r="T200" s="2"/>
      <c r="U200" s="2"/>
      <c r="V200" s="2"/>
      <c r="W200" s="2" t="str">
        <f>IFERROR(__xludf.DUMMYFUNCTION("""COMPUTED_VALUE"""),"#N/A")</f>
        <v>#N/A</v>
      </c>
      <c r="X200" s="2"/>
      <c r="Y200" s="2"/>
      <c r="Z200" s="2" t="str">
        <f>IFERROR(__xludf.DUMMYFUNCTION("""COMPUTED_VALUE"""),"Chưa gửi đơn")</f>
        <v>Chưa gửi đơn</v>
      </c>
      <c r="AA200" s="2"/>
      <c r="AB200" s="2"/>
      <c r="AC200" s="2"/>
      <c r="AD200" s="2"/>
      <c r="AE200" s="143" t="str">
        <f>IFERROR(__xludf.DUMMYFUNCTION("""COMPUTED_VALUE"""),"Chưa chốt lịch")</f>
        <v>Chưa chốt lịch</v>
      </c>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t="str">
        <f>IFERROR(__xludf.DUMMYFUNCTION("""COMPUTED_VALUE"""),"Chưa xử lí giá")</f>
        <v>Chưa xử lí giá</v>
      </c>
      <c r="BG200" s="2"/>
      <c r="BH200" s="2"/>
      <c r="BI200" s="2"/>
      <c r="BJ200" s="2"/>
      <c r="BK200" s="2"/>
      <c r="BL200" s="2"/>
      <c r="BM200" s="2"/>
      <c r="BN200" s="2"/>
      <c r="BO200" s="2"/>
      <c r="BP200" s="2"/>
      <c r="BQ200" s="2"/>
    </row>
    <row r="201">
      <c r="A201" s="2" t="str">
        <f>IFERROR(__xludf.DUMMYFUNCTION("""COMPUTED_VALUE"""),"")</f>
        <v/>
      </c>
      <c r="B201" s="2"/>
      <c r="C201" s="2"/>
      <c r="D201" s="39" t="str">
        <f>IFERROR(__xludf.DUMMYFUNCTION("""COMPUTED_VALUE"""),"#N/A")</f>
        <v>#N/A</v>
      </c>
      <c r="E201" s="2"/>
      <c r="F201" s="2"/>
      <c r="G201" s="2"/>
      <c r="H201" s="2"/>
      <c r="I201" s="2"/>
      <c r="J201" s="2"/>
      <c r="K201" s="2"/>
      <c r="L201" s="2"/>
      <c r="M201" s="2"/>
      <c r="N201" s="2"/>
      <c r="O201" s="2"/>
      <c r="P201" s="2"/>
      <c r="Q201" s="2"/>
      <c r="R201" s="2"/>
      <c r="S201" s="2"/>
      <c r="T201" s="2"/>
      <c r="U201" s="2"/>
      <c r="V201" s="2"/>
      <c r="W201" s="2" t="str">
        <f>IFERROR(__xludf.DUMMYFUNCTION("""COMPUTED_VALUE"""),"#N/A")</f>
        <v>#N/A</v>
      </c>
      <c r="X201" s="2"/>
      <c r="Y201" s="2"/>
      <c r="Z201" s="2" t="str">
        <f>IFERROR(__xludf.DUMMYFUNCTION("""COMPUTED_VALUE"""),"Chưa gửi đơn")</f>
        <v>Chưa gửi đơn</v>
      </c>
      <c r="AA201" s="2"/>
      <c r="AB201" s="2"/>
      <c r="AC201" s="2"/>
      <c r="AD201" s="2"/>
      <c r="AE201" s="143" t="str">
        <f>IFERROR(__xludf.DUMMYFUNCTION("""COMPUTED_VALUE"""),"Chưa chốt lịch")</f>
        <v>Chưa chốt lịch</v>
      </c>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t="str">
        <f>IFERROR(__xludf.DUMMYFUNCTION("""COMPUTED_VALUE"""),"Chưa xử lí giá")</f>
        <v>Chưa xử lí giá</v>
      </c>
      <c r="BG201" s="2"/>
      <c r="BH201" s="2"/>
      <c r="BI201" s="2"/>
      <c r="BJ201" s="2"/>
      <c r="BK201" s="2"/>
      <c r="BL201" s="2"/>
      <c r="BM201" s="2"/>
      <c r="BN201" s="2"/>
      <c r="BO201" s="2"/>
      <c r="BP201" s="2"/>
      <c r="BQ201" s="2"/>
    </row>
    <row r="202">
      <c r="A202" s="2" t="str">
        <f>IFERROR(__xludf.DUMMYFUNCTION("""COMPUTED_VALUE"""),"")</f>
        <v/>
      </c>
      <c r="B202" s="2"/>
      <c r="C202" s="2"/>
      <c r="D202" s="39" t="str">
        <f>IFERROR(__xludf.DUMMYFUNCTION("""COMPUTED_VALUE"""),"#N/A")</f>
        <v>#N/A</v>
      </c>
      <c r="E202" s="2"/>
      <c r="F202" s="2"/>
      <c r="G202" s="2"/>
      <c r="H202" s="2"/>
      <c r="I202" s="2"/>
      <c r="J202" s="2"/>
      <c r="K202" s="2"/>
      <c r="L202" s="2"/>
      <c r="M202" s="2"/>
      <c r="N202" s="2"/>
      <c r="O202" s="2"/>
      <c r="P202" s="2"/>
      <c r="Q202" s="2"/>
      <c r="R202" s="2"/>
      <c r="S202" s="2"/>
      <c r="T202" s="2"/>
      <c r="U202" s="2"/>
      <c r="V202" s="2"/>
      <c r="W202" s="2" t="str">
        <f>IFERROR(__xludf.DUMMYFUNCTION("""COMPUTED_VALUE"""),"#N/A")</f>
        <v>#N/A</v>
      </c>
      <c r="X202" s="2"/>
      <c r="Y202" s="2"/>
      <c r="Z202" s="2" t="str">
        <f>IFERROR(__xludf.DUMMYFUNCTION("""COMPUTED_VALUE"""),"Chưa gửi đơn")</f>
        <v>Chưa gửi đơn</v>
      </c>
      <c r="AA202" s="2"/>
      <c r="AB202" s="2"/>
      <c r="AC202" s="2"/>
      <c r="AD202" s="2"/>
      <c r="AE202" s="143" t="str">
        <f>IFERROR(__xludf.DUMMYFUNCTION("""COMPUTED_VALUE"""),"Chưa chốt lịch")</f>
        <v>Chưa chốt lịch</v>
      </c>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t="str">
        <f>IFERROR(__xludf.DUMMYFUNCTION("""COMPUTED_VALUE"""),"Chưa xử lí giá")</f>
        <v>Chưa xử lí giá</v>
      </c>
      <c r="BG202" s="2"/>
      <c r="BH202" s="2"/>
      <c r="BI202" s="2"/>
      <c r="BJ202" s="2"/>
      <c r="BK202" s="2"/>
      <c r="BL202" s="2"/>
      <c r="BM202" s="2"/>
      <c r="BN202" s="2"/>
      <c r="BO202" s="2"/>
      <c r="BP202" s="2"/>
      <c r="BQ202" s="2"/>
    </row>
    <row r="203">
      <c r="A203" s="2"/>
      <c r="B203" s="2"/>
      <c r="C203" s="2"/>
      <c r="D203" s="39" t="str">
        <f>IFERROR(__xludf.DUMMYFUNCTION("""COMPUTED_VALUE"""),"#N/A")</f>
        <v>#N/A</v>
      </c>
      <c r="E203" s="2"/>
      <c r="F203" s="2"/>
      <c r="G203" s="2"/>
      <c r="H203" s="2"/>
      <c r="I203" s="2"/>
      <c r="J203" s="2"/>
      <c r="K203" s="2"/>
      <c r="L203" s="2"/>
      <c r="M203" s="2"/>
      <c r="N203" s="2"/>
      <c r="O203" s="2"/>
      <c r="P203" s="2"/>
      <c r="Q203" s="2"/>
      <c r="R203" s="2"/>
      <c r="S203" s="2"/>
      <c r="T203" s="2"/>
      <c r="U203" s="2"/>
      <c r="V203" s="2"/>
      <c r="W203" s="2" t="str">
        <f>IFERROR(__xludf.DUMMYFUNCTION("""COMPUTED_VALUE"""),"#N/A")</f>
        <v>#N/A</v>
      </c>
      <c r="X203" s="2"/>
      <c r="Y203" s="2"/>
      <c r="Z203" s="2" t="str">
        <f>IFERROR(__xludf.DUMMYFUNCTION("""COMPUTED_VALUE"""),"Chưa gửi đơn")</f>
        <v>Chưa gửi đơn</v>
      </c>
      <c r="AA203" s="2"/>
      <c r="AB203" s="2"/>
      <c r="AC203" s="2"/>
      <c r="AD203" s="2"/>
      <c r="AE203" s="143" t="str">
        <f>IFERROR(__xludf.DUMMYFUNCTION("""COMPUTED_VALUE"""),"Chưa chốt lịch")</f>
        <v>Chưa chốt lịch</v>
      </c>
      <c r="AF203" s="146" t="str">
        <f>IFERROR(__xludf.DUMMYFUNCTION("""COMPUTED_VALUE"""),"")</f>
        <v/>
      </c>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row>
    <row r="204">
      <c r="A204" s="2"/>
      <c r="B204" s="2"/>
      <c r="C204" s="2"/>
      <c r="D204" s="39" t="str">
        <f>IFERROR(__xludf.DUMMYFUNCTION("""COMPUTED_VALUE"""),"#N/A")</f>
        <v>#N/A</v>
      </c>
      <c r="E204" s="2"/>
      <c r="F204" s="2"/>
      <c r="G204" s="2"/>
      <c r="H204" s="2"/>
      <c r="I204" s="2"/>
      <c r="J204" s="2"/>
      <c r="K204" s="2"/>
      <c r="L204" s="2"/>
      <c r="M204" s="2"/>
      <c r="N204" s="2"/>
      <c r="O204" s="2"/>
      <c r="P204" s="2"/>
      <c r="Q204" s="2"/>
      <c r="R204" s="2"/>
      <c r="S204" s="2"/>
      <c r="T204" s="2"/>
      <c r="U204" s="2"/>
      <c r="V204" s="2"/>
      <c r="W204" s="2" t="str">
        <f>IFERROR(__xludf.DUMMYFUNCTION("""COMPUTED_VALUE"""),"#N/A")</f>
        <v>#N/A</v>
      </c>
      <c r="X204" s="2"/>
      <c r="Y204" s="2"/>
      <c r="Z204" s="2" t="str">
        <f>IFERROR(__xludf.DUMMYFUNCTION("""COMPUTED_VALUE"""),"Chưa gửi đơn")</f>
        <v>Chưa gửi đơn</v>
      </c>
      <c r="AA204" s="2"/>
      <c r="AB204" s="2"/>
      <c r="AC204" s="2"/>
      <c r="AD204" s="2"/>
      <c r="AE204" s="143" t="str">
        <f>IFERROR(__xludf.DUMMYFUNCTION("""COMPUTED_VALUE"""),"Chưa chốt lịch")</f>
        <v>Chưa chốt lịch</v>
      </c>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row>
    <row r="205">
      <c r="A205" s="2"/>
      <c r="B205" s="2"/>
      <c r="C205" s="2"/>
      <c r="D205" s="39" t="str">
        <f>IFERROR(__xludf.DUMMYFUNCTION("""COMPUTED_VALUE"""),"#N/A")</f>
        <v>#N/A</v>
      </c>
      <c r="E205" s="2"/>
      <c r="F205" s="2"/>
      <c r="G205" s="2"/>
      <c r="H205" s="2"/>
      <c r="I205" s="2"/>
      <c r="J205" s="2"/>
      <c r="K205" s="2"/>
      <c r="L205" s="2"/>
      <c r="M205" s="2"/>
      <c r="N205" s="2"/>
      <c r="O205" s="2"/>
      <c r="P205" s="2"/>
      <c r="Q205" s="2"/>
      <c r="R205" s="2"/>
      <c r="S205" s="2"/>
      <c r="T205" s="2"/>
      <c r="U205" s="2"/>
      <c r="V205" s="2"/>
      <c r="W205" s="2" t="str">
        <f>IFERROR(__xludf.DUMMYFUNCTION("""COMPUTED_VALUE"""),"#N/A")</f>
        <v>#N/A</v>
      </c>
      <c r="X205" s="2"/>
      <c r="Y205" s="2"/>
      <c r="Z205" s="2" t="str">
        <f>IFERROR(__xludf.DUMMYFUNCTION("""COMPUTED_VALUE"""),"Chưa gửi đơn")</f>
        <v>Chưa gửi đơn</v>
      </c>
      <c r="AA205" s="2"/>
      <c r="AB205" s="2"/>
      <c r="AC205" s="2"/>
      <c r="AD205" s="2"/>
      <c r="AE205" s="143" t="str">
        <f>IFERROR(__xludf.DUMMYFUNCTION("""COMPUTED_VALUE"""),"Chưa chốt lịch")</f>
        <v>Chưa chốt lịch</v>
      </c>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row>
    <row r="206">
      <c r="A206" s="2"/>
      <c r="B206" s="2"/>
      <c r="C206" s="2"/>
      <c r="D206" s="39" t="str">
        <f>IFERROR(__xludf.DUMMYFUNCTION("""COMPUTED_VALUE"""),"#N/A")</f>
        <v>#N/A</v>
      </c>
      <c r="E206" s="2"/>
      <c r="F206" s="2"/>
      <c r="G206" s="2"/>
      <c r="H206" s="2"/>
      <c r="I206" s="2"/>
      <c r="J206" s="2"/>
      <c r="K206" s="2"/>
      <c r="L206" s="2"/>
      <c r="M206" s="2"/>
      <c r="N206" s="2"/>
      <c r="O206" s="2"/>
      <c r="P206" s="2"/>
      <c r="Q206" s="2"/>
      <c r="R206" s="2"/>
      <c r="S206" s="2"/>
      <c r="T206" s="2"/>
      <c r="U206" s="2"/>
      <c r="V206" s="2"/>
      <c r="W206" s="2" t="str">
        <f>IFERROR(__xludf.DUMMYFUNCTION("""COMPUTED_VALUE"""),"#N/A")</f>
        <v>#N/A</v>
      </c>
      <c r="X206" s="2"/>
      <c r="Y206" s="2"/>
      <c r="Z206" s="2" t="str">
        <f>IFERROR(__xludf.DUMMYFUNCTION("""COMPUTED_VALUE"""),"Chưa gửi đơn")</f>
        <v>Chưa gửi đơn</v>
      </c>
      <c r="AA206" s="2"/>
      <c r="AB206" s="2"/>
      <c r="AC206" s="2"/>
      <c r="AD206" s="2"/>
      <c r="AE206" s="143" t="str">
        <f>IFERROR(__xludf.DUMMYFUNCTION("""COMPUTED_VALUE"""),"Chưa chốt lịch")</f>
        <v>Chưa chốt lịch</v>
      </c>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row>
    <row r="207">
      <c r="A207" s="2"/>
      <c r="B207" s="2"/>
      <c r="C207" s="2"/>
      <c r="D207" s="39" t="str">
        <f>IFERROR(__xludf.DUMMYFUNCTION("""COMPUTED_VALUE"""),"#N/A")</f>
        <v>#N/A</v>
      </c>
      <c r="E207" s="2"/>
      <c r="F207" s="2"/>
      <c r="G207" s="2"/>
      <c r="H207" s="2"/>
      <c r="I207" s="2"/>
      <c r="J207" s="2"/>
      <c r="K207" s="2"/>
      <c r="L207" s="2"/>
      <c r="M207" s="2"/>
      <c r="N207" s="2"/>
      <c r="O207" s="2"/>
      <c r="P207" s="2"/>
      <c r="Q207" s="2"/>
      <c r="R207" s="2"/>
      <c r="S207" s="2"/>
      <c r="T207" s="2"/>
      <c r="U207" s="2"/>
      <c r="V207" s="2"/>
      <c r="W207" s="2" t="str">
        <f>IFERROR(__xludf.DUMMYFUNCTION("""COMPUTED_VALUE"""),"#N/A")</f>
        <v>#N/A</v>
      </c>
      <c r="X207" s="2"/>
      <c r="Y207" s="2"/>
      <c r="Z207" s="2" t="str">
        <f>IFERROR(__xludf.DUMMYFUNCTION("""COMPUTED_VALUE"""),"Chưa gửi đơn")</f>
        <v>Chưa gửi đơn</v>
      </c>
      <c r="AA207" s="2"/>
      <c r="AB207" s="2"/>
      <c r="AC207" s="2"/>
      <c r="AD207" s="2"/>
      <c r="AE207" s="143" t="str">
        <f>IFERROR(__xludf.DUMMYFUNCTION("""COMPUTED_VALUE"""),"Chưa chốt lịch")</f>
        <v>Chưa chốt lịch</v>
      </c>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row>
    <row r="208">
      <c r="A208" s="2"/>
      <c r="B208" s="2"/>
      <c r="C208" s="2"/>
      <c r="D208" s="39" t="str">
        <f>IFERROR(__xludf.DUMMYFUNCTION("""COMPUTED_VALUE"""),"#N/A")</f>
        <v>#N/A</v>
      </c>
      <c r="E208" s="2"/>
      <c r="F208" s="2"/>
      <c r="G208" s="2"/>
      <c r="H208" s="2"/>
      <c r="I208" s="2"/>
      <c r="J208" s="2"/>
      <c r="K208" s="2"/>
      <c r="L208" s="2"/>
      <c r="M208" s="2"/>
      <c r="N208" s="2"/>
      <c r="O208" s="2"/>
      <c r="P208" s="2"/>
      <c r="Q208" s="2"/>
      <c r="R208" s="2"/>
      <c r="S208" s="2"/>
      <c r="T208" s="2"/>
      <c r="U208" s="2"/>
      <c r="V208" s="2"/>
      <c r="W208" s="2" t="str">
        <f>IFERROR(__xludf.DUMMYFUNCTION("""COMPUTED_VALUE"""),"#N/A")</f>
        <v>#N/A</v>
      </c>
      <c r="X208" s="2"/>
      <c r="Y208" s="2"/>
      <c r="Z208" s="2" t="str">
        <f>IFERROR(__xludf.DUMMYFUNCTION("""COMPUTED_VALUE"""),"Chưa gửi đơn")</f>
        <v>Chưa gửi đơn</v>
      </c>
      <c r="AA208" s="2"/>
      <c r="AB208" s="2"/>
      <c r="AC208" s="2"/>
      <c r="AD208" s="2"/>
      <c r="AE208" s="143" t="str">
        <f>IFERROR(__xludf.DUMMYFUNCTION("""COMPUTED_VALUE"""),"Chưa chốt lịch")</f>
        <v>Chưa chốt lịch</v>
      </c>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row>
    <row r="209">
      <c r="A209" s="2"/>
      <c r="B209" s="2"/>
      <c r="C209" s="2"/>
      <c r="D209" s="39" t="str">
        <f>IFERROR(__xludf.DUMMYFUNCTION("""COMPUTED_VALUE"""),"#N/A")</f>
        <v>#N/A</v>
      </c>
      <c r="E209" s="2"/>
      <c r="F209" s="2"/>
      <c r="G209" s="2"/>
      <c r="H209" s="2"/>
      <c r="I209" s="2"/>
      <c r="J209" s="2"/>
      <c r="K209" s="2"/>
      <c r="L209" s="2"/>
      <c r="M209" s="2"/>
      <c r="N209" s="2"/>
      <c r="O209" s="2"/>
      <c r="P209" s="2"/>
      <c r="Q209" s="2"/>
      <c r="R209" s="2"/>
      <c r="S209" s="2"/>
      <c r="T209" s="2"/>
      <c r="U209" s="2"/>
      <c r="V209" s="2"/>
      <c r="W209" s="2" t="str">
        <f>IFERROR(__xludf.DUMMYFUNCTION("""COMPUTED_VALUE"""),"#N/A")</f>
        <v>#N/A</v>
      </c>
      <c r="X209" s="2"/>
      <c r="Y209" s="2"/>
      <c r="Z209" s="2" t="str">
        <f>IFERROR(__xludf.DUMMYFUNCTION("""COMPUTED_VALUE"""),"Chưa gửi đơn")</f>
        <v>Chưa gửi đơn</v>
      </c>
      <c r="AA209" s="2"/>
      <c r="AB209" s="2"/>
      <c r="AC209" s="2"/>
      <c r="AD209" s="2"/>
      <c r="AE209" s="143" t="str">
        <f>IFERROR(__xludf.DUMMYFUNCTION("""COMPUTED_VALUE"""),"Chưa chốt lịch")</f>
        <v>Chưa chốt lịch</v>
      </c>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row>
    <row r="308">
      <c r="A308" s="2"/>
      <c r="B308" s="2"/>
      <c r="C308" s="2"/>
      <c r="D308" s="2"/>
      <c r="E308" s="2"/>
      <c r="F308" s="2"/>
      <c r="G308" s="2"/>
      <c r="H308" s="2"/>
      <c r="I308" s="2"/>
      <c r="J308" s="2"/>
      <c r="K308" s="2"/>
      <c r="L308" s="2"/>
      <c r="M308" s="2"/>
      <c r="N308" s="2"/>
      <c r="O308" s="2"/>
      <c r="P308" s="2"/>
      <c r="Q308" s="45"/>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row>
    <row r="309">
      <c r="A309" s="2"/>
      <c r="B309" s="2"/>
      <c r="C309" s="2"/>
      <c r="D309" s="2"/>
      <c r="E309" s="2"/>
      <c r="F309" s="2"/>
      <c r="G309" s="2"/>
      <c r="H309" s="2"/>
      <c r="I309" s="2"/>
      <c r="J309" s="2"/>
      <c r="K309" s="2"/>
      <c r="L309" s="2"/>
      <c r="M309" s="2"/>
      <c r="N309" s="2"/>
      <c r="O309" s="2"/>
      <c r="P309" s="2"/>
      <c r="Q309" s="45"/>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row>
    <row r="312">
      <c r="A312" s="2"/>
      <c r="B312" s="2"/>
      <c r="C312" s="2"/>
      <c r="D312" s="2"/>
      <c r="E312" s="2"/>
      <c r="F312" s="2"/>
      <c r="G312" s="2"/>
      <c r="H312" s="2"/>
      <c r="I312" s="2"/>
      <c r="J312" s="2"/>
      <c r="K312" s="2"/>
      <c r="L312" s="2"/>
      <c r="M312" s="2"/>
      <c r="N312" s="2"/>
      <c r="O312" s="2"/>
      <c r="P312" s="2"/>
      <c r="Q312" s="45"/>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row>
    <row r="335">
      <c r="A335" s="2"/>
      <c r="B335" s="2"/>
      <c r="C335" s="2"/>
      <c r="D335" s="2"/>
      <c r="E335" s="2"/>
      <c r="F335" s="2"/>
      <c r="G335" s="2"/>
      <c r="H335" s="2"/>
      <c r="I335" s="2"/>
      <c r="J335" s="2"/>
      <c r="K335" s="2"/>
      <c r="L335" s="2"/>
      <c r="M335" s="2"/>
      <c r="N335" s="2"/>
      <c r="O335" s="2"/>
      <c r="P335" s="2"/>
      <c r="Q335" s="45"/>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row>
    <row r="336">
      <c r="A336" s="2"/>
      <c r="B336" s="2"/>
      <c r="C336" s="2"/>
      <c r="D336" s="2"/>
      <c r="E336" s="2"/>
      <c r="F336" s="2"/>
      <c r="G336" s="2"/>
      <c r="H336" s="2"/>
      <c r="I336" s="2"/>
      <c r="J336" s="2"/>
      <c r="K336" s="2"/>
      <c r="L336" s="2"/>
      <c r="M336" s="2"/>
      <c r="N336" s="2"/>
      <c r="O336" s="2"/>
      <c r="P336" s="2"/>
      <c r="Q336" s="45"/>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row>
    <row r="337">
      <c r="A337" s="2"/>
      <c r="B337" s="2"/>
      <c r="C337" s="2"/>
      <c r="D337" s="2"/>
      <c r="E337" s="2"/>
      <c r="F337" s="2"/>
      <c r="G337" s="2"/>
      <c r="H337" s="2"/>
      <c r="I337" s="2"/>
      <c r="J337" s="2"/>
      <c r="K337" s="2"/>
      <c r="L337" s="2"/>
      <c r="M337" s="2"/>
      <c r="N337" s="2"/>
      <c r="O337" s="2"/>
      <c r="P337" s="2"/>
      <c r="Q337" s="45"/>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row>
    <row r="338">
      <c r="A338" s="2"/>
      <c r="B338" s="2"/>
      <c r="C338" s="2"/>
      <c r="D338" s="2"/>
      <c r="E338" s="2"/>
      <c r="F338" s="2"/>
      <c r="G338" s="2"/>
      <c r="H338" s="2"/>
      <c r="I338" s="2"/>
      <c r="J338" s="2"/>
      <c r="K338" s="2"/>
      <c r="L338" s="2"/>
      <c r="M338" s="2"/>
      <c r="N338" s="2"/>
      <c r="O338" s="2"/>
      <c r="P338" s="2"/>
      <c r="Q338" s="45"/>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row>
    <row r="339">
      <c r="A339" s="2"/>
      <c r="B339" s="2"/>
      <c r="C339" s="2"/>
      <c r="D339" s="2"/>
      <c r="E339" s="2"/>
      <c r="F339" s="2"/>
      <c r="G339" s="2"/>
      <c r="H339" s="2"/>
      <c r="I339" s="2"/>
      <c r="J339" s="2"/>
      <c r="K339" s="2"/>
      <c r="L339" s="2"/>
      <c r="M339" s="2"/>
      <c r="N339" s="2"/>
      <c r="O339" s="2"/>
      <c r="P339" s="2"/>
      <c r="Q339" s="45"/>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row>
    <row r="340">
      <c r="A340" s="2"/>
      <c r="B340" s="2"/>
      <c r="C340" s="2"/>
      <c r="D340" s="2"/>
      <c r="E340" s="2"/>
      <c r="F340" s="2"/>
      <c r="G340" s="2"/>
      <c r="H340" s="2"/>
      <c r="I340" s="2"/>
      <c r="J340" s="2"/>
      <c r="K340" s="2"/>
      <c r="L340" s="2"/>
      <c r="M340" s="2"/>
      <c r="N340" s="2"/>
      <c r="O340" s="2"/>
      <c r="P340" s="2"/>
      <c r="Q340" s="45"/>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row>
    <row r="341">
      <c r="A341" s="2"/>
      <c r="B341" s="2"/>
      <c r="C341" s="2"/>
      <c r="D341" s="2"/>
      <c r="E341" s="2"/>
      <c r="F341" s="2"/>
      <c r="G341" s="2"/>
      <c r="H341" s="2"/>
      <c r="I341" s="2"/>
      <c r="J341" s="2"/>
      <c r="K341" s="2"/>
      <c r="L341" s="2"/>
      <c r="M341" s="2"/>
      <c r="N341" s="2"/>
      <c r="O341" s="2"/>
      <c r="P341" s="2"/>
      <c r="Q341" s="45"/>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row>
    <row r="342">
      <c r="A342" s="2"/>
      <c r="B342" s="2"/>
      <c r="C342" s="2"/>
      <c r="D342" s="2"/>
      <c r="E342" s="2"/>
      <c r="F342" s="2"/>
      <c r="G342" s="2"/>
      <c r="H342" s="2"/>
      <c r="I342" s="2"/>
      <c r="J342" s="2"/>
      <c r="K342" s="2"/>
      <c r="L342" s="2"/>
      <c r="M342" s="2"/>
      <c r="N342" s="2"/>
      <c r="O342" s="2"/>
      <c r="P342" s="2"/>
      <c r="Q342" s="45"/>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row>
    <row r="343">
      <c r="A343" s="2"/>
      <c r="B343" s="2"/>
      <c r="C343" s="2"/>
      <c r="D343" s="2"/>
      <c r="E343" s="2"/>
      <c r="F343" s="2"/>
      <c r="G343" s="2"/>
      <c r="H343" s="2"/>
      <c r="I343" s="2"/>
      <c r="J343" s="2"/>
      <c r="K343" s="2"/>
      <c r="L343" s="2"/>
      <c r="M343" s="2"/>
      <c r="N343" s="2"/>
      <c r="O343" s="2"/>
      <c r="P343" s="2"/>
      <c r="Q343" s="45"/>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row>
    <row r="344">
      <c r="A344" s="2"/>
      <c r="B344" s="2"/>
      <c r="C344" s="2"/>
      <c r="D344" s="2"/>
      <c r="E344" s="2"/>
      <c r="F344" s="2"/>
      <c r="G344" s="2"/>
      <c r="H344" s="2"/>
      <c r="I344" s="2"/>
      <c r="J344" s="2"/>
      <c r="K344" s="2"/>
      <c r="L344" s="2"/>
      <c r="M344" s="2"/>
      <c r="N344" s="2"/>
      <c r="O344" s="2"/>
      <c r="P344" s="2"/>
      <c r="Q344" s="45"/>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row>
    <row r="345">
      <c r="A345" s="2"/>
      <c r="B345" s="2"/>
      <c r="C345" s="2"/>
      <c r="D345" s="2"/>
      <c r="E345" s="2"/>
      <c r="F345" s="2"/>
      <c r="G345" s="2"/>
      <c r="H345" s="2"/>
      <c r="I345" s="2"/>
      <c r="J345" s="2"/>
      <c r="K345" s="2"/>
      <c r="L345" s="2"/>
      <c r="M345" s="2"/>
      <c r="N345" s="2"/>
      <c r="O345" s="2"/>
      <c r="P345" s="2"/>
      <c r="Q345" s="45"/>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row>
    <row r="346">
      <c r="A346" s="2"/>
      <c r="B346" s="2"/>
      <c r="C346" s="2"/>
      <c r="D346" s="2"/>
      <c r="E346" s="2"/>
      <c r="F346" s="2"/>
      <c r="G346" s="2"/>
      <c r="H346" s="2"/>
      <c r="I346" s="2"/>
      <c r="J346" s="2"/>
      <c r="K346" s="2"/>
      <c r="L346" s="2"/>
      <c r="M346" s="2"/>
      <c r="N346" s="2"/>
      <c r="O346" s="2"/>
      <c r="P346" s="2"/>
      <c r="Q346" s="45"/>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row>
    <row r="347">
      <c r="A347" s="2"/>
      <c r="B347" s="2"/>
      <c r="C347" s="2"/>
      <c r="D347" s="2"/>
      <c r="E347" s="2"/>
      <c r="F347" s="2"/>
      <c r="G347" s="2"/>
      <c r="H347" s="2"/>
      <c r="I347" s="2"/>
      <c r="J347" s="2"/>
      <c r="K347" s="2"/>
      <c r="L347" s="2"/>
      <c r="M347" s="2"/>
      <c r="N347" s="2"/>
      <c r="O347" s="2"/>
      <c r="P347" s="2"/>
      <c r="Q347" s="45"/>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row>
    <row r="348">
      <c r="A348" s="2"/>
      <c r="B348" s="2"/>
      <c r="C348" s="2"/>
      <c r="D348" s="2"/>
      <c r="E348" s="2"/>
      <c r="F348" s="2"/>
      <c r="G348" s="2"/>
      <c r="H348" s="2"/>
      <c r="I348" s="2"/>
      <c r="J348" s="2"/>
      <c r="K348" s="2"/>
      <c r="L348" s="2"/>
      <c r="M348" s="2"/>
      <c r="N348" s="2"/>
      <c r="O348" s="2"/>
      <c r="P348" s="2"/>
      <c r="Q348" s="45"/>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row>
    <row r="349">
      <c r="A349" s="2"/>
      <c r="B349" s="2"/>
      <c r="C349" s="2"/>
      <c r="D349" s="2"/>
      <c r="E349" s="2"/>
      <c r="F349" s="2"/>
      <c r="G349" s="2"/>
      <c r="H349" s="2"/>
      <c r="I349" s="2"/>
      <c r="J349" s="2"/>
      <c r="K349" s="2"/>
      <c r="L349" s="2"/>
      <c r="M349" s="2"/>
      <c r="N349" s="2"/>
      <c r="O349" s="2"/>
      <c r="P349" s="2"/>
      <c r="Q349" s="45"/>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row>
    <row r="350">
      <c r="A350" s="2"/>
      <c r="B350" s="2"/>
      <c r="C350" s="2"/>
      <c r="D350" s="2"/>
      <c r="E350" s="2"/>
      <c r="F350" s="2"/>
      <c r="G350" s="2"/>
      <c r="H350" s="2"/>
      <c r="I350" s="2"/>
      <c r="J350" s="2"/>
      <c r="K350" s="2"/>
      <c r="L350" s="2"/>
      <c r="M350" s="2"/>
      <c r="N350" s="2"/>
      <c r="O350" s="2"/>
      <c r="P350" s="2"/>
      <c r="Q350" s="45"/>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row>
    <row r="351">
      <c r="A351" s="2"/>
      <c r="B351" s="2"/>
      <c r="C351" s="2"/>
      <c r="D351" s="2"/>
      <c r="E351" s="2"/>
      <c r="F351" s="2"/>
      <c r="G351" s="2"/>
      <c r="H351" s="2"/>
      <c r="I351" s="2"/>
      <c r="J351" s="2"/>
      <c r="K351" s="2"/>
      <c r="L351" s="2"/>
      <c r="M351" s="2"/>
      <c r="N351" s="2"/>
      <c r="O351" s="2"/>
      <c r="P351" s="2"/>
      <c r="Q351" s="45"/>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row>
    <row r="352">
      <c r="A352" s="2"/>
      <c r="B352" s="2"/>
      <c r="C352" s="2"/>
      <c r="D352" s="2"/>
      <c r="E352" s="2"/>
      <c r="F352" s="2"/>
      <c r="G352" s="2"/>
      <c r="H352" s="2"/>
      <c r="I352" s="2"/>
      <c r="J352" s="2"/>
      <c r="K352" s="2"/>
      <c r="L352" s="2"/>
      <c r="M352" s="2"/>
      <c r="N352" s="2"/>
      <c r="O352" s="2"/>
      <c r="P352" s="2"/>
      <c r="Q352" s="45"/>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row>
    <row r="353">
      <c r="A353" s="2"/>
      <c r="B353" s="2"/>
      <c r="C353" s="2"/>
      <c r="D353" s="2"/>
      <c r="E353" s="2"/>
      <c r="F353" s="2"/>
      <c r="G353" s="2"/>
      <c r="H353" s="2"/>
      <c r="I353" s="2"/>
      <c r="J353" s="2"/>
      <c r="K353" s="2"/>
      <c r="L353" s="2"/>
      <c r="M353" s="2"/>
      <c r="N353" s="2"/>
      <c r="O353" s="2"/>
      <c r="P353" s="2"/>
      <c r="Q353" s="45"/>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row>
    <row r="354">
      <c r="A354" s="2"/>
      <c r="B354" s="2"/>
      <c r="C354" s="2"/>
      <c r="D354" s="2"/>
      <c r="E354" s="2"/>
      <c r="F354" s="2"/>
      <c r="G354" s="2"/>
      <c r="H354" s="2"/>
      <c r="I354" s="2"/>
      <c r="J354" s="2"/>
      <c r="K354" s="2"/>
      <c r="L354" s="2"/>
      <c r="M354" s="2"/>
      <c r="N354" s="2"/>
      <c r="O354" s="2"/>
      <c r="P354" s="2"/>
      <c r="Q354" s="45"/>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row>
    <row r="355">
      <c r="A355" s="2"/>
      <c r="B355" s="2"/>
      <c r="C355" s="2"/>
      <c r="D355" s="2"/>
      <c r="E355" s="2"/>
      <c r="F355" s="2"/>
      <c r="G355" s="2"/>
      <c r="H355" s="2"/>
      <c r="I355" s="2"/>
      <c r="J355" s="2"/>
      <c r="K355" s="2"/>
      <c r="L355" s="2"/>
      <c r="M355" s="2"/>
      <c r="N355" s="2"/>
      <c r="O355" s="2"/>
      <c r="P355" s="2"/>
      <c r="Q355" s="45"/>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row>
    <row r="356">
      <c r="A356" s="2"/>
      <c r="B356" s="2"/>
      <c r="C356" s="2"/>
      <c r="D356" s="2"/>
      <c r="E356" s="2"/>
      <c r="F356" s="2"/>
      <c r="G356" s="2"/>
      <c r="H356" s="2"/>
      <c r="I356" s="2"/>
      <c r="J356" s="2"/>
      <c r="K356" s="2"/>
      <c r="L356" s="2"/>
      <c r="M356" s="2"/>
      <c r="N356" s="2"/>
      <c r="O356" s="2"/>
      <c r="P356" s="2"/>
      <c r="Q356" s="45"/>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row>
    <row r="357">
      <c r="A357" s="2"/>
      <c r="B357" s="2"/>
      <c r="C357" s="2"/>
      <c r="D357" s="2"/>
      <c r="E357" s="2"/>
      <c r="F357" s="2"/>
      <c r="G357" s="2"/>
      <c r="H357" s="2"/>
      <c r="I357" s="2"/>
      <c r="J357" s="2"/>
      <c r="K357" s="2"/>
      <c r="L357" s="2"/>
      <c r="M357" s="2"/>
      <c r="N357" s="2"/>
      <c r="O357" s="2"/>
      <c r="P357" s="2"/>
      <c r="Q357" s="45"/>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row>
    <row r="358">
      <c r="A358" s="2"/>
      <c r="B358" s="2"/>
      <c r="C358" s="2"/>
      <c r="D358" s="2"/>
      <c r="E358" s="2"/>
      <c r="F358" s="2"/>
      <c r="G358" s="2"/>
      <c r="H358" s="2"/>
      <c r="I358" s="2"/>
      <c r="J358" s="2"/>
      <c r="K358" s="2"/>
      <c r="L358" s="2"/>
      <c r="M358" s="2"/>
      <c r="N358" s="2"/>
      <c r="O358" s="2"/>
      <c r="P358" s="2"/>
      <c r="Q358" s="45"/>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row>
    <row r="359">
      <c r="A359" s="2"/>
      <c r="B359" s="2"/>
      <c r="C359" s="2"/>
      <c r="D359" s="2"/>
      <c r="E359" s="2"/>
      <c r="F359" s="2"/>
      <c r="G359" s="2"/>
      <c r="H359" s="2"/>
      <c r="I359" s="2"/>
      <c r="J359" s="2"/>
      <c r="K359" s="2"/>
      <c r="L359" s="2"/>
      <c r="M359" s="2"/>
      <c r="N359" s="2"/>
      <c r="O359" s="2"/>
      <c r="P359" s="2"/>
      <c r="Q359" s="45"/>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row>
    <row r="360">
      <c r="A360" s="2"/>
      <c r="B360" s="2"/>
      <c r="C360" s="2"/>
      <c r="D360" s="2"/>
      <c r="E360" s="2"/>
      <c r="F360" s="2"/>
      <c r="G360" s="2"/>
      <c r="H360" s="2"/>
      <c r="I360" s="2"/>
      <c r="J360" s="2"/>
      <c r="K360" s="2"/>
      <c r="L360" s="2"/>
      <c r="M360" s="2"/>
      <c r="N360" s="2"/>
      <c r="O360" s="2"/>
      <c r="P360" s="2"/>
      <c r="Q360" s="45"/>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row>
    <row r="361">
      <c r="A361" s="2"/>
      <c r="B361" s="2"/>
      <c r="C361" s="2"/>
      <c r="D361" s="2"/>
      <c r="E361" s="2"/>
      <c r="F361" s="2"/>
      <c r="G361" s="2"/>
      <c r="H361" s="2"/>
      <c r="I361" s="2"/>
      <c r="J361" s="2"/>
      <c r="K361" s="2"/>
      <c r="L361" s="2"/>
      <c r="M361" s="2"/>
      <c r="N361" s="2"/>
      <c r="O361" s="2"/>
      <c r="P361" s="2"/>
      <c r="Q361" s="45"/>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row>
    <row r="362">
      <c r="A362" s="2"/>
      <c r="B362" s="2"/>
      <c r="C362" s="2"/>
      <c r="D362" s="2"/>
      <c r="E362" s="2"/>
      <c r="F362" s="2"/>
      <c r="G362" s="2"/>
      <c r="H362" s="2"/>
      <c r="I362" s="2"/>
      <c r="J362" s="2"/>
      <c r="K362" s="2"/>
      <c r="L362" s="2"/>
      <c r="M362" s="2"/>
      <c r="N362" s="2"/>
      <c r="O362" s="2"/>
      <c r="P362" s="2"/>
      <c r="Q362" s="45"/>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row>
    <row r="363">
      <c r="A363" s="2"/>
      <c r="B363" s="2"/>
      <c r="C363" s="2"/>
      <c r="D363" s="2"/>
      <c r="E363" s="2"/>
      <c r="F363" s="2"/>
      <c r="G363" s="2"/>
      <c r="H363" s="2"/>
      <c r="I363" s="2"/>
      <c r="J363" s="2"/>
      <c r="K363" s="2"/>
      <c r="L363" s="2"/>
      <c r="M363" s="2"/>
      <c r="N363" s="2"/>
      <c r="O363" s="2"/>
      <c r="P363" s="2"/>
      <c r="Q363" s="45"/>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row>
    <row r="364">
      <c r="A364" s="2"/>
      <c r="B364" s="2"/>
      <c r="C364" s="2"/>
      <c r="D364" s="2"/>
      <c r="E364" s="2"/>
      <c r="F364" s="2"/>
      <c r="G364" s="2"/>
      <c r="H364" s="2"/>
      <c r="I364" s="2"/>
      <c r="J364" s="2"/>
      <c r="K364" s="2"/>
      <c r="L364" s="2"/>
      <c r="M364" s="2"/>
      <c r="N364" s="2"/>
      <c r="O364" s="2"/>
      <c r="P364" s="2"/>
      <c r="Q364" s="45"/>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row>
    <row r="365">
      <c r="A365" s="2"/>
      <c r="B365" s="2"/>
      <c r="C365" s="2"/>
      <c r="D365" s="2"/>
      <c r="E365" s="2"/>
      <c r="F365" s="2"/>
      <c r="G365" s="2"/>
      <c r="H365" s="2"/>
      <c r="I365" s="2"/>
      <c r="J365" s="2"/>
      <c r="K365" s="2"/>
      <c r="L365" s="2"/>
      <c r="M365" s="2"/>
      <c r="N365" s="2"/>
      <c r="O365" s="2"/>
      <c r="P365" s="2"/>
      <c r="Q365" s="45"/>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row>
    <row r="366">
      <c r="A366" s="2"/>
      <c r="B366" s="2"/>
      <c r="C366" s="2"/>
      <c r="D366" s="2"/>
      <c r="E366" s="2"/>
      <c r="F366" s="2"/>
      <c r="G366" s="2"/>
      <c r="H366" s="2"/>
      <c r="I366" s="2"/>
      <c r="J366" s="2"/>
      <c r="K366" s="2"/>
      <c r="L366" s="2"/>
      <c r="M366" s="2"/>
      <c r="N366" s="2"/>
      <c r="O366" s="2"/>
      <c r="P366" s="2"/>
      <c r="Q366" s="45"/>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row>
    <row r="367">
      <c r="A367" s="2"/>
      <c r="B367" s="2"/>
      <c r="C367" s="2"/>
      <c r="D367" s="2"/>
      <c r="E367" s="2"/>
      <c r="F367" s="2"/>
      <c r="G367" s="2"/>
      <c r="H367" s="2"/>
      <c r="I367" s="2"/>
      <c r="J367" s="2"/>
      <c r="K367" s="2"/>
      <c r="L367" s="2"/>
      <c r="M367" s="2"/>
      <c r="N367" s="2"/>
      <c r="O367" s="2"/>
      <c r="P367" s="2"/>
      <c r="Q367" s="45"/>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row>
    <row r="368">
      <c r="A368" s="2"/>
      <c r="B368" s="2"/>
      <c r="C368" s="2"/>
      <c r="D368" s="2"/>
      <c r="E368" s="2"/>
      <c r="F368" s="2"/>
      <c r="G368" s="2"/>
      <c r="H368" s="2"/>
      <c r="I368" s="2"/>
      <c r="J368" s="2"/>
      <c r="K368" s="2"/>
      <c r="L368" s="2"/>
      <c r="M368" s="2"/>
      <c r="N368" s="2"/>
      <c r="O368" s="2"/>
      <c r="P368" s="2"/>
      <c r="Q368" s="45"/>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row>
    <row r="369">
      <c r="A369" s="2"/>
      <c r="B369" s="2"/>
      <c r="C369" s="2"/>
      <c r="D369" s="2"/>
      <c r="E369" s="2"/>
      <c r="F369" s="2"/>
      <c r="G369" s="2"/>
      <c r="H369" s="2"/>
      <c r="I369" s="2"/>
      <c r="J369" s="2"/>
      <c r="K369" s="2"/>
      <c r="L369" s="2"/>
      <c r="M369" s="2"/>
      <c r="N369" s="2"/>
      <c r="O369" s="2"/>
      <c r="P369" s="2"/>
      <c r="Q369" s="45"/>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row>
    <row r="370">
      <c r="A370" s="2"/>
      <c r="B370" s="2"/>
      <c r="C370" s="2"/>
      <c r="D370" s="2"/>
      <c r="E370" s="2"/>
      <c r="F370" s="2"/>
      <c r="G370" s="2"/>
      <c r="H370" s="2"/>
      <c r="I370" s="2"/>
      <c r="J370" s="2"/>
      <c r="K370" s="2"/>
      <c r="L370" s="2"/>
      <c r="M370" s="2"/>
      <c r="N370" s="2"/>
      <c r="O370" s="2"/>
      <c r="P370" s="2"/>
      <c r="Q370" s="45"/>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row>
    <row r="371">
      <c r="A371" s="2"/>
      <c r="B371" s="2"/>
      <c r="C371" s="2"/>
      <c r="D371" s="2"/>
      <c r="E371" s="2"/>
      <c r="F371" s="2"/>
      <c r="G371" s="2"/>
      <c r="H371" s="2"/>
      <c r="I371" s="2"/>
      <c r="J371" s="2"/>
      <c r="K371" s="2"/>
      <c r="L371" s="2"/>
      <c r="M371" s="2"/>
      <c r="N371" s="2"/>
      <c r="O371" s="2"/>
      <c r="P371" s="2"/>
      <c r="Q371" s="45"/>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row>
    <row r="372">
      <c r="A372" s="2"/>
      <c r="B372" s="2"/>
      <c r="C372" s="2"/>
      <c r="D372" s="2"/>
      <c r="E372" s="2"/>
      <c r="F372" s="2"/>
      <c r="G372" s="2"/>
      <c r="H372" s="2"/>
      <c r="I372" s="2"/>
      <c r="J372" s="2"/>
      <c r="K372" s="2"/>
      <c r="L372" s="2"/>
      <c r="M372" s="2"/>
      <c r="N372" s="2"/>
      <c r="O372" s="2"/>
      <c r="P372" s="2"/>
      <c r="Q372" s="45"/>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row>
    <row r="373">
      <c r="A373" s="2"/>
      <c r="B373" s="2"/>
      <c r="C373" s="2"/>
      <c r="D373" s="2"/>
      <c r="E373" s="2"/>
      <c r="F373" s="2"/>
      <c r="G373" s="2"/>
      <c r="H373" s="2"/>
      <c r="I373" s="2"/>
      <c r="J373" s="2"/>
      <c r="K373" s="2"/>
      <c r="L373" s="2"/>
      <c r="M373" s="2"/>
      <c r="N373" s="2"/>
      <c r="O373" s="2"/>
      <c r="P373" s="2"/>
      <c r="Q373" s="45"/>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row>
    <row r="374">
      <c r="A374" s="2"/>
      <c r="B374" s="2"/>
      <c r="C374" s="2"/>
      <c r="D374" s="2"/>
      <c r="E374" s="2"/>
      <c r="F374" s="2"/>
      <c r="G374" s="2"/>
      <c r="H374" s="2"/>
      <c r="I374" s="2"/>
      <c r="J374" s="2"/>
      <c r="K374" s="2"/>
      <c r="L374" s="2"/>
      <c r="M374" s="2"/>
      <c r="N374" s="2"/>
      <c r="O374" s="2"/>
      <c r="P374" s="2"/>
      <c r="Q374" s="45"/>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row>
    <row r="375">
      <c r="A375" s="2"/>
      <c r="B375" s="2"/>
      <c r="C375" s="2"/>
      <c r="D375" s="2"/>
      <c r="E375" s="2"/>
      <c r="F375" s="2"/>
      <c r="G375" s="2"/>
      <c r="H375" s="2"/>
      <c r="I375" s="2"/>
      <c r="J375" s="2"/>
      <c r="K375" s="2"/>
      <c r="L375" s="2"/>
      <c r="M375" s="2"/>
      <c r="N375" s="2"/>
      <c r="O375" s="2"/>
      <c r="P375" s="2"/>
      <c r="Q375" s="45"/>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row>
    <row r="376">
      <c r="A376" s="2"/>
      <c r="B376" s="2"/>
      <c r="C376" s="2"/>
      <c r="D376" s="2"/>
      <c r="E376" s="2"/>
      <c r="F376" s="2"/>
      <c r="G376" s="2"/>
      <c r="H376" s="2"/>
      <c r="I376" s="2"/>
      <c r="J376" s="2"/>
      <c r="K376" s="2"/>
      <c r="L376" s="2"/>
      <c r="M376" s="2"/>
      <c r="N376" s="2"/>
      <c r="O376" s="2"/>
      <c r="P376" s="2"/>
      <c r="Q376" s="45"/>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row>
    <row r="377">
      <c r="A377" s="2"/>
      <c r="B377" s="2"/>
      <c r="C377" s="2"/>
      <c r="D377" s="2"/>
      <c r="E377" s="2"/>
      <c r="F377" s="2"/>
      <c r="G377" s="2"/>
      <c r="H377" s="2"/>
      <c r="I377" s="2"/>
      <c r="J377" s="2"/>
      <c r="K377" s="2"/>
      <c r="L377" s="2"/>
      <c r="M377" s="2"/>
      <c r="N377" s="2"/>
      <c r="O377" s="2"/>
      <c r="P377" s="2"/>
      <c r="Q377" s="45"/>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row>
    <row r="378">
      <c r="A378" s="2"/>
      <c r="B378" s="2"/>
      <c r="C378" s="2"/>
      <c r="D378" s="2"/>
      <c r="E378" s="2"/>
      <c r="F378" s="2"/>
      <c r="G378" s="2"/>
      <c r="H378" s="2"/>
      <c r="I378" s="2"/>
      <c r="J378" s="2"/>
      <c r="K378" s="2"/>
      <c r="L378" s="2"/>
      <c r="M378" s="2"/>
      <c r="N378" s="2"/>
      <c r="O378" s="2"/>
      <c r="P378" s="2"/>
      <c r="Q378" s="45"/>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row>
    <row r="379">
      <c r="A379" s="2"/>
      <c r="B379" s="2"/>
      <c r="C379" s="2"/>
      <c r="D379" s="2"/>
      <c r="E379" s="2"/>
      <c r="F379" s="2"/>
      <c r="G379" s="2"/>
      <c r="H379" s="2"/>
      <c r="I379" s="2"/>
      <c r="J379" s="2"/>
      <c r="K379" s="2"/>
      <c r="L379" s="2"/>
      <c r="M379" s="2"/>
      <c r="N379" s="2"/>
      <c r="O379" s="2"/>
      <c r="P379" s="2"/>
      <c r="Q379" s="45"/>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row>
    <row r="380">
      <c r="A380" s="2"/>
      <c r="B380" s="2"/>
      <c r="C380" s="2"/>
      <c r="D380" s="2"/>
      <c r="E380" s="2"/>
      <c r="F380" s="2"/>
      <c r="G380" s="2"/>
      <c r="H380" s="2"/>
      <c r="I380" s="2"/>
      <c r="J380" s="2"/>
      <c r="K380" s="2"/>
      <c r="L380" s="2"/>
      <c r="M380" s="2"/>
      <c r="N380" s="2"/>
      <c r="O380" s="2"/>
      <c r="P380" s="2"/>
      <c r="Q380" s="45"/>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row>
    <row r="381">
      <c r="A381" s="2"/>
      <c r="B381" s="2"/>
      <c r="C381" s="2"/>
      <c r="D381" s="2"/>
      <c r="E381" s="2"/>
      <c r="F381" s="2"/>
      <c r="G381" s="2"/>
      <c r="H381" s="2"/>
      <c r="I381" s="2"/>
      <c r="J381" s="2"/>
      <c r="K381" s="2"/>
      <c r="L381" s="2"/>
      <c r="M381" s="2"/>
      <c r="N381" s="2"/>
      <c r="O381" s="2"/>
      <c r="P381" s="2"/>
      <c r="Q381" s="45"/>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row>
    <row r="382">
      <c r="A382" s="2"/>
      <c r="B382" s="2"/>
      <c r="C382" s="2"/>
      <c r="D382" s="2"/>
      <c r="E382" s="2"/>
      <c r="F382" s="2"/>
      <c r="G382" s="2"/>
      <c r="H382" s="2"/>
      <c r="I382" s="2"/>
      <c r="J382" s="2"/>
      <c r="K382" s="2"/>
      <c r="L382" s="2"/>
      <c r="M382" s="2"/>
      <c r="N382" s="2"/>
      <c r="O382" s="2"/>
      <c r="P382" s="2"/>
      <c r="Q382" s="45"/>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row>
    <row r="383">
      <c r="A383" s="2"/>
      <c r="B383" s="2"/>
      <c r="C383" s="2"/>
      <c r="D383" s="2"/>
      <c r="E383" s="2"/>
      <c r="F383" s="2"/>
      <c r="G383" s="2"/>
      <c r="H383" s="2"/>
      <c r="I383" s="2"/>
      <c r="J383" s="2"/>
      <c r="K383" s="2"/>
      <c r="L383" s="2"/>
      <c r="M383" s="2"/>
      <c r="N383" s="2"/>
      <c r="O383" s="2"/>
      <c r="P383" s="2"/>
      <c r="Q383" s="45"/>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row>
    <row r="384">
      <c r="A384" s="2"/>
      <c r="B384" s="2"/>
      <c r="C384" s="2"/>
      <c r="D384" s="2"/>
      <c r="E384" s="2"/>
      <c r="F384" s="2"/>
      <c r="G384" s="2"/>
      <c r="H384" s="2"/>
      <c r="I384" s="2"/>
      <c r="J384" s="2"/>
      <c r="K384" s="2"/>
      <c r="L384" s="2"/>
      <c r="M384" s="2"/>
      <c r="N384" s="2"/>
      <c r="O384" s="2"/>
      <c r="P384" s="2"/>
      <c r="Q384" s="45"/>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row>
    <row r="385">
      <c r="A385" s="2"/>
      <c r="B385" s="2"/>
      <c r="C385" s="2"/>
      <c r="D385" s="2"/>
      <c r="E385" s="2"/>
      <c r="F385" s="2"/>
      <c r="G385" s="2"/>
      <c r="H385" s="2"/>
      <c r="I385" s="2"/>
      <c r="J385" s="2"/>
      <c r="K385" s="2"/>
      <c r="L385" s="2"/>
      <c r="M385" s="2"/>
      <c r="N385" s="2"/>
      <c r="O385" s="2"/>
      <c r="P385" s="2"/>
      <c r="Q385" s="45"/>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row>
    <row r="386">
      <c r="A386" s="2"/>
      <c r="B386" s="2"/>
      <c r="C386" s="2"/>
      <c r="D386" s="2"/>
      <c r="E386" s="2"/>
      <c r="F386" s="2"/>
      <c r="G386" s="2"/>
      <c r="H386" s="2"/>
      <c r="I386" s="2"/>
      <c r="J386" s="2"/>
      <c r="K386" s="2"/>
      <c r="L386" s="2"/>
      <c r="M386" s="2"/>
      <c r="N386" s="2"/>
      <c r="O386" s="2"/>
      <c r="P386" s="2"/>
      <c r="Q386" s="45"/>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row>
    <row r="387">
      <c r="A387" s="2"/>
      <c r="B387" s="2"/>
      <c r="C387" s="2"/>
      <c r="D387" s="2"/>
      <c r="E387" s="2"/>
      <c r="F387" s="2"/>
      <c r="G387" s="2"/>
      <c r="H387" s="2"/>
      <c r="I387" s="2"/>
      <c r="J387" s="2"/>
      <c r="K387" s="2"/>
      <c r="L387" s="2"/>
      <c r="M387" s="2"/>
      <c r="N387" s="2"/>
      <c r="O387" s="2"/>
      <c r="P387" s="2"/>
      <c r="Q387" s="45"/>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row>
    <row r="388">
      <c r="A388" s="2"/>
      <c r="B388" s="2"/>
      <c r="C388" s="2"/>
      <c r="D388" s="2"/>
      <c r="E388" s="2"/>
      <c r="F388" s="2"/>
      <c r="G388" s="2"/>
      <c r="H388" s="2"/>
      <c r="I388" s="2"/>
      <c r="J388" s="2"/>
      <c r="K388" s="2"/>
      <c r="L388" s="2"/>
      <c r="M388" s="2"/>
      <c r="N388" s="2"/>
      <c r="O388" s="2"/>
      <c r="P388" s="2"/>
      <c r="Q388" s="45"/>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row>
    <row r="389">
      <c r="A389" s="2"/>
      <c r="B389" s="2"/>
      <c r="C389" s="2"/>
      <c r="D389" s="2"/>
      <c r="E389" s="2"/>
      <c r="F389" s="2"/>
      <c r="G389" s="2"/>
      <c r="H389" s="2"/>
      <c r="I389" s="2"/>
      <c r="J389" s="2"/>
      <c r="K389" s="2"/>
      <c r="L389" s="2"/>
      <c r="M389" s="2"/>
      <c r="N389" s="2"/>
      <c r="O389" s="2"/>
      <c r="P389" s="2"/>
      <c r="Q389" s="45"/>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row>
    <row r="390">
      <c r="A390" s="2"/>
      <c r="B390" s="2"/>
      <c r="C390" s="2"/>
      <c r="D390" s="2"/>
      <c r="E390" s="2"/>
      <c r="F390" s="2"/>
      <c r="G390" s="2"/>
      <c r="H390" s="2"/>
      <c r="I390" s="2"/>
      <c r="J390" s="2"/>
      <c r="K390" s="2"/>
      <c r="L390" s="2"/>
      <c r="M390" s="2"/>
      <c r="N390" s="2"/>
      <c r="O390" s="2"/>
      <c r="P390" s="2"/>
      <c r="Q390" s="45"/>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row>
    <row r="391">
      <c r="A391" s="2"/>
      <c r="B391" s="2"/>
      <c r="C391" s="2"/>
      <c r="D391" s="2"/>
      <c r="E391" s="2"/>
      <c r="F391" s="2"/>
      <c r="G391" s="2"/>
      <c r="H391" s="2"/>
      <c r="I391" s="2"/>
      <c r="J391" s="2"/>
      <c r="K391" s="2"/>
      <c r="L391" s="2"/>
      <c r="M391" s="2"/>
      <c r="N391" s="2"/>
      <c r="O391" s="2"/>
      <c r="P391" s="2"/>
      <c r="Q391" s="45"/>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row>
    <row r="392">
      <c r="A392" s="2"/>
      <c r="B392" s="2"/>
      <c r="C392" s="2"/>
      <c r="D392" s="2"/>
      <c r="E392" s="2"/>
      <c r="F392" s="2"/>
      <c r="G392" s="2"/>
      <c r="H392" s="2"/>
      <c r="I392" s="2"/>
      <c r="J392" s="2"/>
      <c r="K392" s="2"/>
      <c r="L392" s="2"/>
      <c r="M392" s="2"/>
      <c r="N392" s="2"/>
      <c r="O392" s="2"/>
      <c r="P392" s="2"/>
      <c r="Q392" s="45"/>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row>
    <row r="393">
      <c r="A393" s="2"/>
      <c r="B393" s="2"/>
      <c r="C393" s="2"/>
      <c r="D393" s="2"/>
      <c r="E393" s="2"/>
      <c r="F393" s="2"/>
      <c r="G393" s="2"/>
      <c r="H393" s="2"/>
      <c r="I393" s="2"/>
      <c r="J393" s="2"/>
      <c r="K393" s="2"/>
      <c r="L393" s="2"/>
      <c r="M393" s="2"/>
      <c r="N393" s="2"/>
      <c r="O393" s="2"/>
      <c r="P393" s="2"/>
      <c r="Q393" s="45"/>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row>
    <row r="394">
      <c r="A394" s="2"/>
      <c r="B394" s="2"/>
      <c r="C394" s="2"/>
      <c r="D394" s="2"/>
      <c r="E394" s="2"/>
      <c r="F394" s="2"/>
      <c r="G394" s="2"/>
      <c r="H394" s="2"/>
      <c r="I394" s="2"/>
      <c r="J394" s="2"/>
      <c r="K394" s="2"/>
      <c r="L394" s="2"/>
      <c r="M394" s="2"/>
      <c r="N394" s="2"/>
      <c r="O394" s="2"/>
      <c r="P394" s="2"/>
      <c r="Q394" s="45"/>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row>
    <row r="395">
      <c r="A395" s="2"/>
      <c r="B395" s="2"/>
      <c r="C395" s="2"/>
      <c r="D395" s="2"/>
      <c r="E395" s="2"/>
      <c r="F395" s="2"/>
      <c r="G395" s="2"/>
      <c r="H395" s="2"/>
      <c r="I395" s="2"/>
      <c r="J395" s="2"/>
      <c r="K395" s="2"/>
      <c r="L395" s="2"/>
      <c r="M395" s="2"/>
      <c r="N395" s="2"/>
      <c r="O395" s="2"/>
      <c r="P395" s="2"/>
      <c r="Q395" s="45"/>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row>
    <row r="396">
      <c r="A396" s="2"/>
      <c r="B396" s="2"/>
      <c r="C396" s="2"/>
      <c r="D396" s="2"/>
      <c r="E396" s="2"/>
      <c r="F396" s="2"/>
      <c r="G396" s="2"/>
      <c r="H396" s="2"/>
      <c r="I396" s="2"/>
      <c r="J396" s="2"/>
      <c r="K396" s="2"/>
      <c r="L396" s="2"/>
      <c r="M396" s="2"/>
      <c r="N396" s="2"/>
      <c r="O396" s="2"/>
      <c r="P396" s="2"/>
      <c r="Q396" s="45"/>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row>
    <row r="397">
      <c r="A397" s="2"/>
      <c r="B397" s="2"/>
      <c r="C397" s="2"/>
      <c r="D397" s="2"/>
      <c r="E397" s="2"/>
      <c r="F397" s="2"/>
      <c r="G397" s="2"/>
      <c r="H397" s="2"/>
      <c r="I397" s="2"/>
      <c r="J397" s="2"/>
      <c r="K397" s="2"/>
      <c r="L397" s="2"/>
      <c r="M397" s="2"/>
      <c r="N397" s="2"/>
      <c r="O397" s="2"/>
      <c r="P397" s="2"/>
      <c r="Q397" s="45"/>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row>
    <row r="398">
      <c r="A398" s="2"/>
      <c r="B398" s="2"/>
      <c r="C398" s="2"/>
      <c r="D398" s="2"/>
      <c r="E398" s="2"/>
      <c r="F398" s="2"/>
      <c r="G398" s="2"/>
      <c r="H398" s="2"/>
      <c r="I398" s="2"/>
      <c r="J398" s="2"/>
      <c r="K398" s="2"/>
      <c r="L398" s="2"/>
      <c r="M398" s="2"/>
      <c r="N398" s="2"/>
      <c r="O398" s="2"/>
      <c r="P398" s="2"/>
      <c r="Q398" s="45"/>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row>
    <row r="399">
      <c r="A399" s="2"/>
      <c r="B399" s="2"/>
      <c r="C399" s="2"/>
      <c r="D399" s="2"/>
      <c r="E399" s="2"/>
      <c r="F399" s="2"/>
      <c r="G399" s="2"/>
      <c r="H399" s="2"/>
      <c r="I399" s="2"/>
      <c r="J399" s="2"/>
      <c r="K399" s="2"/>
      <c r="L399" s="2"/>
      <c r="M399" s="2"/>
      <c r="N399" s="2"/>
      <c r="O399" s="2"/>
      <c r="P399" s="2"/>
      <c r="Q399" s="45"/>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row>
    <row r="400">
      <c r="A400" s="2"/>
      <c r="B400" s="2"/>
      <c r="C400" s="2"/>
      <c r="D400" s="2"/>
      <c r="E400" s="2"/>
      <c r="F400" s="2"/>
      <c r="G400" s="2"/>
      <c r="H400" s="2"/>
      <c r="I400" s="2"/>
      <c r="J400" s="2"/>
      <c r="K400" s="2"/>
      <c r="L400" s="2"/>
      <c r="M400" s="2"/>
      <c r="N400" s="2"/>
      <c r="O400" s="2"/>
      <c r="P400" s="2"/>
      <c r="Q400" s="45"/>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row>
    <row r="401">
      <c r="A401" s="2"/>
      <c r="B401" s="2"/>
      <c r="C401" s="2"/>
      <c r="D401" s="2"/>
      <c r="E401" s="2"/>
      <c r="F401" s="2"/>
      <c r="G401" s="2"/>
      <c r="H401" s="2"/>
      <c r="I401" s="2"/>
      <c r="J401" s="2"/>
      <c r="K401" s="2"/>
      <c r="L401" s="2"/>
      <c r="M401" s="2"/>
      <c r="N401" s="2"/>
      <c r="O401" s="2"/>
      <c r="P401" s="2"/>
      <c r="Q401" s="45"/>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row>
    <row r="402">
      <c r="A402" s="2"/>
      <c r="B402" s="2"/>
      <c r="C402" s="2"/>
      <c r="D402" s="2"/>
      <c r="E402" s="2"/>
      <c r="F402" s="2"/>
      <c r="G402" s="2"/>
      <c r="H402" s="2"/>
      <c r="I402" s="2"/>
      <c r="J402" s="2"/>
      <c r="K402" s="2"/>
      <c r="L402" s="2"/>
      <c r="M402" s="2"/>
      <c r="N402" s="2"/>
      <c r="O402" s="2"/>
      <c r="P402" s="2"/>
      <c r="Q402" s="45"/>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row>
    <row r="403">
      <c r="A403" s="2"/>
      <c r="B403" s="2"/>
      <c r="C403" s="2"/>
      <c r="D403" s="2"/>
      <c r="E403" s="2"/>
      <c r="F403" s="2"/>
      <c r="G403" s="2"/>
      <c r="H403" s="2"/>
      <c r="I403" s="2"/>
      <c r="J403" s="2"/>
      <c r="K403" s="2"/>
      <c r="L403" s="2"/>
      <c r="M403" s="2"/>
      <c r="N403" s="2"/>
      <c r="O403" s="2"/>
      <c r="P403" s="2"/>
      <c r="Q403" s="45"/>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row>
    <row r="404">
      <c r="A404" s="2"/>
      <c r="B404" s="2"/>
      <c r="C404" s="2"/>
      <c r="D404" s="2"/>
      <c r="E404" s="2"/>
      <c r="F404" s="2"/>
      <c r="G404" s="2"/>
      <c r="H404" s="2"/>
      <c r="I404" s="2"/>
      <c r="J404" s="2"/>
      <c r="K404" s="2"/>
      <c r="L404" s="2"/>
      <c r="M404" s="2"/>
      <c r="N404" s="2"/>
      <c r="O404" s="2"/>
      <c r="P404" s="2"/>
      <c r="Q404" s="45"/>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row>
    <row r="405">
      <c r="A405" s="2"/>
      <c r="B405" s="2"/>
      <c r="C405" s="2"/>
      <c r="D405" s="2"/>
      <c r="E405" s="2"/>
      <c r="F405" s="2"/>
      <c r="G405" s="2"/>
      <c r="H405" s="2"/>
      <c r="I405" s="2"/>
      <c r="J405" s="2"/>
      <c r="K405" s="2"/>
      <c r="L405" s="2"/>
      <c r="M405" s="2"/>
      <c r="N405" s="2"/>
      <c r="O405" s="2"/>
      <c r="P405" s="2"/>
      <c r="Q405" s="45"/>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row>
    <row r="406">
      <c r="A406" s="2"/>
      <c r="B406" s="2"/>
      <c r="C406" s="2"/>
      <c r="D406" s="2"/>
      <c r="E406" s="2"/>
      <c r="F406" s="2"/>
      <c r="G406" s="2"/>
      <c r="H406" s="2"/>
      <c r="I406" s="2"/>
      <c r="J406" s="2"/>
      <c r="K406" s="2"/>
      <c r="L406" s="2"/>
      <c r="M406" s="2"/>
      <c r="N406" s="2"/>
      <c r="O406" s="2"/>
      <c r="P406" s="2"/>
      <c r="Q406" s="45"/>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row>
    <row r="407">
      <c r="A407" s="2"/>
      <c r="B407" s="2"/>
      <c r="C407" s="2"/>
      <c r="D407" s="2"/>
      <c r="E407" s="2"/>
      <c r="F407" s="2"/>
      <c r="G407" s="2"/>
      <c r="H407" s="2"/>
      <c r="I407" s="2"/>
      <c r="J407" s="2"/>
      <c r="K407" s="2"/>
      <c r="L407" s="2"/>
      <c r="M407" s="2"/>
      <c r="N407" s="2"/>
      <c r="O407" s="2"/>
      <c r="P407" s="2"/>
      <c r="Q407" s="45"/>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row>
    <row r="408">
      <c r="A408" s="2"/>
      <c r="B408" s="2"/>
      <c r="C408" s="2"/>
      <c r="D408" s="2"/>
      <c r="E408" s="2"/>
      <c r="F408" s="2"/>
      <c r="G408" s="2"/>
      <c r="H408" s="2"/>
      <c r="I408" s="2"/>
      <c r="J408" s="2"/>
      <c r="K408" s="2"/>
      <c r="L408" s="2"/>
      <c r="M408" s="2"/>
      <c r="N408" s="2"/>
      <c r="O408" s="2"/>
      <c r="P408" s="2"/>
      <c r="Q408" s="45"/>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row>
    <row r="409">
      <c r="A409" s="2"/>
      <c r="B409" s="2"/>
      <c r="C409" s="2"/>
      <c r="D409" s="2"/>
      <c r="E409" s="2"/>
      <c r="F409" s="2"/>
      <c r="G409" s="2"/>
      <c r="H409" s="2"/>
      <c r="I409" s="2"/>
      <c r="J409" s="2"/>
      <c r="K409" s="2"/>
      <c r="L409" s="2"/>
      <c r="M409" s="2"/>
      <c r="N409" s="2"/>
      <c r="O409" s="2"/>
      <c r="P409" s="2"/>
      <c r="Q409" s="45"/>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row>
    <row r="410">
      <c r="A410" s="2"/>
      <c r="B410" s="2"/>
      <c r="C410" s="2"/>
      <c r="D410" s="2"/>
      <c r="E410" s="2"/>
      <c r="F410" s="2"/>
      <c r="G410" s="2"/>
      <c r="H410" s="2"/>
      <c r="I410" s="2"/>
      <c r="J410" s="2"/>
      <c r="K410" s="2"/>
      <c r="L410" s="2"/>
      <c r="M410" s="2"/>
      <c r="N410" s="2"/>
      <c r="O410" s="2"/>
      <c r="P410" s="2"/>
      <c r="Q410" s="45"/>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row>
    <row r="411">
      <c r="A411" s="2"/>
      <c r="B411" s="2"/>
      <c r="C411" s="2"/>
      <c r="D411" s="2"/>
      <c r="E411" s="2"/>
      <c r="F411" s="2"/>
      <c r="G411" s="2"/>
      <c r="H411" s="2"/>
      <c r="I411" s="2"/>
      <c r="J411" s="2"/>
      <c r="K411" s="2"/>
      <c r="L411" s="2"/>
      <c r="M411" s="2"/>
      <c r="N411" s="2"/>
      <c r="O411" s="2"/>
      <c r="P411" s="2"/>
      <c r="Q411" s="45"/>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row>
    <row r="412">
      <c r="A412" s="2"/>
      <c r="B412" s="2"/>
      <c r="C412" s="2"/>
      <c r="D412" s="2"/>
      <c r="E412" s="2"/>
      <c r="F412" s="2"/>
      <c r="G412" s="2"/>
      <c r="H412" s="2"/>
      <c r="I412" s="2"/>
      <c r="J412" s="2"/>
      <c r="K412" s="2"/>
      <c r="L412" s="2"/>
      <c r="M412" s="2"/>
      <c r="N412" s="2"/>
      <c r="O412" s="2"/>
      <c r="P412" s="2"/>
      <c r="Q412" s="45"/>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row>
    <row r="413">
      <c r="A413" s="2"/>
      <c r="B413" s="2"/>
      <c r="C413" s="2"/>
      <c r="D413" s="2"/>
      <c r="E413" s="2"/>
      <c r="F413" s="2"/>
      <c r="G413" s="2"/>
      <c r="H413" s="2"/>
      <c r="I413" s="2"/>
      <c r="J413" s="2"/>
      <c r="K413" s="2"/>
      <c r="L413" s="2"/>
      <c r="M413" s="2"/>
      <c r="N413" s="2"/>
      <c r="O413" s="2"/>
      <c r="P413" s="2"/>
      <c r="Q413" s="45"/>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row>
    <row r="414">
      <c r="A414" s="2"/>
      <c r="B414" s="2"/>
      <c r="C414" s="2"/>
      <c r="D414" s="2"/>
      <c r="E414" s="2"/>
      <c r="F414" s="2"/>
      <c r="G414" s="2"/>
      <c r="H414" s="2"/>
      <c r="I414" s="2"/>
      <c r="J414" s="2"/>
      <c r="K414" s="2"/>
      <c r="L414" s="2"/>
      <c r="M414" s="2"/>
      <c r="N414" s="2"/>
      <c r="O414" s="2"/>
      <c r="P414" s="2"/>
      <c r="Q414" s="45"/>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row>
    <row r="415">
      <c r="A415" s="2"/>
      <c r="B415" s="2"/>
      <c r="C415" s="2"/>
      <c r="D415" s="2"/>
      <c r="E415" s="2"/>
      <c r="F415" s="2"/>
      <c r="G415" s="2"/>
      <c r="H415" s="2"/>
      <c r="I415" s="2"/>
      <c r="J415" s="2"/>
      <c r="K415" s="2"/>
      <c r="L415" s="2"/>
      <c r="M415" s="2"/>
      <c r="N415" s="2"/>
      <c r="O415" s="2"/>
      <c r="P415" s="2"/>
      <c r="Q415" s="45"/>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row>
    <row r="416">
      <c r="A416" s="2"/>
      <c r="B416" s="2"/>
      <c r="C416" s="2"/>
      <c r="D416" s="2"/>
      <c r="E416" s="2"/>
      <c r="F416" s="2"/>
      <c r="G416" s="2"/>
      <c r="H416" s="2"/>
      <c r="I416" s="2"/>
      <c r="J416" s="2"/>
      <c r="K416" s="2"/>
      <c r="L416" s="2"/>
      <c r="M416" s="2"/>
      <c r="N416" s="2"/>
      <c r="O416" s="2"/>
      <c r="P416" s="2"/>
      <c r="Q416" s="45"/>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row>
    <row r="417">
      <c r="A417" s="2"/>
      <c r="B417" s="2"/>
      <c r="C417" s="2"/>
      <c r="D417" s="2"/>
      <c r="E417" s="2"/>
      <c r="F417" s="2"/>
      <c r="G417" s="2"/>
      <c r="H417" s="2"/>
      <c r="I417" s="2"/>
      <c r="J417" s="2"/>
      <c r="K417" s="2"/>
      <c r="L417" s="2"/>
      <c r="M417" s="2"/>
      <c r="N417" s="2"/>
      <c r="O417" s="2"/>
      <c r="P417" s="2"/>
      <c r="Q417" s="45"/>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row>
    <row r="418">
      <c r="A418" s="2"/>
      <c r="B418" s="2"/>
      <c r="C418" s="2"/>
      <c r="D418" s="2"/>
      <c r="E418" s="2"/>
      <c r="F418" s="2"/>
      <c r="G418" s="2"/>
      <c r="H418" s="2"/>
      <c r="I418" s="2"/>
      <c r="J418" s="2"/>
      <c r="K418" s="2"/>
      <c r="L418" s="2"/>
      <c r="M418" s="2"/>
      <c r="N418" s="2"/>
      <c r="O418" s="2"/>
      <c r="P418" s="2"/>
      <c r="Q418" s="45"/>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row>
    <row r="419">
      <c r="A419" s="2"/>
      <c r="B419" s="2"/>
      <c r="C419" s="2"/>
      <c r="D419" s="2"/>
      <c r="E419" s="2"/>
      <c r="F419" s="2"/>
      <c r="G419" s="2"/>
      <c r="H419" s="2"/>
      <c r="I419" s="2"/>
      <c r="J419" s="2"/>
      <c r="K419" s="2"/>
      <c r="L419" s="2"/>
      <c r="M419" s="2"/>
      <c r="N419" s="2"/>
      <c r="O419" s="2"/>
      <c r="P419" s="2"/>
      <c r="Q419" s="45"/>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row>
    <row r="420">
      <c r="A420" s="2"/>
      <c r="B420" s="2"/>
      <c r="C420" s="2"/>
      <c r="D420" s="2"/>
      <c r="E420" s="2"/>
      <c r="F420" s="2"/>
      <c r="G420" s="2"/>
      <c r="H420" s="2"/>
      <c r="I420" s="2"/>
      <c r="J420" s="2"/>
      <c r="K420" s="2"/>
      <c r="L420" s="2"/>
      <c r="M420" s="2"/>
      <c r="N420" s="2"/>
      <c r="O420" s="2"/>
      <c r="P420" s="2"/>
      <c r="Q420" s="45"/>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row>
    <row r="421">
      <c r="A421" s="2"/>
      <c r="B421" s="2"/>
      <c r="C421" s="2"/>
      <c r="D421" s="2"/>
      <c r="E421" s="2"/>
      <c r="F421" s="2"/>
      <c r="G421" s="2"/>
      <c r="H421" s="2"/>
      <c r="I421" s="2"/>
      <c r="J421" s="2"/>
      <c r="K421" s="2"/>
      <c r="L421" s="2"/>
      <c r="M421" s="2"/>
      <c r="N421" s="2"/>
      <c r="O421" s="2"/>
      <c r="P421" s="2"/>
      <c r="Q421" s="45"/>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row>
    <row r="422">
      <c r="A422" s="2"/>
      <c r="B422" s="2"/>
      <c r="C422" s="2"/>
      <c r="D422" s="2"/>
      <c r="E422" s="2"/>
      <c r="F422" s="2"/>
      <c r="G422" s="2"/>
      <c r="H422" s="2"/>
      <c r="I422" s="2"/>
      <c r="J422" s="2"/>
      <c r="K422" s="2"/>
      <c r="L422" s="2"/>
      <c r="M422" s="2"/>
      <c r="N422" s="2"/>
      <c r="O422" s="2"/>
      <c r="P422" s="2"/>
      <c r="Q422" s="45"/>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row>
    <row r="423">
      <c r="A423" s="2"/>
      <c r="B423" s="2"/>
      <c r="C423" s="2"/>
      <c r="D423" s="2"/>
      <c r="E423" s="2"/>
      <c r="F423" s="2"/>
      <c r="G423" s="2"/>
      <c r="H423" s="2"/>
      <c r="I423" s="2"/>
      <c r="J423" s="2"/>
      <c r="K423" s="2"/>
      <c r="L423" s="2"/>
      <c r="M423" s="2"/>
      <c r="N423" s="2"/>
      <c r="O423" s="2"/>
      <c r="P423" s="2"/>
      <c r="Q423" s="45"/>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row>
    <row r="424">
      <c r="A424" s="2"/>
      <c r="B424" s="2"/>
      <c r="C424" s="2"/>
      <c r="D424" s="2"/>
      <c r="E424" s="2"/>
      <c r="F424" s="2"/>
      <c r="G424" s="2"/>
      <c r="H424" s="2"/>
      <c r="I424" s="2"/>
      <c r="J424" s="2"/>
      <c r="K424" s="2"/>
      <c r="L424" s="2"/>
      <c r="M424" s="2"/>
      <c r="N424" s="2"/>
      <c r="O424" s="2"/>
      <c r="P424" s="2"/>
      <c r="Q424" s="45"/>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row>
    <row r="425">
      <c r="A425" s="2"/>
      <c r="B425" s="2"/>
      <c r="C425" s="2"/>
      <c r="D425" s="2"/>
      <c r="E425" s="2"/>
      <c r="F425" s="2"/>
      <c r="G425" s="2"/>
      <c r="H425" s="2"/>
      <c r="I425" s="2"/>
      <c r="J425" s="2"/>
      <c r="K425" s="2"/>
      <c r="L425" s="2"/>
      <c r="M425" s="2"/>
      <c r="N425" s="2"/>
      <c r="O425" s="2"/>
      <c r="P425" s="2"/>
      <c r="Q425" s="45"/>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row>
    <row r="426">
      <c r="A426" s="2"/>
      <c r="B426" s="2"/>
      <c r="C426" s="2"/>
      <c r="D426" s="2"/>
      <c r="E426" s="2"/>
      <c r="F426" s="2"/>
      <c r="G426" s="2"/>
      <c r="H426" s="2"/>
      <c r="I426" s="2"/>
      <c r="J426" s="2"/>
      <c r="K426" s="2"/>
      <c r="L426" s="2"/>
      <c r="M426" s="2"/>
      <c r="N426" s="2"/>
      <c r="O426" s="2"/>
      <c r="P426" s="2"/>
      <c r="Q426" s="45"/>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row>
    <row r="427">
      <c r="A427" s="2"/>
      <c r="B427" s="2"/>
      <c r="C427" s="2"/>
      <c r="D427" s="2"/>
      <c r="E427" s="2"/>
      <c r="F427" s="2"/>
      <c r="G427" s="2"/>
      <c r="H427" s="2"/>
      <c r="I427" s="2"/>
      <c r="J427" s="2"/>
      <c r="K427" s="2"/>
      <c r="L427" s="2"/>
      <c r="M427" s="2"/>
      <c r="N427" s="2"/>
      <c r="O427" s="2"/>
      <c r="P427" s="2"/>
      <c r="Q427" s="45"/>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row>
    <row r="428">
      <c r="A428" s="2"/>
      <c r="B428" s="2"/>
      <c r="C428" s="2"/>
      <c r="D428" s="2"/>
      <c r="E428" s="2"/>
      <c r="F428" s="2"/>
      <c r="G428" s="2"/>
      <c r="H428" s="2"/>
      <c r="I428" s="2"/>
      <c r="J428" s="2"/>
      <c r="K428" s="2"/>
      <c r="L428" s="2"/>
      <c r="M428" s="2"/>
      <c r="N428" s="2"/>
      <c r="O428" s="2"/>
      <c r="P428" s="2"/>
      <c r="Q428" s="45"/>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row>
    <row r="429">
      <c r="A429" s="2"/>
      <c r="B429" s="2"/>
      <c r="C429" s="2"/>
      <c r="D429" s="2"/>
      <c r="E429" s="2"/>
      <c r="F429" s="2"/>
      <c r="G429" s="2"/>
      <c r="H429" s="2"/>
      <c r="I429" s="2"/>
      <c r="J429" s="2"/>
      <c r="K429" s="2"/>
      <c r="L429" s="2"/>
      <c r="M429" s="2"/>
      <c r="N429" s="2"/>
      <c r="O429" s="2"/>
      <c r="P429" s="2"/>
      <c r="Q429" s="45"/>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row>
    <row r="430">
      <c r="A430" s="2"/>
      <c r="B430" s="2"/>
      <c r="C430" s="2"/>
      <c r="D430" s="2"/>
      <c r="E430" s="2"/>
      <c r="F430" s="2"/>
      <c r="G430" s="2"/>
      <c r="H430" s="2"/>
      <c r="I430" s="2"/>
      <c r="J430" s="2"/>
      <c r="K430" s="2"/>
      <c r="L430" s="2"/>
      <c r="M430" s="2"/>
      <c r="N430" s="2"/>
      <c r="O430" s="2"/>
      <c r="P430" s="2"/>
      <c r="Q430" s="45"/>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row>
    <row r="431">
      <c r="A431" s="2"/>
      <c r="B431" s="2"/>
      <c r="C431" s="2"/>
      <c r="D431" s="2"/>
      <c r="E431" s="2"/>
      <c r="F431" s="2"/>
      <c r="G431" s="2"/>
      <c r="H431" s="2"/>
      <c r="I431" s="2"/>
      <c r="J431" s="2"/>
      <c r="K431" s="2"/>
      <c r="L431" s="2"/>
      <c r="M431" s="2"/>
      <c r="N431" s="2"/>
      <c r="O431" s="2"/>
      <c r="P431" s="2"/>
      <c r="Q431" s="45"/>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row>
    <row r="432">
      <c r="A432" s="2"/>
      <c r="B432" s="2"/>
      <c r="C432" s="2"/>
      <c r="D432" s="2"/>
      <c r="E432" s="2"/>
      <c r="F432" s="2"/>
      <c r="G432" s="2"/>
      <c r="H432" s="2"/>
      <c r="I432" s="2"/>
      <c r="J432" s="2"/>
      <c r="K432" s="2"/>
      <c r="L432" s="2"/>
      <c r="M432" s="2"/>
      <c r="N432" s="2"/>
      <c r="O432" s="2"/>
      <c r="P432" s="2"/>
      <c r="Q432" s="45"/>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row>
    <row r="433">
      <c r="A433" s="2"/>
      <c r="B433" s="2"/>
      <c r="C433" s="2"/>
      <c r="D433" s="2"/>
      <c r="E433" s="2"/>
      <c r="F433" s="2"/>
      <c r="G433" s="2"/>
      <c r="H433" s="2"/>
      <c r="I433" s="2"/>
      <c r="J433" s="2"/>
      <c r="K433" s="2"/>
      <c r="L433" s="2"/>
      <c r="M433" s="2"/>
      <c r="N433" s="2"/>
      <c r="O433" s="2"/>
      <c r="P433" s="2"/>
      <c r="Q433" s="45"/>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row>
    <row r="434">
      <c r="A434" s="2"/>
      <c r="B434" s="2"/>
      <c r="C434" s="2"/>
      <c r="D434" s="2"/>
      <c r="E434" s="2"/>
      <c r="F434" s="2"/>
      <c r="G434" s="2"/>
      <c r="H434" s="2"/>
      <c r="I434" s="2"/>
      <c r="J434" s="2"/>
      <c r="K434" s="2"/>
      <c r="L434" s="2"/>
      <c r="M434" s="2"/>
      <c r="N434" s="2"/>
      <c r="O434" s="2"/>
      <c r="P434" s="2"/>
      <c r="Q434" s="45"/>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row>
    <row r="435">
      <c r="A435" s="2"/>
      <c r="B435" s="2"/>
      <c r="C435" s="2"/>
      <c r="D435" s="2"/>
      <c r="E435" s="2"/>
      <c r="F435" s="2"/>
      <c r="G435" s="2"/>
      <c r="H435" s="2"/>
      <c r="I435" s="2"/>
      <c r="J435" s="2"/>
      <c r="K435" s="2"/>
      <c r="L435" s="2"/>
      <c r="M435" s="2"/>
      <c r="N435" s="2"/>
      <c r="O435" s="2"/>
      <c r="P435" s="2"/>
      <c r="Q435" s="45"/>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row>
    <row r="436">
      <c r="A436" s="2"/>
      <c r="B436" s="2"/>
      <c r="C436" s="2"/>
      <c r="D436" s="2"/>
      <c r="E436" s="2"/>
      <c r="F436" s="2"/>
      <c r="G436" s="2"/>
      <c r="H436" s="2"/>
      <c r="I436" s="2"/>
      <c r="J436" s="2"/>
      <c r="K436" s="2"/>
      <c r="L436" s="2"/>
      <c r="M436" s="2"/>
      <c r="N436" s="2"/>
      <c r="O436" s="2"/>
      <c r="P436" s="2"/>
      <c r="Q436" s="45"/>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row>
    <row r="437">
      <c r="A437" s="2"/>
      <c r="B437" s="2"/>
      <c r="C437" s="2"/>
      <c r="D437" s="2"/>
      <c r="E437" s="2"/>
      <c r="F437" s="2"/>
      <c r="G437" s="2"/>
      <c r="H437" s="2"/>
      <c r="I437" s="2"/>
      <c r="J437" s="2"/>
      <c r="K437" s="2"/>
      <c r="L437" s="2"/>
      <c r="M437" s="2"/>
      <c r="N437" s="2"/>
      <c r="O437" s="2"/>
      <c r="P437" s="2"/>
      <c r="Q437" s="45"/>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row>
    <row r="438">
      <c r="A438" s="2"/>
      <c r="B438" s="2"/>
      <c r="C438" s="2"/>
      <c r="D438" s="2"/>
      <c r="E438" s="2"/>
      <c r="F438" s="2"/>
      <c r="G438" s="2"/>
      <c r="H438" s="2"/>
      <c r="I438" s="2"/>
      <c r="J438" s="2"/>
      <c r="K438" s="2"/>
      <c r="L438" s="2"/>
      <c r="M438" s="2"/>
      <c r="N438" s="2"/>
      <c r="O438" s="2"/>
      <c r="P438" s="2"/>
      <c r="Q438" s="45"/>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row>
    <row r="439">
      <c r="A439" s="2"/>
      <c r="B439" s="2"/>
      <c r="C439" s="2"/>
      <c r="D439" s="2"/>
      <c r="E439" s="2"/>
      <c r="F439" s="2"/>
      <c r="G439" s="2"/>
      <c r="H439" s="2"/>
      <c r="I439" s="2"/>
      <c r="J439" s="2"/>
      <c r="K439" s="2"/>
      <c r="L439" s="2"/>
      <c r="M439" s="2"/>
      <c r="N439" s="2"/>
      <c r="O439" s="2"/>
      <c r="P439" s="2"/>
      <c r="Q439" s="45"/>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row>
    <row r="440">
      <c r="A440" s="2"/>
      <c r="B440" s="2"/>
      <c r="C440" s="2"/>
      <c r="D440" s="2"/>
      <c r="E440" s="2"/>
      <c r="F440" s="2"/>
      <c r="G440" s="2"/>
      <c r="H440" s="2"/>
      <c r="I440" s="2"/>
      <c r="J440" s="2"/>
      <c r="K440" s="2"/>
      <c r="L440" s="2"/>
      <c r="M440" s="2"/>
      <c r="N440" s="2"/>
      <c r="O440" s="2"/>
      <c r="P440" s="2"/>
      <c r="Q440" s="45"/>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row>
    <row r="441">
      <c r="A441" s="2"/>
      <c r="B441" s="2"/>
      <c r="C441" s="2"/>
      <c r="D441" s="2"/>
      <c r="E441" s="2"/>
      <c r="F441" s="2"/>
      <c r="G441" s="2"/>
      <c r="H441" s="2"/>
      <c r="I441" s="2"/>
      <c r="J441" s="2"/>
      <c r="K441" s="2"/>
      <c r="L441" s="2"/>
      <c r="M441" s="2"/>
      <c r="N441" s="2"/>
      <c r="O441" s="2"/>
      <c r="P441" s="2"/>
      <c r="Q441" s="45"/>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row>
    <row r="442">
      <c r="A442" s="2"/>
      <c r="B442" s="2"/>
      <c r="C442" s="2"/>
      <c r="D442" s="2"/>
      <c r="E442" s="2"/>
      <c r="F442" s="2"/>
      <c r="G442" s="2"/>
      <c r="H442" s="2"/>
      <c r="I442" s="2"/>
      <c r="J442" s="2"/>
      <c r="K442" s="2"/>
      <c r="L442" s="2"/>
      <c r="M442" s="2"/>
      <c r="N442" s="2"/>
      <c r="O442" s="2"/>
      <c r="P442" s="2"/>
      <c r="Q442" s="45"/>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row>
    <row r="443">
      <c r="A443" s="2"/>
      <c r="B443" s="2"/>
      <c r="C443" s="2"/>
      <c r="D443" s="2"/>
      <c r="E443" s="2"/>
      <c r="F443" s="2"/>
      <c r="G443" s="2"/>
      <c r="H443" s="2"/>
      <c r="I443" s="2"/>
      <c r="J443" s="2"/>
      <c r="K443" s="2"/>
      <c r="L443" s="2"/>
      <c r="M443" s="2"/>
      <c r="N443" s="2"/>
      <c r="O443" s="2"/>
      <c r="P443" s="2"/>
      <c r="Q443" s="45"/>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row>
    <row r="444">
      <c r="A444" s="2"/>
      <c r="B444" s="2"/>
      <c r="C444" s="2"/>
      <c r="D444" s="2"/>
      <c r="E444" s="2"/>
      <c r="F444" s="2"/>
      <c r="G444" s="2"/>
      <c r="H444" s="2"/>
      <c r="I444" s="2"/>
      <c r="J444" s="2"/>
      <c r="K444" s="2"/>
      <c r="L444" s="2"/>
      <c r="M444" s="2"/>
      <c r="N444" s="2"/>
      <c r="O444" s="2"/>
      <c r="P444" s="2"/>
      <c r="Q444" s="45"/>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row>
    <row r="445">
      <c r="A445" s="2"/>
      <c r="B445" s="2"/>
      <c r="C445" s="2"/>
      <c r="D445" s="2"/>
      <c r="E445" s="2"/>
      <c r="F445" s="2"/>
      <c r="G445" s="2"/>
      <c r="H445" s="2"/>
      <c r="I445" s="2"/>
      <c r="J445" s="2"/>
      <c r="K445" s="2"/>
      <c r="L445" s="2"/>
      <c r="M445" s="2"/>
      <c r="N445" s="2"/>
      <c r="O445" s="2"/>
      <c r="P445" s="2"/>
      <c r="Q445" s="45"/>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row>
    <row r="446">
      <c r="A446" s="2"/>
      <c r="B446" s="2"/>
      <c r="C446" s="2"/>
      <c r="D446" s="2"/>
      <c r="E446" s="2"/>
      <c r="F446" s="2"/>
      <c r="G446" s="2"/>
      <c r="H446" s="2"/>
      <c r="I446" s="2"/>
      <c r="J446" s="2"/>
      <c r="K446" s="2"/>
      <c r="L446" s="2"/>
      <c r="M446" s="2"/>
      <c r="N446" s="2"/>
      <c r="O446" s="2"/>
      <c r="P446" s="2"/>
      <c r="Q446" s="45"/>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row>
    <row r="447">
      <c r="A447" s="2"/>
      <c r="B447" s="2"/>
      <c r="C447" s="2"/>
      <c r="D447" s="2"/>
      <c r="E447" s="2"/>
      <c r="F447" s="2"/>
      <c r="G447" s="2"/>
      <c r="H447" s="2"/>
      <c r="I447" s="2"/>
      <c r="J447" s="2"/>
      <c r="K447" s="2"/>
      <c r="L447" s="2"/>
      <c r="M447" s="2"/>
      <c r="N447" s="2"/>
      <c r="O447" s="2"/>
      <c r="P447" s="2"/>
      <c r="Q447" s="45"/>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row>
    <row r="448">
      <c r="A448" s="2"/>
      <c r="B448" s="2"/>
      <c r="C448" s="2"/>
      <c r="D448" s="2"/>
      <c r="E448" s="2"/>
      <c r="F448" s="2"/>
      <c r="G448" s="2"/>
      <c r="H448" s="2"/>
      <c r="I448" s="2"/>
      <c r="J448" s="2"/>
      <c r="K448" s="2"/>
      <c r="L448" s="2"/>
      <c r="M448" s="2"/>
      <c r="N448" s="2"/>
      <c r="O448" s="2"/>
      <c r="P448" s="2"/>
      <c r="Q448" s="45"/>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row>
    <row r="449">
      <c r="A449" s="2"/>
      <c r="B449" s="2"/>
      <c r="C449" s="2"/>
      <c r="D449" s="2"/>
      <c r="E449" s="2"/>
      <c r="F449" s="2"/>
      <c r="G449" s="2"/>
      <c r="H449" s="2"/>
      <c r="I449" s="2"/>
      <c r="J449" s="2"/>
      <c r="K449" s="2"/>
      <c r="L449" s="2"/>
      <c r="M449" s="2"/>
      <c r="N449" s="2"/>
      <c r="O449" s="2"/>
      <c r="P449" s="2"/>
      <c r="Q449" s="45"/>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row>
    <row r="450">
      <c r="A450" s="2"/>
      <c r="B450" s="2"/>
      <c r="C450" s="2"/>
      <c r="D450" s="2"/>
      <c r="E450" s="2"/>
      <c r="F450" s="2"/>
      <c r="G450" s="2"/>
      <c r="H450" s="2"/>
      <c r="I450" s="2"/>
      <c r="J450" s="2"/>
      <c r="K450" s="2"/>
      <c r="L450" s="2"/>
      <c r="M450" s="2"/>
      <c r="N450" s="2"/>
      <c r="O450" s="2"/>
      <c r="P450" s="2"/>
      <c r="Q450" s="45"/>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row>
    <row r="451">
      <c r="A451" s="2"/>
      <c r="B451" s="2"/>
      <c r="C451" s="2"/>
      <c r="D451" s="2"/>
      <c r="E451" s="2"/>
      <c r="F451" s="2"/>
      <c r="G451" s="2"/>
      <c r="H451" s="2"/>
      <c r="I451" s="2"/>
      <c r="J451" s="2"/>
      <c r="K451" s="2"/>
      <c r="L451" s="2"/>
      <c r="M451" s="2"/>
      <c r="N451" s="2"/>
      <c r="O451" s="2"/>
      <c r="P451" s="2"/>
      <c r="Q451" s="45"/>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row>
    <row r="452">
      <c r="A452" s="2"/>
      <c r="B452" s="2"/>
      <c r="C452" s="2"/>
      <c r="D452" s="2"/>
      <c r="E452" s="2"/>
      <c r="F452" s="2"/>
      <c r="G452" s="2"/>
      <c r="H452" s="2"/>
      <c r="I452" s="2"/>
      <c r="J452" s="2"/>
      <c r="K452" s="2"/>
      <c r="L452" s="2"/>
      <c r="M452" s="2"/>
      <c r="N452" s="2"/>
      <c r="O452" s="2"/>
      <c r="P452" s="2"/>
      <c r="Q452" s="45"/>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row>
    <row r="453">
      <c r="A453" s="2"/>
      <c r="B453" s="2"/>
      <c r="C453" s="2"/>
      <c r="D453" s="2"/>
      <c r="E453" s="2"/>
      <c r="F453" s="2"/>
      <c r="G453" s="2"/>
      <c r="H453" s="2"/>
      <c r="I453" s="2"/>
      <c r="J453" s="2"/>
      <c r="K453" s="2"/>
      <c r="L453" s="2"/>
      <c r="M453" s="2"/>
      <c r="N453" s="2"/>
      <c r="O453" s="2"/>
      <c r="P453" s="2"/>
      <c r="Q453" s="45"/>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row>
    <row r="454">
      <c r="A454" s="2"/>
      <c r="B454" s="2"/>
      <c r="C454" s="2"/>
      <c r="D454" s="2"/>
      <c r="E454" s="2"/>
      <c r="F454" s="2"/>
      <c r="G454" s="2"/>
      <c r="H454" s="2"/>
      <c r="I454" s="2"/>
      <c r="J454" s="2"/>
      <c r="K454" s="2"/>
      <c r="L454" s="2"/>
      <c r="M454" s="2"/>
      <c r="N454" s="2"/>
      <c r="O454" s="2"/>
      <c r="P454" s="2"/>
      <c r="Q454" s="45"/>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row>
    <row r="455">
      <c r="A455" s="2"/>
      <c r="B455" s="2"/>
      <c r="C455" s="2"/>
      <c r="D455" s="2"/>
      <c r="E455" s="2"/>
      <c r="F455" s="2"/>
      <c r="G455" s="2"/>
      <c r="H455" s="2"/>
      <c r="I455" s="2"/>
      <c r="J455" s="2"/>
      <c r="K455" s="2"/>
      <c r="L455" s="2"/>
      <c r="M455" s="2"/>
      <c r="N455" s="2"/>
      <c r="O455" s="2"/>
      <c r="P455" s="2"/>
      <c r="Q455" s="45"/>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row>
    <row r="456">
      <c r="A456" s="2"/>
      <c r="B456" s="2"/>
      <c r="C456" s="2"/>
      <c r="D456" s="2"/>
      <c r="E456" s="2"/>
      <c r="F456" s="2"/>
      <c r="G456" s="2"/>
      <c r="H456" s="2"/>
      <c r="I456" s="2"/>
      <c r="J456" s="2"/>
      <c r="K456" s="2"/>
      <c r="L456" s="2"/>
      <c r="M456" s="2"/>
      <c r="N456" s="2"/>
      <c r="O456" s="2"/>
      <c r="P456" s="2"/>
      <c r="Q456" s="45"/>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row>
    <row r="457">
      <c r="A457" s="2"/>
      <c r="B457" s="2"/>
      <c r="C457" s="2"/>
      <c r="D457" s="2"/>
      <c r="E457" s="2"/>
      <c r="F457" s="2"/>
      <c r="G457" s="2"/>
      <c r="H457" s="2"/>
      <c r="I457" s="2"/>
      <c r="J457" s="2"/>
      <c r="K457" s="2"/>
      <c r="L457" s="2"/>
      <c r="M457" s="2"/>
      <c r="N457" s="2"/>
      <c r="O457" s="2"/>
      <c r="P457" s="2"/>
      <c r="Q457" s="45"/>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row>
    <row r="458">
      <c r="A458" s="2"/>
      <c r="B458" s="2"/>
      <c r="C458" s="2"/>
      <c r="D458" s="2"/>
      <c r="E458" s="2"/>
      <c r="F458" s="2"/>
      <c r="G458" s="2"/>
      <c r="H458" s="2"/>
      <c r="I458" s="2"/>
      <c r="J458" s="2"/>
      <c r="K458" s="2"/>
      <c r="L458" s="2"/>
      <c r="M458" s="2"/>
      <c r="N458" s="2"/>
      <c r="O458" s="2"/>
      <c r="P458" s="2"/>
      <c r="Q458" s="45"/>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row>
    <row r="459">
      <c r="A459" s="2"/>
      <c r="B459" s="2"/>
      <c r="C459" s="2"/>
      <c r="D459" s="2"/>
      <c r="E459" s="2"/>
      <c r="F459" s="2"/>
      <c r="G459" s="2"/>
      <c r="H459" s="2"/>
      <c r="I459" s="2"/>
      <c r="J459" s="2"/>
      <c r="K459" s="2"/>
      <c r="L459" s="2"/>
      <c r="M459" s="2"/>
      <c r="N459" s="2"/>
      <c r="O459" s="2"/>
      <c r="P459" s="2"/>
      <c r="Q459" s="45"/>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row>
    <row r="460">
      <c r="A460" s="2"/>
      <c r="B460" s="2"/>
      <c r="C460" s="2"/>
      <c r="D460" s="2"/>
      <c r="E460" s="2"/>
      <c r="F460" s="2"/>
      <c r="G460" s="2"/>
      <c r="H460" s="2"/>
      <c r="I460" s="2"/>
      <c r="J460" s="2"/>
      <c r="K460" s="2"/>
      <c r="L460" s="2"/>
      <c r="M460" s="2"/>
      <c r="N460" s="2"/>
      <c r="O460" s="2"/>
      <c r="P460" s="2"/>
      <c r="Q460" s="45"/>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row>
    <row r="461">
      <c r="A461" s="2"/>
      <c r="B461" s="2"/>
      <c r="C461" s="2"/>
      <c r="D461" s="2"/>
      <c r="E461" s="2"/>
      <c r="F461" s="2"/>
      <c r="G461" s="2"/>
      <c r="H461" s="2"/>
      <c r="I461" s="2"/>
      <c r="J461" s="2"/>
      <c r="K461" s="2"/>
      <c r="L461" s="2"/>
      <c r="M461" s="2"/>
      <c r="N461" s="2"/>
      <c r="O461" s="2"/>
      <c r="P461" s="2"/>
      <c r="Q461" s="45"/>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row>
    <row r="462">
      <c r="A462" s="2"/>
      <c r="B462" s="2"/>
      <c r="C462" s="2"/>
      <c r="D462" s="2"/>
      <c r="E462" s="2"/>
      <c r="F462" s="2"/>
      <c r="G462" s="2"/>
      <c r="H462" s="2"/>
      <c r="I462" s="2"/>
      <c r="J462" s="2"/>
      <c r="K462" s="2"/>
      <c r="L462" s="2"/>
      <c r="M462" s="2"/>
      <c r="N462" s="2"/>
      <c r="O462" s="2"/>
      <c r="P462" s="2"/>
      <c r="Q462" s="45"/>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row>
    <row r="463">
      <c r="A463" s="2"/>
      <c r="B463" s="2"/>
      <c r="C463" s="2"/>
      <c r="D463" s="2"/>
      <c r="E463" s="2"/>
      <c r="F463" s="2"/>
      <c r="G463" s="2"/>
      <c r="H463" s="2"/>
      <c r="I463" s="2"/>
      <c r="J463" s="2"/>
      <c r="K463" s="2"/>
      <c r="L463" s="2"/>
      <c r="M463" s="2"/>
      <c r="N463" s="2"/>
      <c r="O463" s="2"/>
      <c r="P463" s="2"/>
      <c r="Q463" s="45"/>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row>
    <row r="464">
      <c r="A464" s="2"/>
      <c r="B464" s="2"/>
      <c r="C464" s="2"/>
      <c r="D464" s="2"/>
      <c r="E464" s="2"/>
      <c r="F464" s="2"/>
      <c r="G464" s="2"/>
      <c r="H464" s="2"/>
      <c r="I464" s="2"/>
      <c r="J464" s="2"/>
      <c r="K464" s="2"/>
      <c r="L464" s="2"/>
      <c r="M464" s="2"/>
      <c r="N464" s="2"/>
      <c r="O464" s="2"/>
      <c r="P464" s="2"/>
      <c r="Q464" s="45"/>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row>
    <row r="465">
      <c r="A465" s="2"/>
      <c r="B465" s="2"/>
      <c r="C465" s="2"/>
      <c r="D465" s="2"/>
      <c r="E465" s="2"/>
      <c r="F465" s="2"/>
      <c r="G465" s="2"/>
      <c r="H465" s="2"/>
      <c r="I465" s="2"/>
      <c r="J465" s="2"/>
      <c r="K465" s="2"/>
      <c r="L465" s="2"/>
      <c r="M465" s="2"/>
      <c r="N465" s="2"/>
      <c r="O465" s="2"/>
      <c r="P465" s="2"/>
      <c r="Q465" s="45"/>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row>
    <row r="466">
      <c r="A466" s="2"/>
      <c r="B466" s="2"/>
      <c r="C466" s="2"/>
      <c r="D466" s="2"/>
      <c r="E466" s="2"/>
      <c r="F466" s="2"/>
      <c r="G466" s="2"/>
      <c r="H466" s="2"/>
      <c r="I466" s="2"/>
      <c r="J466" s="2"/>
      <c r="K466" s="2"/>
      <c r="L466" s="2"/>
      <c r="M466" s="2"/>
      <c r="N466" s="2"/>
      <c r="O466" s="2"/>
      <c r="P466" s="2"/>
      <c r="Q466" s="45"/>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row>
    <row r="467">
      <c r="A467" s="2"/>
      <c r="B467" s="2"/>
      <c r="C467" s="2"/>
      <c r="D467" s="2"/>
      <c r="E467" s="2"/>
      <c r="F467" s="2"/>
      <c r="G467" s="2"/>
      <c r="H467" s="2"/>
      <c r="I467" s="2"/>
      <c r="J467" s="2"/>
      <c r="K467" s="2"/>
      <c r="L467" s="2"/>
      <c r="M467" s="2"/>
      <c r="N467" s="2"/>
      <c r="O467" s="2"/>
      <c r="P467" s="2"/>
      <c r="Q467" s="45"/>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row>
    <row r="468">
      <c r="A468" s="2"/>
      <c r="B468" s="2"/>
      <c r="C468" s="2"/>
      <c r="D468" s="2"/>
      <c r="E468" s="2"/>
      <c r="F468" s="2"/>
      <c r="G468" s="2"/>
      <c r="H468" s="2"/>
      <c r="I468" s="2"/>
      <c r="J468" s="2"/>
      <c r="K468" s="2"/>
      <c r="L468" s="2"/>
      <c r="M468" s="2"/>
      <c r="N468" s="2"/>
      <c r="O468" s="2"/>
      <c r="P468" s="2"/>
      <c r="Q468" s="45"/>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row>
    <row r="469">
      <c r="A469" s="2"/>
      <c r="B469" s="2"/>
      <c r="C469" s="2"/>
      <c r="D469" s="2"/>
      <c r="E469" s="2"/>
      <c r="F469" s="2"/>
      <c r="G469" s="2"/>
      <c r="H469" s="2"/>
      <c r="I469" s="2"/>
      <c r="J469" s="2"/>
      <c r="K469" s="2"/>
      <c r="L469" s="2"/>
      <c r="M469" s="2"/>
      <c r="N469" s="2"/>
      <c r="O469" s="2"/>
      <c r="P469" s="2"/>
      <c r="Q469" s="45"/>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row>
    <row r="470">
      <c r="A470" s="2"/>
      <c r="B470" s="2"/>
      <c r="C470" s="2"/>
      <c r="D470" s="2"/>
      <c r="E470" s="2"/>
      <c r="F470" s="2"/>
      <c r="G470" s="2"/>
      <c r="H470" s="2"/>
      <c r="I470" s="2"/>
      <c r="J470" s="2"/>
      <c r="K470" s="2"/>
      <c r="L470" s="2"/>
      <c r="M470" s="2"/>
      <c r="N470" s="2"/>
      <c r="O470" s="2"/>
      <c r="P470" s="2"/>
      <c r="Q470" s="45"/>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row>
    <row r="471">
      <c r="A471" s="2"/>
      <c r="B471" s="2"/>
      <c r="C471" s="2"/>
      <c r="D471" s="2"/>
      <c r="E471" s="2"/>
      <c r="F471" s="2"/>
      <c r="G471" s="2"/>
      <c r="H471" s="2"/>
      <c r="I471" s="2"/>
      <c r="J471" s="2"/>
      <c r="K471" s="2"/>
      <c r="L471" s="2"/>
      <c r="M471" s="2"/>
      <c r="N471" s="2"/>
      <c r="O471" s="2"/>
      <c r="P471" s="2"/>
      <c r="Q471" s="45"/>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row>
    <row r="472">
      <c r="A472" s="2"/>
      <c r="B472" s="2"/>
      <c r="C472" s="2"/>
      <c r="D472" s="2"/>
      <c r="E472" s="2"/>
      <c r="F472" s="2"/>
      <c r="G472" s="2"/>
      <c r="H472" s="2"/>
      <c r="I472" s="2"/>
      <c r="J472" s="2"/>
      <c r="K472" s="2"/>
      <c r="L472" s="2"/>
      <c r="M472" s="2"/>
      <c r="N472" s="2"/>
      <c r="O472" s="2"/>
      <c r="P472" s="2"/>
      <c r="Q472" s="45"/>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row>
    <row r="473">
      <c r="A473" s="2"/>
      <c r="B473" s="2"/>
      <c r="C473" s="2"/>
      <c r="D473" s="2"/>
      <c r="E473" s="2"/>
      <c r="F473" s="2"/>
      <c r="G473" s="2"/>
      <c r="H473" s="2"/>
      <c r="I473" s="2"/>
      <c r="J473" s="2"/>
      <c r="K473" s="2"/>
      <c r="L473" s="2"/>
      <c r="M473" s="2"/>
      <c r="N473" s="2"/>
      <c r="O473" s="2"/>
      <c r="P473" s="2"/>
      <c r="Q473" s="45"/>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row>
    <row r="474">
      <c r="A474" s="2"/>
      <c r="B474" s="2"/>
      <c r="C474" s="2"/>
      <c r="D474" s="2"/>
      <c r="E474" s="2"/>
      <c r="F474" s="2"/>
      <c r="G474" s="2"/>
      <c r="H474" s="2"/>
      <c r="I474" s="2"/>
      <c r="J474" s="2"/>
      <c r="K474" s="2"/>
      <c r="L474" s="2"/>
      <c r="M474" s="2"/>
      <c r="N474" s="2"/>
      <c r="O474" s="2"/>
      <c r="P474" s="2"/>
      <c r="Q474" s="45"/>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row>
    <row r="475">
      <c r="A475" s="2"/>
      <c r="B475" s="2"/>
      <c r="C475" s="2"/>
      <c r="D475" s="2"/>
      <c r="E475" s="2"/>
      <c r="F475" s="2"/>
      <c r="G475" s="2"/>
      <c r="H475" s="2"/>
      <c r="I475" s="2"/>
      <c r="J475" s="2"/>
      <c r="K475" s="2"/>
      <c r="L475" s="2"/>
      <c r="M475" s="2"/>
      <c r="N475" s="2"/>
      <c r="O475" s="2"/>
      <c r="P475" s="2"/>
      <c r="Q475" s="45"/>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row>
    <row r="476">
      <c r="A476" s="2"/>
      <c r="B476" s="2"/>
      <c r="C476" s="2"/>
      <c r="D476" s="2"/>
      <c r="E476" s="2"/>
      <c r="F476" s="2"/>
      <c r="G476" s="2"/>
      <c r="H476" s="2"/>
      <c r="I476" s="2"/>
      <c r="J476" s="2"/>
      <c r="K476" s="2"/>
      <c r="L476" s="2"/>
      <c r="M476" s="2"/>
      <c r="N476" s="2"/>
      <c r="O476" s="2"/>
      <c r="P476" s="2"/>
      <c r="Q476" s="45"/>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row>
    <row r="477">
      <c r="A477" s="2"/>
      <c r="B477" s="2"/>
      <c r="C477" s="2"/>
      <c r="D477" s="2"/>
      <c r="E477" s="2"/>
      <c r="F477" s="2"/>
      <c r="G477" s="2"/>
      <c r="H477" s="2"/>
      <c r="I477" s="2"/>
      <c r="J477" s="2"/>
      <c r="K477" s="2"/>
      <c r="L477" s="2"/>
      <c r="M477" s="2"/>
      <c r="N477" s="2"/>
      <c r="O477" s="2"/>
      <c r="P477" s="2"/>
      <c r="Q477" s="45"/>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row>
    <row r="478">
      <c r="A478" s="2"/>
      <c r="B478" s="2"/>
      <c r="C478" s="2"/>
      <c r="D478" s="2"/>
      <c r="E478" s="2"/>
      <c r="F478" s="2"/>
      <c r="G478" s="2"/>
      <c r="H478" s="2"/>
      <c r="I478" s="2"/>
      <c r="J478" s="2"/>
      <c r="K478" s="2"/>
      <c r="L478" s="2"/>
      <c r="M478" s="2"/>
      <c r="N478" s="2"/>
      <c r="O478" s="2"/>
      <c r="P478" s="2"/>
      <c r="Q478" s="45"/>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row>
    <row r="479">
      <c r="A479" s="2"/>
      <c r="B479" s="2"/>
      <c r="C479" s="2"/>
      <c r="D479" s="2"/>
      <c r="E479" s="2"/>
      <c r="F479" s="2"/>
      <c r="G479" s="2"/>
      <c r="H479" s="2"/>
      <c r="I479" s="2"/>
      <c r="J479" s="2"/>
      <c r="K479" s="2"/>
      <c r="L479" s="2"/>
      <c r="M479" s="2"/>
      <c r="N479" s="2"/>
      <c r="O479" s="2"/>
      <c r="P479" s="2"/>
      <c r="Q479" s="45"/>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row>
    <row r="480">
      <c r="A480" s="2"/>
      <c r="B480" s="2"/>
      <c r="C480" s="2"/>
      <c r="D480" s="2"/>
      <c r="E480" s="2"/>
      <c r="F480" s="2"/>
      <c r="G480" s="2"/>
      <c r="H480" s="2"/>
      <c r="I480" s="2"/>
      <c r="J480" s="2"/>
      <c r="K480" s="2"/>
      <c r="L480" s="2"/>
      <c r="M480" s="2"/>
      <c r="N480" s="2"/>
      <c r="O480" s="2"/>
      <c r="P480" s="2"/>
      <c r="Q480" s="45"/>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row>
    <row r="481">
      <c r="A481" s="2"/>
      <c r="B481" s="2"/>
      <c r="C481" s="2"/>
      <c r="D481" s="2"/>
      <c r="E481" s="2"/>
      <c r="F481" s="2"/>
      <c r="G481" s="2"/>
      <c r="H481" s="2"/>
      <c r="I481" s="2"/>
      <c r="J481" s="2"/>
      <c r="K481" s="2"/>
      <c r="L481" s="2"/>
      <c r="M481" s="2"/>
      <c r="N481" s="2"/>
      <c r="O481" s="2"/>
      <c r="P481" s="2"/>
      <c r="Q481" s="45"/>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row>
    <row r="482">
      <c r="A482" s="2"/>
      <c r="B482" s="2"/>
      <c r="C482" s="2"/>
      <c r="D482" s="2"/>
      <c r="E482" s="2"/>
      <c r="F482" s="2"/>
      <c r="G482" s="2"/>
      <c r="H482" s="2"/>
      <c r="I482" s="2"/>
      <c r="J482" s="2"/>
      <c r="K482" s="2"/>
      <c r="L482" s="2"/>
      <c r="M482" s="2"/>
      <c r="N482" s="2"/>
      <c r="O482" s="2"/>
      <c r="P482" s="2"/>
      <c r="Q482" s="45"/>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row>
    <row r="483">
      <c r="A483" s="2"/>
      <c r="B483" s="2"/>
      <c r="C483" s="2"/>
      <c r="D483" s="2"/>
      <c r="E483" s="2"/>
      <c r="F483" s="2"/>
      <c r="G483" s="2"/>
      <c r="H483" s="2"/>
      <c r="I483" s="2"/>
      <c r="J483" s="2"/>
      <c r="K483" s="2"/>
      <c r="L483" s="2"/>
      <c r="M483" s="2"/>
      <c r="N483" s="2"/>
      <c r="O483" s="2"/>
      <c r="P483" s="2"/>
      <c r="Q483" s="45"/>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row>
    <row r="484">
      <c r="A484" s="2"/>
      <c r="B484" s="2"/>
      <c r="C484" s="2"/>
      <c r="D484" s="2"/>
      <c r="E484" s="2"/>
      <c r="F484" s="2"/>
      <c r="G484" s="2"/>
      <c r="H484" s="2"/>
      <c r="I484" s="2"/>
      <c r="J484" s="2"/>
      <c r="K484" s="2"/>
      <c r="L484" s="2"/>
      <c r="M484" s="2"/>
      <c r="N484" s="2"/>
      <c r="O484" s="2"/>
      <c r="P484" s="2"/>
      <c r="Q484" s="45"/>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row>
    <row r="485">
      <c r="A485" s="2"/>
      <c r="B485" s="2"/>
      <c r="C485" s="2"/>
      <c r="D485" s="2"/>
      <c r="E485" s="2"/>
      <c r="F485" s="2"/>
      <c r="G485" s="2"/>
      <c r="H485" s="2"/>
      <c r="I485" s="2"/>
      <c r="J485" s="2"/>
      <c r="K485" s="2"/>
      <c r="L485" s="2"/>
      <c r="M485" s="2"/>
      <c r="N485" s="2"/>
      <c r="O485" s="2"/>
      <c r="P485" s="2"/>
      <c r="Q485" s="45"/>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row>
    <row r="486">
      <c r="A486" s="2"/>
      <c r="B486" s="2"/>
      <c r="C486" s="2"/>
      <c r="D486" s="2"/>
      <c r="E486" s="2"/>
      <c r="F486" s="2"/>
      <c r="G486" s="2"/>
      <c r="H486" s="2"/>
      <c r="I486" s="2"/>
      <c r="J486" s="2"/>
      <c r="K486" s="2"/>
      <c r="L486" s="2"/>
      <c r="M486" s="2"/>
      <c r="N486" s="2"/>
      <c r="O486" s="2"/>
      <c r="P486" s="2"/>
      <c r="Q486" s="45"/>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row>
    <row r="487">
      <c r="A487" s="2"/>
      <c r="B487" s="2"/>
      <c r="C487" s="2"/>
      <c r="D487" s="2"/>
      <c r="E487" s="2"/>
      <c r="F487" s="2"/>
      <c r="G487" s="2"/>
      <c r="H487" s="2"/>
      <c r="I487" s="2"/>
      <c r="J487" s="2"/>
      <c r="K487" s="2"/>
      <c r="L487" s="2"/>
      <c r="M487" s="2"/>
      <c r="N487" s="2"/>
      <c r="O487" s="2"/>
      <c r="P487" s="2"/>
      <c r="Q487" s="45"/>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row>
    <row r="488">
      <c r="A488" s="2"/>
      <c r="B488" s="2"/>
      <c r="C488" s="2"/>
      <c r="D488" s="2"/>
      <c r="E488" s="2"/>
      <c r="F488" s="2"/>
      <c r="G488" s="2"/>
      <c r="H488" s="2"/>
      <c r="I488" s="2"/>
      <c r="J488" s="2"/>
      <c r="K488" s="2"/>
      <c r="L488" s="2"/>
      <c r="M488" s="2"/>
      <c r="N488" s="2"/>
      <c r="O488" s="2"/>
      <c r="P488" s="2"/>
      <c r="Q488" s="45"/>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row>
    <row r="489">
      <c r="A489" s="2"/>
      <c r="B489" s="2"/>
      <c r="C489" s="2"/>
      <c r="D489" s="2"/>
      <c r="E489" s="2"/>
      <c r="F489" s="2"/>
      <c r="G489" s="2"/>
      <c r="H489" s="2"/>
      <c r="I489" s="2"/>
      <c r="J489" s="2"/>
      <c r="K489" s="2"/>
      <c r="L489" s="2"/>
      <c r="M489" s="2"/>
      <c r="N489" s="2"/>
      <c r="O489" s="2"/>
      <c r="P489" s="2"/>
      <c r="Q489" s="45"/>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row>
    <row r="490">
      <c r="A490" s="2"/>
      <c r="B490" s="2"/>
      <c r="C490" s="2"/>
      <c r="D490" s="2"/>
      <c r="E490" s="2"/>
      <c r="F490" s="2"/>
      <c r="G490" s="2"/>
      <c r="H490" s="2"/>
      <c r="I490" s="2"/>
      <c r="J490" s="2"/>
      <c r="K490" s="2"/>
      <c r="L490" s="2"/>
      <c r="M490" s="2"/>
      <c r="N490" s="2"/>
      <c r="O490" s="2"/>
      <c r="P490" s="2"/>
      <c r="Q490" s="45"/>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row>
    <row r="491">
      <c r="A491" s="2"/>
      <c r="B491" s="2"/>
      <c r="C491" s="2"/>
      <c r="D491" s="2"/>
      <c r="E491" s="2"/>
      <c r="F491" s="2"/>
      <c r="G491" s="2"/>
      <c r="H491" s="2"/>
      <c r="I491" s="2"/>
      <c r="J491" s="2"/>
      <c r="K491" s="2"/>
      <c r="L491" s="2"/>
      <c r="M491" s="2"/>
      <c r="N491" s="2"/>
      <c r="O491" s="2"/>
      <c r="P491" s="2"/>
      <c r="Q491" s="45"/>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row>
    <row r="492">
      <c r="A492" s="2"/>
      <c r="B492" s="2"/>
      <c r="C492" s="2"/>
      <c r="D492" s="2"/>
      <c r="E492" s="2"/>
      <c r="F492" s="2"/>
      <c r="G492" s="2"/>
      <c r="H492" s="2"/>
      <c r="I492" s="2"/>
      <c r="J492" s="2"/>
      <c r="K492" s="2"/>
      <c r="L492" s="2"/>
      <c r="M492" s="2"/>
      <c r="N492" s="2"/>
      <c r="O492" s="2"/>
      <c r="P492" s="2"/>
      <c r="Q492" s="45"/>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row>
    <row r="493">
      <c r="A493" s="2"/>
      <c r="B493" s="2"/>
      <c r="C493" s="2"/>
      <c r="D493" s="2"/>
      <c r="E493" s="2"/>
      <c r="F493" s="2"/>
      <c r="G493" s="2"/>
      <c r="H493" s="2"/>
      <c r="I493" s="2"/>
      <c r="J493" s="2"/>
      <c r="K493" s="2"/>
      <c r="L493" s="2"/>
      <c r="M493" s="2"/>
      <c r="N493" s="2"/>
      <c r="O493" s="2"/>
      <c r="P493" s="2"/>
      <c r="Q493" s="45"/>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row>
    <row r="494">
      <c r="A494" s="2"/>
      <c r="B494" s="2"/>
      <c r="C494" s="2"/>
      <c r="D494" s="2"/>
      <c r="E494" s="2"/>
      <c r="F494" s="2"/>
      <c r="G494" s="2"/>
      <c r="H494" s="2"/>
      <c r="I494" s="2"/>
      <c r="J494" s="2"/>
      <c r="K494" s="2"/>
      <c r="L494" s="2"/>
      <c r="M494" s="2"/>
      <c r="N494" s="2"/>
      <c r="O494" s="2"/>
      <c r="P494" s="2"/>
      <c r="Q494" s="45"/>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row>
    <row r="495">
      <c r="A495" s="2"/>
      <c r="B495" s="2"/>
      <c r="C495" s="2"/>
      <c r="D495" s="2"/>
      <c r="E495" s="2"/>
      <c r="F495" s="2"/>
      <c r="G495" s="2"/>
      <c r="H495" s="2"/>
      <c r="I495" s="2"/>
      <c r="J495" s="2"/>
      <c r="K495" s="2"/>
      <c r="L495" s="2"/>
      <c r="M495" s="2"/>
      <c r="N495" s="2"/>
      <c r="O495" s="2"/>
      <c r="P495" s="2"/>
      <c r="Q495" s="45"/>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row>
    <row r="496">
      <c r="A496" s="2"/>
      <c r="B496" s="2"/>
      <c r="C496" s="2"/>
      <c r="D496" s="2"/>
      <c r="E496" s="2"/>
      <c r="F496" s="2"/>
      <c r="G496" s="2"/>
      <c r="H496" s="2"/>
      <c r="I496" s="2"/>
      <c r="J496" s="2"/>
      <c r="K496" s="2"/>
      <c r="L496" s="2"/>
      <c r="M496" s="2"/>
      <c r="N496" s="2"/>
      <c r="O496" s="2"/>
      <c r="P496" s="2"/>
      <c r="Q496" s="45"/>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row>
    <row r="497">
      <c r="A497" s="2"/>
      <c r="B497" s="2"/>
      <c r="C497" s="2"/>
      <c r="D497" s="2"/>
      <c r="E497" s="2"/>
      <c r="F497" s="2"/>
      <c r="G497" s="2"/>
      <c r="H497" s="2"/>
      <c r="I497" s="2"/>
      <c r="J497" s="2"/>
      <c r="K497" s="2"/>
      <c r="L497" s="2"/>
      <c r="M497" s="2"/>
      <c r="N497" s="2"/>
      <c r="O497" s="2"/>
      <c r="P497" s="2"/>
      <c r="Q497" s="45"/>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row>
    <row r="498">
      <c r="A498" s="2"/>
      <c r="B498" s="2"/>
      <c r="C498" s="2"/>
      <c r="D498" s="2"/>
      <c r="E498" s="2"/>
      <c r="F498" s="2"/>
      <c r="G498" s="2"/>
      <c r="H498" s="2"/>
      <c r="I498" s="2"/>
      <c r="J498" s="2"/>
      <c r="K498" s="2"/>
      <c r="L498" s="2"/>
      <c r="M498" s="2"/>
      <c r="N498" s="2"/>
      <c r="O498" s="2"/>
      <c r="P498" s="2"/>
      <c r="Q498" s="45"/>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row>
    <row r="499">
      <c r="A499" s="2"/>
      <c r="B499" s="2"/>
      <c r="C499" s="2"/>
      <c r="D499" s="2"/>
      <c r="E499" s="2"/>
      <c r="F499" s="2"/>
      <c r="G499" s="2"/>
      <c r="H499" s="2"/>
      <c r="I499" s="2"/>
      <c r="J499" s="2"/>
      <c r="K499" s="2"/>
      <c r="L499" s="2"/>
      <c r="M499" s="2"/>
      <c r="N499" s="2"/>
      <c r="O499" s="2"/>
      <c r="P499" s="2"/>
      <c r="Q499" s="45"/>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row>
    <row r="500">
      <c r="A500" s="2"/>
      <c r="B500" s="2"/>
      <c r="C500" s="2"/>
      <c r="D500" s="2"/>
      <c r="E500" s="2"/>
      <c r="F500" s="2"/>
      <c r="G500" s="2"/>
      <c r="H500" s="2"/>
      <c r="I500" s="2"/>
      <c r="J500" s="2"/>
      <c r="K500" s="2"/>
      <c r="L500" s="2"/>
      <c r="M500" s="2"/>
      <c r="N500" s="2"/>
      <c r="O500" s="2"/>
      <c r="P500" s="2"/>
      <c r="Q500" s="45"/>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row>
    <row r="501">
      <c r="A501" s="2"/>
      <c r="B501" s="2"/>
      <c r="C501" s="2"/>
      <c r="D501" s="2"/>
      <c r="E501" s="2"/>
      <c r="F501" s="2"/>
      <c r="G501" s="2"/>
      <c r="H501" s="2"/>
      <c r="I501" s="2"/>
      <c r="J501" s="2"/>
      <c r="K501" s="2"/>
      <c r="L501" s="2"/>
      <c r="M501" s="2"/>
      <c r="N501" s="2"/>
      <c r="O501" s="2"/>
      <c r="P501" s="2"/>
      <c r="Q501" s="45"/>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row>
    <row r="502">
      <c r="A502" s="2"/>
      <c r="B502" s="2"/>
      <c r="C502" s="2"/>
      <c r="D502" s="2"/>
      <c r="E502" s="2"/>
      <c r="F502" s="2"/>
      <c r="G502" s="2"/>
      <c r="H502" s="2"/>
      <c r="I502" s="2"/>
      <c r="J502" s="2"/>
      <c r="K502" s="2"/>
      <c r="L502" s="2"/>
      <c r="M502" s="2"/>
      <c r="N502" s="2"/>
      <c r="O502" s="2"/>
      <c r="P502" s="2"/>
      <c r="Q502" s="45"/>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row>
    <row r="503">
      <c r="A503" s="2"/>
      <c r="B503" s="2"/>
      <c r="C503" s="2"/>
      <c r="D503" s="2"/>
      <c r="E503" s="2"/>
      <c r="F503" s="2"/>
      <c r="G503" s="2"/>
      <c r="H503" s="2"/>
      <c r="I503" s="2"/>
      <c r="J503" s="2"/>
      <c r="K503" s="2"/>
      <c r="L503" s="2"/>
      <c r="M503" s="2"/>
      <c r="N503" s="2"/>
      <c r="O503" s="2"/>
      <c r="P503" s="2"/>
      <c r="Q503" s="45"/>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row>
    <row r="504">
      <c r="A504" s="2"/>
      <c r="B504" s="2"/>
      <c r="C504" s="2"/>
      <c r="D504" s="2"/>
      <c r="E504" s="2"/>
      <c r="F504" s="2"/>
      <c r="G504" s="2"/>
      <c r="H504" s="2"/>
      <c r="I504" s="2"/>
      <c r="J504" s="2"/>
      <c r="K504" s="2"/>
      <c r="L504" s="2"/>
      <c r="M504" s="2"/>
      <c r="N504" s="2"/>
      <c r="O504" s="2"/>
      <c r="P504" s="2"/>
      <c r="Q504" s="45"/>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row>
    <row r="505">
      <c r="A505" s="2"/>
      <c r="B505" s="2"/>
      <c r="C505" s="2"/>
      <c r="D505" s="2"/>
      <c r="E505" s="2"/>
      <c r="F505" s="2"/>
      <c r="G505" s="2"/>
      <c r="H505" s="2"/>
      <c r="I505" s="2"/>
      <c r="J505" s="2"/>
      <c r="K505" s="2"/>
      <c r="L505" s="2"/>
      <c r="M505" s="2"/>
      <c r="N505" s="2"/>
      <c r="O505" s="2"/>
      <c r="P505" s="2"/>
      <c r="Q505" s="45"/>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row>
    <row r="506">
      <c r="A506" s="2"/>
      <c r="B506" s="2"/>
      <c r="C506" s="2"/>
      <c r="D506" s="2"/>
      <c r="E506" s="2"/>
      <c r="F506" s="2"/>
      <c r="G506" s="2"/>
      <c r="H506" s="2"/>
      <c r="I506" s="2"/>
      <c r="J506" s="2"/>
      <c r="K506" s="2"/>
      <c r="L506" s="2"/>
      <c r="M506" s="2"/>
      <c r="N506" s="2"/>
      <c r="O506" s="2"/>
      <c r="P506" s="2"/>
      <c r="Q506" s="45"/>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row>
    <row r="507">
      <c r="A507" s="2"/>
      <c r="B507" s="2"/>
      <c r="C507" s="2"/>
      <c r="D507" s="2"/>
      <c r="E507" s="2"/>
      <c r="F507" s="2"/>
      <c r="G507" s="2"/>
      <c r="H507" s="2"/>
      <c r="I507" s="2"/>
      <c r="J507" s="2"/>
      <c r="K507" s="2"/>
      <c r="L507" s="2"/>
      <c r="M507" s="2"/>
      <c r="N507" s="2"/>
      <c r="O507" s="2"/>
      <c r="P507" s="2"/>
      <c r="Q507" s="45"/>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row>
    <row r="508">
      <c r="A508" s="2"/>
      <c r="B508" s="2"/>
      <c r="C508" s="2"/>
      <c r="D508" s="2"/>
      <c r="E508" s="2"/>
      <c r="F508" s="2"/>
      <c r="G508" s="2"/>
      <c r="H508" s="2"/>
      <c r="I508" s="2"/>
      <c r="J508" s="2"/>
      <c r="K508" s="2"/>
      <c r="L508" s="2"/>
      <c r="M508" s="2"/>
      <c r="N508" s="2"/>
      <c r="O508" s="2"/>
      <c r="P508" s="2"/>
      <c r="Q508" s="45"/>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row>
    <row r="509">
      <c r="A509" s="2"/>
      <c r="B509" s="2"/>
      <c r="C509" s="2"/>
      <c r="D509" s="2"/>
      <c r="E509" s="2"/>
      <c r="F509" s="2"/>
      <c r="G509" s="2"/>
      <c r="H509" s="2"/>
      <c r="I509" s="2"/>
      <c r="J509" s="2"/>
      <c r="K509" s="2"/>
      <c r="L509" s="2"/>
      <c r="M509" s="2"/>
      <c r="N509" s="2"/>
      <c r="O509" s="2"/>
      <c r="P509" s="2"/>
      <c r="Q509" s="45"/>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row>
    <row r="510">
      <c r="A510" s="2"/>
      <c r="B510" s="2"/>
      <c r="C510" s="2"/>
      <c r="D510" s="2"/>
      <c r="E510" s="2"/>
      <c r="F510" s="2"/>
      <c r="G510" s="2"/>
      <c r="H510" s="2"/>
      <c r="I510" s="2"/>
      <c r="J510" s="2"/>
      <c r="K510" s="2"/>
      <c r="L510" s="2"/>
      <c r="M510" s="2"/>
      <c r="N510" s="2"/>
      <c r="O510" s="2"/>
      <c r="P510" s="2"/>
      <c r="Q510" s="45"/>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row>
    <row r="511">
      <c r="A511" s="2"/>
      <c r="B511" s="2"/>
      <c r="C511" s="2"/>
      <c r="D511" s="2"/>
      <c r="E511" s="2"/>
      <c r="F511" s="2"/>
      <c r="G511" s="2"/>
      <c r="H511" s="2"/>
      <c r="I511" s="2"/>
      <c r="J511" s="2"/>
      <c r="K511" s="2"/>
      <c r="L511" s="2"/>
      <c r="M511" s="2"/>
      <c r="N511" s="2"/>
      <c r="O511" s="2"/>
      <c r="P511" s="2"/>
      <c r="Q511" s="45"/>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row>
    <row r="512">
      <c r="A512" s="2"/>
      <c r="B512" s="2"/>
      <c r="C512" s="2"/>
      <c r="D512" s="2"/>
      <c r="E512" s="2"/>
      <c r="F512" s="2"/>
      <c r="G512" s="2"/>
      <c r="H512" s="2"/>
      <c r="I512" s="2"/>
      <c r="J512" s="2"/>
      <c r="K512" s="2"/>
      <c r="L512" s="2"/>
      <c r="M512" s="2"/>
      <c r="N512" s="2"/>
      <c r="O512" s="2"/>
      <c r="P512" s="2"/>
      <c r="Q512" s="45"/>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row>
    <row r="513">
      <c r="A513" s="2"/>
      <c r="B513" s="2"/>
      <c r="C513" s="2"/>
      <c r="D513" s="2"/>
      <c r="E513" s="2"/>
      <c r="F513" s="2"/>
      <c r="G513" s="2"/>
      <c r="H513" s="2"/>
      <c r="I513" s="2"/>
      <c r="J513" s="2"/>
      <c r="K513" s="2"/>
      <c r="L513" s="2"/>
      <c r="M513" s="2"/>
      <c r="N513" s="2"/>
      <c r="O513" s="2"/>
      <c r="P513" s="2"/>
      <c r="Q513" s="45"/>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row>
    <row r="514">
      <c r="A514" s="2"/>
      <c r="B514" s="2"/>
      <c r="C514" s="2"/>
      <c r="D514" s="2"/>
      <c r="E514" s="2"/>
      <c r="F514" s="2"/>
      <c r="G514" s="2"/>
      <c r="H514" s="2"/>
      <c r="I514" s="2"/>
      <c r="J514" s="2"/>
      <c r="K514" s="2"/>
      <c r="L514" s="2"/>
      <c r="M514" s="2"/>
      <c r="N514" s="2"/>
      <c r="O514" s="2"/>
      <c r="P514" s="2"/>
      <c r="Q514" s="45"/>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row>
    <row r="515">
      <c r="A515" s="2"/>
      <c r="B515" s="2"/>
      <c r="C515" s="2"/>
      <c r="D515" s="2"/>
      <c r="E515" s="2"/>
      <c r="F515" s="2"/>
      <c r="G515" s="2"/>
      <c r="H515" s="2"/>
      <c r="I515" s="2"/>
      <c r="J515" s="2"/>
      <c r="K515" s="2"/>
      <c r="L515" s="2"/>
      <c r="M515" s="2"/>
      <c r="N515" s="2"/>
      <c r="O515" s="2"/>
      <c r="P515" s="2"/>
      <c r="Q515" s="45"/>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row>
    <row r="516">
      <c r="A516" s="2"/>
      <c r="B516" s="2"/>
      <c r="C516" s="2"/>
      <c r="D516" s="2"/>
      <c r="E516" s="2"/>
      <c r="F516" s="2"/>
      <c r="G516" s="2"/>
      <c r="H516" s="2"/>
      <c r="I516" s="2"/>
      <c r="J516" s="2"/>
      <c r="K516" s="2"/>
      <c r="L516" s="2"/>
      <c r="M516" s="2"/>
      <c r="N516" s="2"/>
      <c r="O516" s="2"/>
      <c r="P516" s="2"/>
      <c r="Q516" s="45"/>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row>
    <row r="517">
      <c r="A517" s="2"/>
      <c r="B517" s="2"/>
      <c r="C517" s="2"/>
      <c r="D517" s="2"/>
      <c r="E517" s="2"/>
      <c r="F517" s="2"/>
      <c r="G517" s="2"/>
      <c r="H517" s="2"/>
      <c r="I517" s="2"/>
      <c r="J517" s="2"/>
      <c r="K517" s="2"/>
      <c r="L517" s="2"/>
      <c r="M517" s="2"/>
      <c r="N517" s="2"/>
      <c r="O517" s="2"/>
      <c r="P517" s="2"/>
      <c r="Q517" s="45"/>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row>
    <row r="518">
      <c r="A518" s="2"/>
      <c r="B518" s="2"/>
      <c r="C518" s="2"/>
      <c r="D518" s="2"/>
      <c r="E518" s="2"/>
      <c r="F518" s="2"/>
      <c r="G518" s="2"/>
      <c r="H518" s="2"/>
      <c r="I518" s="2"/>
      <c r="J518" s="2"/>
      <c r="K518" s="2"/>
      <c r="L518" s="2"/>
      <c r="M518" s="2"/>
      <c r="N518" s="2"/>
      <c r="O518" s="2"/>
      <c r="P518" s="2"/>
      <c r="Q518" s="45"/>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row>
    <row r="519">
      <c r="A519" s="2"/>
      <c r="B519" s="2"/>
      <c r="C519" s="2"/>
      <c r="D519" s="2"/>
      <c r="E519" s="2"/>
      <c r="F519" s="2"/>
      <c r="G519" s="2"/>
      <c r="H519" s="2"/>
      <c r="I519" s="2"/>
      <c r="J519" s="2"/>
      <c r="K519" s="2"/>
      <c r="L519" s="2"/>
      <c r="M519" s="2"/>
      <c r="N519" s="2"/>
      <c r="O519" s="2"/>
      <c r="P519" s="2"/>
      <c r="Q519" s="45"/>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row>
    <row r="520">
      <c r="A520" s="2"/>
      <c r="B520" s="2"/>
      <c r="C520" s="2"/>
      <c r="D520" s="2"/>
      <c r="E520" s="2"/>
      <c r="F520" s="2"/>
      <c r="G520" s="2"/>
      <c r="H520" s="2"/>
      <c r="I520" s="2"/>
      <c r="J520" s="2"/>
      <c r="K520" s="2"/>
      <c r="L520" s="2"/>
      <c r="M520" s="2"/>
      <c r="N520" s="2"/>
      <c r="O520" s="2"/>
      <c r="P520" s="2"/>
      <c r="Q520" s="45"/>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row>
    <row r="521">
      <c r="A521" s="2"/>
      <c r="B521" s="2"/>
      <c r="C521" s="2"/>
      <c r="D521" s="2"/>
      <c r="E521" s="2"/>
      <c r="F521" s="2"/>
      <c r="G521" s="2"/>
      <c r="H521" s="2"/>
      <c r="I521" s="2"/>
      <c r="J521" s="2"/>
      <c r="K521" s="2"/>
      <c r="L521" s="2"/>
      <c r="M521" s="2"/>
      <c r="N521" s="2"/>
      <c r="O521" s="2"/>
      <c r="P521" s="2"/>
      <c r="Q521" s="45"/>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row>
    <row r="522">
      <c r="A522" s="2"/>
      <c r="B522" s="2"/>
      <c r="C522" s="2"/>
      <c r="D522" s="2"/>
      <c r="E522" s="2"/>
      <c r="F522" s="2"/>
      <c r="G522" s="2"/>
      <c r="H522" s="2"/>
      <c r="I522" s="2"/>
      <c r="J522" s="2"/>
      <c r="K522" s="2"/>
      <c r="L522" s="2"/>
      <c r="M522" s="2"/>
      <c r="N522" s="2"/>
      <c r="O522" s="2"/>
      <c r="P522" s="2"/>
      <c r="Q522" s="45"/>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row>
    <row r="523">
      <c r="A523" s="2"/>
      <c r="B523" s="2"/>
      <c r="C523" s="2"/>
      <c r="D523" s="2"/>
      <c r="E523" s="2"/>
      <c r="F523" s="2"/>
      <c r="G523" s="2"/>
      <c r="H523" s="2"/>
      <c r="I523" s="2"/>
      <c r="J523" s="2"/>
      <c r="K523" s="2"/>
      <c r="L523" s="2"/>
      <c r="M523" s="2"/>
      <c r="N523" s="2"/>
      <c r="O523" s="2"/>
      <c r="P523" s="2"/>
      <c r="Q523" s="45"/>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row>
    <row r="524">
      <c r="A524" s="2"/>
      <c r="B524" s="2"/>
      <c r="C524" s="2"/>
      <c r="D524" s="2"/>
      <c r="E524" s="2"/>
      <c r="F524" s="2"/>
      <c r="G524" s="2"/>
      <c r="H524" s="2"/>
      <c r="I524" s="2"/>
      <c r="J524" s="2"/>
      <c r="K524" s="2"/>
      <c r="L524" s="2"/>
      <c r="M524" s="2"/>
      <c r="N524" s="2"/>
      <c r="O524" s="2"/>
      <c r="P524" s="2"/>
      <c r="Q524" s="45"/>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row>
    <row r="525">
      <c r="A525" s="2"/>
      <c r="B525" s="2"/>
      <c r="C525" s="2"/>
      <c r="D525" s="2"/>
      <c r="E525" s="2"/>
      <c r="F525" s="2"/>
      <c r="G525" s="2"/>
      <c r="H525" s="2"/>
      <c r="I525" s="2"/>
      <c r="J525" s="2"/>
      <c r="K525" s="2"/>
      <c r="L525" s="2"/>
      <c r="M525" s="2"/>
      <c r="N525" s="2"/>
      <c r="O525" s="2"/>
      <c r="P525" s="2"/>
      <c r="Q525" s="45"/>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row>
    <row r="526">
      <c r="A526" s="2"/>
      <c r="B526" s="2"/>
      <c r="C526" s="2"/>
      <c r="D526" s="2"/>
      <c r="E526" s="2"/>
      <c r="F526" s="2"/>
      <c r="G526" s="2"/>
      <c r="H526" s="2"/>
      <c r="I526" s="2"/>
      <c r="J526" s="2"/>
      <c r="K526" s="2"/>
      <c r="L526" s="2"/>
      <c r="M526" s="2"/>
      <c r="N526" s="2"/>
      <c r="O526" s="2"/>
      <c r="P526" s="2"/>
      <c r="Q526" s="45"/>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row>
    <row r="527">
      <c r="A527" s="2"/>
      <c r="B527" s="2"/>
      <c r="C527" s="2"/>
      <c r="D527" s="2"/>
      <c r="E527" s="2"/>
      <c r="F527" s="2"/>
      <c r="G527" s="2"/>
      <c r="H527" s="2"/>
      <c r="I527" s="2"/>
      <c r="J527" s="2"/>
      <c r="K527" s="2"/>
      <c r="L527" s="2"/>
      <c r="M527" s="2"/>
      <c r="N527" s="2"/>
      <c r="O527" s="2"/>
      <c r="P527" s="2"/>
      <c r="Q527" s="45"/>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row>
    <row r="528">
      <c r="A528" s="2"/>
      <c r="B528" s="2"/>
      <c r="C528" s="2"/>
      <c r="D528" s="2"/>
      <c r="E528" s="2"/>
      <c r="F528" s="2"/>
      <c r="G528" s="2"/>
      <c r="H528" s="2"/>
      <c r="I528" s="2"/>
      <c r="J528" s="2"/>
      <c r="K528" s="2"/>
      <c r="L528" s="2"/>
      <c r="M528" s="2"/>
      <c r="N528" s="2"/>
      <c r="O528" s="2"/>
      <c r="P528" s="2"/>
      <c r="Q528" s="45"/>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row>
    <row r="529">
      <c r="A529" s="2"/>
      <c r="B529" s="2"/>
      <c r="C529" s="2"/>
      <c r="D529" s="2"/>
      <c r="E529" s="2"/>
      <c r="F529" s="2"/>
      <c r="G529" s="2"/>
      <c r="H529" s="2"/>
      <c r="I529" s="2"/>
      <c r="J529" s="2"/>
      <c r="K529" s="2"/>
      <c r="L529" s="2"/>
      <c r="M529" s="2"/>
      <c r="N529" s="2"/>
      <c r="O529" s="2"/>
      <c r="P529" s="2"/>
      <c r="Q529" s="45"/>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row>
    <row r="530">
      <c r="A530" s="2"/>
      <c r="B530" s="2"/>
      <c r="C530" s="2"/>
      <c r="D530" s="2"/>
      <c r="E530" s="2"/>
      <c r="F530" s="2"/>
      <c r="G530" s="2"/>
      <c r="H530" s="2"/>
      <c r="I530" s="2"/>
      <c r="J530" s="2"/>
      <c r="K530" s="2"/>
      <c r="L530" s="2"/>
      <c r="M530" s="2"/>
      <c r="N530" s="2"/>
      <c r="O530" s="2"/>
      <c r="P530" s="2"/>
      <c r="Q530" s="45"/>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row>
    <row r="531">
      <c r="A531" s="2"/>
      <c r="B531" s="2"/>
      <c r="C531" s="2"/>
      <c r="D531" s="2"/>
      <c r="E531" s="2"/>
      <c r="F531" s="2"/>
      <c r="G531" s="2"/>
      <c r="H531" s="2"/>
      <c r="I531" s="2"/>
      <c r="J531" s="2"/>
      <c r="K531" s="2"/>
      <c r="L531" s="2"/>
      <c r="M531" s="2"/>
      <c r="N531" s="2"/>
      <c r="O531" s="2"/>
      <c r="P531" s="2"/>
      <c r="Q531" s="45"/>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row>
    <row r="532">
      <c r="A532" s="2"/>
      <c r="B532" s="2"/>
      <c r="C532" s="2"/>
      <c r="D532" s="2"/>
      <c r="E532" s="2"/>
      <c r="F532" s="2"/>
      <c r="G532" s="2"/>
      <c r="H532" s="2"/>
      <c r="I532" s="2"/>
      <c r="J532" s="2"/>
      <c r="K532" s="2"/>
      <c r="L532" s="2"/>
      <c r="M532" s="2"/>
      <c r="N532" s="2"/>
      <c r="O532" s="2"/>
      <c r="P532" s="2"/>
      <c r="Q532" s="45"/>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row>
    <row r="533">
      <c r="A533" s="2"/>
      <c r="B533" s="2"/>
      <c r="C533" s="2"/>
      <c r="D533" s="2"/>
      <c r="E533" s="2"/>
      <c r="F533" s="2"/>
      <c r="G533" s="2"/>
      <c r="H533" s="2"/>
      <c r="I533" s="2"/>
      <c r="J533" s="2"/>
      <c r="K533" s="2"/>
      <c r="L533" s="2"/>
      <c r="M533" s="2"/>
      <c r="N533" s="2"/>
      <c r="O533" s="2"/>
      <c r="P533" s="2"/>
      <c r="Q533" s="45"/>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row>
    <row r="534">
      <c r="A534" s="2"/>
      <c r="B534" s="2"/>
      <c r="C534" s="2"/>
      <c r="D534" s="2"/>
      <c r="E534" s="2"/>
      <c r="F534" s="2"/>
      <c r="G534" s="2"/>
      <c r="H534" s="2"/>
      <c r="I534" s="2"/>
      <c r="J534" s="2"/>
      <c r="K534" s="2"/>
      <c r="L534" s="2"/>
      <c r="M534" s="2"/>
      <c r="N534" s="2"/>
      <c r="O534" s="2"/>
      <c r="P534" s="2"/>
      <c r="Q534" s="45"/>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row>
    <row r="535">
      <c r="A535" s="2"/>
      <c r="B535" s="2"/>
      <c r="C535" s="2"/>
      <c r="D535" s="2"/>
      <c r="E535" s="2"/>
      <c r="F535" s="2"/>
      <c r="G535" s="2"/>
      <c r="H535" s="2"/>
      <c r="I535" s="2"/>
      <c r="J535" s="2"/>
      <c r="K535" s="2"/>
      <c r="L535" s="2"/>
      <c r="M535" s="2"/>
      <c r="N535" s="2"/>
      <c r="O535" s="2"/>
      <c r="P535" s="2"/>
      <c r="Q535" s="45"/>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row>
    <row r="536">
      <c r="A536" s="2"/>
      <c r="B536" s="2"/>
      <c r="C536" s="2"/>
      <c r="D536" s="2"/>
      <c r="E536" s="2"/>
      <c r="F536" s="2"/>
      <c r="G536" s="2"/>
      <c r="H536" s="2"/>
      <c r="I536" s="2"/>
      <c r="J536" s="2"/>
      <c r="K536" s="2"/>
      <c r="L536" s="2"/>
      <c r="M536" s="2"/>
      <c r="N536" s="2"/>
      <c r="O536" s="2"/>
      <c r="P536" s="2"/>
      <c r="Q536" s="45"/>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row>
    <row r="537">
      <c r="A537" s="2"/>
      <c r="B537" s="2"/>
      <c r="C537" s="2"/>
      <c r="D537" s="2"/>
      <c r="E537" s="2"/>
      <c r="F537" s="2"/>
      <c r="G537" s="2"/>
      <c r="H537" s="2"/>
      <c r="I537" s="2"/>
      <c r="J537" s="2"/>
      <c r="K537" s="2"/>
      <c r="L537" s="2"/>
      <c r="M537" s="2"/>
      <c r="N537" s="2"/>
      <c r="O537" s="2"/>
      <c r="P537" s="2"/>
      <c r="Q537" s="45"/>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row>
    <row r="538">
      <c r="A538" s="2"/>
      <c r="B538" s="2"/>
      <c r="C538" s="2"/>
      <c r="D538" s="2"/>
      <c r="E538" s="2"/>
      <c r="F538" s="2"/>
      <c r="G538" s="2"/>
      <c r="H538" s="2"/>
      <c r="I538" s="2"/>
      <c r="J538" s="2"/>
      <c r="K538" s="2"/>
      <c r="L538" s="2"/>
      <c r="M538" s="2"/>
      <c r="N538" s="2"/>
      <c r="O538" s="2"/>
      <c r="P538" s="2"/>
      <c r="Q538" s="45"/>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row>
    <row r="539">
      <c r="A539" s="2"/>
      <c r="B539" s="2"/>
      <c r="C539" s="2"/>
      <c r="D539" s="2"/>
      <c r="E539" s="2"/>
      <c r="F539" s="2"/>
      <c r="G539" s="2"/>
      <c r="H539" s="2"/>
      <c r="I539" s="2"/>
      <c r="J539" s="2"/>
      <c r="K539" s="2"/>
      <c r="L539" s="2"/>
      <c r="M539" s="2"/>
      <c r="N539" s="2"/>
      <c r="O539" s="2"/>
      <c r="P539" s="2"/>
      <c r="Q539" s="45"/>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row>
    <row r="540">
      <c r="A540" s="2"/>
      <c r="B540" s="2"/>
      <c r="C540" s="2"/>
      <c r="D540" s="2"/>
      <c r="E540" s="2"/>
      <c r="F540" s="2"/>
      <c r="G540" s="2"/>
      <c r="H540" s="2"/>
      <c r="I540" s="2"/>
      <c r="J540" s="2"/>
      <c r="K540" s="2"/>
      <c r="L540" s="2"/>
      <c r="M540" s="2"/>
      <c r="N540" s="2"/>
      <c r="O540" s="2"/>
      <c r="P540" s="2"/>
      <c r="Q540" s="45"/>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row>
    <row r="541">
      <c r="A541" s="2"/>
      <c r="B541" s="2"/>
      <c r="C541" s="2"/>
      <c r="D541" s="2"/>
      <c r="E541" s="2"/>
      <c r="F541" s="2"/>
      <c r="G541" s="2"/>
      <c r="H541" s="2"/>
      <c r="I541" s="2"/>
      <c r="J541" s="2"/>
      <c r="K541" s="2"/>
      <c r="L541" s="2"/>
      <c r="M541" s="2"/>
      <c r="N541" s="2"/>
      <c r="O541" s="2"/>
      <c r="P541" s="2"/>
      <c r="Q541" s="45"/>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row>
    <row r="542">
      <c r="A542" s="2"/>
      <c r="B542" s="2"/>
      <c r="C542" s="2"/>
      <c r="D542" s="2"/>
      <c r="E542" s="2"/>
      <c r="F542" s="2"/>
      <c r="G542" s="2"/>
      <c r="H542" s="2"/>
      <c r="I542" s="2"/>
      <c r="J542" s="2"/>
      <c r="K542" s="2"/>
      <c r="L542" s="2"/>
      <c r="M542" s="2"/>
      <c r="N542" s="2"/>
      <c r="O542" s="2"/>
      <c r="P542" s="2"/>
      <c r="Q542" s="45"/>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row>
    <row r="543">
      <c r="A543" s="2"/>
      <c r="B543" s="2"/>
      <c r="C543" s="2"/>
      <c r="D543" s="2"/>
      <c r="E543" s="2"/>
      <c r="F543" s="2"/>
      <c r="G543" s="2"/>
      <c r="H543" s="2"/>
      <c r="I543" s="2"/>
      <c r="J543" s="2"/>
      <c r="K543" s="2"/>
      <c r="L543" s="2"/>
      <c r="M543" s="2"/>
      <c r="N543" s="2"/>
      <c r="O543" s="2"/>
      <c r="P543" s="2"/>
      <c r="Q543" s="45"/>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row>
    <row r="544">
      <c r="A544" s="2"/>
      <c r="B544" s="2"/>
      <c r="C544" s="2"/>
      <c r="D544" s="2"/>
      <c r="E544" s="2"/>
      <c r="F544" s="2"/>
      <c r="G544" s="2"/>
      <c r="H544" s="2"/>
      <c r="I544" s="2"/>
      <c r="J544" s="2"/>
      <c r="K544" s="2"/>
      <c r="L544" s="2"/>
      <c r="M544" s="2"/>
      <c r="N544" s="2"/>
      <c r="O544" s="2"/>
      <c r="P544" s="2"/>
      <c r="Q544" s="45"/>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row>
    <row r="545">
      <c r="A545" s="2"/>
      <c r="B545" s="2"/>
      <c r="C545" s="2"/>
      <c r="D545" s="2"/>
      <c r="E545" s="2"/>
      <c r="F545" s="2"/>
      <c r="G545" s="2"/>
      <c r="H545" s="2"/>
      <c r="I545" s="2"/>
      <c r="J545" s="2"/>
      <c r="K545" s="2"/>
      <c r="L545" s="2"/>
      <c r="M545" s="2"/>
      <c r="N545" s="2"/>
      <c r="O545" s="2"/>
      <c r="P545" s="2"/>
      <c r="Q545" s="45"/>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row>
    <row r="546">
      <c r="A546" s="2"/>
      <c r="B546" s="2"/>
      <c r="C546" s="2"/>
      <c r="D546" s="2"/>
      <c r="E546" s="2"/>
      <c r="F546" s="2"/>
      <c r="G546" s="2"/>
      <c r="H546" s="2"/>
      <c r="I546" s="2"/>
      <c r="J546" s="2"/>
      <c r="K546" s="2"/>
      <c r="L546" s="2"/>
      <c r="M546" s="2"/>
      <c r="N546" s="2"/>
      <c r="O546" s="2"/>
      <c r="P546" s="2"/>
      <c r="Q546" s="45"/>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row>
    <row r="547">
      <c r="A547" s="2"/>
      <c r="B547" s="2"/>
      <c r="C547" s="2"/>
      <c r="D547" s="2"/>
      <c r="E547" s="2"/>
      <c r="F547" s="2"/>
      <c r="G547" s="2"/>
      <c r="H547" s="2"/>
      <c r="I547" s="2"/>
      <c r="J547" s="2"/>
      <c r="K547" s="2"/>
      <c r="L547" s="2"/>
      <c r="M547" s="2"/>
      <c r="N547" s="2"/>
      <c r="O547" s="2"/>
      <c r="P547" s="2"/>
      <c r="Q547" s="45"/>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row>
    <row r="548">
      <c r="A548" s="2"/>
      <c r="B548" s="2"/>
      <c r="C548" s="2"/>
      <c r="D548" s="2"/>
      <c r="E548" s="2"/>
      <c r="F548" s="2"/>
      <c r="G548" s="2"/>
      <c r="H548" s="2"/>
      <c r="I548" s="2"/>
      <c r="J548" s="2"/>
      <c r="K548" s="2"/>
      <c r="L548" s="2"/>
      <c r="M548" s="2"/>
      <c r="N548" s="2"/>
      <c r="O548" s="2"/>
      <c r="P548" s="2"/>
      <c r="Q548" s="45"/>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row>
    <row r="549">
      <c r="A549" s="2"/>
      <c r="B549" s="2"/>
      <c r="C549" s="2"/>
      <c r="D549" s="2"/>
      <c r="E549" s="2"/>
      <c r="F549" s="2"/>
      <c r="G549" s="2"/>
      <c r="H549" s="2"/>
      <c r="I549" s="2"/>
      <c r="J549" s="2"/>
      <c r="K549" s="2"/>
      <c r="L549" s="2"/>
      <c r="M549" s="2"/>
      <c r="N549" s="2"/>
      <c r="O549" s="2"/>
      <c r="P549" s="2"/>
      <c r="Q549" s="45"/>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row>
    <row r="550">
      <c r="A550" s="2"/>
      <c r="B550" s="2"/>
      <c r="C550" s="2"/>
      <c r="D550" s="2"/>
      <c r="E550" s="2"/>
      <c r="F550" s="2"/>
      <c r="G550" s="2"/>
      <c r="H550" s="2"/>
      <c r="I550" s="2"/>
      <c r="J550" s="2"/>
      <c r="K550" s="2"/>
      <c r="L550" s="2"/>
      <c r="M550" s="2"/>
      <c r="N550" s="2"/>
      <c r="O550" s="2"/>
      <c r="P550" s="2"/>
      <c r="Q550" s="45"/>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row>
    <row r="551">
      <c r="A551" s="2"/>
      <c r="B551" s="2"/>
      <c r="C551" s="2"/>
      <c r="D551" s="2"/>
      <c r="E551" s="2"/>
      <c r="F551" s="2"/>
      <c r="G551" s="2"/>
      <c r="H551" s="2"/>
      <c r="I551" s="2"/>
      <c r="J551" s="2"/>
      <c r="K551" s="2"/>
      <c r="L551" s="2"/>
      <c r="M551" s="2"/>
      <c r="N551" s="2"/>
      <c r="O551" s="2"/>
      <c r="P551" s="2"/>
      <c r="Q551" s="45"/>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row>
    <row r="552">
      <c r="A552" s="2"/>
      <c r="B552" s="2"/>
      <c r="C552" s="2"/>
      <c r="D552" s="2"/>
      <c r="E552" s="2"/>
      <c r="F552" s="2"/>
      <c r="G552" s="2"/>
      <c r="H552" s="2"/>
      <c r="I552" s="2"/>
      <c r="J552" s="2"/>
      <c r="K552" s="2"/>
      <c r="L552" s="2"/>
      <c r="M552" s="2"/>
      <c r="N552" s="2"/>
      <c r="O552" s="2"/>
      <c r="P552" s="2"/>
      <c r="Q552" s="45"/>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row>
    <row r="553">
      <c r="A553" s="2"/>
      <c r="B553" s="2"/>
      <c r="C553" s="2"/>
      <c r="D553" s="2"/>
      <c r="E553" s="2"/>
      <c r="F553" s="2"/>
      <c r="G553" s="2"/>
      <c r="H553" s="2"/>
      <c r="I553" s="2"/>
      <c r="J553" s="2"/>
      <c r="K553" s="2"/>
      <c r="L553" s="2"/>
      <c r="M553" s="2"/>
      <c r="N553" s="2"/>
      <c r="O553" s="2"/>
      <c r="P553" s="2"/>
      <c r="Q553" s="45"/>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row>
    <row r="554">
      <c r="A554" s="2"/>
      <c r="B554" s="2"/>
      <c r="C554" s="2"/>
      <c r="D554" s="2"/>
      <c r="E554" s="2"/>
      <c r="F554" s="2"/>
      <c r="G554" s="2"/>
      <c r="H554" s="2"/>
      <c r="I554" s="2"/>
      <c r="J554" s="2"/>
      <c r="K554" s="2"/>
      <c r="L554" s="2"/>
      <c r="M554" s="2"/>
      <c r="N554" s="2"/>
      <c r="O554" s="2"/>
      <c r="P554" s="2"/>
      <c r="Q554" s="45"/>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row>
    <row r="555">
      <c r="A555" s="2"/>
      <c r="B555" s="2"/>
      <c r="C555" s="2"/>
      <c r="D555" s="2"/>
      <c r="E555" s="2"/>
      <c r="F555" s="2"/>
      <c r="G555" s="2"/>
      <c r="H555" s="2"/>
      <c r="I555" s="2"/>
      <c r="J555" s="2"/>
      <c r="K555" s="2"/>
      <c r="L555" s="2"/>
      <c r="M555" s="2"/>
      <c r="N555" s="2"/>
      <c r="O555" s="2"/>
      <c r="P555" s="2"/>
      <c r="Q555" s="45"/>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row>
    <row r="556">
      <c r="A556" s="2"/>
      <c r="B556" s="2"/>
      <c r="C556" s="2"/>
      <c r="D556" s="2"/>
      <c r="E556" s="2"/>
      <c r="F556" s="2"/>
      <c r="G556" s="2"/>
      <c r="H556" s="2"/>
      <c r="I556" s="2"/>
      <c r="J556" s="2"/>
      <c r="K556" s="2"/>
      <c r="L556" s="2"/>
      <c r="M556" s="2"/>
      <c r="N556" s="2"/>
      <c r="O556" s="2"/>
      <c r="P556" s="2"/>
      <c r="Q556" s="45"/>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row>
    <row r="557">
      <c r="A557" s="2"/>
      <c r="B557" s="2"/>
      <c r="C557" s="2"/>
      <c r="D557" s="2"/>
      <c r="E557" s="2"/>
      <c r="F557" s="2"/>
      <c r="G557" s="2"/>
      <c r="H557" s="2"/>
      <c r="I557" s="2"/>
      <c r="J557" s="2"/>
      <c r="K557" s="2"/>
      <c r="L557" s="2"/>
      <c r="M557" s="2"/>
      <c r="N557" s="2"/>
      <c r="O557" s="2"/>
      <c r="P557" s="2"/>
      <c r="Q557" s="45"/>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row>
    <row r="558">
      <c r="A558" s="2"/>
      <c r="B558" s="2"/>
      <c r="C558" s="2"/>
      <c r="D558" s="2"/>
      <c r="E558" s="2"/>
      <c r="F558" s="2"/>
      <c r="G558" s="2"/>
      <c r="H558" s="2"/>
      <c r="I558" s="2"/>
      <c r="J558" s="2"/>
      <c r="K558" s="2"/>
      <c r="L558" s="2"/>
      <c r="M558" s="2"/>
      <c r="N558" s="2"/>
      <c r="O558" s="2"/>
      <c r="P558" s="2"/>
      <c r="Q558" s="45"/>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row>
    <row r="559">
      <c r="A559" s="2"/>
      <c r="B559" s="2"/>
      <c r="C559" s="2"/>
      <c r="D559" s="2"/>
      <c r="E559" s="2"/>
      <c r="F559" s="2"/>
      <c r="G559" s="2"/>
      <c r="H559" s="2"/>
      <c r="I559" s="2"/>
      <c r="J559" s="2"/>
      <c r="K559" s="2"/>
      <c r="L559" s="2"/>
      <c r="M559" s="2"/>
      <c r="N559" s="2"/>
      <c r="O559" s="2"/>
      <c r="P559" s="2"/>
      <c r="Q559" s="45"/>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row>
    <row r="560">
      <c r="A560" s="2"/>
      <c r="B560" s="2"/>
      <c r="C560" s="2"/>
      <c r="D560" s="2"/>
      <c r="E560" s="2"/>
      <c r="F560" s="2"/>
      <c r="G560" s="2"/>
      <c r="H560" s="2"/>
      <c r="I560" s="2"/>
      <c r="J560" s="2"/>
      <c r="K560" s="2"/>
      <c r="L560" s="2"/>
      <c r="M560" s="2"/>
      <c r="N560" s="2"/>
      <c r="O560" s="2"/>
      <c r="P560" s="2"/>
      <c r="Q560" s="45"/>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row>
    <row r="561">
      <c r="A561" s="2"/>
      <c r="B561" s="2"/>
      <c r="C561" s="2"/>
      <c r="D561" s="2"/>
      <c r="E561" s="2"/>
      <c r="F561" s="2"/>
      <c r="G561" s="2"/>
      <c r="H561" s="2"/>
      <c r="I561" s="2"/>
      <c r="J561" s="2"/>
      <c r="K561" s="2"/>
      <c r="L561" s="2"/>
      <c r="M561" s="2"/>
      <c r="N561" s="2"/>
      <c r="O561" s="2"/>
      <c r="P561" s="2"/>
      <c r="Q561" s="45"/>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row>
    <row r="562">
      <c r="A562" s="2"/>
      <c r="B562" s="2"/>
      <c r="C562" s="2"/>
      <c r="D562" s="2"/>
      <c r="E562" s="2"/>
      <c r="F562" s="2"/>
      <c r="G562" s="2"/>
      <c r="H562" s="2"/>
      <c r="I562" s="2"/>
      <c r="J562" s="2"/>
      <c r="K562" s="2"/>
      <c r="L562" s="2"/>
      <c r="M562" s="2"/>
      <c r="N562" s="2"/>
      <c r="O562" s="2"/>
      <c r="P562" s="2"/>
      <c r="Q562" s="45"/>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row>
    <row r="563">
      <c r="A563" s="2"/>
      <c r="B563" s="2"/>
      <c r="C563" s="2"/>
      <c r="D563" s="2"/>
      <c r="E563" s="2"/>
      <c r="F563" s="2"/>
      <c r="G563" s="2"/>
      <c r="H563" s="2"/>
      <c r="I563" s="2"/>
      <c r="J563" s="2"/>
      <c r="K563" s="2"/>
      <c r="L563" s="2"/>
      <c r="M563" s="2"/>
      <c r="N563" s="2"/>
      <c r="O563" s="2"/>
      <c r="P563" s="2"/>
      <c r="Q563" s="45"/>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row>
    <row r="564">
      <c r="A564" s="2"/>
      <c r="B564" s="2"/>
      <c r="C564" s="2"/>
      <c r="D564" s="2"/>
      <c r="E564" s="2"/>
      <c r="F564" s="2"/>
      <c r="G564" s="2"/>
      <c r="H564" s="2"/>
      <c r="I564" s="2"/>
      <c r="J564" s="2"/>
      <c r="K564" s="2"/>
      <c r="L564" s="2"/>
      <c r="M564" s="2"/>
      <c r="N564" s="2"/>
      <c r="O564" s="2"/>
      <c r="P564" s="2"/>
      <c r="Q564" s="45"/>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row>
    <row r="565">
      <c r="A565" s="2"/>
      <c r="B565" s="2"/>
      <c r="C565" s="2"/>
      <c r="D565" s="2"/>
      <c r="E565" s="2"/>
      <c r="F565" s="2"/>
      <c r="G565" s="2"/>
      <c r="H565" s="2"/>
      <c r="I565" s="2"/>
      <c r="J565" s="2"/>
      <c r="K565" s="2"/>
      <c r="L565" s="2"/>
      <c r="M565" s="2"/>
      <c r="N565" s="2"/>
      <c r="O565" s="2"/>
      <c r="P565" s="2"/>
      <c r="Q565" s="45"/>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row>
    <row r="566">
      <c r="A566" s="2"/>
      <c r="B566" s="2"/>
      <c r="C566" s="2"/>
      <c r="D566" s="2"/>
      <c r="E566" s="2"/>
      <c r="F566" s="2"/>
      <c r="G566" s="2"/>
      <c r="H566" s="2"/>
      <c r="I566" s="2"/>
      <c r="J566" s="2"/>
      <c r="K566" s="2"/>
      <c r="L566" s="2"/>
      <c r="M566" s="2"/>
      <c r="N566" s="2"/>
      <c r="O566" s="2"/>
      <c r="P566" s="2"/>
      <c r="Q566" s="45"/>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row>
    <row r="567">
      <c r="A567" s="2"/>
      <c r="B567" s="2"/>
      <c r="C567" s="2"/>
      <c r="D567" s="2"/>
      <c r="E567" s="2"/>
      <c r="F567" s="2"/>
      <c r="G567" s="2"/>
      <c r="H567" s="2"/>
      <c r="I567" s="2"/>
      <c r="J567" s="2"/>
      <c r="K567" s="2"/>
      <c r="L567" s="2"/>
      <c r="M567" s="2"/>
      <c r="N567" s="2"/>
      <c r="O567" s="2"/>
      <c r="P567" s="2"/>
      <c r="Q567" s="45"/>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row>
    <row r="568">
      <c r="A568" s="2"/>
      <c r="B568" s="2"/>
      <c r="C568" s="2"/>
      <c r="D568" s="2"/>
      <c r="E568" s="2"/>
      <c r="F568" s="2"/>
      <c r="G568" s="2"/>
      <c r="H568" s="2"/>
      <c r="I568" s="2"/>
      <c r="J568" s="2"/>
      <c r="K568" s="2"/>
      <c r="L568" s="2"/>
      <c r="M568" s="2"/>
      <c r="N568" s="2"/>
      <c r="O568" s="2"/>
      <c r="P568" s="2"/>
      <c r="Q568" s="45"/>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row>
    <row r="569">
      <c r="A569" s="2"/>
      <c r="B569" s="2"/>
      <c r="C569" s="2"/>
      <c r="D569" s="2"/>
      <c r="E569" s="2"/>
      <c r="F569" s="2"/>
      <c r="G569" s="2"/>
      <c r="H569" s="2"/>
      <c r="I569" s="2"/>
      <c r="J569" s="2"/>
      <c r="K569" s="2"/>
      <c r="L569" s="2"/>
      <c r="M569" s="2"/>
      <c r="N569" s="2"/>
      <c r="O569" s="2"/>
      <c r="P569" s="2"/>
      <c r="Q569" s="45"/>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row>
    <row r="570">
      <c r="A570" s="2"/>
      <c r="B570" s="2"/>
      <c r="C570" s="2"/>
      <c r="D570" s="2"/>
      <c r="E570" s="2"/>
      <c r="F570" s="2"/>
      <c r="G570" s="2"/>
      <c r="H570" s="2"/>
      <c r="I570" s="2"/>
      <c r="J570" s="2"/>
      <c r="K570" s="2"/>
      <c r="L570" s="2"/>
      <c r="M570" s="2"/>
      <c r="N570" s="2"/>
      <c r="O570" s="2"/>
      <c r="P570" s="2"/>
      <c r="Q570" s="45"/>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row>
    <row r="571">
      <c r="A571" s="2"/>
      <c r="B571" s="2"/>
      <c r="C571" s="2"/>
      <c r="D571" s="2"/>
      <c r="E571" s="2"/>
      <c r="F571" s="2"/>
      <c r="G571" s="2"/>
      <c r="H571" s="2"/>
      <c r="I571" s="2"/>
      <c r="J571" s="2"/>
      <c r="K571" s="2"/>
      <c r="L571" s="2"/>
      <c r="M571" s="2"/>
      <c r="N571" s="2"/>
      <c r="O571" s="2"/>
      <c r="P571" s="2"/>
      <c r="Q571" s="45"/>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row>
    <row r="572">
      <c r="A572" s="2"/>
      <c r="B572" s="2"/>
      <c r="C572" s="2"/>
      <c r="D572" s="2"/>
      <c r="E572" s="2"/>
      <c r="F572" s="2"/>
      <c r="G572" s="2"/>
      <c r="H572" s="2"/>
      <c r="I572" s="2"/>
      <c r="J572" s="2"/>
      <c r="K572" s="2"/>
      <c r="L572" s="2"/>
      <c r="M572" s="2"/>
      <c r="N572" s="2"/>
      <c r="O572" s="2"/>
      <c r="P572" s="2"/>
      <c r="Q572" s="45"/>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row>
    <row r="573">
      <c r="A573" s="2"/>
      <c r="B573" s="2"/>
      <c r="C573" s="2"/>
      <c r="D573" s="2"/>
      <c r="E573" s="2"/>
      <c r="F573" s="2"/>
      <c r="G573" s="2"/>
      <c r="H573" s="2"/>
      <c r="I573" s="2"/>
      <c r="J573" s="2"/>
      <c r="K573" s="2"/>
      <c r="L573" s="2"/>
      <c r="M573" s="2"/>
      <c r="N573" s="2"/>
      <c r="O573" s="2"/>
      <c r="P573" s="2"/>
      <c r="Q573" s="45"/>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row>
    <row r="574">
      <c r="A574" s="2"/>
      <c r="B574" s="2"/>
      <c r="C574" s="2"/>
      <c r="D574" s="2"/>
      <c r="E574" s="2"/>
      <c r="F574" s="2"/>
      <c r="G574" s="2"/>
      <c r="H574" s="2"/>
      <c r="I574" s="2"/>
      <c r="J574" s="2"/>
      <c r="K574" s="2"/>
      <c r="L574" s="2"/>
      <c r="M574" s="2"/>
      <c r="N574" s="2"/>
      <c r="O574" s="2"/>
      <c r="P574" s="2"/>
      <c r="Q574" s="45"/>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row>
    <row r="575">
      <c r="A575" s="2"/>
      <c r="B575" s="2"/>
      <c r="C575" s="2"/>
      <c r="D575" s="2"/>
      <c r="E575" s="2"/>
      <c r="F575" s="2"/>
      <c r="G575" s="2"/>
      <c r="H575" s="2"/>
      <c r="I575" s="2"/>
      <c r="J575" s="2"/>
      <c r="K575" s="2"/>
      <c r="L575" s="2"/>
      <c r="M575" s="2"/>
      <c r="N575" s="2"/>
      <c r="O575" s="2"/>
      <c r="P575" s="2"/>
      <c r="Q575" s="45"/>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row>
    <row r="576">
      <c r="A576" s="2"/>
      <c r="B576" s="2"/>
      <c r="C576" s="2"/>
      <c r="D576" s="2"/>
      <c r="E576" s="2"/>
      <c r="F576" s="2"/>
      <c r="G576" s="2"/>
      <c r="H576" s="2"/>
      <c r="I576" s="2"/>
      <c r="J576" s="2"/>
      <c r="K576" s="2"/>
      <c r="L576" s="2"/>
      <c r="M576" s="2"/>
      <c r="N576" s="2"/>
      <c r="O576" s="2"/>
      <c r="P576" s="2"/>
      <c r="Q576" s="45"/>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row>
    <row r="577">
      <c r="A577" s="2"/>
      <c r="B577" s="2"/>
      <c r="C577" s="2"/>
      <c r="D577" s="2"/>
      <c r="E577" s="2"/>
      <c r="F577" s="2"/>
      <c r="G577" s="2"/>
      <c r="H577" s="2"/>
      <c r="I577" s="2"/>
      <c r="J577" s="2"/>
      <c r="K577" s="2"/>
      <c r="L577" s="2"/>
      <c r="M577" s="2"/>
      <c r="N577" s="2"/>
      <c r="O577" s="2"/>
      <c r="P577" s="2"/>
      <c r="Q577" s="45"/>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row>
    <row r="578">
      <c r="A578" s="2"/>
      <c r="B578" s="2"/>
      <c r="C578" s="2"/>
      <c r="D578" s="2"/>
      <c r="E578" s="2"/>
      <c r="F578" s="2"/>
      <c r="G578" s="2"/>
      <c r="H578" s="2"/>
      <c r="I578" s="2"/>
      <c r="J578" s="2"/>
      <c r="K578" s="2"/>
      <c r="L578" s="2"/>
      <c r="M578" s="2"/>
      <c r="N578" s="2"/>
      <c r="O578" s="2"/>
      <c r="P578" s="2"/>
      <c r="Q578" s="45"/>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row>
    <row r="579">
      <c r="A579" s="2"/>
      <c r="B579" s="2"/>
      <c r="C579" s="2"/>
      <c r="D579" s="2"/>
      <c r="E579" s="2"/>
      <c r="F579" s="2"/>
      <c r="G579" s="2"/>
      <c r="H579" s="2"/>
      <c r="I579" s="2"/>
      <c r="J579" s="2"/>
      <c r="K579" s="2"/>
      <c r="L579" s="2"/>
      <c r="M579" s="2"/>
      <c r="N579" s="2"/>
      <c r="O579" s="2"/>
      <c r="P579" s="2"/>
      <c r="Q579" s="45"/>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row>
    <row r="580">
      <c r="A580" s="2"/>
      <c r="B580" s="2"/>
      <c r="C580" s="2"/>
      <c r="D580" s="2"/>
      <c r="E580" s="2"/>
      <c r="F580" s="2"/>
      <c r="G580" s="2"/>
      <c r="H580" s="2"/>
      <c r="I580" s="2"/>
      <c r="J580" s="2"/>
      <c r="K580" s="2"/>
      <c r="L580" s="2"/>
      <c r="M580" s="2"/>
      <c r="N580" s="2"/>
      <c r="O580" s="2"/>
      <c r="P580" s="2"/>
      <c r="Q580" s="45"/>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row>
    <row r="581">
      <c r="A581" s="2"/>
      <c r="B581" s="2"/>
      <c r="C581" s="2"/>
      <c r="D581" s="2"/>
      <c r="E581" s="2"/>
      <c r="F581" s="2"/>
      <c r="G581" s="2"/>
      <c r="H581" s="2"/>
      <c r="I581" s="2"/>
      <c r="J581" s="2"/>
      <c r="K581" s="2"/>
      <c r="L581" s="2"/>
      <c r="M581" s="2"/>
      <c r="N581" s="2"/>
      <c r="O581" s="2"/>
      <c r="P581" s="2"/>
      <c r="Q581" s="45"/>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row>
    <row r="582">
      <c r="A582" s="2"/>
      <c r="B582" s="2"/>
      <c r="C582" s="2"/>
      <c r="D582" s="2"/>
      <c r="E582" s="2"/>
      <c r="F582" s="2"/>
      <c r="G582" s="2"/>
      <c r="H582" s="2"/>
      <c r="I582" s="2"/>
      <c r="J582" s="2"/>
      <c r="K582" s="2"/>
      <c r="L582" s="2"/>
      <c r="M582" s="2"/>
      <c r="N582" s="2"/>
      <c r="O582" s="2"/>
      <c r="P582" s="2"/>
      <c r="Q582" s="45"/>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row>
    <row r="583">
      <c r="A583" s="2"/>
      <c r="B583" s="2"/>
      <c r="C583" s="2"/>
      <c r="D583" s="2"/>
      <c r="E583" s="2"/>
      <c r="F583" s="2"/>
      <c r="G583" s="2"/>
      <c r="H583" s="2"/>
      <c r="I583" s="2"/>
      <c r="J583" s="2"/>
      <c r="K583" s="2"/>
      <c r="L583" s="2"/>
      <c r="M583" s="2"/>
      <c r="N583" s="2"/>
      <c r="O583" s="2"/>
      <c r="P583" s="2"/>
      <c r="Q583" s="45"/>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row>
    <row r="584">
      <c r="A584" s="2"/>
      <c r="B584" s="2"/>
      <c r="C584" s="2"/>
      <c r="D584" s="2"/>
      <c r="E584" s="2"/>
      <c r="F584" s="2"/>
      <c r="G584" s="2"/>
      <c r="H584" s="2"/>
      <c r="I584" s="2"/>
      <c r="J584" s="2"/>
      <c r="K584" s="2"/>
      <c r="L584" s="2"/>
      <c r="M584" s="2"/>
      <c r="N584" s="2"/>
      <c r="O584" s="2"/>
      <c r="P584" s="2"/>
      <c r="Q584" s="45"/>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row>
    <row r="585">
      <c r="A585" s="2"/>
      <c r="B585" s="2"/>
      <c r="C585" s="2"/>
      <c r="D585" s="2"/>
      <c r="E585" s="2"/>
      <c r="F585" s="2"/>
      <c r="G585" s="2"/>
      <c r="H585" s="2"/>
      <c r="I585" s="2"/>
      <c r="J585" s="2"/>
      <c r="K585" s="2"/>
      <c r="L585" s="2"/>
      <c r="M585" s="2"/>
      <c r="N585" s="2"/>
      <c r="O585" s="2"/>
      <c r="P585" s="2"/>
      <c r="Q585" s="45"/>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row>
    <row r="586">
      <c r="A586" s="2"/>
      <c r="B586" s="2"/>
      <c r="C586" s="2"/>
      <c r="D586" s="2"/>
      <c r="E586" s="2"/>
      <c r="F586" s="2"/>
      <c r="G586" s="2"/>
      <c r="H586" s="2"/>
      <c r="I586" s="2"/>
      <c r="J586" s="2"/>
      <c r="K586" s="2"/>
      <c r="L586" s="2"/>
      <c r="M586" s="2"/>
      <c r="N586" s="2"/>
      <c r="O586" s="2"/>
      <c r="P586" s="2"/>
      <c r="Q586" s="45"/>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row>
    <row r="587">
      <c r="A587" s="2"/>
      <c r="B587" s="2"/>
      <c r="C587" s="2"/>
      <c r="D587" s="2"/>
      <c r="E587" s="2"/>
      <c r="F587" s="2"/>
      <c r="G587" s="2"/>
      <c r="H587" s="2"/>
      <c r="I587" s="2"/>
      <c r="J587" s="2"/>
      <c r="K587" s="2"/>
      <c r="L587" s="2"/>
      <c r="M587" s="2"/>
      <c r="N587" s="2"/>
      <c r="O587" s="2"/>
      <c r="P587" s="2"/>
      <c r="Q587" s="45"/>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row>
    <row r="588">
      <c r="A588" s="2"/>
      <c r="B588" s="2"/>
      <c r="C588" s="2"/>
      <c r="D588" s="2"/>
      <c r="E588" s="2"/>
      <c r="F588" s="2"/>
      <c r="G588" s="2"/>
      <c r="H588" s="2"/>
      <c r="I588" s="2"/>
      <c r="J588" s="2"/>
      <c r="K588" s="2"/>
      <c r="L588" s="2"/>
      <c r="M588" s="2"/>
      <c r="N588" s="2"/>
      <c r="O588" s="2"/>
      <c r="P588" s="2"/>
      <c r="Q588" s="45"/>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row>
    <row r="589">
      <c r="A589" s="2"/>
      <c r="B589" s="2"/>
      <c r="C589" s="2"/>
      <c r="D589" s="2"/>
      <c r="E589" s="2"/>
      <c r="F589" s="2"/>
      <c r="G589" s="2"/>
      <c r="H589" s="2"/>
      <c r="I589" s="2"/>
      <c r="J589" s="2"/>
      <c r="K589" s="2"/>
      <c r="L589" s="2"/>
      <c r="M589" s="2"/>
      <c r="N589" s="2"/>
      <c r="O589" s="2"/>
      <c r="P589" s="2"/>
      <c r="Q589" s="45"/>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row>
    <row r="590">
      <c r="A590" s="2"/>
      <c r="B590" s="2"/>
      <c r="C590" s="2"/>
      <c r="D590" s="2"/>
      <c r="E590" s="2"/>
      <c r="F590" s="2"/>
      <c r="G590" s="2"/>
      <c r="H590" s="2"/>
      <c r="I590" s="2"/>
      <c r="J590" s="2"/>
      <c r="K590" s="2"/>
      <c r="L590" s="2"/>
      <c r="M590" s="2"/>
      <c r="N590" s="2"/>
      <c r="O590" s="2"/>
      <c r="P590" s="2"/>
      <c r="Q590" s="45"/>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row>
    <row r="591">
      <c r="A591" s="2"/>
      <c r="B591" s="2"/>
      <c r="C591" s="2"/>
      <c r="D591" s="2"/>
      <c r="E591" s="2"/>
      <c r="F591" s="2"/>
      <c r="G591" s="2"/>
      <c r="H591" s="2"/>
      <c r="I591" s="2"/>
      <c r="J591" s="2"/>
      <c r="K591" s="2"/>
      <c r="L591" s="2"/>
      <c r="M591" s="2"/>
      <c r="N591" s="2"/>
      <c r="O591" s="2"/>
      <c r="P591" s="2"/>
      <c r="Q591" s="45"/>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row>
    <row r="592">
      <c r="A592" s="2"/>
      <c r="B592" s="2"/>
      <c r="C592" s="2"/>
      <c r="D592" s="2"/>
      <c r="E592" s="2"/>
      <c r="F592" s="2"/>
      <c r="G592" s="2"/>
      <c r="H592" s="2"/>
      <c r="I592" s="2"/>
      <c r="J592" s="2"/>
      <c r="K592" s="2"/>
      <c r="L592" s="2"/>
      <c r="M592" s="2"/>
      <c r="N592" s="2"/>
      <c r="O592" s="2"/>
      <c r="P592" s="2"/>
      <c r="Q592" s="45"/>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row>
    <row r="593">
      <c r="A593" s="2"/>
      <c r="B593" s="2"/>
      <c r="C593" s="2"/>
      <c r="D593" s="2"/>
      <c r="E593" s="2"/>
      <c r="F593" s="2"/>
      <c r="G593" s="2"/>
      <c r="H593" s="2"/>
      <c r="I593" s="2"/>
      <c r="J593" s="2"/>
      <c r="K593" s="2"/>
      <c r="L593" s="2"/>
      <c r="M593" s="2"/>
      <c r="N593" s="2"/>
      <c r="O593" s="2"/>
      <c r="P593" s="2"/>
      <c r="Q593" s="45"/>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row>
    <row r="594">
      <c r="A594" s="2"/>
      <c r="B594" s="2"/>
      <c r="C594" s="2"/>
      <c r="D594" s="2"/>
      <c r="E594" s="2"/>
      <c r="F594" s="2"/>
      <c r="G594" s="2"/>
      <c r="H594" s="2"/>
      <c r="I594" s="2"/>
      <c r="J594" s="2"/>
      <c r="K594" s="2"/>
      <c r="L594" s="2"/>
      <c r="M594" s="2"/>
      <c r="N594" s="2"/>
      <c r="O594" s="2"/>
      <c r="P594" s="2"/>
      <c r="Q594" s="45"/>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row>
    <row r="595">
      <c r="A595" s="2"/>
      <c r="B595" s="2"/>
      <c r="C595" s="2"/>
      <c r="D595" s="2"/>
      <c r="E595" s="2"/>
      <c r="F595" s="2"/>
      <c r="G595" s="2"/>
      <c r="H595" s="2"/>
      <c r="I595" s="2"/>
      <c r="J595" s="2"/>
      <c r="K595" s="2"/>
      <c r="L595" s="2"/>
      <c r="M595" s="2"/>
      <c r="N595" s="2"/>
      <c r="O595" s="2"/>
      <c r="P595" s="2"/>
      <c r="Q595" s="45"/>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row>
    <row r="596">
      <c r="A596" s="2"/>
      <c r="B596" s="2"/>
      <c r="C596" s="2"/>
      <c r="D596" s="2"/>
      <c r="E596" s="2"/>
      <c r="F596" s="2"/>
      <c r="G596" s="2"/>
      <c r="H596" s="2"/>
      <c r="I596" s="2"/>
      <c r="J596" s="2"/>
      <c r="K596" s="2"/>
      <c r="L596" s="2"/>
      <c r="M596" s="2"/>
      <c r="N596" s="2"/>
      <c r="O596" s="2"/>
      <c r="P596" s="2"/>
      <c r="Q596" s="45"/>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row>
    <row r="597">
      <c r="A597" s="2"/>
      <c r="B597" s="2"/>
      <c r="C597" s="2"/>
      <c r="D597" s="2"/>
      <c r="E597" s="2"/>
      <c r="F597" s="2"/>
      <c r="G597" s="2"/>
      <c r="H597" s="2"/>
      <c r="I597" s="2"/>
      <c r="J597" s="2"/>
      <c r="K597" s="2"/>
      <c r="L597" s="2"/>
      <c r="M597" s="2"/>
      <c r="N597" s="2"/>
      <c r="O597" s="2"/>
      <c r="P597" s="2"/>
      <c r="Q597" s="45"/>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row>
    <row r="598">
      <c r="A598" s="2"/>
      <c r="B598" s="2"/>
      <c r="C598" s="2"/>
      <c r="D598" s="2"/>
      <c r="E598" s="2"/>
      <c r="F598" s="2"/>
      <c r="G598" s="2"/>
      <c r="H598" s="2"/>
      <c r="I598" s="2"/>
      <c r="J598" s="2"/>
      <c r="K598" s="2"/>
      <c r="L598" s="2"/>
      <c r="M598" s="2"/>
      <c r="N598" s="2"/>
      <c r="O598" s="2"/>
      <c r="P598" s="2"/>
      <c r="Q598" s="45"/>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row>
    <row r="599">
      <c r="A599" s="2"/>
      <c r="B599" s="2"/>
      <c r="C599" s="2"/>
      <c r="D599" s="2"/>
      <c r="E599" s="2"/>
      <c r="F599" s="2"/>
      <c r="G599" s="2"/>
      <c r="H599" s="2"/>
      <c r="I599" s="2"/>
      <c r="J599" s="2"/>
      <c r="K599" s="2"/>
      <c r="L599" s="2"/>
      <c r="M599" s="2"/>
      <c r="N599" s="2"/>
      <c r="O599" s="2"/>
      <c r="P599" s="2"/>
      <c r="Q599" s="45"/>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row>
    <row r="600">
      <c r="A600" s="2"/>
      <c r="B600" s="2"/>
      <c r="C600" s="2"/>
      <c r="D600" s="2"/>
      <c r="E600" s="2"/>
      <c r="F600" s="2"/>
      <c r="G600" s="2"/>
      <c r="H600" s="2"/>
      <c r="I600" s="2"/>
      <c r="J600" s="2"/>
      <c r="K600" s="2"/>
      <c r="L600" s="2"/>
      <c r="M600" s="2"/>
      <c r="N600" s="2"/>
      <c r="O600" s="2"/>
      <c r="P600" s="2"/>
      <c r="Q600" s="45"/>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row>
    <row r="601">
      <c r="A601" s="2"/>
      <c r="B601" s="2"/>
      <c r="C601" s="2"/>
      <c r="D601" s="2"/>
      <c r="E601" s="2"/>
      <c r="F601" s="2"/>
      <c r="G601" s="2"/>
      <c r="H601" s="2"/>
      <c r="I601" s="2"/>
      <c r="J601" s="2"/>
      <c r="K601" s="2"/>
      <c r="L601" s="2"/>
      <c r="M601" s="2"/>
      <c r="N601" s="2"/>
      <c r="O601" s="2"/>
      <c r="P601" s="2"/>
      <c r="Q601" s="45"/>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row>
    <row r="602">
      <c r="A602" s="2"/>
      <c r="B602" s="2"/>
      <c r="C602" s="2"/>
      <c r="D602" s="2"/>
      <c r="E602" s="2"/>
      <c r="F602" s="2"/>
      <c r="G602" s="2"/>
      <c r="H602" s="2"/>
      <c r="I602" s="2"/>
      <c r="J602" s="2"/>
      <c r="K602" s="2"/>
      <c r="L602" s="2"/>
      <c r="M602" s="2"/>
      <c r="N602" s="2"/>
      <c r="O602" s="2"/>
      <c r="P602" s="2"/>
      <c r="Q602" s="45"/>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row>
    <row r="603">
      <c r="A603" s="2"/>
      <c r="B603" s="2"/>
      <c r="C603" s="2"/>
      <c r="D603" s="2"/>
      <c r="E603" s="2"/>
      <c r="F603" s="2"/>
      <c r="G603" s="2"/>
      <c r="H603" s="2"/>
      <c r="I603" s="2"/>
      <c r="J603" s="2"/>
      <c r="K603" s="2"/>
      <c r="L603" s="2"/>
      <c r="M603" s="2"/>
      <c r="N603" s="2"/>
      <c r="O603" s="2"/>
      <c r="P603" s="2"/>
      <c r="Q603" s="45"/>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row>
    <row r="604">
      <c r="A604" s="2"/>
      <c r="B604" s="2"/>
      <c r="C604" s="2"/>
      <c r="D604" s="2"/>
      <c r="E604" s="2"/>
      <c r="F604" s="2"/>
      <c r="G604" s="2"/>
      <c r="H604" s="2"/>
      <c r="I604" s="2"/>
      <c r="J604" s="2"/>
      <c r="K604" s="2"/>
      <c r="L604" s="2"/>
      <c r="M604" s="2"/>
      <c r="N604" s="2"/>
      <c r="O604" s="2"/>
      <c r="P604" s="2"/>
      <c r="Q604" s="45"/>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row>
    <row r="605">
      <c r="A605" s="2"/>
      <c r="B605" s="2"/>
      <c r="C605" s="2"/>
      <c r="D605" s="2"/>
      <c r="E605" s="2"/>
      <c r="F605" s="2"/>
      <c r="G605" s="2"/>
      <c r="H605" s="2"/>
      <c r="I605" s="2"/>
      <c r="J605" s="2"/>
      <c r="K605" s="2"/>
      <c r="L605" s="2"/>
      <c r="M605" s="2"/>
      <c r="N605" s="2"/>
      <c r="O605" s="2"/>
      <c r="P605" s="2"/>
      <c r="Q605" s="45"/>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row>
    <row r="606">
      <c r="A606" s="2"/>
      <c r="B606" s="2"/>
      <c r="C606" s="2"/>
      <c r="D606" s="2"/>
      <c r="E606" s="2"/>
      <c r="F606" s="2"/>
      <c r="G606" s="2"/>
      <c r="H606" s="2"/>
      <c r="I606" s="2"/>
      <c r="J606" s="2"/>
      <c r="K606" s="2"/>
      <c r="L606" s="2"/>
      <c r="M606" s="2"/>
      <c r="N606" s="2"/>
      <c r="O606" s="2"/>
      <c r="P606" s="2"/>
      <c r="Q606" s="45"/>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row>
    <row r="607">
      <c r="A607" s="2"/>
      <c r="B607" s="2"/>
      <c r="C607" s="2"/>
      <c r="D607" s="2"/>
      <c r="E607" s="2"/>
      <c r="F607" s="2"/>
      <c r="G607" s="2"/>
      <c r="H607" s="2"/>
      <c r="I607" s="2"/>
      <c r="J607" s="2"/>
      <c r="K607" s="2"/>
      <c r="L607" s="2"/>
      <c r="M607" s="2"/>
      <c r="N607" s="2"/>
      <c r="O607" s="2"/>
      <c r="P607" s="2"/>
      <c r="Q607" s="45"/>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row>
    <row r="608">
      <c r="A608" s="2"/>
      <c r="B608" s="2"/>
      <c r="C608" s="2"/>
      <c r="D608" s="2"/>
      <c r="E608" s="2"/>
      <c r="F608" s="2"/>
      <c r="G608" s="2"/>
      <c r="H608" s="2"/>
      <c r="I608" s="2"/>
      <c r="J608" s="2"/>
      <c r="K608" s="2"/>
      <c r="L608" s="2"/>
      <c r="M608" s="2"/>
      <c r="N608" s="2"/>
      <c r="O608" s="2"/>
      <c r="P608" s="2"/>
      <c r="Q608" s="45"/>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row>
    <row r="609">
      <c r="A609" s="2"/>
      <c r="B609" s="2"/>
      <c r="C609" s="2"/>
      <c r="D609" s="2"/>
      <c r="E609" s="2"/>
      <c r="F609" s="2"/>
      <c r="G609" s="2"/>
      <c r="H609" s="2"/>
      <c r="I609" s="2"/>
      <c r="J609" s="2"/>
      <c r="K609" s="2"/>
      <c r="L609" s="2"/>
      <c r="M609" s="2"/>
      <c r="N609" s="2"/>
      <c r="O609" s="2"/>
      <c r="P609" s="2"/>
      <c r="Q609" s="45"/>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row>
    <row r="610">
      <c r="A610" s="2"/>
      <c r="B610" s="2"/>
      <c r="C610" s="2"/>
      <c r="D610" s="2"/>
      <c r="E610" s="2"/>
      <c r="F610" s="2"/>
      <c r="G610" s="2"/>
      <c r="H610" s="2"/>
      <c r="I610" s="2"/>
      <c r="J610" s="2"/>
      <c r="K610" s="2"/>
      <c r="L610" s="2"/>
      <c r="M610" s="2"/>
      <c r="N610" s="2"/>
      <c r="O610" s="2"/>
      <c r="P610" s="2"/>
      <c r="Q610" s="45"/>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row>
    <row r="611">
      <c r="A611" s="2"/>
      <c r="B611" s="2"/>
      <c r="C611" s="2"/>
      <c r="D611" s="2"/>
      <c r="E611" s="2"/>
      <c r="F611" s="2"/>
      <c r="G611" s="2"/>
      <c r="H611" s="2"/>
      <c r="I611" s="2"/>
      <c r="J611" s="2"/>
      <c r="K611" s="2"/>
      <c r="L611" s="2"/>
      <c r="M611" s="2"/>
      <c r="N611" s="2"/>
      <c r="O611" s="2"/>
      <c r="P611" s="2"/>
      <c r="Q611" s="45"/>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row>
    <row r="612">
      <c r="A612" s="2"/>
      <c r="B612" s="2"/>
      <c r="C612" s="2"/>
      <c r="D612" s="2"/>
      <c r="E612" s="2"/>
      <c r="F612" s="2"/>
      <c r="G612" s="2"/>
      <c r="H612" s="2"/>
      <c r="I612" s="2"/>
      <c r="J612" s="2"/>
      <c r="K612" s="2"/>
      <c r="L612" s="2"/>
      <c r="M612" s="2"/>
      <c r="N612" s="2"/>
      <c r="O612" s="2"/>
      <c r="P612" s="2"/>
      <c r="Q612" s="45"/>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row>
    <row r="613">
      <c r="A613" s="2"/>
      <c r="B613" s="2"/>
      <c r="C613" s="2"/>
      <c r="D613" s="2"/>
      <c r="E613" s="2"/>
      <c r="F613" s="2"/>
      <c r="G613" s="2"/>
      <c r="H613" s="2"/>
      <c r="I613" s="2"/>
      <c r="J613" s="2"/>
      <c r="K613" s="2"/>
      <c r="L613" s="2"/>
      <c r="M613" s="2"/>
      <c r="N613" s="2"/>
      <c r="O613" s="2"/>
      <c r="P613" s="2"/>
      <c r="Q613" s="45"/>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row>
    <row r="614">
      <c r="A614" s="2"/>
      <c r="B614" s="2"/>
      <c r="C614" s="2"/>
      <c r="D614" s="2"/>
      <c r="E614" s="2"/>
      <c r="F614" s="2"/>
      <c r="G614" s="2"/>
      <c r="H614" s="2"/>
      <c r="I614" s="2"/>
      <c r="J614" s="2"/>
      <c r="K614" s="2"/>
      <c r="L614" s="2"/>
      <c r="M614" s="2"/>
      <c r="N614" s="2"/>
      <c r="O614" s="2"/>
      <c r="P614" s="2"/>
      <c r="Q614" s="45"/>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row>
    <row r="615">
      <c r="A615" s="2"/>
      <c r="B615" s="2"/>
      <c r="C615" s="2"/>
      <c r="D615" s="2"/>
      <c r="E615" s="2"/>
      <c r="F615" s="2"/>
      <c r="G615" s="2"/>
      <c r="H615" s="2"/>
      <c r="I615" s="2"/>
      <c r="J615" s="2"/>
      <c r="K615" s="2"/>
      <c r="L615" s="2"/>
      <c r="M615" s="2"/>
      <c r="N615" s="2"/>
      <c r="O615" s="2"/>
      <c r="P615" s="2"/>
      <c r="Q615" s="45"/>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row>
    <row r="616">
      <c r="A616" s="2"/>
      <c r="B616" s="2"/>
      <c r="C616" s="2"/>
      <c r="D616" s="2"/>
      <c r="E616" s="2"/>
      <c r="F616" s="2"/>
      <c r="G616" s="2"/>
      <c r="H616" s="2"/>
      <c r="I616" s="2"/>
      <c r="J616" s="2"/>
      <c r="K616" s="2"/>
      <c r="L616" s="2"/>
      <c r="M616" s="2"/>
      <c r="N616" s="2"/>
      <c r="O616" s="2"/>
      <c r="P616" s="2"/>
      <c r="Q616" s="45"/>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row>
    <row r="617">
      <c r="A617" s="2"/>
      <c r="B617" s="2"/>
      <c r="C617" s="2"/>
      <c r="D617" s="2"/>
      <c r="E617" s="2"/>
      <c r="F617" s="2"/>
      <c r="G617" s="2"/>
      <c r="H617" s="2"/>
      <c r="I617" s="2"/>
      <c r="J617" s="2"/>
      <c r="K617" s="2"/>
      <c r="L617" s="2"/>
      <c r="M617" s="2"/>
      <c r="N617" s="2"/>
      <c r="O617" s="2"/>
      <c r="P617" s="2"/>
      <c r="Q617" s="45"/>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row>
    <row r="618">
      <c r="A618" s="2"/>
      <c r="B618" s="2"/>
      <c r="C618" s="2"/>
      <c r="D618" s="2"/>
      <c r="E618" s="2"/>
      <c r="F618" s="2"/>
      <c r="G618" s="2"/>
      <c r="H618" s="2"/>
      <c r="I618" s="2"/>
      <c r="J618" s="2"/>
      <c r="K618" s="2"/>
      <c r="L618" s="2"/>
      <c r="M618" s="2"/>
      <c r="N618" s="2"/>
      <c r="O618" s="2"/>
      <c r="P618" s="2"/>
      <c r="Q618" s="45"/>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row>
    <row r="619">
      <c r="A619" s="2"/>
      <c r="B619" s="2"/>
      <c r="C619" s="2"/>
      <c r="D619" s="2"/>
      <c r="E619" s="2"/>
      <c r="F619" s="2"/>
      <c r="G619" s="2"/>
      <c r="H619" s="2"/>
      <c r="I619" s="2"/>
      <c r="J619" s="2"/>
      <c r="K619" s="2"/>
      <c r="L619" s="2"/>
      <c r="M619" s="2"/>
      <c r="N619" s="2"/>
      <c r="O619" s="2"/>
      <c r="P619" s="2"/>
      <c r="Q619" s="45"/>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row>
    <row r="620">
      <c r="A620" s="2"/>
      <c r="B620" s="2"/>
      <c r="C620" s="2"/>
      <c r="D620" s="2"/>
      <c r="E620" s="2"/>
      <c r="F620" s="2"/>
      <c r="G620" s="2"/>
      <c r="H620" s="2"/>
      <c r="I620" s="2"/>
      <c r="J620" s="2"/>
      <c r="K620" s="2"/>
      <c r="L620" s="2"/>
      <c r="M620" s="2"/>
      <c r="N620" s="2"/>
      <c r="O620" s="2"/>
      <c r="P620" s="2"/>
      <c r="Q620" s="45"/>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row>
    <row r="621">
      <c r="A621" s="2"/>
      <c r="B621" s="2"/>
      <c r="C621" s="2"/>
      <c r="D621" s="2"/>
      <c r="E621" s="2"/>
      <c r="F621" s="2"/>
      <c r="G621" s="2"/>
      <c r="H621" s="2"/>
      <c r="I621" s="2"/>
      <c r="J621" s="2"/>
      <c r="K621" s="2"/>
      <c r="L621" s="2"/>
      <c r="M621" s="2"/>
      <c r="N621" s="2"/>
      <c r="O621" s="2"/>
      <c r="P621" s="2"/>
      <c r="Q621" s="45"/>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row>
    <row r="622">
      <c r="A622" s="2"/>
      <c r="B622" s="2"/>
      <c r="C622" s="2"/>
      <c r="D622" s="2"/>
      <c r="E622" s="2"/>
      <c r="F622" s="2"/>
      <c r="G622" s="2"/>
      <c r="H622" s="2"/>
      <c r="I622" s="2"/>
      <c r="J622" s="2"/>
      <c r="K622" s="2"/>
      <c r="L622" s="2"/>
      <c r="M622" s="2"/>
      <c r="N622" s="2"/>
      <c r="O622" s="2"/>
      <c r="P622" s="2"/>
      <c r="Q622" s="45"/>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row>
    <row r="623">
      <c r="A623" s="2"/>
      <c r="B623" s="2"/>
      <c r="C623" s="2"/>
      <c r="D623" s="2"/>
      <c r="E623" s="2"/>
      <c r="F623" s="2"/>
      <c r="G623" s="2"/>
      <c r="H623" s="2"/>
      <c r="I623" s="2"/>
      <c r="J623" s="2"/>
      <c r="K623" s="2"/>
      <c r="L623" s="2"/>
      <c r="M623" s="2"/>
      <c r="N623" s="2"/>
      <c r="O623" s="2"/>
      <c r="P623" s="2"/>
      <c r="Q623" s="45"/>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row>
    <row r="624">
      <c r="A624" s="2"/>
      <c r="B624" s="2"/>
      <c r="C624" s="2"/>
      <c r="D624" s="2"/>
      <c r="E624" s="2"/>
      <c r="F624" s="2"/>
      <c r="G624" s="2"/>
      <c r="H624" s="2"/>
      <c r="I624" s="2"/>
      <c r="J624" s="2"/>
      <c r="K624" s="2"/>
      <c r="L624" s="2"/>
      <c r="M624" s="2"/>
      <c r="N624" s="2"/>
      <c r="O624" s="2"/>
      <c r="P624" s="2"/>
      <c r="Q624" s="45"/>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row>
    <row r="625">
      <c r="A625" s="2"/>
      <c r="B625" s="2"/>
      <c r="C625" s="2"/>
      <c r="D625" s="2"/>
      <c r="E625" s="2"/>
      <c r="F625" s="2"/>
      <c r="G625" s="2"/>
      <c r="H625" s="2"/>
      <c r="I625" s="2"/>
      <c r="J625" s="2"/>
      <c r="K625" s="2"/>
      <c r="L625" s="2"/>
      <c r="M625" s="2"/>
      <c r="N625" s="2"/>
      <c r="O625" s="2"/>
      <c r="P625" s="2"/>
      <c r="Q625" s="45"/>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row>
    <row r="626">
      <c r="A626" s="2"/>
      <c r="B626" s="2"/>
      <c r="C626" s="2"/>
      <c r="D626" s="2"/>
      <c r="E626" s="2"/>
      <c r="F626" s="2"/>
      <c r="G626" s="2"/>
      <c r="H626" s="2"/>
      <c r="I626" s="2"/>
      <c r="J626" s="2"/>
      <c r="K626" s="2"/>
      <c r="L626" s="2"/>
      <c r="M626" s="2"/>
      <c r="N626" s="2"/>
      <c r="O626" s="2"/>
      <c r="P626" s="2"/>
      <c r="Q626" s="45"/>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row>
    <row r="627">
      <c r="A627" s="2"/>
      <c r="B627" s="2"/>
      <c r="C627" s="2"/>
      <c r="D627" s="2"/>
      <c r="E627" s="2"/>
      <c r="F627" s="2"/>
      <c r="G627" s="2"/>
      <c r="H627" s="2"/>
      <c r="I627" s="2"/>
      <c r="J627" s="2"/>
      <c r="K627" s="2"/>
      <c r="L627" s="2"/>
      <c r="M627" s="2"/>
      <c r="N627" s="2"/>
      <c r="O627" s="2"/>
      <c r="P627" s="2"/>
      <c r="Q627" s="45"/>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row>
    <row r="628">
      <c r="A628" s="2"/>
      <c r="B628" s="2"/>
      <c r="C628" s="2"/>
      <c r="D628" s="2"/>
      <c r="E628" s="2"/>
      <c r="F628" s="2"/>
      <c r="G628" s="2"/>
      <c r="H628" s="2"/>
      <c r="I628" s="2"/>
      <c r="J628" s="2"/>
      <c r="K628" s="2"/>
      <c r="L628" s="2"/>
      <c r="M628" s="2"/>
      <c r="N628" s="2"/>
      <c r="O628" s="2"/>
      <c r="P628" s="2"/>
      <c r="Q628" s="45"/>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row>
    <row r="629">
      <c r="A629" s="2"/>
      <c r="B629" s="2"/>
      <c r="C629" s="2"/>
      <c r="D629" s="2"/>
      <c r="E629" s="2"/>
      <c r="F629" s="2"/>
      <c r="G629" s="2"/>
      <c r="H629" s="2"/>
      <c r="I629" s="2"/>
      <c r="J629" s="2"/>
      <c r="K629" s="2"/>
      <c r="L629" s="2"/>
      <c r="M629" s="2"/>
      <c r="N629" s="2"/>
      <c r="O629" s="2"/>
      <c r="P629" s="2"/>
      <c r="Q629" s="45"/>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row>
    <row r="630">
      <c r="A630" s="2"/>
      <c r="B630" s="2"/>
      <c r="C630" s="2"/>
      <c r="D630" s="2"/>
      <c r="E630" s="2"/>
      <c r="F630" s="2"/>
      <c r="G630" s="2"/>
      <c r="H630" s="2"/>
      <c r="I630" s="2"/>
      <c r="J630" s="2"/>
      <c r="K630" s="2"/>
      <c r="L630" s="2"/>
      <c r="M630" s="2"/>
      <c r="N630" s="2"/>
      <c r="O630" s="2"/>
      <c r="P630" s="2"/>
      <c r="Q630" s="45"/>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row>
    <row r="631">
      <c r="A631" s="2"/>
      <c r="B631" s="2"/>
      <c r="C631" s="2"/>
      <c r="D631" s="2"/>
      <c r="E631" s="2"/>
      <c r="F631" s="2"/>
      <c r="G631" s="2"/>
      <c r="H631" s="2"/>
      <c r="I631" s="2"/>
      <c r="J631" s="2"/>
      <c r="K631" s="2"/>
      <c r="L631" s="2"/>
      <c r="M631" s="2"/>
      <c r="N631" s="2"/>
      <c r="O631" s="2"/>
      <c r="P631" s="2"/>
      <c r="Q631" s="45"/>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row>
    <row r="632">
      <c r="A632" s="2"/>
      <c r="B632" s="2"/>
      <c r="C632" s="2"/>
      <c r="D632" s="2"/>
      <c r="E632" s="2"/>
      <c r="F632" s="2"/>
      <c r="G632" s="2"/>
      <c r="H632" s="2"/>
      <c r="I632" s="2"/>
      <c r="J632" s="2"/>
      <c r="K632" s="2"/>
      <c r="L632" s="2"/>
      <c r="M632" s="2"/>
      <c r="N632" s="2"/>
      <c r="O632" s="2"/>
      <c r="P632" s="2"/>
      <c r="Q632" s="45"/>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row>
    <row r="633">
      <c r="A633" s="2"/>
      <c r="B633" s="2"/>
      <c r="C633" s="2"/>
      <c r="D633" s="2"/>
      <c r="E633" s="2"/>
      <c r="F633" s="2"/>
      <c r="G633" s="2"/>
      <c r="H633" s="2"/>
      <c r="I633" s="2"/>
      <c r="J633" s="2"/>
      <c r="K633" s="2"/>
      <c r="L633" s="2"/>
      <c r="M633" s="2"/>
      <c r="N633" s="2"/>
      <c r="O633" s="2"/>
      <c r="P633" s="2"/>
      <c r="Q633" s="45"/>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row>
    <row r="634">
      <c r="A634" s="2"/>
      <c r="B634" s="2"/>
      <c r="C634" s="2"/>
      <c r="D634" s="2"/>
      <c r="E634" s="2"/>
      <c r="F634" s="2"/>
      <c r="G634" s="2"/>
      <c r="H634" s="2"/>
      <c r="I634" s="2"/>
      <c r="J634" s="2"/>
      <c r="K634" s="2"/>
      <c r="L634" s="2"/>
      <c r="M634" s="2"/>
      <c r="N634" s="2"/>
      <c r="O634" s="2"/>
      <c r="P634" s="2"/>
      <c r="Q634" s="45"/>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row>
    <row r="635">
      <c r="A635" s="2"/>
      <c r="B635" s="2"/>
      <c r="C635" s="2"/>
      <c r="D635" s="2"/>
      <c r="E635" s="2"/>
      <c r="F635" s="2"/>
      <c r="G635" s="2"/>
      <c r="H635" s="2"/>
      <c r="I635" s="2"/>
      <c r="J635" s="2"/>
      <c r="K635" s="2"/>
      <c r="L635" s="2"/>
      <c r="M635" s="2"/>
      <c r="N635" s="2"/>
      <c r="O635" s="2"/>
      <c r="P635" s="2"/>
      <c r="Q635" s="45"/>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row>
    <row r="636">
      <c r="A636" s="2"/>
      <c r="B636" s="2"/>
      <c r="C636" s="2"/>
      <c r="D636" s="2"/>
      <c r="E636" s="2"/>
      <c r="F636" s="2"/>
      <c r="G636" s="2"/>
      <c r="H636" s="2"/>
      <c r="I636" s="2"/>
      <c r="J636" s="2"/>
      <c r="K636" s="2"/>
      <c r="L636" s="2"/>
      <c r="M636" s="2"/>
      <c r="N636" s="2"/>
      <c r="O636" s="2"/>
      <c r="P636" s="2"/>
      <c r="Q636" s="45"/>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row>
    <row r="637">
      <c r="A637" s="2"/>
      <c r="B637" s="2"/>
      <c r="C637" s="2"/>
      <c r="D637" s="2"/>
      <c r="E637" s="2"/>
      <c r="F637" s="2"/>
      <c r="G637" s="2"/>
      <c r="H637" s="2"/>
      <c r="I637" s="2"/>
      <c r="J637" s="2"/>
      <c r="K637" s="2"/>
      <c r="L637" s="2"/>
      <c r="M637" s="2"/>
      <c r="N637" s="2"/>
      <c r="O637" s="2"/>
      <c r="P637" s="2"/>
      <c r="Q637" s="45"/>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row>
    <row r="638">
      <c r="A638" s="2"/>
      <c r="B638" s="2"/>
      <c r="C638" s="2"/>
      <c r="D638" s="2"/>
      <c r="E638" s="2"/>
      <c r="F638" s="2"/>
      <c r="G638" s="2"/>
      <c r="H638" s="2"/>
      <c r="I638" s="2"/>
      <c r="J638" s="2"/>
      <c r="K638" s="2"/>
      <c r="L638" s="2"/>
      <c r="M638" s="2"/>
      <c r="N638" s="2"/>
      <c r="O638" s="2"/>
      <c r="P638" s="2"/>
      <c r="Q638" s="45"/>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row>
    <row r="639">
      <c r="A639" s="2"/>
      <c r="B639" s="2"/>
      <c r="C639" s="2"/>
      <c r="D639" s="2"/>
      <c r="E639" s="2"/>
      <c r="F639" s="2"/>
      <c r="G639" s="2"/>
      <c r="H639" s="2"/>
      <c r="I639" s="2"/>
      <c r="J639" s="2"/>
      <c r="K639" s="2"/>
      <c r="L639" s="2"/>
      <c r="M639" s="2"/>
      <c r="N639" s="2"/>
      <c r="O639" s="2"/>
      <c r="P639" s="2"/>
      <c r="Q639" s="45"/>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row>
    <row r="640">
      <c r="A640" s="2"/>
      <c r="B640" s="2"/>
      <c r="C640" s="2"/>
      <c r="D640" s="2"/>
      <c r="E640" s="2"/>
      <c r="F640" s="2"/>
      <c r="G640" s="2"/>
      <c r="H640" s="2"/>
      <c r="I640" s="2"/>
      <c r="J640" s="2"/>
      <c r="K640" s="2"/>
      <c r="L640" s="2"/>
      <c r="M640" s="2"/>
      <c r="N640" s="2"/>
      <c r="O640" s="2"/>
      <c r="P640" s="2"/>
      <c r="Q640" s="45"/>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row>
    <row r="641">
      <c r="A641" s="2"/>
      <c r="B641" s="2"/>
      <c r="C641" s="2"/>
      <c r="D641" s="2"/>
      <c r="E641" s="2"/>
      <c r="F641" s="2"/>
      <c r="G641" s="2"/>
      <c r="H641" s="2"/>
      <c r="I641" s="2"/>
      <c r="J641" s="2"/>
      <c r="K641" s="2"/>
      <c r="L641" s="2"/>
      <c r="M641" s="2"/>
      <c r="N641" s="2"/>
      <c r="O641" s="2"/>
      <c r="P641" s="2"/>
      <c r="Q641" s="45"/>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row>
    <row r="642">
      <c r="A642" s="2"/>
      <c r="B642" s="2"/>
      <c r="C642" s="2"/>
      <c r="D642" s="2"/>
      <c r="E642" s="2"/>
      <c r="F642" s="2"/>
      <c r="G642" s="2"/>
      <c r="H642" s="2"/>
      <c r="I642" s="2"/>
      <c r="J642" s="2"/>
      <c r="K642" s="2"/>
      <c r="L642" s="2"/>
      <c r="M642" s="2"/>
      <c r="N642" s="2"/>
      <c r="O642" s="2"/>
      <c r="P642" s="2"/>
      <c r="Q642" s="45"/>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row>
    <row r="643">
      <c r="A643" s="2"/>
      <c r="B643" s="2"/>
      <c r="C643" s="2"/>
      <c r="D643" s="2"/>
      <c r="E643" s="2"/>
      <c r="F643" s="2"/>
      <c r="G643" s="2"/>
      <c r="H643" s="2"/>
      <c r="I643" s="2"/>
      <c r="J643" s="2"/>
      <c r="K643" s="2"/>
      <c r="L643" s="2"/>
      <c r="M643" s="2"/>
      <c r="N643" s="2"/>
      <c r="O643" s="2"/>
      <c r="P643" s="2"/>
      <c r="Q643" s="45"/>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row>
    <row r="644">
      <c r="A644" s="2"/>
      <c r="B644" s="2"/>
      <c r="C644" s="2"/>
      <c r="D644" s="2"/>
      <c r="E644" s="2"/>
      <c r="F644" s="2"/>
      <c r="G644" s="2"/>
      <c r="H644" s="2"/>
      <c r="I644" s="2"/>
      <c r="J644" s="2"/>
      <c r="K644" s="2"/>
      <c r="L644" s="2"/>
      <c r="M644" s="2"/>
      <c r="N644" s="2"/>
      <c r="O644" s="2"/>
      <c r="P644" s="2"/>
      <c r="Q644" s="45"/>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row>
    <row r="645">
      <c r="A645" s="2"/>
      <c r="B645" s="2"/>
      <c r="C645" s="2"/>
      <c r="D645" s="2"/>
      <c r="E645" s="2"/>
      <c r="F645" s="2"/>
      <c r="G645" s="2"/>
      <c r="H645" s="2"/>
      <c r="I645" s="2"/>
      <c r="J645" s="2"/>
      <c r="K645" s="2"/>
      <c r="L645" s="2"/>
      <c r="M645" s="2"/>
      <c r="N645" s="2"/>
      <c r="O645" s="2"/>
      <c r="P645" s="2"/>
      <c r="Q645" s="45"/>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row>
    <row r="646">
      <c r="A646" s="2"/>
      <c r="B646" s="2"/>
      <c r="C646" s="2"/>
      <c r="D646" s="2"/>
      <c r="E646" s="2"/>
      <c r="F646" s="2"/>
      <c r="G646" s="2"/>
      <c r="H646" s="2"/>
      <c r="I646" s="2"/>
      <c r="J646" s="2"/>
      <c r="K646" s="2"/>
      <c r="L646" s="2"/>
      <c r="M646" s="2"/>
      <c r="N646" s="2"/>
      <c r="O646" s="2"/>
      <c r="P646" s="2"/>
      <c r="Q646" s="45"/>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row>
    <row r="647">
      <c r="A647" s="2"/>
      <c r="B647" s="2"/>
      <c r="C647" s="2"/>
      <c r="D647" s="2"/>
      <c r="E647" s="2"/>
      <c r="F647" s="2"/>
      <c r="G647" s="2"/>
      <c r="H647" s="2"/>
      <c r="I647" s="2"/>
      <c r="J647" s="2"/>
      <c r="K647" s="2"/>
      <c r="L647" s="2"/>
      <c r="M647" s="2"/>
      <c r="N647" s="2"/>
      <c r="O647" s="2"/>
      <c r="P647" s="2"/>
      <c r="Q647" s="45"/>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row>
    <row r="648">
      <c r="A648" s="2"/>
      <c r="B648" s="2"/>
      <c r="C648" s="2"/>
      <c r="D648" s="2"/>
      <c r="E648" s="2"/>
      <c r="F648" s="2"/>
      <c r="G648" s="2"/>
      <c r="H648" s="2"/>
      <c r="I648" s="2"/>
      <c r="J648" s="2"/>
      <c r="K648" s="2"/>
      <c r="L648" s="2"/>
      <c r="M648" s="2"/>
      <c r="N648" s="2"/>
      <c r="O648" s="2"/>
      <c r="P648" s="2"/>
      <c r="Q648" s="45"/>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row>
    <row r="649">
      <c r="A649" s="2"/>
      <c r="B649" s="2"/>
      <c r="C649" s="2"/>
      <c r="D649" s="2"/>
      <c r="E649" s="2"/>
      <c r="F649" s="2"/>
      <c r="G649" s="2"/>
      <c r="H649" s="2"/>
      <c r="I649" s="2"/>
      <c r="J649" s="2"/>
      <c r="K649" s="2"/>
      <c r="L649" s="2"/>
      <c r="M649" s="2"/>
      <c r="N649" s="2"/>
      <c r="O649" s="2"/>
      <c r="P649" s="2"/>
      <c r="Q649" s="45"/>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row>
    <row r="650">
      <c r="A650" s="2"/>
      <c r="B650" s="2"/>
      <c r="C650" s="2"/>
      <c r="D650" s="2"/>
      <c r="E650" s="2"/>
      <c r="F650" s="2"/>
      <c r="G650" s="2"/>
      <c r="H650" s="2"/>
      <c r="I650" s="2"/>
      <c r="J650" s="2"/>
      <c r="K650" s="2"/>
      <c r="L650" s="2"/>
      <c r="M650" s="2"/>
      <c r="N650" s="2"/>
      <c r="O650" s="2"/>
      <c r="P650" s="2"/>
      <c r="Q650" s="45"/>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row>
    <row r="651">
      <c r="A651" s="2"/>
      <c r="B651" s="2"/>
      <c r="C651" s="2"/>
      <c r="D651" s="2"/>
      <c r="E651" s="2"/>
      <c r="F651" s="2"/>
      <c r="G651" s="2"/>
      <c r="H651" s="2"/>
      <c r="I651" s="2"/>
      <c r="J651" s="2"/>
      <c r="K651" s="2"/>
      <c r="L651" s="2"/>
      <c r="M651" s="2"/>
      <c r="N651" s="2"/>
      <c r="O651" s="2"/>
      <c r="P651" s="2"/>
      <c r="Q651" s="45"/>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row>
    <row r="652">
      <c r="A652" s="2"/>
      <c r="B652" s="2"/>
      <c r="C652" s="2"/>
      <c r="D652" s="2"/>
      <c r="E652" s="2"/>
      <c r="F652" s="2"/>
      <c r="G652" s="2"/>
      <c r="H652" s="2"/>
      <c r="I652" s="2"/>
      <c r="J652" s="2"/>
      <c r="K652" s="2"/>
      <c r="L652" s="2"/>
      <c r="M652" s="2"/>
      <c r="N652" s="2"/>
      <c r="O652" s="2"/>
      <c r="P652" s="2"/>
      <c r="Q652" s="45"/>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row>
    <row r="653">
      <c r="A653" s="2"/>
      <c r="B653" s="2"/>
      <c r="C653" s="2"/>
      <c r="D653" s="2"/>
      <c r="E653" s="2"/>
      <c r="F653" s="2"/>
      <c r="G653" s="2"/>
      <c r="H653" s="2"/>
      <c r="I653" s="2"/>
      <c r="J653" s="2"/>
      <c r="K653" s="2"/>
      <c r="L653" s="2"/>
      <c r="M653" s="2"/>
      <c r="N653" s="2"/>
      <c r="O653" s="2"/>
      <c r="P653" s="2"/>
      <c r="Q653" s="45"/>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row>
    <row r="654">
      <c r="A654" s="2"/>
      <c r="B654" s="2"/>
      <c r="C654" s="2"/>
      <c r="D654" s="2"/>
      <c r="E654" s="2"/>
      <c r="F654" s="2"/>
      <c r="G654" s="2"/>
      <c r="H654" s="2"/>
      <c r="I654" s="2"/>
      <c r="J654" s="2"/>
      <c r="K654" s="2"/>
      <c r="L654" s="2"/>
      <c r="M654" s="2"/>
      <c r="N654" s="2"/>
      <c r="O654" s="2"/>
      <c r="P654" s="2"/>
      <c r="Q654" s="45"/>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row>
    <row r="655">
      <c r="A655" s="2"/>
      <c r="B655" s="2"/>
      <c r="C655" s="2"/>
      <c r="D655" s="2"/>
      <c r="E655" s="2"/>
      <c r="F655" s="2"/>
      <c r="G655" s="2"/>
      <c r="H655" s="2"/>
      <c r="I655" s="2"/>
      <c r="J655" s="2"/>
      <c r="K655" s="2"/>
      <c r="L655" s="2"/>
      <c r="M655" s="2"/>
      <c r="N655" s="2"/>
      <c r="O655" s="2"/>
      <c r="P655" s="2"/>
      <c r="Q655" s="45"/>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row>
    <row r="656">
      <c r="A656" s="2"/>
      <c r="B656" s="2"/>
      <c r="C656" s="2"/>
      <c r="D656" s="2"/>
      <c r="E656" s="2"/>
      <c r="F656" s="2"/>
      <c r="G656" s="2"/>
      <c r="H656" s="2"/>
      <c r="I656" s="2"/>
      <c r="J656" s="2"/>
      <c r="K656" s="2"/>
      <c r="L656" s="2"/>
      <c r="M656" s="2"/>
      <c r="N656" s="2"/>
      <c r="O656" s="2"/>
      <c r="P656" s="2"/>
      <c r="Q656" s="45"/>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row>
    <row r="657">
      <c r="A657" s="2"/>
      <c r="B657" s="2"/>
      <c r="C657" s="2"/>
      <c r="D657" s="2"/>
      <c r="E657" s="2"/>
      <c r="F657" s="2"/>
      <c r="G657" s="2"/>
      <c r="H657" s="2"/>
      <c r="I657" s="2"/>
      <c r="J657" s="2"/>
      <c r="K657" s="2"/>
      <c r="L657" s="2"/>
      <c r="M657" s="2"/>
      <c r="N657" s="2"/>
      <c r="O657" s="2"/>
      <c r="P657" s="2"/>
      <c r="Q657" s="45"/>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row>
    <row r="658">
      <c r="A658" s="2"/>
      <c r="B658" s="2"/>
      <c r="C658" s="2"/>
      <c r="D658" s="2"/>
      <c r="E658" s="2"/>
      <c r="F658" s="2"/>
      <c r="G658" s="2"/>
      <c r="H658" s="2"/>
      <c r="I658" s="2"/>
      <c r="J658" s="2"/>
      <c r="K658" s="2"/>
      <c r="L658" s="2"/>
      <c r="M658" s="2"/>
      <c r="N658" s="2"/>
      <c r="O658" s="2"/>
      <c r="P658" s="2"/>
      <c r="Q658" s="45"/>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row>
    <row r="659">
      <c r="A659" s="2"/>
      <c r="B659" s="2"/>
      <c r="C659" s="2"/>
      <c r="D659" s="2"/>
      <c r="E659" s="2"/>
      <c r="F659" s="2"/>
      <c r="G659" s="2"/>
      <c r="H659" s="2"/>
      <c r="I659" s="2"/>
      <c r="J659" s="2"/>
      <c r="K659" s="2"/>
      <c r="L659" s="2"/>
      <c r="M659" s="2"/>
      <c r="N659" s="2"/>
      <c r="O659" s="2"/>
      <c r="P659" s="2"/>
      <c r="Q659" s="45"/>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row>
    <row r="660">
      <c r="A660" s="2"/>
      <c r="B660" s="2"/>
      <c r="C660" s="2"/>
      <c r="D660" s="2"/>
      <c r="E660" s="2"/>
      <c r="F660" s="2"/>
      <c r="G660" s="2"/>
      <c r="H660" s="2"/>
      <c r="I660" s="2"/>
      <c r="J660" s="2"/>
      <c r="K660" s="2"/>
      <c r="L660" s="2"/>
      <c r="M660" s="2"/>
      <c r="N660" s="2"/>
      <c r="O660" s="2"/>
      <c r="P660" s="2"/>
      <c r="Q660" s="45"/>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row>
    <row r="661">
      <c r="A661" s="2"/>
      <c r="B661" s="2"/>
      <c r="C661" s="2"/>
      <c r="D661" s="2"/>
      <c r="E661" s="2"/>
      <c r="F661" s="2"/>
      <c r="G661" s="2"/>
      <c r="H661" s="2"/>
      <c r="I661" s="2"/>
      <c r="J661" s="2"/>
      <c r="K661" s="2"/>
      <c r="L661" s="2"/>
      <c r="M661" s="2"/>
      <c r="N661" s="2"/>
      <c r="O661" s="2"/>
      <c r="P661" s="2"/>
      <c r="Q661" s="45"/>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row>
    <row r="662">
      <c r="A662" s="2"/>
      <c r="B662" s="2"/>
      <c r="C662" s="2"/>
      <c r="D662" s="2"/>
      <c r="E662" s="2"/>
      <c r="F662" s="2"/>
      <c r="G662" s="2"/>
      <c r="H662" s="2"/>
      <c r="I662" s="2"/>
      <c r="J662" s="2"/>
      <c r="K662" s="2"/>
      <c r="L662" s="2"/>
      <c r="M662" s="2"/>
      <c r="N662" s="2"/>
      <c r="O662" s="2"/>
      <c r="P662" s="2"/>
      <c r="Q662" s="45"/>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row>
    <row r="663">
      <c r="A663" s="2"/>
      <c r="B663" s="2"/>
      <c r="C663" s="2"/>
      <c r="D663" s="2"/>
      <c r="E663" s="2"/>
      <c r="F663" s="2"/>
      <c r="G663" s="2"/>
      <c r="H663" s="2"/>
      <c r="I663" s="2"/>
      <c r="J663" s="2"/>
      <c r="K663" s="2"/>
      <c r="L663" s="2"/>
      <c r="M663" s="2"/>
      <c r="N663" s="2"/>
      <c r="O663" s="2"/>
      <c r="P663" s="2"/>
      <c r="Q663" s="45"/>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row>
    <row r="664">
      <c r="A664" s="2"/>
      <c r="B664" s="2"/>
      <c r="C664" s="2"/>
      <c r="D664" s="2"/>
      <c r="E664" s="2"/>
      <c r="F664" s="2"/>
      <c r="G664" s="2"/>
      <c r="H664" s="2"/>
      <c r="I664" s="2"/>
      <c r="J664" s="2"/>
      <c r="K664" s="2"/>
      <c r="L664" s="2"/>
      <c r="M664" s="2"/>
      <c r="N664" s="2"/>
      <c r="O664" s="2"/>
      <c r="P664" s="2"/>
      <c r="Q664" s="45"/>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row>
    <row r="665">
      <c r="A665" s="2"/>
      <c r="B665" s="2"/>
      <c r="C665" s="2"/>
      <c r="D665" s="2"/>
      <c r="E665" s="2"/>
      <c r="F665" s="2"/>
      <c r="G665" s="2"/>
      <c r="H665" s="2"/>
      <c r="I665" s="2"/>
      <c r="J665" s="2"/>
      <c r="K665" s="2"/>
      <c r="L665" s="2"/>
      <c r="M665" s="2"/>
      <c r="N665" s="2"/>
      <c r="O665" s="2"/>
      <c r="P665" s="2"/>
      <c r="Q665" s="45"/>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row>
    <row r="666">
      <c r="A666" s="2"/>
      <c r="B666" s="2"/>
      <c r="C666" s="2"/>
      <c r="D666" s="2"/>
      <c r="E666" s="2"/>
      <c r="F666" s="2"/>
      <c r="G666" s="2"/>
      <c r="H666" s="2"/>
      <c r="I666" s="2"/>
      <c r="J666" s="2"/>
      <c r="K666" s="2"/>
      <c r="L666" s="2"/>
      <c r="M666" s="2"/>
      <c r="N666" s="2"/>
      <c r="O666" s="2"/>
      <c r="P666" s="2"/>
      <c r="Q666" s="45"/>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row>
    <row r="667">
      <c r="A667" s="2"/>
      <c r="B667" s="2"/>
      <c r="C667" s="2"/>
      <c r="D667" s="2"/>
      <c r="E667" s="2"/>
      <c r="F667" s="2"/>
      <c r="G667" s="2"/>
      <c r="H667" s="2"/>
      <c r="I667" s="2"/>
      <c r="J667" s="2"/>
      <c r="K667" s="2"/>
      <c r="L667" s="2"/>
      <c r="M667" s="2"/>
      <c r="N667" s="2"/>
      <c r="O667" s="2"/>
      <c r="P667" s="2"/>
      <c r="Q667" s="45"/>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row>
    <row r="668">
      <c r="A668" s="2"/>
      <c r="B668" s="2"/>
      <c r="C668" s="2"/>
      <c r="D668" s="2"/>
      <c r="E668" s="2"/>
      <c r="F668" s="2"/>
      <c r="G668" s="2"/>
      <c r="H668" s="2"/>
      <c r="I668" s="2"/>
      <c r="J668" s="2"/>
      <c r="K668" s="2"/>
      <c r="L668" s="2"/>
      <c r="M668" s="2"/>
      <c r="N668" s="2"/>
      <c r="O668" s="2"/>
      <c r="P668" s="2"/>
      <c r="Q668" s="45"/>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row>
    <row r="669">
      <c r="A669" s="2"/>
      <c r="B669" s="2"/>
      <c r="C669" s="2"/>
      <c r="D669" s="2"/>
      <c r="E669" s="2"/>
      <c r="F669" s="2"/>
      <c r="G669" s="2"/>
      <c r="H669" s="2"/>
      <c r="I669" s="2"/>
      <c r="J669" s="2"/>
      <c r="K669" s="2"/>
      <c r="L669" s="2"/>
      <c r="M669" s="2"/>
      <c r="N669" s="2"/>
      <c r="O669" s="2"/>
      <c r="P669" s="2"/>
      <c r="Q669" s="45"/>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row>
    <row r="670">
      <c r="A670" s="2"/>
      <c r="B670" s="2"/>
      <c r="C670" s="2"/>
      <c r="D670" s="2"/>
      <c r="E670" s="2"/>
      <c r="F670" s="2"/>
      <c r="G670" s="2"/>
      <c r="H670" s="2"/>
      <c r="I670" s="2"/>
      <c r="J670" s="2"/>
      <c r="K670" s="2"/>
      <c r="L670" s="2"/>
      <c r="M670" s="2"/>
      <c r="N670" s="2"/>
      <c r="O670" s="2"/>
      <c r="P670" s="2"/>
      <c r="Q670" s="45"/>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row>
    <row r="671">
      <c r="A671" s="2"/>
      <c r="B671" s="2"/>
      <c r="C671" s="2"/>
      <c r="D671" s="2"/>
      <c r="E671" s="2"/>
      <c r="F671" s="2"/>
      <c r="G671" s="2"/>
      <c r="H671" s="2"/>
      <c r="I671" s="2"/>
      <c r="J671" s="2"/>
      <c r="K671" s="2"/>
      <c r="L671" s="2"/>
      <c r="M671" s="2"/>
      <c r="N671" s="2"/>
      <c r="O671" s="2"/>
      <c r="P671" s="2"/>
      <c r="Q671" s="45"/>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row>
    <row r="672">
      <c r="A672" s="2"/>
      <c r="B672" s="2"/>
      <c r="C672" s="2"/>
      <c r="D672" s="2"/>
      <c r="E672" s="2"/>
      <c r="F672" s="2"/>
      <c r="G672" s="2"/>
      <c r="H672" s="2"/>
      <c r="I672" s="2"/>
      <c r="J672" s="2"/>
      <c r="K672" s="2"/>
      <c r="L672" s="2"/>
      <c r="M672" s="2"/>
      <c r="N672" s="2"/>
      <c r="O672" s="2"/>
      <c r="P672" s="2"/>
      <c r="Q672" s="45"/>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row>
    <row r="673">
      <c r="A673" s="2"/>
      <c r="B673" s="2"/>
      <c r="C673" s="2"/>
      <c r="D673" s="2"/>
      <c r="E673" s="2"/>
      <c r="F673" s="2"/>
      <c r="G673" s="2"/>
      <c r="H673" s="2"/>
      <c r="I673" s="2"/>
      <c r="J673" s="2"/>
      <c r="K673" s="2"/>
      <c r="L673" s="2"/>
      <c r="M673" s="2"/>
      <c r="N673" s="2"/>
      <c r="O673" s="2"/>
      <c r="P673" s="2"/>
      <c r="Q673" s="45"/>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row>
    <row r="674">
      <c r="A674" s="2"/>
      <c r="B674" s="2"/>
      <c r="C674" s="2"/>
      <c r="D674" s="2"/>
      <c r="E674" s="2"/>
      <c r="F674" s="2"/>
      <c r="G674" s="2"/>
      <c r="H674" s="2"/>
      <c r="I674" s="2"/>
      <c r="J674" s="2"/>
      <c r="K674" s="2"/>
      <c r="L674" s="2"/>
      <c r="M674" s="2"/>
      <c r="N674" s="2"/>
      <c r="O674" s="2"/>
      <c r="P674" s="2"/>
      <c r="Q674" s="45"/>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row>
    <row r="675">
      <c r="A675" s="2"/>
      <c r="B675" s="2"/>
      <c r="C675" s="2"/>
      <c r="D675" s="2"/>
      <c r="E675" s="2"/>
      <c r="F675" s="2"/>
      <c r="G675" s="2"/>
      <c r="H675" s="2"/>
      <c r="I675" s="2"/>
      <c r="J675" s="2"/>
      <c r="K675" s="2"/>
      <c r="L675" s="2"/>
      <c r="M675" s="2"/>
      <c r="N675" s="2"/>
      <c r="O675" s="2"/>
      <c r="P675" s="2"/>
      <c r="Q675" s="45"/>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row>
    <row r="676">
      <c r="A676" s="2"/>
      <c r="B676" s="2"/>
      <c r="C676" s="2"/>
      <c r="D676" s="2"/>
      <c r="E676" s="2"/>
      <c r="F676" s="2"/>
      <c r="G676" s="2"/>
      <c r="H676" s="2"/>
      <c r="I676" s="2"/>
      <c r="J676" s="2"/>
      <c r="K676" s="2"/>
      <c r="L676" s="2"/>
      <c r="M676" s="2"/>
      <c r="N676" s="2"/>
      <c r="O676" s="2"/>
      <c r="P676" s="2"/>
      <c r="Q676" s="45"/>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row>
    <row r="677">
      <c r="A677" s="2"/>
      <c r="B677" s="2"/>
      <c r="C677" s="2"/>
      <c r="D677" s="2"/>
      <c r="E677" s="2"/>
      <c r="F677" s="2"/>
      <c r="G677" s="2"/>
      <c r="H677" s="2"/>
      <c r="I677" s="2"/>
      <c r="J677" s="2"/>
      <c r="K677" s="2"/>
      <c r="L677" s="2"/>
      <c r="M677" s="2"/>
      <c r="N677" s="2"/>
      <c r="O677" s="2"/>
      <c r="P677" s="2"/>
      <c r="Q677" s="45"/>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row>
    <row r="678">
      <c r="A678" s="2"/>
      <c r="B678" s="2"/>
      <c r="C678" s="2"/>
      <c r="D678" s="2"/>
      <c r="E678" s="2"/>
      <c r="F678" s="2"/>
      <c r="G678" s="2"/>
      <c r="H678" s="2"/>
      <c r="I678" s="2"/>
      <c r="J678" s="2"/>
      <c r="K678" s="2"/>
      <c r="L678" s="2"/>
      <c r="M678" s="2"/>
      <c r="N678" s="2"/>
      <c r="O678" s="2"/>
      <c r="P678" s="2"/>
      <c r="Q678" s="45"/>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row>
    <row r="679">
      <c r="A679" s="2"/>
      <c r="B679" s="2"/>
      <c r="C679" s="2"/>
      <c r="D679" s="2"/>
      <c r="E679" s="2"/>
      <c r="F679" s="2"/>
      <c r="G679" s="2"/>
      <c r="H679" s="2"/>
      <c r="I679" s="2"/>
      <c r="J679" s="2"/>
      <c r="K679" s="2"/>
      <c r="L679" s="2"/>
      <c r="M679" s="2"/>
      <c r="N679" s="2"/>
      <c r="O679" s="2"/>
      <c r="P679" s="2"/>
      <c r="Q679" s="45"/>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row>
    <row r="680">
      <c r="A680" s="2"/>
      <c r="B680" s="2"/>
      <c r="C680" s="2"/>
      <c r="D680" s="2"/>
      <c r="E680" s="2"/>
      <c r="F680" s="2"/>
      <c r="G680" s="2"/>
      <c r="H680" s="2"/>
      <c r="I680" s="2"/>
      <c r="J680" s="2"/>
      <c r="K680" s="2"/>
      <c r="L680" s="2"/>
      <c r="M680" s="2"/>
      <c r="N680" s="2"/>
      <c r="O680" s="2"/>
      <c r="P680" s="2"/>
      <c r="Q680" s="45"/>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row>
    <row r="681">
      <c r="A681" s="2"/>
      <c r="B681" s="2"/>
      <c r="C681" s="2"/>
      <c r="D681" s="2"/>
      <c r="E681" s="2"/>
      <c r="F681" s="2"/>
      <c r="G681" s="2"/>
      <c r="H681" s="2"/>
      <c r="I681" s="2"/>
      <c r="J681" s="2"/>
      <c r="K681" s="2"/>
      <c r="L681" s="2"/>
      <c r="M681" s="2"/>
      <c r="N681" s="2"/>
      <c r="O681" s="2"/>
      <c r="P681" s="2"/>
      <c r="Q681" s="45"/>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row>
    <row r="682">
      <c r="A682" s="2"/>
      <c r="B682" s="2"/>
      <c r="C682" s="2"/>
      <c r="D682" s="2"/>
      <c r="E682" s="2"/>
      <c r="F682" s="2"/>
      <c r="G682" s="2"/>
      <c r="H682" s="2"/>
      <c r="I682" s="2"/>
      <c r="J682" s="2"/>
      <c r="K682" s="2"/>
      <c r="L682" s="2"/>
      <c r="M682" s="2"/>
      <c r="N682" s="2"/>
      <c r="O682" s="2"/>
      <c r="P682" s="2"/>
      <c r="Q682" s="45"/>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row>
    <row r="683">
      <c r="A683" s="2"/>
      <c r="B683" s="2"/>
      <c r="C683" s="2"/>
      <c r="D683" s="2"/>
      <c r="E683" s="2"/>
      <c r="F683" s="2"/>
      <c r="G683" s="2"/>
      <c r="H683" s="2"/>
      <c r="I683" s="2"/>
      <c r="J683" s="2"/>
      <c r="K683" s="2"/>
      <c r="L683" s="2"/>
      <c r="M683" s="2"/>
      <c r="N683" s="2"/>
      <c r="O683" s="2"/>
      <c r="P683" s="2"/>
      <c r="Q683" s="45"/>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row>
    <row r="684">
      <c r="A684" s="2"/>
      <c r="B684" s="2"/>
      <c r="C684" s="2"/>
      <c r="D684" s="2"/>
      <c r="E684" s="2"/>
      <c r="F684" s="2"/>
      <c r="G684" s="2"/>
      <c r="H684" s="2"/>
      <c r="I684" s="2"/>
      <c r="J684" s="2"/>
      <c r="K684" s="2"/>
      <c r="L684" s="2"/>
      <c r="M684" s="2"/>
      <c r="N684" s="2"/>
      <c r="O684" s="2"/>
      <c r="P684" s="2"/>
      <c r="Q684" s="45"/>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row>
    <row r="685">
      <c r="A685" s="2"/>
      <c r="B685" s="2"/>
      <c r="C685" s="2"/>
      <c r="D685" s="2"/>
      <c r="E685" s="2"/>
      <c r="F685" s="2"/>
      <c r="G685" s="2"/>
      <c r="H685" s="2"/>
      <c r="I685" s="2"/>
      <c r="J685" s="2"/>
      <c r="K685" s="2"/>
      <c r="L685" s="2"/>
      <c r="M685" s="2"/>
      <c r="N685" s="2"/>
      <c r="O685" s="2"/>
      <c r="P685" s="2"/>
      <c r="Q685" s="45"/>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row>
    <row r="686">
      <c r="A686" s="2"/>
      <c r="B686" s="2"/>
      <c r="C686" s="2"/>
      <c r="D686" s="2"/>
      <c r="E686" s="2"/>
      <c r="F686" s="2"/>
      <c r="G686" s="2"/>
      <c r="H686" s="2"/>
      <c r="I686" s="2"/>
      <c r="J686" s="2"/>
      <c r="K686" s="2"/>
      <c r="L686" s="2"/>
      <c r="M686" s="2"/>
      <c r="N686" s="2"/>
      <c r="O686" s="2"/>
      <c r="P686" s="2"/>
      <c r="Q686" s="45"/>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row>
    <row r="687">
      <c r="A687" s="2"/>
      <c r="B687" s="2"/>
      <c r="C687" s="2"/>
      <c r="D687" s="2"/>
      <c r="E687" s="2"/>
      <c r="F687" s="2"/>
      <c r="G687" s="2"/>
      <c r="H687" s="2"/>
      <c r="I687" s="2"/>
      <c r="J687" s="2"/>
      <c r="K687" s="2"/>
      <c r="L687" s="2"/>
      <c r="M687" s="2"/>
      <c r="N687" s="2"/>
      <c r="O687" s="2"/>
      <c r="P687" s="2"/>
      <c r="Q687" s="45"/>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row>
    <row r="688">
      <c r="A688" s="2"/>
      <c r="B688" s="2"/>
      <c r="C688" s="2"/>
      <c r="D688" s="2"/>
      <c r="E688" s="2"/>
      <c r="F688" s="2"/>
      <c r="G688" s="2"/>
      <c r="H688" s="2"/>
      <c r="I688" s="2"/>
      <c r="J688" s="2"/>
      <c r="K688" s="2"/>
      <c r="L688" s="2"/>
      <c r="M688" s="2"/>
      <c r="N688" s="2"/>
      <c r="O688" s="2"/>
      <c r="P688" s="2"/>
      <c r="Q688" s="45"/>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row>
    <row r="689">
      <c r="A689" s="2"/>
      <c r="B689" s="2"/>
      <c r="C689" s="2"/>
      <c r="D689" s="2"/>
      <c r="E689" s="2"/>
      <c r="F689" s="2"/>
      <c r="G689" s="2"/>
      <c r="H689" s="2"/>
      <c r="I689" s="2"/>
      <c r="J689" s="2"/>
      <c r="K689" s="2"/>
      <c r="L689" s="2"/>
      <c r="M689" s="2"/>
      <c r="N689" s="2"/>
      <c r="O689" s="2"/>
      <c r="P689" s="2"/>
      <c r="Q689" s="45"/>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row>
    <row r="690">
      <c r="A690" s="2"/>
      <c r="B690" s="2"/>
      <c r="C690" s="2"/>
      <c r="D690" s="2"/>
      <c r="E690" s="2"/>
      <c r="F690" s="2"/>
      <c r="G690" s="2"/>
      <c r="H690" s="2"/>
      <c r="I690" s="2"/>
      <c r="J690" s="2"/>
      <c r="K690" s="2"/>
      <c r="L690" s="2"/>
      <c r="M690" s="2"/>
      <c r="N690" s="2"/>
      <c r="O690" s="2"/>
      <c r="P690" s="2"/>
      <c r="Q690" s="45"/>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row>
    <row r="691">
      <c r="A691" s="2"/>
      <c r="B691" s="2"/>
      <c r="C691" s="2"/>
      <c r="D691" s="2"/>
      <c r="E691" s="2"/>
      <c r="F691" s="2"/>
      <c r="G691" s="2"/>
      <c r="H691" s="2"/>
      <c r="I691" s="2"/>
      <c r="J691" s="2"/>
      <c r="K691" s="2"/>
      <c r="L691" s="2"/>
      <c r="M691" s="2"/>
      <c r="N691" s="2"/>
      <c r="O691" s="2"/>
      <c r="P691" s="2"/>
      <c r="Q691" s="45"/>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row>
    <row r="692">
      <c r="A692" s="2"/>
      <c r="B692" s="2"/>
      <c r="C692" s="2"/>
      <c r="D692" s="2"/>
      <c r="E692" s="2"/>
      <c r="F692" s="2"/>
      <c r="G692" s="2"/>
      <c r="H692" s="2"/>
      <c r="I692" s="2"/>
      <c r="J692" s="2"/>
      <c r="K692" s="2"/>
      <c r="L692" s="2"/>
      <c r="M692" s="2"/>
      <c r="N692" s="2"/>
      <c r="O692" s="2"/>
      <c r="P692" s="2"/>
      <c r="Q692" s="45"/>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row>
    <row r="693">
      <c r="A693" s="2"/>
      <c r="B693" s="2"/>
      <c r="C693" s="2"/>
      <c r="D693" s="2"/>
      <c r="E693" s="2"/>
      <c r="F693" s="2"/>
      <c r="G693" s="2"/>
      <c r="H693" s="2"/>
      <c r="I693" s="2"/>
      <c r="J693" s="2"/>
      <c r="K693" s="2"/>
      <c r="L693" s="2"/>
      <c r="M693" s="2"/>
      <c r="N693" s="2"/>
      <c r="O693" s="2"/>
      <c r="P693" s="2"/>
      <c r="Q693" s="45"/>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row>
    <row r="694">
      <c r="A694" s="2"/>
      <c r="B694" s="2"/>
      <c r="C694" s="2"/>
      <c r="D694" s="2"/>
      <c r="E694" s="2"/>
      <c r="F694" s="2"/>
      <c r="G694" s="2"/>
      <c r="H694" s="2"/>
      <c r="I694" s="2"/>
      <c r="J694" s="2"/>
      <c r="K694" s="2"/>
      <c r="L694" s="2"/>
      <c r="M694" s="2"/>
      <c r="N694" s="2"/>
      <c r="O694" s="2"/>
      <c r="P694" s="2"/>
      <c r="Q694" s="45"/>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row>
    <row r="695">
      <c r="A695" s="2"/>
      <c r="B695" s="2"/>
      <c r="C695" s="2"/>
      <c r="D695" s="2"/>
      <c r="E695" s="2"/>
      <c r="F695" s="2"/>
      <c r="G695" s="2"/>
      <c r="H695" s="2"/>
      <c r="I695" s="2"/>
      <c r="J695" s="2"/>
      <c r="K695" s="2"/>
      <c r="L695" s="2"/>
      <c r="M695" s="2"/>
      <c r="N695" s="2"/>
      <c r="O695" s="2"/>
      <c r="P695" s="2"/>
      <c r="Q695" s="45"/>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row>
    <row r="696">
      <c r="A696" s="2"/>
      <c r="B696" s="2"/>
      <c r="C696" s="2"/>
      <c r="D696" s="2"/>
      <c r="E696" s="2"/>
      <c r="F696" s="2"/>
      <c r="G696" s="2"/>
      <c r="H696" s="2"/>
      <c r="I696" s="2"/>
      <c r="J696" s="2"/>
      <c r="K696" s="2"/>
      <c r="L696" s="2"/>
      <c r="M696" s="2"/>
      <c r="N696" s="2"/>
      <c r="O696" s="2"/>
      <c r="P696" s="2"/>
      <c r="Q696" s="45"/>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row>
    <row r="697">
      <c r="A697" s="2"/>
      <c r="B697" s="2"/>
      <c r="C697" s="2"/>
      <c r="D697" s="2"/>
      <c r="E697" s="2"/>
      <c r="F697" s="2"/>
      <c r="G697" s="2"/>
      <c r="H697" s="2"/>
      <c r="I697" s="2"/>
      <c r="J697" s="2"/>
      <c r="K697" s="2"/>
      <c r="L697" s="2"/>
      <c r="M697" s="2"/>
      <c r="N697" s="2"/>
      <c r="O697" s="2"/>
      <c r="P697" s="2"/>
      <c r="Q697" s="45"/>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row>
    <row r="698">
      <c r="A698" s="2"/>
      <c r="B698" s="2"/>
      <c r="C698" s="2"/>
      <c r="D698" s="2"/>
      <c r="E698" s="2"/>
      <c r="F698" s="2"/>
      <c r="G698" s="2"/>
      <c r="H698" s="2"/>
      <c r="I698" s="2"/>
      <c r="J698" s="2"/>
      <c r="K698" s="2"/>
      <c r="L698" s="2"/>
      <c r="M698" s="2"/>
      <c r="N698" s="2"/>
      <c r="O698" s="2"/>
      <c r="P698" s="2"/>
      <c r="Q698" s="45"/>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row>
    <row r="699">
      <c r="A699" s="2"/>
      <c r="B699" s="2"/>
      <c r="C699" s="2"/>
      <c r="D699" s="2"/>
      <c r="E699" s="2"/>
      <c r="F699" s="2"/>
      <c r="G699" s="2"/>
      <c r="H699" s="2"/>
      <c r="I699" s="2"/>
      <c r="J699" s="2"/>
      <c r="K699" s="2"/>
      <c r="L699" s="2"/>
      <c r="M699" s="2"/>
      <c r="N699" s="2"/>
      <c r="O699" s="2"/>
      <c r="P699" s="2"/>
      <c r="Q699" s="45"/>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row>
    <row r="700">
      <c r="A700" s="2"/>
      <c r="B700" s="2"/>
      <c r="C700" s="2"/>
      <c r="D700" s="2"/>
      <c r="E700" s="2"/>
      <c r="F700" s="2"/>
      <c r="G700" s="2"/>
      <c r="H700" s="2"/>
      <c r="I700" s="2"/>
      <c r="J700" s="2"/>
      <c r="K700" s="2"/>
      <c r="L700" s="2"/>
      <c r="M700" s="2"/>
      <c r="N700" s="2"/>
      <c r="O700" s="2"/>
      <c r="P700" s="2"/>
      <c r="Q700" s="45"/>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row>
    <row r="701">
      <c r="A701" s="2"/>
      <c r="B701" s="2"/>
      <c r="C701" s="2"/>
      <c r="D701" s="2"/>
      <c r="E701" s="2"/>
      <c r="F701" s="2"/>
      <c r="G701" s="2"/>
      <c r="H701" s="2"/>
      <c r="I701" s="2"/>
      <c r="J701" s="2"/>
      <c r="K701" s="2"/>
      <c r="L701" s="2"/>
      <c r="M701" s="2"/>
      <c r="N701" s="2"/>
      <c r="O701" s="2"/>
      <c r="P701" s="2"/>
      <c r="Q701" s="45"/>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row>
    <row r="702">
      <c r="A702" s="2"/>
      <c r="B702" s="2"/>
      <c r="C702" s="2"/>
      <c r="D702" s="2"/>
      <c r="E702" s="2"/>
      <c r="F702" s="2"/>
      <c r="G702" s="2"/>
      <c r="H702" s="2"/>
      <c r="I702" s="2"/>
      <c r="J702" s="2"/>
      <c r="K702" s="2"/>
      <c r="L702" s="2"/>
      <c r="M702" s="2"/>
      <c r="N702" s="2"/>
      <c r="O702" s="2"/>
      <c r="P702" s="2"/>
      <c r="Q702" s="45"/>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row>
    <row r="703">
      <c r="A703" s="2"/>
      <c r="B703" s="2"/>
      <c r="C703" s="2"/>
      <c r="D703" s="2"/>
      <c r="E703" s="2"/>
      <c r="F703" s="2"/>
      <c r="G703" s="2"/>
      <c r="H703" s="2"/>
      <c r="I703" s="2"/>
      <c r="J703" s="2"/>
      <c r="K703" s="2"/>
      <c r="L703" s="2"/>
      <c r="M703" s="2"/>
      <c r="N703" s="2"/>
      <c r="O703" s="2"/>
      <c r="P703" s="2"/>
      <c r="Q703" s="45"/>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row>
    <row r="704">
      <c r="A704" s="2"/>
      <c r="B704" s="2"/>
      <c r="C704" s="2"/>
      <c r="D704" s="2"/>
      <c r="E704" s="2"/>
      <c r="F704" s="2"/>
      <c r="G704" s="2"/>
      <c r="H704" s="2"/>
      <c r="I704" s="2"/>
      <c r="J704" s="2"/>
      <c r="K704" s="2"/>
      <c r="L704" s="2"/>
      <c r="M704" s="2"/>
      <c r="N704" s="2"/>
      <c r="O704" s="2"/>
      <c r="P704" s="2"/>
      <c r="Q704" s="45"/>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row>
    <row r="705">
      <c r="A705" s="2"/>
      <c r="B705" s="2"/>
      <c r="C705" s="2"/>
      <c r="D705" s="2"/>
      <c r="E705" s="2"/>
      <c r="F705" s="2"/>
      <c r="G705" s="2"/>
      <c r="H705" s="2"/>
      <c r="I705" s="2"/>
      <c r="J705" s="2"/>
      <c r="K705" s="2"/>
      <c r="L705" s="2"/>
      <c r="M705" s="2"/>
      <c r="N705" s="2"/>
      <c r="O705" s="2"/>
      <c r="P705" s="2"/>
      <c r="Q705" s="45"/>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row>
    <row r="706">
      <c r="A706" s="2"/>
      <c r="B706" s="2"/>
      <c r="C706" s="2"/>
      <c r="D706" s="2"/>
      <c r="E706" s="2"/>
      <c r="F706" s="2"/>
      <c r="G706" s="2"/>
      <c r="H706" s="2"/>
      <c r="I706" s="2"/>
      <c r="J706" s="2"/>
      <c r="K706" s="2"/>
      <c r="L706" s="2"/>
      <c r="M706" s="2"/>
      <c r="N706" s="2"/>
      <c r="O706" s="2"/>
      <c r="P706" s="2"/>
      <c r="Q706" s="45"/>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row>
    <row r="707">
      <c r="A707" s="2"/>
      <c r="B707" s="2"/>
      <c r="C707" s="2"/>
      <c r="D707" s="2"/>
      <c r="E707" s="2"/>
      <c r="F707" s="2"/>
      <c r="G707" s="2"/>
      <c r="H707" s="2"/>
      <c r="I707" s="2"/>
      <c r="J707" s="2"/>
      <c r="K707" s="2"/>
      <c r="L707" s="2"/>
      <c r="M707" s="2"/>
      <c r="N707" s="2"/>
      <c r="O707" s="2"/>
      <c r="P707" s="2"/>
      <c r="Q707" s="45"/>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row>
    <row r="708">
      <c r="A708" s="2"/>
      <c r="B708" s="2"/>
      <c r="C708" s="2"/>
      <c r="D708" s="2"/>
      <c r="E708" s="2"/>
      <c r="F708" s="2"/>
      <c r="G708" s="2"/>
      <c r="H708" s="2"/>
      <c r="I708" s="2"/>
      <c r="J708" s="2"/>
      <c r="K708" s="2"/>
      <c r="L708" s="2"/>
      <c r="M708" s="2"/>
      <c r="N708" s="2"/>
      <c r="O708" s="2"/>
      <c r="P708" s="2"/>
      <c r="Q708" s="45"/>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row>
    <row r="709">
      <c r="A709" s="2"/>
      <c r="B709" s="2"/>
      <c r="C709" s="2"/>
      <c r="D709" s="2"/>
      <c r="E709" s="2"/>
      <c r="F709" s="2"/>
      <c r="G709" s="2"/>
      <c r="H709" s="2"/>
      <c r="I709" s="2"/>
      <c r="J709" s="2"/>
      <c r="K709" s="2"/>
      <c r="L709" s="2"/>
      <c r="M709" s="2"/>
      <c r="N709" s="2"/>
      <c r="O709" s="2"/>
      <c r="P709" s="2"/>
      <c r="Q709" s="45"/>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row>
    <row r="710">
      <c r="A710" s="2"/>
      <c r="B710" s="2"/>
      <c r="C710" s="2"/>
      <c r="D710" s="2"/>
      <c r="E710" s="2"/>
      <c r="F710" s="2"/>
      <c r="G710" s="2"/>
      <c r="H710" s="2"/>
      <c r="I710" s="2"/>
      <c r="J710" s="2"/>
      <c r="K710" s="2"/>
      <c r="L710" s="2"/>
      <c r="M710" s="2"/>
      <c r="N710" s="2"/>
      <c r="O710" s="2"/>
      <c r="P710" s="2"/>
      <c r="Q710" s="45"/>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row>
    <row r="711">
      <c r="A711" s="2"/>
      <c r="B711" s="2"/>
      <c r="C711" s="2"/>
      <c r="D711" s="2"/>
      <c r="E711" s="2"/>
      <c r="F711" s="2"/>
      <c r="G711" s="2"/>
      <c r="H711" s="2"/>
      <c r="I711" s="2"/>
      <c r="J711" s="2"/>
      <c r="K711" s="2"/>
      <c r="L711" s="2"/>
      <c r="M711" s="2"/>
      <c r="N711" s="2"/>
      <c r="O711" s="2"/>
      <c r="P711" s="2"/>
      <c r="Q711" s="45"/>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row>
    <row r="712">
      <c r="A712" s="2"/>
      <c r="B712" s="2"/>
      <c r="C712" s="2"/>
      <c r="D712" s="2"/>
      <c r="E712" s="2"/>
      <c r="F712" s="2"/>
      <c r="G712" s="2"/>
      <c r="H712" s="2"/>
      <c r="I712" s="2"/>
      <c r="J712" s="2"/>
      <c r="K712" s="2"/>
      <c r="L712" s="2"/>
      <c r="M712" s="2"/>
      <c r="N712" s="2"/>
      <c r="O712" s="2"/>
      <c r="P712" s="2"/>
      <c r="Q712" s="45"/>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row>
    <row r="713">
      <c r="A713" s="2"/>
      <c r="B713" s="2"/>
      <c r="C713" s="2"/>
      <c r="D713" s="2"/>
      <c r="E713" s="2"/>
      <c r="F713" s="2"/>
      <c r="G713" s="2"/>
      <c r="H713" s="2"/>
      <c r="I713" s="2"/>
      <c r="J713" s="2"/>
      <c r="K713" s="2"/>
      <c r="L713" s="2"/>
      <c r="M713" s="2"/>
      <c r="N713" s="2"/>
      <c r="O713" s="2"/>
      <c r="P713" s="2"/>
      <c r="Q713" s="45"/>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row>
    <row r="714">
      <c r="A714" s="2"/>
      <c r="B714" s="2"/>
      <c r="C714" s="2"/>
      <c r="D714" s="2"/>
      <c r="E714" s="2"/>
      <c r="F714" s="2"/>
      <c r="G714" s="2"/>
      <c r="H714" s="2"/>
      <c r="I714" s="2"/>
      <c r="J714" s="2"/>
      <c r="K714" s="2"/>
      <c r="L714" s="2"/>
      <c r="M714" s="2"/>
      <c r="N714" s="2"/>
      <c r="O714" s="2"/>
      <c r="P714" s="2"/>
      <c r="Q714" s="45"/>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row>
    <row r="715">
      <c r="A715" s="2"/>
      <c r="B715" s="2"/>
      <c r="C715" s="2"/>
      <c r="D715" s="2"/>
      <c r="E715" s="2"/>
      <c r="F715" s="2"/>
      <c r="G715" s="2"/>
      <c r="H715" s="2"/>
      <c r="I715" s="2"/>
      <c r="J715" s="2"/>
      <c r="K715" s="2"/>
      <c r="L715" s="2"/>
      <c r="M715" s="2"/>
      <c r="N715" s="2"/>
      <c r="O715" s="2"/>
      <c r="P715" s="2"/>
      <c r="Q715" s="45"/>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row>
    <row r="716">
      <c r="A716" s="2"/>
      <c r="B716" s="2"/>
      <c r="C716" s="2"/>
      <c r="D716" s="2"/>
      <c r="E716" s="2"/>
      <c r="F716" s="2"/>
      <c r="G716" s="2"/>
      <c r="H716" s="2"/>
      <c r="I716" s="2"/>
      <c r="J716" s="2"/>
      <c r="K716" s="2"/>
      <c r="L716" s="2"/>
      <c r="M716" s="2"/>
      <c r="N716" s="2"/>
      <c r="O716" s="2"/>
      <c r="P716" s="2"/>
      <c r="Q716" s="45"/>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row>
    <row r="717">
      <c r="A717" s="2"/>
      <c r="B717" s="2"/>
      <c r="C717" s="2"/>
      <c r="D717" s="2"/>
      <c r="E717" s="2"/>
      <c r="F717" s="2"/>
      <c r="G717" s="2"/>
      <c r="H717" s="2"/>
      <c r="I717" s="2"/>
      <c r="J717" s="2"/>
      <c r="K717" s="2"/>
      <c r="L717" s="2"/>
      <c r="M717" s="2"/>
      <c r="N717" s="2"/>
      <c r="O717" s="2"/>
      <c r="P717" s="2"/>
      <c r="Q717" s="45"/>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row>
    <row r="718">
      <c r="A718" s="2"/>
      <c r="B718" s="2"/>
      <c r="C718" s="2"/>
      <c r="D718" s="2"/>
      <c r="E718" s="2"/>
      <c r="F718" s="2"/>
      <c r="G718" s="2"/>
      <c r="H718" s="2"/>
      <c r="I718" s="2"/>
      <c r="J718" s="2"/>
      <c r="K718" s="2"/>
      <c r="L718" s="2"/>
      <c r="M718" s="2"/>
      <c r="N718" s="2"/>
      <c r="O718" s="2"/>
      <c r="P718" s="2"/>
      <c r="Q718" s="45"/>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row>
    <row r="719">
      <c r="A719" s="2"/>
      <c r="B719" s="2"/>
      <c r="C719" s="2"/>
      <c r="D719" s="2"/>
      <c r="E719" s="2"/>
      <c r="F719" s="2"/>
      <c r="G719" s="2"/>
      <c r="H719" s="2"/>
      <c r="I719" s="2"/>
      <c r="J719" s="2"/>
      <c r="K719" s="2"/>
      <c r="L719" s="2"/>
      <c r="M719" s="2"/>
      <c r="N719" s="2"/>
      <c r="O719" s="2"/>
      <c r="P719" s="2"/>
      <c r="Q719" s="45"/>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row>
    <row r="720">
      <c r="A720" s="2"/>
      <c r="B720" s="2"/>
      <c r="C720" s="2"/>
      <c r="D720" s="2"/>
      <c r="E720" s="2"/>
      <c r="F720" s="2"/>
      <c r="G720" s="2"/>
      <c r="H720" s="2"/>
      <c r="I720" s="2"/>
      <c r="J720" s="2"/>
      <c r="K720" s="2"/>
      <c r="L720" s="2"/>
      <c r="M720" s="2"/>
      <c r="N720" s="2"/>
      <c r="O720" s="2"/>
      <c r="P720" s="2"/>
      <c r="Q720" s="45"/>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row>
    <row r="721">
      <c r="A721" s="2"/>
      <c r="B721" s="2"/>
      <c r="C721" s="2"/>
      <c r="D721" s="2"/>
      <c r="E721" s="2"/>
      <c r="F721" s="2"/>
      <c r="G721" s="2"/>
      <c r="H721" s="2"/>
      <c r="I721" s="2"/>
      <c r="J721" s="2"/>
      <c r="K721" s="2"/>
      <c r="L721" s="2"/>
      <c r="M721" s="2"/>
      <c r="N721" s="2"/>
      <c r="O721" s="2"/>
      <c r="P721" s="2"/>
      <c r="Q721" s="45"/>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row>
    <row r="722">
      <c r="A722" s="2"/>
      <c r="B722" s="2"/>
      <c r="C722" s="2"/>
      <c r="D722" s="2"/>
      <c r="E722" s="2"/>
      <c r="F722" s="2"/>
      <c r="G722" s="2"/>
      <c r="H722" s="2"/>
      <c r="I722" s="2"/>
      <c r="J722" s="2"/>
      <c r="K722" s="2"/>
      <c r="L722" s="2"/>
      <c r="M722" s="2"/>
      <c r="N722" s="2"/>
      <c r="O722" s="2"/>
      <c r="P722" s="2"/>
      <c r="Q722" s="45"/>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row>
    <row r="723">
      <c r="A723" s="2"/>
      <c r="B723" s="2"/>
      <c r="C723" s="2"/>
      <c r="D723" s="2"/>
      <c r="E723" s="2"/>
      <c r="F723" s="2"/>
      <c r="G723" s="2"/>
      <c r="H723" s="2"/>
      <c r="I723" s="2"/>
      <c r="J723" s="2"/>
      <c r="K723" s="2"/>
      <c r="L723" s="2"/>
      <c r="M723" s="2"/>
      <c r="N723" s="2"/>
      <c r="O723" s="2"/>
      <c r="P723" s="2"/>
      <c r="Q723" s="45"/>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row>
    <row r="724">
      <c r="A724" s="2"/>
      <c r="B724" s="2"/>
      <c r="C724" s="2"/>
      <c r="D724" s="2"/>
      <c r="E724" s="2"/>
      <c r="F724" s="2"/>
      <c r="G724" s="2"/>
      <c r="H724" s="2"/>
      <c r="I724" s="2"/>
      <c r="J724" s="2"/>
      <c r="K724" s="2"/>
      <c r="L724" s="2"/>
      <c r="M724" s="2"/>
      <c r="N724" s="2"/>
      <c r="O724" s="2"/>
      <c r="P724" s="2"/>
      <c r="Q724" s="45"/>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row>
    <row r="725">
      <c r="A725" s="2"/>
      <c r="B725" s="2"/>
      <c r="C725" s="2"/>
      <c r="D725" s="2"/>
      <c r="E725" s="2"/>
      <c r="F725" s="2"/>
      <c r="G725" s="2"/>
      <c r="H725" s="2"/>
      <c r="I725" s="2"/>
      <c r="J725" s="2"/>
      <c r="K725" s="2"/>
      <c r="L725" s="2"/>
      <c r="M725" s="2"/>
      <c r="N725" s="2"/>
      <c r="O725" s="2"/>
      <c r="P725" s="2"/>
      <c r="Q725" s="45"/>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row>
    <row r="726">
      <c r="A726" s="2"/>
      <c r="B726" s="2"/>
      <c r="C726" s="2"/>
      <c r="D726" s="2"/>
      <c r="E726" s="2"/>
      <c r="F726" s="2"/>
      <c r="G726" s="2"/>
      <c r="H726" s="2"/>
      <c r="I726" s="2"/>
      <c r="J726" s="2"/>
      <c r="K726" s="2"/>
      <c r="L726" s="2"/>
      <c r="M726" s="2"/>
      <c r="N726" s="2"/>
      <c r="O726" s="2"/>
      <c r="P726" s="2"/>
      <c r="Q726" s="45"/>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row>
    <row r="727">
      <c r="A727" s="2"/>
      <c r="B727" s="2"/>
      <c r="C727" s="2"/>
      <c r="D727" s="2"/>
      <c r="E727" s="2"/>
      <c r="F727" s="2"/>
      <c r="G727" s="2"/>
      <c r="H727" s="2"/>
      <c r="I727" s="2"/>
      <c r="J727" s="2"/>
      <c r="K727" s="2"/>
      <c r="L727" s="2"/>
      <c r="M727" s="2"/>
      <c r="N727" s="2"/>
      <c r="O727" s="2"/>
      <c r="P727" s="2"/>
      <c r="Q727" s="45"/>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row>
    <row r="728">
      <c r="A728" s="2"/>
      <c r="B728" s="2"/>
      <c r="C728" s="2"/>
      <c r="D728" s="2"/>
      <c r="E728" s="2"/>
      <c r="F728" s="2"/>
      <c r="G728" s="2"/>
      <c r="H728" s="2"/>
      <c r="I728" s="2"/>
      <c r="J728" s="2"/>
      <c r="K728" s="2"/>
      <c r="L728" s="2"/>
      <c r="M728" s="2"/>
      <c r="N728" s="2"/>
      <c r="O728" s="2"/>
      <c r="P728" s="2"/>
      <c r="Q728" s="45"/>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row>
    <row r="729">
      <c r="A729" s="2"/>
      <c r="B729" s="2"/>
      <c r="C729" s="2"/>
      <c r="D729" s="2"/>
      <c r="E729" s="2"/>
      <c r="F729" s="2"/>
      <c r="G729" s="2"/>
      <c r="H729" s="2"/>
      <c r="I729" s="2"/>
      <c r="J729" s="2"/>
      <c r="K729" s="2"/>
      <c r="L729" s="2"/>
      <c r="M729" s="2"/>
      <c r="N729" s="2"/>
      <c r="O729" s="2"/>
      <c r="P729" s="2"/>
      <c r="Q729" s="45"/>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row>
    <row r="730">
      <c r="A730" s="2"/>
      <c r="B730" s="2"/>
      <c r="C730" s="2"/>
      <c r="D730" s="2"/>
      <c r="E730" s="2"/>
      <c r="F730" s="2"/>
      <c r="G730" s="2"/>
      <c r="H730" s="2"/>
      <c r="I730" s="2"/>
      <c r="J730" s="2"/>
      <c r="K730" s="2"/>
      <c r="L730" s="2"/>
      <c r="M730" s="2"/>
      <c r="N730" s="2"/>
      <c r="O730" s="2"/>
      <c r="P730" s="2"/>
      <c r="Q730" s="45"/>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row>
    <row r="731">
      <c r="A731" s="2"/>
      <c r="B731" s="2"/>
      <c r="C731" s="2"/>
      <c r="D731" s="2"/>
      <c r="E731" s="2"/>
      <c r="F731" s="2"/>
      <c r="G731" s="2"/>
      <c r="H731" s="2"/>
      <c r="I731" s="2"/>
      <c r="J731" s="2"/>
      <c r="K731" s="2"/>
      <c r="L731" s="2"/>
      <c r="M731" s="2"/>
      <c r="N731" s="2"/>
      <c r="O731" s="2"/>
      <c r="P731" s="2"/>
      <c r="Q731" s="45"/>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row>
    <row r="732">
      <c r="A732" s="2"/>
      <c r="B732" s="2"/>
      <c r="C732" s="2"/>
      <c r="D732" s="2"/>
      <c r="E732" s="2"/>
      <c r="F732" s="2"/>
      <c r="G732" s="2"/>
      <c r="H732" s="2"/>
      <c r="I732" s="2"/>
      <c r="J732" s="2"/>
      <c r="K732" s="2"/>
      <c r="L732" s="2"/>
      <c r="M732" s="2"/>
      <c r="N732" s="2"/>
      <c r="O732" s="2"/>
      <c r="P732" s="2"/>
      <c r="Q732" s="45"/>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row>
    <row r="733">
      <c r="A733" s="2"/>
      <c r="B733" s="2"/>
      <c r="C733" s="2"/>
      <c r="D733" s="2"/>
      <c r="E733" s="2"/>
      <c r="F733" s="2"/>
      <c r="G733" s="2"/>
      <c r="H733" s="2"/>
      <c r="I733" s="2"/>
      <c r="J733" s="2"/>
      <c r="K733" s="2"/>
      <c r="L733" s="2"/>
      <c r="M733" s="2"/>
      <c r="N733" s="2"/>
      <c r="O733" s="2"/>
      <c r="P733" s="2"/>
      <c r="Q733" s="45"/>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row>
    <row r="734">
      <c r="A734" s="2"/>
      <c r="B734" s="2"/>
      <c r="C734" s="2"/>
      <c r="D734" s="2"/>
      <c r="E734" s="2"/>
      <c r="F734" s="2"/>
      <c r="G734" s="2"/>
      <c r="H734" s="2"/>
      <c r="I734" s="2"/>
      <c r="J734" s="2"/>
      <c r="K734" s="2"/>
      <c r="L734" s="2"/>
      <c r="M734" s="2"/>
      <c r="N734" s="2"/>
      <c r="O734" s="2"/>
      <c r="P734" s="2"/>
      <c r="Q734" s="45"/>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row>
    <row r="735">
      <c r="A735" s="2"/>
      <c r="B735" s="2"/>
      <c r="C735" s="2"/>
      <c r="D735" s="2"/>
      <c r="E735" s="2"/>
      <c r="F735" s="2"/>
      <c r="G735" s="2"/>
      <c r="H735" s="2"/>
      <c r="I735" s="2"/>
      <c r="J735" s="2"/>
      <c r="K735" s="2"/>
      <c r="L735" s="2"/>
      <c r="M735" s="2"/>
      <c r="N735" s="2"/>
      <c r="O735" s="2"/>
      <c r="P735" s="2"/>
      <c r="Q735" s="45"/>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row>
    <row r="736">
      <c r="A736" s="2"/>
      <c r="B736" s="2"/>
      <c r="C736" s="2"/>
      <c r="D736" s="2"/>
      <c r="E736" s="2"/>
      <c r="F736" s="2"/>
      <c r="G736" s="2"/>
      <c r="H736" s="2"/>
      <c r="I736" s="2"/>
      <c r="J736" s="2"/>
      <c r="K736" s="2"/>
      <c r="L736" s="2"/>
      <c r="M736" s="2"/>
      <c r="N736" s="2"/>
      <c r="O736" s="2"/>
      <c r="P736" s="2"/>
      <c r="Q736" s="45"/>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row>
    <row r="737">
      <c r="A737" s="2"/>
      <c r="B737" s="2"/>
      <c r="C737" s="2"/>
      <c r="D737" s="2"/>
      <c r="E737" s="2"/>
      <c r="F737" s="2"/>
      <c r="G737" s="2"/>
      <c r="H737" s="2"/>
      <c r="I737" s="2"/>
      <c r="J737" s="2"/>
      <c r="K737" s="2"/>
      <c r="L737" s="2"/>
      <c r="M737" s="2"/>
      <c r="N737" s="2"/>
      <c r="O737" s="2"/>
      <c r="P737" s="2"/>
      <c r="Q737" s="45"/>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row>
    <row r="738">
      <c r="A738" s="2"/>
      <c r="B738" s="2"/>
      <c r="C738" s="2"/>
      <c r="D738" s="2"/>
      <c r="E738" s="2"/>
      <c r="F738" s="2"/>
      <c r="G738" s="2"/>
      <c r="H738" s="2"/>
      <c r="I738" s="2"/>
      <c r="J738" s="2"/>
      <c r="K738" s="2"/>
      <c r="L738" s="2"/>
      <c r="M738" s="2"/>
      <c r="N738" s="2"/>
      <c r="O738" s="2"/>
      <c r="P738" s="2"/>
      <c r="Q738" s="45"/>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row>
    <row r="739">
      <c r="A739" s="2"/>
      <c r="B739" s="2"/>
      <c r="C739" s="2"/>
      <c r="D739" s="2"/>
      <c r="E739" s="2"/>
      <c r="F739" s="2"/>
      <c r="G739" s="2"/>
      <c r="H739" s="2"/>
      <c r="I739" s="2"/>
      <c r="J739" s="2"/>
      <c r="K739" s="2"/>
      <c r="L739" s="2"/>
      <c r="M739" s="2"/>
      <c r="N739" s="2"/>
      <c r="O739" s="2"/>
      <c r="P739" s="2"/>
      <c r="Q739" s="45"/>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row>
    <row r="740">
      <c r="A740" s="2"/>
      <c r="B740" s="2"/>
      <c r="C740" s="2"/>
      <c r="D740" s="2"/>
      <c r="E740" s="2"/>
      <c r="F740" s="2"/>
      <c r="G740" s="2"/>
      <c r="H740" s="2"/>
      <c r="I740" s="2"/>
      <c r="J740" s="2"/>
      <c r="K740" s="2"/>
      <c r="L740" s="2"/>
      <c r="M740" s="2"/>
      <c r="N740" s="2"/>
      <c r="O740" s="2"/>
      <c r="P740" s="2"/>
      <c r="Q740" s="45"/>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row>
    <row r="741">
      <c r="A741" s="2"/>
      <c r="B741" s="2"/>
      <c r="C741" s="2"/>
      <c r="D741" s="2"/>
      <c r="E741" s="2"/>
      <c r="F741" s="2"/>
      <c r="G741" s="2"/>
      <c r="H741" s="2"/>
      <c r="I741" s="2"/>
      <c r="J741" s="2"/>
      <c r="K741" s="2"/>
      <c r="L741" s="2"/>
      <c r="M741" s="2"/>
      <c r="N741" s="2"/>
      <c r="O741" s="2"/>
      <c r="P741" s="2"/>
      <c r="Q741" s="45"/>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row>
    <row r="742">
      <c r="A742" s="2"/>
      <c r="B742" s="2"/>
      <c r="C742" s="2"/>
      <c r="D742" s="2"/>
      <c r="E742" s="2"/>
      <c r="F742" s="2"/>
      <c r="G742" s="2"/>
      <c r="H742" s="2"/>
      <c r="I742" s="2"/>
      <c r="J742" s="2"/>
      <c r="K742" s="2"/>
      <c r="L742" s="2"/>
      <c r="M742" s="2"/>
      <c r="N742" s="2"/>
      <c r="O742" s="2"/>
      <c r="P742" s="2"/>
      <c r="Q742" s="45"/>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row>
    <row r="743">
      <c r="A743" s="2"/>
      <c r="B743" s="2"/>
      <c r="C743" s="2"/>
      <c r="D743" s="2"/>
      <c r="E743" s="2"/>
      <c r="F743" s="2"/>
      <c r="G743" s="2"/>
      <c r="H743" s="2"/>
      <c r="I743" s="2"/>
      <c r="J743" s="2"/>
      <c r="K743" s="2"/>
      <c r="L743" s="2"/>
      <c r="M743" s="2"/>
      <c r="N743" s="2"/>
      <c r="O743" s="2"/>
      <c r="P743" s="2"/>
      <c r="Q743" s="45"/>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row>
    <row r="744">
      <c r="A744" s="2"/>
      <c r="B744" s="2"/>
      <c r="C744" s="2"/>
      <c r="D744" s="2"/>
      <c r="E744" s="2"/>
      <c r="F744" s="2"/>
      <c r="G744" s="2"/>
      <c r="H744" s="2"/>
      <c r="I744" s="2"/>
      <c r="J744" s="2"/>
      <c r="K744" s="2"/>
      <c r="L744" s="2"/>
      <c r="M744" s="2"/>
      <c r="N744" s="2"/>
      <c r="O744" s="2"/>
      <c r="P744" s="2"/>
      <c r="Q744" s="45"/>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row>
    <row r="745">
      <c r="A745" s="2"/>
      <c r="B745" s="2"/>
      <c r="C745" s="2"/>
      <c r="D745" s="2"/>
      <c r="E745" s="2"/>
      <c r="F745" s="2"/>
      <c r="G745" s="2"/>
      <c r="H745" s="2"/>
      <c r="I745" s="2"/>
      <c r="J745" s="2"/>
      <c r="K745" s="2"/>
      <c r="L745" s="2"/>
      <c r="M745" s="2"/>
      <c r="N745" s="2"/>
      <c r="O745" s="2"/>
      <c r="P745" s="2"/>
      <c r="Q745" s="45"/>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row>
    <row r="746">
      <c r="A746" s="2"/>
      <c r="B746" s="2"/>
      <c r="C746" s="2"/>
      <c r="D746" s="2"/>
      <c r="E746" s="2"/>
      <c r="F746" s="2"/>
      <c r="G746" s="2"/>
      <c r="H746" s="2"/>
      <c r="I746" s="2"/>
      <c r="J746" s="2"/>
      <c r="K746" s="2"/>
      <c r="L746" s="2"/>
      <c r="M746" s="2"/>
      <c r="N746" s="2"/>
      <c r="O746" s="2"/>
      <c r="P746" s="2"/>
      <c r="Q746" s="45"/>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row>
    <row r="747">
      <c r="A747" s="2"/>
      <c r="B747" s="2"/>
      <c r="C747" s="2"/>
      <c r="D747" s="2"/>
      <c r="E747" s="2"/>
      <c r="F747" s="2"/>
      <c r="G747" s="2"/>
      <c r="H747" s="2"/>
      <c r="I747" s="2"/>
      <c r="J747" s="2"/>
      <c r="K747" s="2"/>
      <c r="L747" s="2"/>
      <c r="M747" s="2"/>
      <c r="N747" s="2"/>
      <c r="O747" s="2"/>
      <c r="P747" s="2"/>
      <c r="Q747" s="45"/>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row>
    <row r="748">
      <c r="A748" s="2"/>
      <c r="B748" s="2"/>
      <c r="C748" s="2"/>
      <c r="D748" s="2"/>
      <c r="E748" s="2"/>
      <c r="F748" s="2"/>
      <c r="G748" s="2"/>
      <c r="H748" s="2"/>
      <c r="I748" s="2"/>
      <c r="J748" s="2"/>
      <c r="K748" s="2"/>
      <c r="L748" s="2"/>
      <c r="M748" s="2"/>
      <c r="N748" s="2"/>
      <c r="O748" s="2"/>
      <c r="P748" s="2"/>
      <c r="Q748" s="45"/>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row>
    <row r="749">
      <c r="A749" s="2"/>
      <c r="B749" s="2"/>
      <c r="C749" s="2"/>
      <c r="D749" s="2"/>
      <c r="E749" s="2"/>
      <c r="F749" s="2"/>
      <c r="G749" s="2"/>
      <c r="H749" s="2"/>
      <c r="I749" s="2"/>
      <c r="J749" s="2"/>
      <c r="K749" s="2"/>
      <c r="L749" s="2"/>
      <c r="M749" s="2"/>
      <c r="N749" s="2"/>
      <c r="O749" s="2"/>
      <c r="P749" s="2"/>
      <c r="Q749" s="45"/>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row>
    <row r="750">
      <c r="A750" s="2"/>
      <c r="B750" s="2"/>
      <c r="C750" s="2"/>
      <c r="D750" s="2"/>
      <c r="E750" s="2"/>
      <c r="F750" s="2"/>
      <c r="G750" s="2"/>
      <c r="H750" s="2"/>
      <c r="I750" s="2"/>
      <c r="J750" s="2"/>
      <c r="K750" s="2"/>
      <c r="L750" s="2"/>
      <c r="M750" s="2"/>
      <c r="N750" s="2"/>
      <c r="O750" s="2"/>
      <c r="P750" s="2"/>
      <c r="Q750" s="45"/>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row>
    <row r="751">
      <c r="A751" s="2"/>
      <c r="B751" s="2"/>
      <c r="C751" s="2"/>
      <c r="D751" s="2"/>
      <c r="E751" s="2"/>
      <c r="F751" s="2"/>
      <c r="G751" s="2"/>
      <c r="H751" s="2"/>
      <c r="I751" s="2"/>
      <c r="J751" s="2"/>
      <c r="K751" s="2"/>
      <c r="L751" s="2"/>
      <c r="M751" s="2"/>
      <c r="N751" s="2"/>
      <c r="O751" s="2"/>
      <c r="P751" s="2"/>
      <c r="Q751" s="45"/>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row>
    <row r="752">
      <c r="A752" s="2"/>
      <c r="B752" s="2"/>
      <c r="C752" s="2"/>
      <c r="D752" s="2"/>
      <c r="E752" s="2"/>
      <c r="F752" s="2"/>
      <c r="G752" s="2"/>
      <c r="H752" s="2"/>
      <c r="I752" s="2"/>
      <c r="J752" s="2"/>
      <c r="K752" s="2"/>
      <c r="L752" s="2"/>
      <c r="M752" s="2"/>
      <c r="N752" s="2"/>
      <c r="O752" s="2"/>
      <c r="P752" s="2"/>
      <c r="Q752" s="45"/>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row>
    <row r="753">
      <c r="A753" s="2"/>
      <c r="B753" s="2"/>
      <c r="C753" s="2"/>
      <c r="D753" s="2"/>
      <c r="E753" s="2"/>
      <c r="F753" s="2"/>
      <c r="G753" s="2"/>
      <c r="H753" s="2"/>
      <c r="I753" s="2"/>
      <c r="J753" s="2"/>
      <c r="K753" s="2"/>
      <c r="L753" s="2"/>
      <c r="M753" s="2"/>
      <c r="N753" s="2"/>
      <c r="O753" s="2"/>
      <c r="P753" s="2"/>
      <c r="Q753" s="45"/>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row>
    <row r="754">
      <c r="A754" s="2"/>
      <c r="B754" s="2"/>
      <c r="C754" s="2"/>
      <c r="D754" s="2"/>
      <c r="E754" s="2"/>
      <c r="F754" s="2"/>
      <c r="G754" s="2"/>
      <c r="H754" s="2"/>
      <c r="I754" s="2"/>
      <c r="J754" s="2"/>
      <c r="K754" s="2"/>
      <c r="L754" s="2"/>
      <c r="M754" s="2"/>
      <c r="N754" s="2"/>
      <c r="O754" s="2"/>
      <c r="P754" s="2"/>
      <c r="Q754" s="45"/>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row>
    <row r="755">
      <c r="A755" s="2"/>
      <c r="B755" s="2"/>
      <c r="C755" s="2"/>
      <c r="D755" s="2"/>
      <c r="E755" s="2"/>
      <c r="F755" s="2"/>
      <c r="G755" s="2"/>
      <c r="H755" s="2"/>
      <c r="I755" s="2"/>
      <c r="J755" s="2"/>
      <c r="K755" s="2"/>
      <c r="L755" s="2"/>
      <c r="M755" s="2"/>
      <c r="N755" s="2"/>
      <c r="O755" s="2"/>
      <c r="P755" s="2"/>
      <c r="Q755" s="45"/>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row>
    <row r="756">
      <c r="A756" s="2"/>
      <c r="B756" s="2"/>
      <c r="C756" s="2"/>
      <c r="D756" s="2"/>
      <c r="E756" s="2"/>
      <c r="F756" s="2"/>
      <c r="G756" s="2"/>
      <c r="H756" s="2"/>
      <c r="I756" s="2"/>
      <c r="J756" s="2"/>
      <c r="K756" s="2"/>
      <c r="L756" s="2"/>
      <c r="M756" s="2"/>
      <c r="N756" s="2"/>
      <c r="O756" s="2"/>
      <c r="P756" s="2"/>
      <c r="Q756" s="45"/>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row>
    <row r="757">
      <c r="A757" s="2"/>
      <c r="B757" s="2"/>
      <c r="C757" s="2"/>
      <c r="D757" s="2"/>
      <c r="E757" s="2"/>
      <c r="F757" s="2"/>
      <c r="G757" s="2"/>
      <c r="H757" s="2"/>
      <c r="I757" s="2"/>
      <c r="J757" s="2"/>
      <c r="K757" s="2"/>
      <c r="L757" s="2"/>
      <c r="M757" s="2"/>
      <c r="N757" s="2"/>
      <c r="O757" s="2"/>
      <c r="P757" s="2"/>
      <c r="Q757" s="45"/>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row>
    <row r="758">
      <c r="A758" s="2"/>
      <c r="B758" s="2"/>
      <c r="C758" s="2"/>
      <c r="D758" s="2"/>
      <c r="E758" s="2"/>
      <c r="F758" s="2"/>
      <c r="G758" s="2"/>
      <c r="H758" s="2"/>
      <c r="I758" s="2"/>
      <c r="J758" s="2"/>
      <c r="K758" s="2"/>
      <c r="L758" s="2"/>
      <c r="M758" s="2"/>
      <c r="N758" s="2"/>
      <c r="O758" s="2"/>
      <c r="P758" s="2"/>
      <c r="Q758" s="45"/>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row>
    <row r="759">
      <c r="A759" s="2"/>
      <c r="B759" s="2"/>
      <c r="C759" s="2"/>
      <c r="D759" s="2"/>
      <c r="E759" s="2"/>
      <c r="F759" s="2"/>
      <c r="G759" s="2"/>
      <c r="H759" s="2"/>
      <c r="I759" s="2"/>
      <c r="J759" s="2"/>
      <c r="K759" s="2"/>
      <c r="L759" s="2"/>
      <c r="M759" s="2"/>
      <c r="N759" s="2"/>
      <c r="O759" s="2"/>
      <c r="P759" s="2"/>
      <c r="Q759" s="45"/>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row>
    <row r="760">
      <c r="A760" s="2"/>
      <c r="B760" s="2"/>
      <c r="C760" s="2"/>
      <c r="D760" s="2"/>
      <c r="E760" s="2"/>
      <c r="F760" s="2"/>
      <c r="G760" s="2"/>
      <c r="H760" s="2"/>
      <c r="I760" s="2"/>
      <c r="J760" s="2"/>
      <c r="K760" s="2"/>
      <c r="L760" s="2"/>
      <c r="M760" s="2"/>
      <c r="N760" s="2"/>
      <c r="O760" s="2"/>
      <c r="P760" s="2"/>
      <c r="Q760" s="45"/>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row>
    <row r="761">
      <c r="A761" s="2"/>
      <c r="B761" s="2"/>
      <c r="C761" s="2"/>
      <c r="D761" s="2"/>
      <c r="E761" s="2"/>
      <c r="F761" s="2"/>
      <c r="G761" s="2"/>
      <c r="H761" s="2"/>
      <c r="I761" s="2"/>
      <c r="J761" s="2"/>
      <c r="K761" s="2"/>
      <c r="L761" s="2"/>
      <c r="M761" s="2"/>
      <c r="N761" s="2"/>
      <c r="O761" s="2"/>
      <c r="P761" s="2"/>
      <c r="Q761" s="45"/>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row>
    <row r="762">
      <c r="A762" s="2"/>
      <c r="B762" s="2"/>
      <c r="C762" s="2"/>
      <c r="D762" s="2"/>
      <c r="E762" s="2"/>
      <c r="F762" s="2"/>
      <c r="G762" s="2"/>
      <c r="H762" s="2"/>
      <c r="I762" s="2"/>
      <c r="J762" s="2"/>
      <c r="K762" s="2"/>
      <c r="L762" s="2"/>
      <c r="M762" s="2"/>
      <c r="N762" s="2"/>
      <c r="O762" s="2"/>
      <c r="P762" s="2"/>
      <c r="Q762" s="45"/>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row>
    <row r="763">
      <c r="A763" s="2"/>
      <c r="B763" s="2"/>
      <c r="C763" s="2"/>
      <c r="D763" s="2"/>
      <c r="E763" s="2"/>
      <c r="F763" s="2"/>
      <c r="G763" s="2"/>
      <c r="H763" s="2"/>
      <c r="I763" s="2"/>
      <c r="J763" s="2"/>
      <c r="K763" s="2"/>
      <c r="L763" s="2"/>
      <c r="M763" s="2"/>
      <c r="N763" s="2"/>
      <c r="O763" s="2"/>
      <c r="P763" s="2"/>
      <c r="Q763" s="45"/>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row>
    <row r="764">
      <c r="A764" s="2"/>
      <c r="B764" s="2"/>
      <c r="C764" s="2"/>
      <c r="D764" s="2"/>
      <c r="E764" s="2"/>
      <c r="F764" s="2"/>
      <c r="G764" s="2"/>
      <c r="H764" s="2"/>
      <c r="I764" s="2"/>
      <c r="J764" s="2"/>
      <c r="K764" s="2"/>
      <c r="L764" s="2"/>
      <c r="M764" s="2"/>
      <c r="N764" s="2"/>
      <c r="O764" s="2"/>
      <c r="P764" s="2"/>
      <c r="Q764" s="45"/>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row>
    <row r="765">
      <c r="A765" s="2"/>
      <c r="B765" s="2"/>
      <c r="C765" s="2"/>
      <c r="D765" s="2"/>
      <c r="E765" s="2"/>
      <c r="F765" s="2"/>
      <c r="G765" s="2"/>
      <c r="H765" s="2"/>
      <c r="I765" s="2"/>
      <c r="J765" s="2"/>
      <c r="K765" s="2"/>
      <c r="L765" s="2"/>
      <c r="M765" s="2"/>
      <c r="N765" s="2"/>
      <c r="O765" s="2"/>
      <c r="P765" s="2"/>
      <c r="Q765" s="45"/>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row>
    <row r="766">
      <c r="A766" s="2"/>
      <c r="B766" s="2"/>
      <c r="C766" s="2"/>
      <c r="D766" s="2"/>
      <c r="E766" s="2"/>
      <c r="F766" s="2"/>
      <c r="G766" s="2"/>
      <c r="H766" s="2"/>
      <c r="I766" s="2"/>
      <c r="J766" s="2"/>
      <c r="K766" s="2"/>
      <c r="L766" s="2"/>
      <c r="M766" s="2"/>
      <c r="N766" s="2"/>
      <c r="O766" s="2"/>
      <c r="P766" s="2"/>
      <c r="Q766" s="45"/>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row>
    <row r="767">
      <c r="A767" s="2"/>
      <c r="B767" s="2"/>
      <c r="C767" s="2"/>
      <c r="D767" s="2"/>
      <c r="E767" s="2"/>
      <c r="F767" s="2"/>
      <c r="G767" s="2"/>
      <c r="H767" s="2"/>
      <c r="I767" s="2"/>
      <c r="J767" s="2"/>
      <c r="K767" s="2"/>
      <c r="L767" s="2"/>
      <c r="M767" s="2"/>
      <c r="N767" s="2"/>
      <c r="O767" s="2"/>
      <c r="P767" s="2"/>
      <c r="Q767" s="45"/>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row>
    <row r="768">
      <c r="A768" s="2"/>
      <c r="B768" s="2"/>
      <c r="C768" s="2"/>
      <c r="D768" s="2"/>
      <c r="E768" s="2"/>
      <c r="F768" s="2"/>
      <c r="G768" s="2"/>
      <c r="H768" s="2"/>
      <c r="I768" s="2"/>
      <c r="J768" s="2"/>
      <c r="K768" s="2"/>
      <c r="L768" s="2"/>
      <c r="M768" s="2"/>
      <c r="N768" s="2"/>
      <c r="O768" s="2"/>
      <c r="P768" s="2"/>
      <c r="Q768" s="45"/>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row>
    <row r="769">
      <c r="A769" s="2"/>
      <c r="B769" s="2"/>
      <c r="C769" s="2"/>
      <c r="D769" s="2"/>
      <c r="E769" s="2"/>
      <c r="F769" s="2"/>
      <c r="G769" s="2"/>
      <c r="H769" s="2"/>
      <c r="I769" s="2"/>
      <c r="J769" s="2"/>
      <c r="K769" s="2"/>
      <c r="L769" s="2"/>
      <c r="M769" s="2"/>
      <c r="N769" s="2"/>
      <c r="O769" s="2"/>
      <c r="P769" s="2"/>
      <c r="Q769" s="45"/>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row>
    <row r="770">
      <c r="A770" s="2"/>
      <c r="B770" s="2"/>
      <c r="C770" s="2"/>
      <c r="D770" s="2"/>
      <c r="E770" s="2"/>
      <c r="F770" s="2"/>
      <c r="G770" s="2"/>
      <c r="H770" s="2"/>
      <c r="I770" s="2"/>
      <c r="J770" s="2"/>
      <c r="K770" s="2"/>
      <c r="L770" s="2"/>
      <c r="M770" s="2"/>
      <c r="N770" s="2"/>
      <c r="O770" s="2"/>
      <c r="P770" s="2"/>
      <c r="Q770" s="45"/>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row>
    <row r="771">
      <c r="A771" s="2"/>
      <c r="B771" s="2"/>
      <c r="C771" s="2"/>
      <c r="D771" s="2"/>
      <c r="E771" s="2"/>
      <c r="F771" s="2"/>
      <c r="G771" s="2"/>
      <c r="H771" s="2"/>
      <c r="I771" s="2"/>
      <c r="J771" s="2"/>
      <c r="K771" s="2"/>
      <c r="L771" s="2"/>
      <c r="M771" s="2"/>
      <c r="N771" s="2"/>
      <c r="O771" s="2"/>
      <c r="P771" s="2"/>
      <c r="Q771" s="45"/>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row>
    <row r="772">
      <c r="A772" s="2"/>
      <c r="B772" s="2"/>
      <c r="C772" s="2"/>
      <c r="D772" s="2"/>
      <c r="E772" s="2"/>
      <c r="F772" s="2"/>
      <c r="G772" s="2"/>
      <c r="H772" s="2"/>
      <c r="I772" s="2"/>
      <c r="J772" s="2"/>
      <c r="K772" s="2"/>
      <c r="L772" s="2"/>
      <c r="M772" s="2"/>
      <c r="N772" s="2"/>
      <c r="O772" s="2"/>
      <c r="P772" s="2"/>
      <c r="Q772" s="45"/>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row>
    <row r="773">
      <c r="A773" s="2"/>
      <c r="B773" s="2"/>
      <c r="C773" s="2"/>
      <c r="D773" s="2"/>
      <c r="E773" s="2"/>
      <c r="F773" s="2"/>
      <c r="G773" s="2"/>
      <c r="H773" s="2"/>
      <c r="I773" s="2"/>
      <c r="J773" s="2"/>
      <c r="K773" s="2"/>
      <c r="L773" s="2"/>
      <c r="M773" s="2"/>
      <c r="N773" s="2"/>
      <c r="O773" s="2"/>
      <c r="P773" s="2"/>
      <c r="Q773" s="45"/>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row>
    <row r="774">
      <c r="A774" s="2"/>
      <c r="B774" s="2"/>
      <c r="C774" s="2"/>
      <c r="D774" s="2"/>
      <c r="E774" s="2"/>
      <c r="F774" s="2"/>
      <c r="G774" s="2"/>
      <c r="H774" s="2"/>
      <c r="I774" s="2"/>
      <c r="J774" s="2"/>
      <c r="K774" s="2"/>
      <c r="L774" s="2"/>
      <c r="M774" s="2"/>
      <c r="N774" s="2"/>
      <c r="O774" s="2"/>
      <c r="P774" s="2"/>
      <c r="Q774" s="45"/>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row>
    <row r="775">
      <c r="A775" s="2"/>
      <c r="B775" s="2"/>
      <c r="C775" s="2"/>
      <c r="D775" s="2"/>
      <c r="E775" s="2"/>
      <c r="F775" s="2"/>
      <c r="G775" s="2"/>
      <c r="H775" s="2"/>
      <c r="I775" s="2"/>
      <c r="J775" s="2"/>
      <c r="K775" s="2"/>
      <c r="L775" s="2"/>
      <c r="M775" s="2"/>
      <c r="N775" s="2"/>
      <c r="O775" s="2"/>
      <c r="P775" s="2"/>
      <c r="Q775" s="45"/>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row>
    <row r="776">
      <c r="A776" s="2"/>
      <c r="B776" s="2"/>
      <c r="C776" s="2"/>
      <c r="D776" s="2"/>
      <c r="E776" s="2"/>
      <c r="F776" s="2"/>
      <c r="G776" s="2"/>
      <c r="H776" s="2"/>
      <c r="I776" s="2"/>
      <c r="J776" s="2"/>
      <c r="K776" s="2"/>
      <c r="L776" s="2"/>
      <c r="M776" s="2"/>
      <c r="N776" s="2"/>
      <c r="O776" s="2"/>
      <c r="P776" s="2"/>
      <c r="Q776" s="45"/>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row>
    <row r="777">
      <c r="A777" s="2"/>
      <c r="B777" s="2"/>
      <c r="C777" s="2"/>
      <c r="D777" s="2"/>
      <c r="E777" s="2"/>
      <c r="F777" s="2"/>
      <c r="G777" s="2"/>
      <c r="H777" s="2"/>
      <c r="I777" s="2"/>
      <c r="J777" s="2"/>
      <c r="K777" s="2"/>
      <c r="L777" s="2"/>
      <c r="M777" s="2"/>
      <c r="N777" s="2"/>
      <c r="O777" s="2"/>
      <c r="P777" s="2"/>
      <c r="Q777" s="45"/>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row>
    <row r="778">
      <c r="A778" s="2"/>
      <c r="B778" s="2"/>
      <c r="C778" s="2"/>
      <c r="D778" s="2"/>
      <c r="E778" s="2"/>
      <c r="F778" s="2"/>
      <c r="G778" s="2"/>
      <c r="H778" s="2"/>
      <c r="I778" s="2"/>
      <c r="J778" s="2"/>
      <c r="K778" s="2"/>
      <c r="L778" s="2"/>
      <c r="M778" s="2"/>
      <c r="N778" s="2"/>
      <c r="O778" s="2"/>
      <c r="P778" s="2"/>
      <c r="Q778" s="45"/>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row>
    <row r="779">
      <c r="A779" s="2"/>
      <c r="B779" s="2"/>
      <c r="C779" s="2"/>
      <c r="D779" s="2"/>
      <c r="E779" s="2"/>
      <c r="F779" s="2"/>
      <c r="G779" s="2"/>
      <c r="H779" s="2"/>
      <c r="I779" s="2"/>
      <c r="J779" s="2"/>
      <c r="K779" s="2"/>
      <c r="L779" s="2"/>
      <c r="M779" s="2"/>
      <c r="N779" s="2"/>
      <c r="O779" s="2"/>
      <c r="P779" s="2"/>
      <c r="Q779" s="45"/>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row>
    <row r="780">
      <c r="A780" s="2"/>
      <c r="B780" s="2"/>
      <c r="C780" s="2"/>
      <c r="D780" s="2"/>
      <c r="E780" s="2"/>
      <c r="F780" s="2"/>
      <c r="G780" s="2"/>
      <c r="H780" s="2"/>
      <c r="I780" s="2"/>
      <c r="J780" s="2"/>
      <c r="K780" s="2"/>
      <c r="L780" s="2"/>
      <c r="M780" s="2"/>
      <c r="N780" s="2"/>
      <c r="O780" s="2"/>
      <c r="P780" s="2"/>
      <c r="Q780" s="45"/>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row>
    <row r="781">
      <c r="A781" s="2"/>
      <c r="B781" s="2"/>
      <c r="C781" s="2"/>
      <c r="D781" s="2"/>
      <c r="E781" s="2"/>
      <c r="F781" s="2"/>
      <c r="G781" s="2"/>
      <c r="H781" s="2"/>
      <c r="I781" s="2"/>
      <c r="J781" s="2"/>
      <c r="K781" s="2"/>
      <c r="L781" s="2"/>
      <c r="M781" s="2"/>
      <c r="N781" s="2"/>
      <c r="O781" s="2"/>
      <c r="P781" s="2"/>
      <c r="Q781" s="45"/>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row>
    <row r="782">
      <c r="A782" s="2"/>
      <c r="B782" s="2"/>
      <c r="C782" s="2"/>
      <c r="D782" s="2"/>
      <c r="E782" s="2"/>
      <c r="F782" s="2"/>
      <c r="G782" s="2"/>
      <c r="H782" s="2"/>
      <c r="I782" s="2"/>
      <c r="J782" s="2"/>
      <c r="K782" s="2"/>
      <c r="L782" s="2"/>
      <c r="M782" s="2"/>
      <c r="N782" s="2"/>
      <c r="O782" s="2"/>
      <c r="P782" s="2"/>
      <c r="Q782" s="45"/>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row>
    <row r="783">
      <c r="A783" s="2"/>
      <c r="B783" s="2"/>
      <c r="C783" s="2"/>
      <c r="D783" s="2"/>
      <c r="E783" s="2"/>
      <c r="F783" s="2"/>
      <c r="G783" s="2"/>
      <c r="H783" s="2"/>
      <c r="I783" s="2"/>
      <c r="J783" s="2"/>
      <c r="K783" s="2"/>
      <c r="L783" s="2"/>
      <c r="M783" s="2"/>
      <c r="N783" s="2"/>
      <c r="O783" s="2"/>
      <c r="P783" s="2"/>
      <c r="Q783" s="45"/>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row>
    <row r="784">
      <c r="A784" s="2"/>
      <c r="B784" s="2"/>
      <c r="C784" s="2"/>
      <c r="D784" s="2"/>
      <c r="E784" s="2"/>
      <c r="F784" s="2"/>
      <c r="G784" s="2"/>
      <c r="H784" s="2"/>
      <c r="I784" s="2"/>
      <c r="J784" s="2"/>
      <c r="K784" s="2"/>
      <c r="L784" s="2"/>
      <c r="M784" s="2"/>
      <c r="N784" s="2"/>
      <c r="O784" s="2"/>
      <c r="P784" s="2"/>
      <c r="Q784" s="45"/>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row>
    <row r="785">
      <c r="A785" s="2"/>
      <c r="B785" s="2"/>
      <c r="C785" s="2"/>
      <c r="D785" s="2"/>
      <c r="E785" s="2"/>
      <c r="F785" s="2"/>
      <c r="G785" s="2"/>
      <c r="H785" s="2"/>
      <c r="I785" s="2"/>
      <c r="J785" s="2"/>
      <c r="K785" s="2"/>
      <c r="L785" s="2"/>
      <c r="M785" s="2"/>
      <c r="N785" s="2"/>
      <c r="O785" s="2"/>
      <c r="P785" s="2"/>
      <c r="Q785" s="45"/>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row>
    <row r="786">
      <c r="A786" s="2"/>
      <c r="B786" s="2"/>
      <c r="C786" s="2"/>
      <c r="D786" s="2"/>
      <c r="E786" s="2"/>
      <c r="F786" s="2"/>
      <c r="G786" s="2"/>
      <c r="H786" s="2"/>
      <c r="I786" s="2"/>
      <c r="J786" s="2"/>
      <c r="K786" s="2"/>
      <c r="L786" s="2"/>
      <c r="M786" s="2"/>
      <c r="N786" s="2"/>
      <c r="O786" s="2"/>
      <c r="P786" s="2"/>
      <c r="Q786" s="45"/>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row>
    <row r="787">
      <c r="A787" s="2"/>
      <c r="B787" s="2"/>
      <c r="C787" s="2"/>
      <c r="D787" s="2"/>
      <c r="E787" s="2"/>
      <c r="F787" s="2"/>
      <c r="G787" s="2"/>
      <c r="H787" s="2"/>
      <c r="I787" s="2"/>
      <c r="J787" s="2"/>
      <c r="K787" s="2"/>
      <c r="L787" s="2"/>
      <c r="M787" s="2"/>
      <c r="N787" s="2"/>
      <c r="O787" s="2"/>
      <c r="P787" s="2"/>
      <c r="Q787" s="45"/>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row>
    <row r="788">
      <c r="A788" s="2"/>
      <c r="B788" s="2"/>
      <c r="C788" s="2"/>
      <c r="D788" s="2"/>
      <c r="E788" s="2"/>
      <c r="F788" s="2"/>
      <c r="G788" s="2"/>
      <c r="H788" s="2"/>
      <c r="I788" s="2"/>
      <c r="J788" s="2"/>
      <c r="K788" s="2"/>
      <c r="L788" s="2"/>
      <c r="M788" s="2"/>
      <c r="N788" s="2"/>
      <c r="O788" s="2"/>
      <c r="P788" s="2"/>
      <c r="Q788" s="45"/>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row>
    <row r="789">
      <c r="A789" s="2"/>
      <c r="B789" s="2"/>
      <c r="C789" s="2"/>
      <c r="D789" s="2"/>
      <c r="E789" s="2"/>
      <c r="F789" s="2"/>
      <c r="G789" s="2"/>
      <c r="H789" s="2"/>
      <c r="I789" s="2"/>
      <c r="J789" s="2"/>
      <c r="K789" s="2"/>
      <c r="L789" s="2"/>
      <c r="M789" s="2"/>
      <c r="N789" s="2"/>
      <c r="O789" s="2"/>
      <c r="P789" s="2"/>
      <c r="Q789" s="45"/>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row>
    <row r="790">
      <c r="A790" s="2"/>
      <c r="B790" s="2"/>
      <c r="C790" s="2"/>
      <c r="D790" s="2"/>
      <c r="E790" s="2"/>
      <c r="F790" s="2"/>
      <c r="G790" s="2"/>
      <c r="H790" s="2"/>
      <c r="I790" s="2"/>
      <c r="J790" s="2"/>
      <c r="K790" s="2"/>
      <c r="L790" s="2"/>
      <c r="M790" s="2"/>
      <c r="N790" s="2"/>
      <c r="O790" s="2"/>
      <c r="P790" s="2"/>
      <c r="Q790" s="45"/>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row>
    <row r="791">
      <c r="A791" s="2"/>
      <c r="B791" s="2"/>
      <c r="C791" s="2"/>
      <c r="D791" s="2"/>
      <c r="E791" s="2"/>
      <c r="F791" s="2"/>
      <c r="G791" s="2"/>
      <c r="H791" s="2"/>
      <c r="I791" s="2"/>
      <c r="J791" s="2"/>
      <c r="K791" s="2"/>
      <c r="L791" s="2"/>
      <c r="M791" s="2"/>
      <c r="N791" s="2"/>
      <c r="O791" s="2"/>
      <c r="P791" s="2"/>
      <c r="Q791" s="45"/>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row>
    <row r="792">
      <c r="A792" s="2"/>
      <c r="B792" s="2"/>
      <c r="C792" s="2"/>
      <c r="D792" s="2"/>
      <c r="E792" s="2"/>
      <c r="F792" s="2"/>
      <c r="G792" s="2"/>
      <c r="H792" s="2"/>
      <c r="I792" s="2"/>
      <c r="J792" s="2"/>
      <c r="K792" s="2"/>
      <c r="L792" s="2"/>
      <c r="M792" s="2"/>
      <c r="N792" s="2"/>
      <c r="O792" s="2"/>
      <c r="P792" s="2"/>
      <c r="Q792" s="45"/>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row>
    <row r="793">
      <c r="A793" s="2"/>
      <c r="B793" s="2"/>
      <c r="C793" s="2"/>
      <c r="D793" s="2"/>
      <c r="E793" s="2"/>
      <c r="F793" s="2"/>
      <c r="G793" s="2"/>
      <c r="H793" s="2"/>
      <c r="I793" s="2"/>
      <c r="J793" s="2"/>
      <c r="K793" s="2"/>
      <c r="L793" s="2"/>
      <c r="M793" s="2"/>
      <c r="N793" s="2"/>
      <c r="O793" s="2"/>
      <c r="P793" s="2"/>
      <c r="Q793" s="45"/>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row>
    <row r="794">
      <c r="A794" s="2"/>
      <c r="B794" s="2"/>
      <c r="C794" s="2"/>
      <c r="D794" s="2"/>
      <c r="E794" s="2"/>
      <c r="F794" s="2"/>
      <c r="G794" s="2"/>
      <c r="H794" s="2"/>
      <c r="I794" s="2"/>
      <c r="J794" s="2"/>
      <c r="K794" s="2"/>
      <c r="L794" s="2"/>
      <c r="M794" s="2"/>
      <c r="N794" s="2"/>
      <c r="O794" s="2"/>
      <c r="P794" s="2"/>
      <c r="Q794" s="45"/>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row>
    <row r="795">
      <c r="A795" s="2"/>
      <c r="B795" s="2"/>
      <c r="C795" s="2"/>
      <c r="D795" s="2"/>
      <c r="E795" s="2"/>
      <c r="F795" s="2"/>
      <c r="G795" s="2"/>
      <c r="H795" s="2"/>
      <c r="I795" s="2"/>
      <c r="J795" s="2"/>
      <c r="K795" s="2"/>
      <c r="L795" s="2"/>
      <c r="M795" s="2"/>
      <c r="N795" s="2"/>
      <c r="O795" s="2"/>
      <c r="P795" s="2"/>
      <c r="Q795" s="45"/>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row>
    <row r="796">
      <c r="A796" s="2"/>
      <c r="B796" s="2"/>
      <c r="C796" s="2"/>
      <c r="D796" s="2"/>
      <c r="E796" s="2"/>
      <c r="F796" s="2"/>
      <c r="G796" s="2"/>
      <c r="H796" s="2"/>
      <c r="I796" s="2"/>
      <c r="J796" s="2"/>
      <c r="K796" s="2"/>
      <c r="L796" s="2"/>
      <c r="M796" s="2"/>
      <c r="N796" s="2"/>
      <c r="O796" s="2"/>
      <c r="P796" s="2"/>
      <c r="Q796" s="45"/>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row>
    <row r="797">
      <c r="A797" s="2"/>
      <c r="B797" s="2"/>
      <c r="C797" s="2"/>
      <c r="D797" s="2"/>
      <c r="E797" s="2"/>
      <c r="F797" s="2"/>
      <c r="G797" s="2"/>
      <c r="H797" s="2"/>
      <c r="I797" s="2"/>
      <c r="J797" s="2"/>
      <c r="K797" s="2"/>
      <c r="L797" s="2"/>
      <c r="M797" s="2"/>
      <c r="N797" s="2"/>
      <c r="O797" s="2"/>
      <c r="P797" s="2"/>
      <c r="Q797" s="45"/>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row>
    <row r="798">
      <c r="A798" s="2"/>
      <c r="B798" s="2"/>
      <c r="C798" s="2"/>
      <c r="D798" s="2"/>
      <c r="E798" s="2"/>
      <c r="F798" s="2"/>
      <c r="G798" s="2"/>
      <c r="H798" s="2"/>
      <c r="I798" s="2"/>
      <c r="J798" s="2"/>
      <c r="K798" s="2"/>
      <c r="L798" s="2"/>
      <c r="M798" s="2"/>
      <c r="N798" s="2"/>
      <c r="O798" s="2"/>
      <c r="P798" s="2"/>
      <c r="Q798" s="45"/>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row>
    <row r="799">
      <c r="A799" s="2"/>
      <c r="B799" s="2"/>
      <c r="C799" s="2"/>
      <c r="D799" s="2"/>
      <c r="E799" s="2"/>
      <c r="F799" s="2"/>
      <c r="G799" s="2"/>
      <c r="H799" s="2"/>
      <c r="I799" s="2"/>
      <c r="J799" s="2"/>
      <c r="K799" s="2"/>
      <c r="L799" s="2"/>
      <c r="M799" s="2"/>
      <c r="N799" s="2"/>
      <c r="O799" s="2"/>
      <c r="P799" s="2"/>
      <c r="Q799" s="45"/>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row>
    <row r="800">
      <c r="A800" s="2"/>
      <c r="B800" s="2"/>
      <c r="C800" s="2"/>
      <c r="D800" s="2"/>
      <c r="E800" s="2"/>
      <c r="F800" s="2"/>
      <c r="G800" s="2"/>
      <c r="H800" s="2"/>
      <c r="I800" s="2"/>
      <c r="J800" s="2"/>
      <c r="K800" s="2"/>
      <c r="L800" s="2"/>
      <c r="M800" s="2"/>
      <c r="N800" s="2"/>
      <c r="O800" s="2"/>
      <c r="P800" s="2"/>
      <c r="Q800" s="45"/>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row>
    <row r="801">
      <c r="A801" s="2"/>
      <c r="B801" s="2"/>
      <c r="C801" s="2"/>
      <c r="D801" s="2"/>
      <c r="E801" s="2"/>
      <c r="F801" s="2"/>
      <c r="G801" s="2"/>
      <c r="H801" s="2"/>
      <c r="I801" s="2"/>
      <c r="J801" s="2"/>
      <c r="K801" s="2"/>
      <c r="L801" s="2"/>
      <c r="M801" s="2"/>
      <c r="N801" s="2"/>
      <c r="O801" s="2"/>
      <c r="P801" s="2"/>
      <c r="Q801" s="45"/>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row>
    <row r="802">
      <c r="A802" s="2"/>
      <c r="B802" s="2"/>
      <c r="C802" s="2"/>
      <c r="D802" s="2"/>
      <c r="E802" s="2"/>
      <c r="F802" s="2"/>
      <c r="G802" s="2"/>
      <c r="H802" s="2"/>
      <c r="I802" s="2"/>
      <c r="J802" s="2"/>
      <c r="K802" s="2"/>
      <c r="L802" s="2"/>
      <c r="M802" s="2"/>
      <c r="N802" s="2"/>
      <c r="O802" s="2"/>
      <c r="P802" s="2"/>
      <c r="Q802" s="45"/>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row>
    <row r="803">
      <c r="A803" s="2"/>
      <c r="B803" s="2"/>
      <c r="C803" s="2"/>
      <c r="D803" s="2"/>
      <c r="E803" s="2"/>
      <c r="F803" s="2"/>
      <c r="G803" s="2"/>
      <c r="H803" s="2"/>
      <c r="I803" s="2"/>
      <c r="J803" s="2"/>
      <c r="K803" s="2"/>
      <c r="L803" s="2"/>
      <c r="M803" s="2"/>
      <c r="N803" s="2"/>
      <c r="O803" s="2"/>
      <c r="P803" s="2"/>
      <c r="Q803" s="45"/>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row>
    <row r="804">
      <c r="A804" s="2"/>
      <c r="B804" s="2"/>
      <c r="C804" s="2"/>
      <c r="D804" s="2"/>
      <c r="E804" s="2"/>
      <c r="F804" s="2"/>
      <c r="G804" s="2"/>
      <c r="H804" s="2"/>
      <c r="I804" s="2"/>
      <c r="J804" s="2"/>
      <c r="K804" s="2"/>
      <c r="L804" s="2"/>
      <c r="M804" s="2"/>
      <c r="N804" s="2"/>
      <c r="O804" s="2"/>
      <c r="P804" s="2"/>
      <c r="Q804" s="45"/>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row>
    <row r="805">
      <c r="A805" s="2"/>
      <c r="B805" s="2"/>
      <c r="C805" s="2"/>
      <c r="D805" s="2"/>
      <c r="E805" s="2"/>
      <c r="F805" s="2"/>
      <c r="G805" s="2"/>
      <c r="H805" s="2"/>
      <c r="I805" s="2"/>
      <c r="J805" s="2"/>
      <c r="K805" s="2"/>
      <c r="L805" s="2"/>
      <c r="M805" s="2"/>
      <c r="N805" s="2"/>
      <c r="O805" s="2"/>
      <c r="P805" s="2"/>
      <c r="Q805" s="45"/>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row>
    <row r="806">
      <c r="A806" s="2"/>
      <c r="B806" s="2"/>
      <c r="C806" s="2"/>
      <c r="D806" s="2"/>
      <c r="E806" s="2"/>
      <c r="F806" s="2"/>
      <c r="G806" s="2"/>
      <c r="H806" s="2"/>
      <c r="I806" s="2"/>
      <c r="J806" s="2"/>
      <c r="K806" s="2"/>
      <c r="L806" s="2"/>
      <c r="M806" s="2"/>
      <c r="N806" s="2"/>
      <c r="O806" s="2"/>
      <c r="P806" s="2"/>
      <c r="Q806" s="45"/>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row>
    <row r="807">
      <c r="A807" s="2"/>
      <c r="B807" s="2"/>
      <c r="C807" s="2"/>
      <c r="D807" s="2"/>
      <c r="E807" s="2"/>
      <c r="F807" s="2"/>
      <c r="G807" s="2"/>
      <c r="H807" s="2"/>
      <c r="I807" s="2"/>
      <c r="J807" s="2"/>
      <c r="K807" s="2"/>
      <c r="L807" s="2"/>
      <c r="M807" s="2"/>
      <c r="N807" s="2"/>
      <c r="O807" s="2"/>
      <c r="P807" s="2"/>
      <c r="Q807" s="45"/>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row>
    <row r="808">
      <c r="A808" s="2"/>
      <c r="B808" s="2"/>
      <c r="C808" s="2"/>
      <c r="D808" s="2"/>
      <c r="E808" s="2"/>
      <c r="F808" s="2"/>
      <c r="G808" s="2"/>
      <c r="H808" s="2"/>
      <c r="I808" s="2"/>
      <c r="J808" s="2"/>
      <c r="K808" s="2"/>
      <c r="L808" s="2"/>
      <c r="M808" s="2"/>
      <c r="N808" s="2"/>
      <c r="O808" s="2"/>
      <c r="P808" s="2"/>
      <c r="Q808" s="45"/>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row>
    <row r="809">
      <c r="A809" s="2"/>
      <c r="B809" s="2"/>
      <c r="C809" s="2"/>
      <c r="D809" s="2"/>
      <c r="E809" s="2"/>
      <c r="F809" s="2"/>
      <c r="G809" s="2"/>
      <c r="H809" s="2"/>
      <c r="I809" s="2"/>
      <c r="J809" s="2"/>
      <c r="K809" s="2"/>
      <c r="L809" s="2"/>
      <c r="M809" s="2"/>
      <c r="N809" s="2"/>
      <c r="O809" s="2"/>
      <c r="P809" s="2"/>
      <c r="Q809" s="45"/>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row>
    <row r="810">
      <c r="A810" s="2"/>
      <c r="B810" s="2"/>
      <c r="C810" s="2"/>
      <c r="D810" s="2"/>
      <c r="E810" s="2"/>
      <c r="F810" s="2"/>
      <c r="G810" s="2"/>
      <c r="H810" s="2"/>
      <c r="I810" s="2"/>
      <c r="J810" s="2"/>
      <c r="K810" s="2"/>
      <c r="L810" s="2"/>
      <c r="M810" s="2"/>
      <c r="N810" s="2"/>
      <c r="O810" s="2"/>
      <c r="P810" s="2"/>
      <c r="Q810" s="45"/>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row>
    <row r="811">
      <c r="A811" s="2"/>
      <c r="B811" s="2"/>
      <c r="C811" s="2"/>
      <c r="D811" s="2"/>
      <c r="E811" s="2"/>
      <c r="F811" s="2"/>
      <c r="G811" s="2"/>
      <c r="H811" s="2"/>
      <c r="I811" s="2"/>
      <c r="J811" s="2"/>
      <c r="K811" s="2"/>
      <c r="L811" s="2"/>
      <c r="M811" s="2"/>
      <c r="N811" s="2"/>
      <c r="O811" s="2"/>
      <c r="P811" s="2"/>
      <c r="Q811" s="45"/>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row>
    <row r="812">
      <c r="A812" s="2"/>
      <c r="B812" s="2"/>
      <c r="C812" s="2"/>
      <c r="D812" s="2"/>
      <c r="E812" s="2"/>
      <c r="F812" s="2"/>
      <c r="G812" s="2"/>
      <c r="H812" s="2"/>
      <c r="I812" s="2"/>
      <c r="J812" s="2"/>
      <c r="K812" s="2"/>
      <c r="L812" s="2"/>
      <c r="M812" s="2"/>
      <c r="N812" s="2"/>
      <c r="O812" s="2"/>
      <c r="P812" s="2"/>
      <c r="Q812" s="45"/>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row>
    <row r="813">
      <c r="A813" s="2"/>
      <c r="B813" s="2"/>
      <c r="C813" s="2"/>
      <c r="D813" s="2"/>
      <c r="E813" s="2"/>
      <c r="F813" s="2"/>
      <c r="G813" s="2"/>
      <c r="H813" s="2"/>
      <c r="I813" s="2"/>
      <c r="J813" s="2"/>
      <c r="K813" s="2"/>
      <c r="L813" s="2"/>
      <c r="M813" s="2"/>
      <c r="N813" s="2"/>
      <c r="O813" s="2"/>
      <c r="P813" s="2"/>
      <c r="Q813" s="45"/>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row>
    <row r="814">
      <c r="A814" s="2"/>
      <c r="B814" s="2"/>
      <c r="C814" s="2"/>
      <c r="D814" s="2"/>
      <c r="E814" s="2"/>
      <c r="F814" s="2"/>
      <c r="G814" s="2"/>
      <c r="H814" s="2"/>
      <c r="I814" s="2"/>
      <c r="J814" s="2"/>
      <c r="K814" s="2"/>
      <c r="L814" s="2"/>
      <c r="M814" s="2"/>
      <c r="N814" s="2"/>
      <c r="O814" s="2"/>
      <c r="P814" s="2"/>
      <c r="Q814" s="45"/>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row>
    <row r="815">
      <c r="A815" s="2"/>
      <c r="B815" s="2"/>
      <c r="C815" s="2"/>
      <c r="D815" s="2"/>
      <c r="E815" s="2"/>
      <c r="F815" s="2"/>
      <c r="G815" s="2"/>
      <c r="H815" s="2"/>
      <c r="I815" s="2"/>
      <c r="J815" s="2"/>
      <c r="K815" s="2"/>
      <c r="L815" s="2"/>
      <c r="M815" s="2"/>
      <c r="N815" s="2"/>
      <c r="O815" s="2"/>
      <c r="P815" s="2"/>
      <c r="Q815" s="45"/>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row>
    <row r="816">
      <c r="A816" s="2"/>
      <c r="B816" s="2"/>
      <c r="C816" s="2"/>
      <c r="D816" s="2"/>
      <c r="E816" s="2"/>
      <c r="F816" s="2"/>
      <c r="G816" s="2"/>
      <c r="H816" s="2"/>
      <c r="I816" s="2"/>
      <c r="J816" s="2"/>
      <c r="K816" s="2"/>
      <c r="L816" s="2"/>
      <c r="M816" s="2"/>
      <c r="N816" s="2"/>
      <c r="O816" s="2"/>
      <c r="P816" s="2"/>
      <c r="Q816" s="45"/>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row>
    <row r="817">
      <c r="A817" s="2"/>
      <c r="B817" s="2"/>
      <c r="C817" s="2"/>
      <c r="D817" s="2"/>
      <c r="E817" s="2"/>
      <c r="F817" s="2"/>
      <c r="G817" s="2"/>
      <c r="H817" s="2"/>
      <c r="I817" s="2"/>
      <c r="J817" s="2"/>
      <c r="K817" s="2"/>
      <c r="L817" s="2"/>
      <c r="M817" s="2"/>
      <c r="N817" s="2"/>
      <c r="O817" s="2"/>
      <c r="P817" s="2"/>
      <c r="Q817" s="45"/>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row>
    <row r="818">
      <c r="A818" s="2"/>
      <c r="B818" s="2"/>
      <c r="C818" s="2"/>
      <c r="D818" s="2"/>
      <c r="E818" s="2"/>
      <c r="F818" s="2"/>
      <c r="G818" s="2"/>
      <c r="H818" s="2"/>
      <c r="I818" s="2"/>
      <c r="J818" s="2"/>
      <c r="K818" s="2"/>
      <c r="L818" s="2"/>
      <c r="M818" s="2"/>
      <c r="N818" s="2"/>
      <c r="O818" s="2"/>
      <c r="P818" s="2"/>
      <c r="Q818" s="45"/>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row>
    <row r="819">
      <c r="A819" s="2"/>
      <c r="B819" s="2"/>
      <c r="C819" s="2"/>
      <c r="D819" s="2"/>
      <c r="E819" s="2"/>
      <c r="F819" s="2"/>
      <c r="G819" s="2"/>
      <c r="H819" s="2"/>
      <c r="I819" s="2"/>
      <c r="J819" s="2"/>
      <c r="K819" s="2"/>
      <c r="L819" s="2"/>
      <c r="M819" s="2"/>
      <c r="N819" s="2"/>
      <c r="O819" s="2"/>
      <c r="P819" s="2"/>
      <c r="Q819" s="45"/>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row>
    <row r="820">
      <c r="A820" s="2"/>
      <c r="B820" s="2"/>
      <c r="C820" s="2"/>
      <c r="D820" s="2"/>
      <c r="E820" s="2"/>
      <c r="F820" s="2"/>
      <c r="G820" s="2"/>
      <c r="H820" s="2"/>
      <c r="I820" s="2"/>
      <c r="J820" s="2"/>
      <c r="K820" s="2"/>
      <c r="L820" s="2"/>
      <c r="M820" s="2"/>
      <c r="N820" s="2"/>
      <c r="O820" s="2"/>
      <c r="P820" s="2"/>
      <c r="Q820" s="45"/>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row>
    <row r="821">
      <c r="A821" s="2"/>
      <c r="B821" s="2"/>
      <c r="C821" s="2"/>
      <c r="D821" s="2"/>
      <c r="E821" s="2"/>
      <c r="F821" s="2"/>
      <c r="G821" s="2"/>
      <c r="H821" s="2"/>
      <c r="I821" s="2"/>
      <c r="J821" s="2"/>
      <c r="K821" s="2"/>
      <c r="L821" s="2"/>
      <c r="M821" s="2"/>
      <c r="N821" s="2"/>
      <c r="O821" s="2"/>
      <c r="P821" s="2"/>
      <c r="Q821" s="45"/>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row>
    <row r="822">
      <c r="A822" s="2"/>
      <c r="B822" s="2"/>
      <c r="C822" s="2"/>
      <c r="D822" s="2"/>
      <c r="E822" s="2"/>
      <c r="F822" s="2"/>
      <c r="G822" s="2"/>
      <c r="H822" s="2"/>
      <c r="I822" s="2"/>
      <c r="J822" s="2"/>
      <c r="K822" s="2"/>
      <c r="L822" s="2"/>
      <c r="M822" s="2"/>
      <c r="N822" s="2"/>
      <c r="O822" s="2"/>
      <c r="P822" s="2"/>
      <c r="Q822" s="45"/>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row>
    <row r="823">
      <c r="A823" s="2"/>
      <c r="B823" s="2"/>
      <c r="C823" s="2"/>
      <c r="D823" s="2"/>
      <c r="E823" s="2"/>
      <c r="F823" s="2"/>
      <c r="G823" s="2"/>
      <c r="H823" s="2"/>
      <c r="I823" s="2"/>
      <c r="J823" s="2"/>
      <c r="K823" s="2"/>
      <c r="L823" s="2"/>
      <c r="M823" s="2"/>
      <c r="N823" s="2"/>
      <c r="O823" s="2"/>
      <c r="P823" s="2"/>
      <c r="Q823" s="45"/>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row>
    <row r="824">
      <c r="A824" s="2"/>
      <c r="B824" s="2"/>
      <c r="C824" s="2"/>
      <c r="D824" s="2"/>
      <c r="E824" s="2"/>
      <c r="F824" s="2"/>
      <c r="G824" s="2"/>
      <c r="H824" s="2"/>
      <c r="I824" s="2"/>
      <c r="J824" s="2"/>
      <c r="K824" s="2"/>
      <c r="L824" s="2"/>
      <c r="M824" s="2"/>
      <c r="N824" s="2"/>
      <c r="O824" s="2"/>
      <c r="P824" s="2"/>
      <c r="Q824" s="45"/>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row>
    <row r="825">
      <c r="A825" s="2"/>
      <c r="B825" s="2"/>
      <c r="C825" s="2"/>
      <c r="D825" s="2"/>
      <c r="E825" s="2"/>
      <c r="F825" s="2"/>
      <c r="G825" s="2"/>
      <c r="H825" s="2"/>
      <c r="I825" s="2"/>
      <c r="J825" s="2"/>
      <c r="K825" s="2"/>
      <c r="L825" s="2"/>
      <c r="M825" s="2"/>
      <c r="N825" s="2"/>
      <c r="O825" s="2"/>
      <c r="P825" s="2"/>
      <c r="Q825" s="45"/>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row>
    <row r="826">
      <c r="A826" s="2"/>
      <c r="B826" s="2"/>
      <c r="C826" s="2"/>
      <c r="D826" s="2"/>
      <c r="E826" s="2"/>
      <c r="F826" s="2"/>
      <c r="G826" s="2"/>
      <c r="H826" s="2"/>
      <c r="I826" s="2"/>
      <c r="J826" s="2"/>
      <c r="K826" s="2"/>
      <c r="L826" s="2"/>
      <c r="M826" s="2"/>
      <c r="N826" s="2"/>
      <c r="O826" s="2"/>
      <c r="P826" s="2"/>
      <c r="Q826" s="45"/>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row>
    <row r="827">
      <c r="A827" s="2"/>
      <c r="B827" s="2"/>
      <c r="C827" s="2"/>
      <c r="D827" s="2"/>
      <c r="E827" s="2"/>
      <c r="F827" s="2"/>
      <c r="G827" s="2"/>
      <c r="H827" s="2"/>
      <c r="I827" s="2"/>
      <c r="J827" s="2"/>
      <c r="K827" s="2"/>
      <c r="L827" s="2"/>
      <c r="M827" s="2"/>
      <c r="N827" s="2"/>
      <c r="O827" s="2"/>
      <c r="P827" s="2"/>
      <c r="Q827" s="45"/>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row>
    <row r="828">
      <c r="A828" s="2"/>
      <c r="B828" s="2"/>
      <c r="C828" s="2"/>
      <c r="D828" s="2"/>
      <c r="E828" s="2"/>
      <c r="F828" s="2"/>
      <c r="G828" s="2"/>
      <c r="H828" s="2"/>
      <c r="I828" s="2"/>
      <c r="J828" s="2"/>
      <c r="K828" s="2"/>
      <c r="L828" s="2"/>
      <c r="M828" s="2"/>
      <c r="N828" s="2"/>
      <c r="O828" s="2"/>
      <c r="P828" s="2"/>
      <c r="Q828" s="45"/>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row>
    <row r="829">
      <c r="A829" s="2"/>
      <c r="B829" s="2"/>
      <c r="C829" s="2"/>
      <c r="D829" s="2"/>
      <c r="E829" s="2"/>
      <c r="F829" s="2"/>
      <c r="G829" s="2"/>
      <c r="H829" s="2"/>
      <c r="I829" s="2"/>
      <c r="J829" s="2"/>
      <c r="K829" s="2"/>
      <c r="L829" s="2"/>
      <c r="M829" s="2"/>
      <c r="N829" s="2"/>
      <c r="O829" s="2"/>
      <c r="P829" s="2"/>
      <c r="Q829" s="45"/>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row>
    <row r="830">
      <c r="A830" s="2"/>
      <c r="B830" s="2"/>
      <c r="C830" s="2"/>
      <c r="D830" s="2"/>
      <c r="E830" s="2"/>
      <c r="F830" s="2"/>
      <c r="G830" s="2"/>
      <c r="H830" s="2"/>
      <c r="I830" s="2"/>
      <c r="J830" s="2"/>
      <c r="K830" s="2"/>
      <c r="L830" s="2"/>
      <c r="M830" s="2"/>
      <c r="N830" s="2"/>
      <c r="O830" s="2"/>
      <c r="P830" s="2"/>
      <c r="Q830" s="45"/>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row>
    <row r="831">
      <c r="A831" s="2"/>
      <c r="B831" s="2"/>
      <c r="C831" s="2"/>
      <c r="D831" s="2"/>
      <c r="E831" s="2"/>
      <c r="F831" s="2"/>
      <c r="G831" s="2"/>
      <c r="H831" s="2"/>
      <c r="I831" s="2"/>
      <c r="J831" s="2"/>
      <c r="K831" s="2"/>
      <c r="L831" s="2"/>
      <c r="M831" s="2"/>
      <c r="N831" s="2"/>
      <c r="O831" s="2"/>
      <c r="P831" s="2"/>
      <c r="Q831" s="45"/>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row>
    <row r="832">
      <c r="A832" s="2"/>
      <c r="B832" s="2"/>
      <c r="C832" s="2"/>
      <c r="D832" s="2"/>
      <c r="E832" s="2"/>
      <c r="F832" s="2"/>
      <c r="G832" s="2"/>
      <c r="H832" s="2"/>
      <c r="I832" s="2"/>
      <c r="J832" s="2"/>
      <c r="K832" s="2"/>
      <c r="L832" s="2"/>
      <c r="M832" s="2"/>
      <c r="N832" s="2"/>
      <c r="O832" s="2"/>
      <c r="P832" s="2"/>
      <c r="Q832" s="45"/>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row>
    <row r="833">
      <c r="A833" s="2"/>
      <c r="B833" s="2"/>
      <c r="C833" s="2"/>
      <c r="D833" s="2"/>
      <c r="E833" s="2"/>
      <c r="F833" s="2"/>
      <c r="G833" s="2"/>
      <c r="H833" s="2"/>
      <c r="I833" s="2"/>
      <c r="J833" s="2"/>
      <c r="K833" s="2"/>
      <c r="L833" s="2"/>
      <c r="M833" s="2"/>
      <c r="N833" s="2"/>
      <c r="O833" s="2"/>
      <c r="P833" s="2"/>
      <c r="Q833" s="45"/>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row>
    <row r="834">
      <c r="A834" s="2"/>
      <c r="B834" s="2"/>
      <c r="C834" s="2"/>
      <c r="D834" s="2"/>
      <c r="E834" s="2"/>
      <c r="F834" s="2"/>
      <c r="G834" s="2"/>
      <c r="H834" s="2"/>
      <c r="I834" s="2"/>
      <c r="J834" s="2"/>
      <c r="K834" s="2"/>
      <c r="L834" s="2"/>
      <c r="M834" s="2"/>
      <c r="N834" s="2"/>
      <c r="O834" s="2"/>
      <c r="P834" s="2"/>
      <c r="Q834" s="45"/>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row>
    <row r="835">
      <c r="A835" s="2"/>
      <c r="B835" s="2"/>
      <c r="C835" s="2"/>
      <c r="D835" s="2"/>
      <c r="E835" s="2"/>
      <c r="F835" s="2"/>
      <c r="G835" s="2"/>
      <c r="H835" s="2"/>
      <c r="I835" s="2"/>
      <c r="J835" s="2"/>
      <c r="K835" s="2"/>
      <c r="L835" s="2"/>
      <c r="M835" s="2"/>
      <c r="N835" s="2"/>
      <c r="O835" s="2"/>
      <c r="P835" s="2"/>
      <c r="Q835" s="45"/>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row>
    <row r="836">
      <c r="A836" s="2"/>
      <c r="B836" s="2"/>
      <c r="C836" s="2"/>
      <c r="D836" s="2"/>
      <c r="E836" s="2"/>
      <c r="F836" s="2"/>
      <c r="G836" s="2"/>
      <c r="H836" s="2"/>
      <c r="I836" s="2"/>
      <c r="J836" s="2"/>
      <c r="K836" s="2"/>
      <c r="L836" s="2"/>
      <c r="M836" s="2"/>
      <c r="N836" s="2"/>
      <c r="O836" s="2"/>
      <c r="P836" s="2"/>
      <c r="Q836" s="45"/>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row>
    <row r="837">
      <c r="A837" s="2"/>
      <c r="B837" s="2"/>
      <c r="C837" s="2"/>
      <c r="D837" s="2"/>
      <c r="E837" s="2"/>
      <c r="F837" s="2"/>
      <c r="G837" s="2"/>
      <c r="H837" s="2"/>
      <c r="I837" s="2"/>
      <c r="J837" s="2"/>
      <c r="K837" s="2"/>
      <c r="L837" s="2"/>
      <c r="M837" s="2"/>
      <c r="N837" s="2"/>
      <c r="O837" s="2"/>
      <c r="P837" s="2"/>
      <c r="Q837" s="45"/>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row>
    <row r="838">
      <c r="A838" s="2"/>
      <c r="B838" s="2"/>
      <c r="C838" s="2"/>
      <c r="D838" s="2"/>
      <c r="E838" s="2"/>
      <c r="F838" s="2"/>
      <c r="G838" s="2"/>
      <c r="H838" s="2"/>
      <c r="I838" s="2"/>
      <c r="J838" s="2"/>
      <c r="K838" s="2"/>
      <c r="L838" s="2"/>
      <c r="M838" s="2"/>
      <c r="N838" s="2"/>
      <c r="O838" s="2"/>
      <c r="P838" s="2"/>
      <c r="Q838" s="45"/>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row>
    <row r="839">
      <c r="A839" s="2"/>
      <c r="B839" s="2"/>
      <c r="C839" s="2"/>
      <c r="D839" s="2"/>
      <c r="E839" s="2"/>
      <c r="F839" s="2"/>
      <c r="G839" s="2"/>
      <c r="H839" s="2"/>
      <c r="I839" s="2"/>
      <c r="J839" s="2"/>
      <c r="K839" s="2"/>
      <c r="L839" s="2"/>
      <c r="M839" s="2"/>
      <c r="N839" s="2"/>
      <c r="O839" s="2"/>
      <c r="P839" s="2"/>
      <c r="Q839" s="45"/>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row>
    <row r="840">
      <c r="A840" s="2"/>
      <c r="B840" s="2"/>
      <c r="C840" s="2"/>
      <c r="D840" s="2"/>
      <c r="E840" s="2"/>
      <c r="F840" s="2"/>
      <c r="G840" s="2"/>
      <c r="H840" s="2"/>
      <c r="I840" s="2"/>
      <c r="J840" s="2"/>
      <c r="K840" s="2"/>
      <c r="L840" s="2"/>
      <c r="M840" s="2"/>
      <c r="N840" s="2"/>
      <c r="O840" s="2"/>
      <c r="P840" s="2"/>
      <c r="Q840" s="45"/>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row>
    <row r="841">
      <c r="A841" s="2"/>
      <c r="B841" s="2"/>
      <c r="C841" s="2"/>
      <c r="D841" s="2"/>
      <c r="E841" s="2"/>
      <c r="F841" s="2"/>
      <c r="G841" s="2"/>
      <c r="H841" s="2"/>
      <c r="I841" s="2"/>
      <c r="J841" s="2"/>
      <c r="K841" s="2"/>
      <c r="L841" s="2"/>
      <c r="M841" s="2"/>
      <c r="N841" s="2"/>
      <c r="O841" s="2"/>
      <c r="P841" s="2"/>
      <c r="Q841" s="45"/>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row>
    <row r="842">
      <c r="A842" s="2"/>
      <c r="B842" s="2"/>
      <c r="C842" s="2"/>
      <c r="D842" s="2"/>
      <c r="E842" s="2"/>
      <c r="F842" s="2"/>
      <c r="G842" s="2"/>
      <c r="H842" s="2"/>
      <c r="I842" s="2"/>
      <c r="J842" s="2"/>
      <c r="K842" s="2"/>
      <c r="L842" s="2"/>
      <c r="M842" s="2"/>
      <c r="N842" s="2"/>
      <c r="O842" s="2"/>
      <c r="P842" s="2"/>
      <c r="Q842" s="45"/>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row>
    <row r="843">
      <c r="A843" s="2"/>
      <c r="B843" s="2"/>
      <c r="C843" s="2"/>
      <c r="D843" s="2"/>
      <c r="E843" s="2"/>
      <c r="F843" s="2"/>
      <c r="G843" s="2"/>
      <c r="H843" s="2"/>
      <c r="I843" s="2"/>
      <c r="J843" s="2"/>
      <c r="K843" s="2"/>
      <c r="L843" s="2"/>
      <c r="M843" s="2"/>
      <c r="N843" s="2"/>
      <c r="O843" s="2"/>
      <c r="P843" s="2"/>
      <c r="Q843" s="45"/>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row>
    <row r="844">
      <c r="A844" s="2"/>
      <c r="B844" s="2"/>
      <c r="C844" s="2"/>
      <c r="D844" s="2"/>
      <c r="E844" s="2"/>
      <c r="F844" s="2"/>
      <c r="G844" s="2"/>
      <c r="H844" s="2"/>
      <c r="I844" s="2"/>
      <c r="J844" s="2"/>
      <c r="K844" s="2"/>
      <c r="L844" s="2"/>
      <c r="M844" s="2"/>
      <c r="N844" s="2"/>
      <c r="O844" s="2"/>
      <c r="P844" s="2"/>
      <c r="Q844" s="45"/>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row>
    <row r="845">
      <c r="A845" s="2"/>
      <c r="B845" s="2"/>
      <c r="C845" s="2"/>
      <c r="D845" s="2"/>
      <c r="E845" s="2"/>
      <c r="F845" s="2"/>
      <c r="G845" s="2"/>
      <c r="H845" s="2"/>
      <c r="I845" s="2"/>
      <c r="J845" s="2"/>
      <c r="K845" s="2"/>
      <c r="L845" s="2"/>
      <c r="M845" s="2"/>
      <c r="N845" s="2"/>
      <c r="O845" s="2"/>
      <c r="P845" s="2"/>
      <c r="Q845" s="45"/>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row>
    <row r="846">
      <c r="A846" s="2"/>
      <c r="B846" s="2"/>
      <c r="C846" s="2"/>
      <c r="D846" s="2"/>
      <c r="E846" s="2"/>
      <c r="F846" s="2"/>
      <c r="G846" s="2"/>
      <c r="H846" s="2"/>
      <c r="I846" s="2"/>
      <c r="J846" s="2"/>
      <c r="K846" s="2"/>
      <c r="L846" s="2"/>
      <c r="M846" s="2"/>
      <c r="N846" s="2"/>
      <c r="O846" s="2"/>
      <c r="P846" s="2"/>
      <c r="Q846" s="45"/>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row>
    <row r="847">
      <c r="A847" s="2"/>
      <c r="B847" s="2"/>
      <c r="C847" s="2"/>
      <c r="D847" s="2"/>
      <c r="E847" s="2"/>
      <c r="F847" s="2"/>
      <c r="G847" s="2"/>
      <c r="H847" s="2"/>
      <c r="I847" s="2"/>
      <c r="J847" s="2"/>
      <c r="K847" s="2"/>
      <c r="L847" s="2"/>
      <c r="M847" s="2"/>
      <c r="N847" s="2"/>
      <c r="O847" s="2"/>
      <c r="P847" s="2"/>
      <c r="Q847" s="45"/>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row>
    <row r="848">
      <c r="A848" s="2"/>
      <c r="B848" s="2"/>
      <c r="C848" s="2"/>
      <c r="D848" s="2"/>
      <c r="E848" s="2"/>
      <c r="F848" s="2"/>
      <c r="G848" s="2"/>
      <c r="H848" s="2"/>
      <c r="I848" s="2"/>
      <c r="J848" s="2"/>
      <c r="K848" s="2"/>
      <c r="L848" s="2"/>
      <c r="M848" s="2"/>
      <c r="N848" s="2"/>
      <c r="O848" s="2"/>
      <c r="P848" s="2"/>
      <c r="Q848" s="45"/>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row>
    <row r="849">
      <c r="A849" s="2"/>
      <c r="B849" s="2"/>
      <c r="C849" s="2"/>
      <c r="D849" s="2"/>
      <c r="E849" s="2"/>
      <c r="F849" s="2"/>
      <c r="G849" s="2"/>
      <c r="H849" s="2"/>
      <c r="I849" s="2"/>
      <c r="J849" s="2"/>
      <c r="K849" s="2"/>
      <c r="L849" s="2"/>
      <c r="M849" s="2"/>
      <c r="N849" s="2"/>
      <c r="O849" s="2"/>
      <c r="P849" s="2"/>
      <c r="Q849" s="45"/>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row>
    <row r="850">
      <c r="A850" s="2"/>
      <c r="B850" s="2"/>
      <c r="C850" s="2"/>
      <c r="D850" s="2"/>
      <c r="E850" s="2"/>
      <c r="F850" s="2"/>
      <c r="G850" s="2"/>
      <c r="H850" s="2"/>
      <c r="I850" s="2"/>
      <c r="J850" s="2"/>
      <c r="K850" s="2"/>
      <c r="L850" s="2"/>
      <c r="M850" s="2"/>
      <c r="N850" s="2"/>
      <c r="O850" s="2"/>
      <c r="P850" s="2"/>
      <c r="Q850" s="45"/>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row>
    <row r="851">
      <c r="A851" s="2"/>
      <c r="B851" s="2"/>
      <c r="C851" s="2"/>
      <c r="D851" s="2"/>
      <c r="E851" s="2"/>
      <c r="F851" s="2"/>
      <c r="G851" s="2"/>
      <c r="H851" s="2"/>
      <c r="I851" s="2"/>
      <c r="J851" s="2"/>
      <c r="K851" s="2"/>
      <c r="L851" s="2"/>
      <c r="M851" s="2"/>
      <c r="N851" s="2"/>
      <c r="O851" s="2"/>
      <c r="P851" s="2"/>
      <c r="Q851" s="45"/>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row>
    <row r="852">
      <c r="A852" s="2"/>
      <c r="B852" s="2"/>
      <c r="C852" s="2"/>
      <c r="D852" s="2"/>
      <c r="E852" s="2"/>
      <c r="F852" s="2"/>
      <c r="G852" s="2"/>
      <c r="H852" s="2"/>
      <c r="I852" s="2"/>
      <c r="J852" s="2"/>
      <c r="K852" s="2"/>
      <c r="L852" s="2"/>
      <c r="M852" s="2"/>
      <c r="N852" s="2"/>
      <c r="O852" s="2"/>
      <c r="P852" s="2"/>
      <c r="Q852" s="45"/>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row>
    <row r="853">
      <c r="A853" s="2"/>
      <c r="B853" s="2"/>
      <c r="C853" s="2"/>
      <c r="D853" s="2"/>
      <c r="E853" s="2"/>
      <c r="F853" s="2"/>
      <c r="G853" s="2"/>
      <c r="H853" s="2"/>
      <c r="I853" s="2"/>
      <c r="J853" s="2"/>
      <c r="K853" s="2"/>
      <c r="L853" s="2"/>
      <c r="M853" s="2"/>
      <c r="N853" s="2"/>
      <c r="O853" s="2"/>
      <c r="P853" s="2"/>
      <c r="Q853" s="45"/>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row>
    <row r="854">
      <c r="A854" s="2"/>
      <c r="B854" s="2"/>
      <c r="C854" s="2"/>
      <c r="D854" s="2"/>
      <c r="E854" s="2"/>
      <c r="F854" s="2"/>
      <c r="G854" s="2"/>
      <c r="H854" s="2"/>
      <c r="I854" s="2"/>
      <c r="J854" s="2"/>
      <c r="K854" s="2"/>
      <c r="L854" s="2"/>
      <c r="M854" s="2"/>
      <c r="N854" s="2"/>
      <c r="O854" s="2"/>
      <c r="P854" s="2"/>
      <c r="Q854" s="45"/>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row>
    <row r="855">
      <c r="A855" s="2"/>
      <c r="B855" s="2"/>
      <c r="C855" s="2"/>
      <c r="D855" s="2"/>
      <c r="E855" s="2"/>
      <c r="F855" s="2"/>
      <c r="G855" s="2"/>
      <c r="H855" s="2"/>
      <c r="I855" s="2"/>
      <c r="J855" s="2"/>
      <c r="K855" s="2"/>
      <c r="L855" s="2"/>
      <c r="M855" s="2"/>
      <c r="N855" s="2"/>
      <c r="O855" s="2"/>
      <c r="P855" s="2"/>
      <c r="Q855" s="45"/>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row>
    <row r="856">
      <c r="A856" s="2"/>
      <c r="B856" s="2"/>
      <c r="C856" s="2"/>
      <c r="D856" s="2"/>
      <c r="E856" s="2"/>
      <c r="F856" s="2"/>
      <c r="G856" s="2"/>
      <c r="H856" s="2"/>
      <c r="I856" s="2"/>
      <c r="J856" s="2"/>
      <c r="K856" s="2"/>
      <c r="L856" s="2"/>
      <c r="M856" s="2"/>
      <c r="N856" s="2"/>
      <c r="O856" s="2"/>
      <c r="P856" s="2"/>
      <c r="Q856" s="45"/>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row>
    <row r="857">
      <c r="A857" s="2"/>
      <c r="B857" s="2"/>
      <c r="C857" s="2"/>
      <c r="D857" s="2"/>
      <c r="E857" s="2"/>
      <c r="F857" s="2"/>
      <c r="G857" s="2"/>
      <c r="H857" s="2"/>
      <c r="I857" s="2"/>
      <c r="J857" s="2"/>
      <c r="K857" s="2"/>
      <c r="L857" s="2"/>
      <c r="M857" s="2"/>
      <c r="N857" s="2"/>
      <c r="O857" s="2"/>
      <c r="P857" s="2"/>
      <c r="Q857" s="45"/>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row>
    <row r="858">
      <c r="A858" s="2"/>
      <c r="B858" s="2"/>
      <c r="C858" s="2"/>
      <c r="D858" s="2"/>
      <c r="E858" s="2"/>
      <c r="F858" s="2"/>
      <c r="G858" s="2"/>
      <c r="H858" s="2"/>
      <c r="I858" s="2"/>
      <c r="J858" s="2"/>
      <c r="K858" s="2"/>
      <c r="L858" s="2"/>
      <c r="M858" s="2"/>
      <c r="N858" s="2"/>
      <c r="O858" s="2"/>
      <c r="P858" s="2"/>
      <c r="Q858" s="45"/>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row>
    <row r="859">
      <c r="A859" s="2"/>
      <c r="B859" s="2"/>
      <c r="C859" s="2"/>
      <c r="D859" s="2"/>
      <c r="E859" s="2"/>
      <c r="F859" s="2"/>
      <c r="G859" s="2"/>
      <c r="H859" s="2"/>
      <c r="I859" s="2"/>
      <c r="J859" s="2"/>
      <c r="K859" s="2"/>
      <c r="L859" s="2"/>
      <c r="M859" s="2"/>
      <c r="N859" s="2"/>
      <c r="O859" s="2"/>
      <c r="P859" s="2"/>
      <c r="Q859" s="45"/>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row>
    <row r="860">
      <c r="A860" s="2"/>
      <c r="B860" s="2"/>
      <c r="C860" s="2"/>
      <c r="D860" s="2"/>
      <c r="E860" s="2"/>
      <c r="F860" s="2"/>
      <c r="G860" s="2"/>
      <c r="H860" s="2"/>
      <c r="I860" s="2"/>
      <c r="J860" s="2"/>
      <c r="K860" s="2"/>
      <c r="L860" s="2"/>
      <c r="M860" s="2"/>
      <c r="N860" s="2"/>
      <c r="O860" s="2"/>
      <c r="P860" s="2"/>
      <c r="Q860" s="45"/>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row>
    <row r="861">
      <c r="A861" s="2"/>
      <c r="B861" s="2"/>
      <c r="C861" s="2"/>
      <c r="D861" s="2"/>
      <c r="E861" s="2"/>
      <c r="F861" s="2"/>
      <c r="G861" s="2"/>
      <c r="H861" s="2"/>
      <c r="I861" s="2"/>
      <c r="J861" s="2"/>
      <c r="K861" s="2"/>
      <c r="L861" s="2"/>
      <c r="M861" s="2"/>
      <c r="N861" s="2"/>
      <c r="O861" s="2"/>
      <c r="P861" s="2"/>
      <c r="Q861" s="45"/>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row>
    <row r="862">
      <c r="A862" s="2"/>
      <c r="B862" s="2"/>
      <c r="C862" s="2"/>
      <c r="D862" s="2"/>
      <c r="E862" s="2"/>
      <c r="F862" s="2"/>
      <c r="G862" s="2"/>
      <c r="H862" s="2"/>
      <c r="I862" s="2"/>
      <c r="J862" s="2"/>
      <c r="K862" s="2"/>
      <c r="L862" s="2"/>
      <c r="M862" s="2"/>
      <c r="N862" s="2"/>
      <c r="O862" s="2"/>
      <c r="P862" s="2"/>
      <c r="Q862" s="45"/>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row>
    <row r="863">
      <c r="A863" s="2"/>
      <c r="B863" s="2"/>
      <c r="C863" s="2"/>
      <c r="D863" s="2"/>
      <c r="E863" s="2"/>
      <c r="F863" s="2"/>
      <c r="G863" s="2"/>
      <c r="H863" s="2"/>
      <c r="I863" s="2"/>
      <c r="J863" s="2"/>
      <c r="K863" s="2"/>
      <c r="L863" s="2"/>
      <c r="M863" s="2"/>
      <c r="N863" s="2"/>
      <c r="O863" s="2"/>
      <c r="P863" s="2"/>
      <c r="Q863" s="45"/>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row>
    <row r="864">
      <c r="A864" s="2"/>
      <c r="B864" s="2"/>
      <c r="C864" s="2"/>
      <c r="D864" s="2"/>
      <c r="E864" s="2"/>
      <c r="F864" s="2"/>
      <c r="G864" s="2"/>
      <c r="H864" s="2"/>
      <c r="I864" s="2"/>
      <c r="J864" s="2"/>
      <c r="K864" s="2"/>
      <c r="L864" s="2"/>
      <c r="M864" s="2"/>
      <c r="N864" s="2"/>
      <c r="O864" s="2"/>
      <c r="P864" s="2"/>
      <c r="Q864" s="45"/>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row>
    <row r="865">
      <c r="A865" s="2"/>
      <c r="B865" s="2"/>
      <c r="C865" s="2"/>
      <c r="D865" s="2"/>
      <c r="E865" s="2"/>
      <c r="F865" s="2"/>
      <c r="G865" s="2"/>
      <c r="H865" s="2"/>
      <c r="I865" s="2"/>
      <c r="J865" s="2"/>
      <c r="K865" s="2"/>
      <c r="L865" s="2"/>
      <c r="M865" s="2"/>
      <c r="N865" s="2"/>
      <c r="O865" s="2"/>
      <c r="P865" s="2"/>
      <c r="Q865" s="45"/>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row>
    <row r="866">
      <c r="A866" s="2"/>
      <c r="B866" s="2"/>
      <c r="C866" s="2"/>
      <c r="D866" s="2"/>
      <c r="E866" s="2"/>
      <c r="F866" s="2"/>
      <c r="G866" s="2"/>
      <c r="H866" s="2"/>
      <c r="I866" s="2"/>
      <c r="J866" s="2"/>
      <c r="K866" s="2"/>
      <c r="L866" s="2"/>
      <c r="M866" s="2"/>
      <c r="N866" s="2"/>
      <c r="O866" s="2"/>
      <c r="P866" s="2"/>
      <c r="Q866" s="45"/>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row>
    <row r="867">
      <c r="A867" s="2"/>
      <c r="B867" s="2"/>
      <c r="C867" s="2"/>
      <c r="D867" s="2"/>
      <c r="E867" s="2"/>
      <c r="F867" s="2"/>
      <c r="G867" s="2"/>
      <c r="H867" s="2"/>
      <c r="I867" s="2"/>
      <c r="J867" s="2"/>
      <c r="K867" s="2"/>
      <c r="L867" s="2"/>
      <c r="M867" s="2"/>
      <c r="N867" s="2"/>
      <c r="O867" s="2"/>
      <c r="P867" s="2"/>
      <c r="Q867" s="45"/>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row>
    <row r="868">
      <c r="A868" s="2"/>
      <c r="B868" s="2"/>
      <c r="C868" s="2"/>
      <c r="D868" s="2"/>
      <c r="E868" s="2"/>
      <c r="F868" s="2"/>
      <c r="G868" s="2"/>
      <c r="H868" s="2"/>
      <c r="I868" s="2"/>
      <c r="J868" s="2"/>
      <c r="K868" s="2"/>
      <c r="L868" s="2"/>
      <c r="M868" s="2"/>
      <c r="N868" s="2"/>
      <c r="O868" s="2"/>
      <c r="P868" s="2"/>
      <c r="Q868" s="45"/>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row>
    <row r="869">
      <c r="A869" s="2"/>
      <c r="B869" s="2"/>
      <c r="C869" s="2"/>
      <c r="D869" s="2"/>
      <c r="E869" s="2"/>
      <c r="F869" s="2"/>
      <c r="G869" s="2"/>
      <c r="H869" s="2"/>
      <c r="I869" s="2"/>
      <c r="J869" s="2"/>
      <c r="K869" s="2"/>
      <c r="L869" s="2"/>
      <c r="M869" s="2"/>
      <c r="N869" s="2"/>
      <c r="O869" s="2"/>
      <c r="P869" s="2"/>
      <c r="Q869" s="45"/>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row>
    <row r="870">
      <c r="A870" s="2"/>
      <c r="B870" s="2"/>
      <c r="C870" s="2"/>
      <c r="D870" s="2"/>
      <c r="E870" s="2"/>
      <c r="F870" s="2"/>
      <c r="G870" s="2"/>
      <c r="H870" s="2"/>
      <c r="I870" s="2"/>
      <c r="J870" s="2"/>
      <c r="K870" s="2"/>
      <c r="L870" s="2"/>
      <c r="M870" s="2"/>
      <c r="N870" s="2"/>
      <c r="O870" s="2"/>
      <c r="P870" s="2"/>
      <c r="Q870" s="45"/>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row>
    <row r="871">
      <c r="A871" s="2"/>
      <c r="B871" s="2"/>
      <c r="C871" s="2"/>
      <c r="D871" s="2"/>
      <c r="E871" s="2"/>
      <c r="F871" s="2"/>
      <c r="G871" s="2"/>
      <c r="H871" s="2"/>
      <c r="I871" s="2"/>
      <c r="J871" s="2"/>
      <c r="K871" s="2"/>
      <c r="L871" s="2"/>
      <c r="M871" s="2"/>
      <c r="N871" s="2"/>
      <c r="O871" s="2"/>
      <c r="P871" s="2"/>
      <c r="Q871" s="45"/>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row>
    <row r="872">
      <c r="A872" s="2"/>
      <c r="B872" s="2"/>
      <c r="C872" s="2"/>
      <c r="D872" s="2"/>
      <c r="E872" s="2"/>
      <c r="F872" s="2"/>
      <c r="G872" s="2"/>
      <c r="H872" s="2"/>
      <c r="I872" s="2"/>
      <c r="J872" s="2"/>
      <c r="K872" s="2"/>
      <c r="L872" s="2"/>
      <c r="M872" s="2"/>
      <c r="N872" s="2"/>
      <c r="O872" s="2"/>
      <c r="P872" s="2"/>
      <c r="Q872" s="45"/>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row>
    <row r="873">
      <c r="A873" s="2"/>
      <c r="B873" s="2"/>
      <c r="C873" s="2"/>
      <c r="D873" s="2"/>
      <c r="E873" s="2"/>
      <c r="F873" s="2"/>
      <c r="G873" s="2"/>
      <c r="H873" s="2"/>
      <c r="I873" s="2"/>
      <c r="J873" s="2"/>
      <c r="K873" s="2"/>
      <c r="L873" s="2"/>
      <c r="M873" s="2"/>
      <c r="N873" s="2"/>
      <c r="O873" s="2"/>
      <c r="P873" s="2"/>
      <c r="Q873" s="45"/>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row>
    <row r="874">
      <c r="A874" s="2"/>
      <c r="B874" s="2"/>
      <c r="C874" s="2"/>
      <c r="D874" s="2"/>
      <c r="E874" s="2"/>
      <c r="F874" s="2"/>
      <c r="G874" s="2"/>
      <c r="H874" s="2"/>
      <c r="I874" s="2"/>
      <c r="J874" s="2"/>
      <c r="K874" s="2"/>
      <c r="L874" s="2"/>
      <c r="M874" s="2"/>
      <c r="N874" s="2"/>
      <c r="O874" s="2"/>
      <c r="P874" s="2"/>
      <c r="Q874" s="45"/>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row>
    <row r="875">
      <c r="A875" s="2"/>
      <c r="B875" s="2"/>
      <c r="C875" s="2"/>
      <c r="D875" s="2"/>
      <c r="E875" s="2"/>
      <c r="F875" s="2"/>
      <c r="G875" s="2"/>
      <c r="H875" s="2"/>
      <c r="I875" s="2"/>
      <c r="J875" s="2"/>
      <c r="K875" s="2"/>
      <c r="L875" s="2"/>
      <c r="M875" s="2"/>
      <c r="N875" s="2"/>
      <c r="O875" s="2"/>
      <c r="P875" s="2"/>
      <c r="Q875" s="45"/>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row>
    <row r="876">
      <c r="A876" s="2"/>
      <c r="B876" s="2"/>
      <c r="C876" s="2"/>
      <c r="D876" s="2"/>
      <c r="E876" s="2"/>
      <c r="F876" s="2"/>
      <c r="G876" s="2"/>
      <c r="H876" s="2"/>
      <c r="I876" s="2"/>
      <c r="J876" s="2"/>
      <c r="K876" s="2"/>
      <c r="L876" s="2"/>
      <c r="M876" s="2"/>
      <c r="N876" s="2"/>
      <c r="O876" s="2"/>
      <c r="P876" s="2"/>
      <c r="Q876" s="45"/>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row>
    <row r="877">
      <c r="A877" s="2"/>
      <c r="B877" s="2"/>
      <c r="C877" s="2"/>
      <c r="D877" s="2"/>
      <c r="E877" s="2"/>
      <c r="F877" s="2"/>
      <c r="G877" s="2"/>
      <c r="H877" s="2"/>
      <c r="I877" s="2"/>
      <c r="J877" s="2"/>
      <c r="K877" s="2"/>
      <c r="L877" s="2"/>
      <c r="M877" s="2"/>
      <c r="N877" s="2"/>
      <c r="O877" s="2"/>
      <c r="P877" s="2"/>
      <c r="Q877" s="45"/>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row>
    <row r="878">
      <c r="A878" s="2"/>
      <c r="B878" s="2"/>
      <c r="C878" s="2"/>
      <c r="D878" s="2"/>
      <c r="E878" s="2"/>
      <c r="F878" s="2"/>
      <c r="G878" s="2"/>
      <c r="H878" s="2"/>
      <c r="I878" s="2"/>
      <c r="J878" s="2"/>
      <c r="K878" s="2"/>
      <c r="L878" s="2"/>
      <c r="M878" s="2"/>
      <c r="N878" s="2"/>
      <c r="O878" s="2"/>
      <c r="P878" s="2"/>
      <c r="Q878" s="45"/>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row>
    <row r="879">
      <c r="A879" s="2"/>
      <c r="B879" s="2"/>
      <c r="C879" s="2"/>
      <c r="D879" s="2"/>
      <c r="E879" s="2"/>
      <c r="F879" s="2"/>
      <c r="G879" s="2"/>
      <c r="H879" s="2"/>
      <c r="I879" s="2"/>
      <c r="J879" s="2"/>
      <c r="K879" s="2"/>
      <c r="L879" s="2"/>
      <c r="M879" s="2"/>
      <c r="N879" s="2"/>
      <c r="O879" s="2"/>
      <c r="P879" s="2"/>
      <c r="Q879" s="45"/>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row>
    <row r="880">
      <c r="A880" s="2"/>
      <c r="B880" s="2"/>
      <c r="C880" s="2"/>
      <c r="D880" s="2"/>
      <c r="E880" s="2"/>
      <c r="F880" s="2"/>
      <c r="G880" s="2"/>
      <c r="H880" s="2"/>
      <c r="I880" s="2"/>
      <c r="J880" s="2"/>
      <c r="K880" s="2"/>
      <c r="L880" s="2"/>
      <c r="M880" s="2"/>
      <c r="N880" s="2"/>
      <c r="O880" s="2"/>
      <c r="P880" s="2"/>
      <c r="Q880" s="45"/>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row>
    <row r="881">
      <c r="A881" s="2"/>
      <c r="B881" s="2"/>
      <c r="C881" s="2"/>
      <c r="D881" s="2"/>
      <c r="E881" s="2"/>
      <c r="F881" s="2"/>
      <c r="G881" s="2"/>
      <c r="H881" s="2"/>
      <c r="I881" s="2"/>
      <c r="J881" s="2"/>
      <c r="K881" s="2"/>
      <c r="L881" s="2"/>
      <c r="M881" s="2"/>
      <c r="N881" s="2"/>
      <c r="O881" s="2"/>
      <c r="P881" s="2"/>
      <c r="Q881" s="45"/>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row>
    <row r="882">
      <c r="A882" s="2"/>
      <c r="B882" s="2"/>
      <c r="C882" s="2"/>
      <c r="D882" s="2"/>
      <c r="E882" s="2"/>
      <c r="F882" s="2"/>
      <c r="G882" s="2"/>
      <c r="H882" s="2"/>
      <c r="I882" s="2"/>
      <c r="J882" s="2"/>
      <c r="K882" s="2"/>
      <c r="L882" s="2"/>
      <c r="M882" s="2"/>
      <c r="N882" s="2"/>
      <c r="O882" s="2"/>
      <c r="P882" s="2"/>
      <c r="Q882" s="45"/>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row>
    <row r="883">
      <c r="A883" s="2"/>
      <c r="B883" s="2"/>
      <c r="C883" s="2"/>
      <c r="D883" s="2"/>
      <c r="E883" s="2"/>
      <c r="F883" s="2"/>
      <c r="G883" s="2"/>
      <c r="H883" s="2"/>
      <c r="I883" s="2"/>
      <c r="J883" s="2"/>
      <c r="K883" s="2"/>
      <c r="L883" s="2"/>
      <c r="M883" s="2"/>
      <c r="N883" s="2"/>
      <c r="O883" s="2"/>
      <c r="P883" s="2"/>
      <c r="Q883" s="45"/>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row>
    <row r="884">
      <c r="A884" s="2"/>
      <c r="B884" s="2"/>
      <c r="C884" s="2"/>
      <c r="D884" s="2"/>
      <c r="E884" s="2"/>
      <c r="F884" s="2"/>
      <c r="G884" s="2"/>
      <c r="H884" s="2"/>
      <c r="I884" s="2"/>
      <c r="J884" s="2"/>
      <c r="K884" s="2"/>
      <c r="L884" s="2"/>
      <c r="M884" s="2"/>
      <c r="N884" s="2"/>
      <c r="O884" s="2"/>
      <c r="P884" s="2"/>
      <c r="Q884" s="45"/>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row>
    <row r="885">
      <c r="A885" s="2"/>
      <c r="B885" s="2"/>
      <c r="C885" s="2"/>
      <c r="D885" s="2"/>
      <c r="E885" s="2"/>
      <c r="F885" s="2"/>
      <c r="G885" s="2"/>
      <c r="H885" s="2"/>
      <c r="I885" s="2"/>
      <c r="J885" s="2"/>
      <c r="K885" s="2"/>
      <c r="L885" s="2"/>
      <c r="M885" s="2"/>
      <c r="N885" s="2"/>
      <c r="O885" s="2"/>
      <c r="P885" s="2"/>
      <c r="Q885" s="45"/>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row>
    <row r="886">
      <c r="A886" s="2"/>
      <c r="B886" s="2"/>
      <c r="C886" s="2"/>
      <c r="D886" s="2"/>
      <c r="E886" s="2"/>
      <c r="F886" s="2"/>
      <c r="G886" s="2"/>
      <c r="H886" s="2"/>
      <c r="I886" s="2"/>
      <c r="J886" s="2"/>
      <c r="K886" s="2"/>
      <c r="L886" s="2"/>
      <c r="M886" s="2"/>
      <c r="N886" s="2"/>
      <c r="O886" s="2"/>
      <c r="P886" s="2"/>
      <c r="Q886" s="45"/>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row>
    <row r="887">
      <c r="A887" s="2"/>
      <c r="B887" s="2"/>
      <c r="C887" s="2"/>
      <c r="D887" s="2"/>
      <c r="E887" s="2"/>
      <c r="F887" s="2"/>
      <c r="G887" s="2"/>
      <c r="H887" s="2"/>
      <c r="I887" s="2"/>
      <c r="J887" s="2"/>
      <c r="K887" s="2"/>
      <c r="L887" s="2"/>
      <c r="M887" s="2"/>
      <c r="N887" s="2"/>
      <c r="O887" s="2"/>
      <c r="P887" s="2"/>
      <c r="Q887" s="45"/>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row>
    <row r="888">
      <c r="A888" s="2"/>
      <c r="B888" s="2"/>
      <c r="C888" s="2"/>
      <c r="D888" s="2"/>
      <c r="E888" s="2"/>
      <c r="F888" s="2"/>
      <c r="G888" s="2"/>
      <c r="H888" s="2"/>
      <c r="I888" s="2"/>
      <c r="J888" s="2"/>
      <c r="K888" s="2"/>
      <c r="L888" s="2"/>
      <c r="M888" s="2"/>
      <c r="N888" s="2"/>
      <c r="O888" s="2"/>
      <c r="P888" s="2"/>
      <c r="Q888" s="45"/>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row>
    <row r="889">
      <c r="A889" s="2"/>
      <c r="B889" s="2"/>
      <c r="C889" s="2"/>
      <c r="D889" s="2"/>
      <c r="E889" s="2"/>
      <c r="F889" s="2"/>
      <c r="G889" s="2"/>
      <c r="H889" s="2"/>
      <c r="I889" s="2"/>
      <c r="J889" s="2"/>
      <c r="K889" s="2"/>
      <c r="L889" s="2"/>
      <c r="M889" s="2"/>
      <c r="N889" s="2"/>
      <c r="O889" s="2"/>
      <c r="P889" s="2"/>
      <c r="Q889" s="45"/>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row>
    <row r="890">
      <c r="A890" s="2"/>
      <c r="B890" s="2"/>
      <c r="C890" s="2"/>
      <c r="D890" s="2"/>
      <c r="E890" s="2"/>
      <c r="F890" s="2"/>
      <c r="G890" s="2"/>
      <c r="H890" s="2"/>
      <c r="I890" s="2"/>
      <c r="J890" s="2"/>
      <c r="K890" s="2"/>
      <c r="L890" s="2"/>
      <c r="M890" s="2"/>
      <c r="N890" s="2"/>
      <c r="O890" s="2"/>
      <c r="P890" s="2"/>
      <c r="Q890" s="45"/>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row>
    <row r="891">
      <c r="A891" s="2"/>
      <c r="B891" s="2"/>
      <c r="C891" s="2"/>
      <c r="D891" s="2"/>
      <c r="E891" s="2"/>
      <c r="F891" s="2"/>
      <c r="G891" s="2"/>
      <c r="H891" s="2"/>
      <c r="I891" s="2"/>
      <c r="J891" s="2"/>
      <c r="K891" s="2"/>
      <c r="L891" s="2"/>
      <c r="M891" s="2"/>
      <c r="N891" s="2"/>
      <c r="O891" s="2"/>
      <c r="P891" s="2"/>
      <c r="Q891" s="45"/>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row>
    <row r="892">
      <c r="A892" s="2"/>
      <c r="B892" s="2"/>
      <c r="C892" s="2"/>
      <c r="D892" s="2"/>
      <c r="E892" s="2"/>
      <c r="F892" s="2"/>
      <c r="G892" s="2"/>
      <c r="H892" s="2"/>
      <c r="I892" s="2"/>
      <c r="J892" s="2"/>
      <c r="K892" s="2"/>
      <c r="L892" s="2"/>
      <c r="M892" s="2"/>
      <c r="N892" s="2"/>
      <c r="O892" s="2"/>
      <c r="P892" s="2"/>
      <c r="Q892" s="45"/>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row>
    <row r="893">
      <c r="A893" s="2"/>
      <c r="B893" s="2"/>
      <c r="C893" s="2"/>
      <c r="D893" s="2"/>
      <c r="E893" s="2"/>
      <c r="F893" s="2"/>
      <c r="G893" s="2"/>
      <c r="H893" s="2"/>
      <c r="I893" s="2"/>
      <c r="J893" s="2"/>
      <c r="K893" s="2"/>
      <c r="L893" s="2"/>
      <c r="M893" s="2"/>
      <c r="N893" s="2"/>
      <c r="O893" s="2"/>
      <c r="P893" s="2"/>
      <c r="Q893" s="45"/>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row>
    <row r="894">
      <c r="A894" s="2"/>
      <c r="B894" s="2"/>
      <c r="C894" s="2"/>
      <c r="D894" s="2"/>
      <c r="E894" s="2"/>
      <c r="F894" s="2"/>
      <c r="G894" s="2"/>
      <c r="H894" s="2"/>
      <c r="I894" s="2"/>
      <c r="J894" s="2"/>
      <c r="K894" s="2"/>
      <c r="L894" s="2"/>
      <c r="M894" s="2"/>
      <c r="N894" s="2"/>
      <c r="O894" s="2"/>
      <c r="P894" s="2"/>
      <c r="Q894" s="45"/>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row>
    <row r="895">
      <c r="A895" s="2"/>
      <c r="B895" s="2"/>
      <c r="C895" s="2"/>
      <c r="D895" s="2"/>
      <c r="E895" s="2"/>
      <c r="F895" s="2"/>
      <c r="G895" s="2"/>
      <c r="H895" s="2"/>
      <c r="I895" s="2"/>
      <c r="J895" s="2"/>
      <c r="K895" s="2"/>
      <c r="L895" s="2"/>
      <c r="M895" s="2"/>
      <c r="N895" s="2"/>
      <c r="O895" s="2"/>
      <c r="P895" s="2"/>
      <c r="Q895" s="45"/>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row>
    <row r="896">
      <c r="A896" s="2"/>
      <c r="B896" s="2"/>
      <c r="C896" s="2"/>
      <c r="D896" s="2"/>
      <c r="E896" s="2"/>
      <c r="F896" s="2"/>
      <c r="G896" s="2"/>
      <c r="H896" s="2"/>
      <c r="I896" s="2"/>
      <c r="J896" s="2"/>
      <c r="K896" s="2"/>
      <c r="L896" s="2"/>
      <c r="M896" s="2"/>
      <c r="N896" s="2"/>
      <c r="O896" s="2"/>
      <c r="P896" s="2"/>
      <c r="Q896" s="45"/>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row>
    <row r="897">
      <c r="A897" s="2"/>
      <c r="B897" s="2"/>
      <c r="C897" s="2"/>
      <c r="D897" s="2"/>
      <c r="E897" s="2"/>
      <c r="F897" s="2"/>
      <c r="G897" s="2"/>
      <c r="H897" s="2"/>
      <c r="I897" s="2"/>
      <c r="J897" s="2"/>
      <c r="K897" s="2"/>
      <c r="L897" s="2"/>
      <c r="M897" s="2"/>
      <c r="N897" s="2"/>
      <c r="O897" s="2"/>
      <c r="P897" s="2"/>
      <c r="Q897" s="45"/>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row>
    <row r="898">
      <c r="A898" s="2"/>
      <c r="B898" s="2"/>
      <c r="C898" s="2"/>
      <c r="D898" s="2"/>
      <c r="E898" s="2"/>
      <c r="F898" s="2"/>
      <c r="G898" s="2"/>
      <c r="H898" s="2"/>
      <c r="I898" s="2"/>
      <c r="J898" s="2"/>
      <c r="K898" s="2"/>
      <c r="L898" s="2"/>
      <c r="M898" s="2"/>
      <c r="N898" s="2"/>
      <c r="O898" s="2"/>
      <c r="P898" s="2"/>
      <c r="Q898" s="45"/>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row>
    <row r="899">
      <c r="A899" s="2"/>
      <c r="B899" s="2"/>
      <c r="C899" s="2"/>
      <c r="D899" s="2"/>
      <c r="E899" s="2"/>
      <c r="F899" s="2"/>
      <c r="G899" s="2"/>
      <c r="H899" s="2"/>
      <c r="I899" s="2"/>
      <c r="J899" s="2"/>
      <c r="K899" s="2"/>
      <c r="L899" s="2"/>
      <c r="M899" s="2"/>
      <c r="N899" s="2"/>
      <c r="O899" s="2"/>
      <c r="P899" s="2"/>
      <c r="Q899" s="45"/>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row>
    <row r="900">
      <c r="A900" s="2"/>
      <c r="B900" s="2"/>
      <c r="C900" s="2"/>
      <c r="D900" s="2"/>
      <c r="E900" s="2"/>
      <c r="F900" s="2"/>
      <c r="G900" s="2"/>
      <c r="H900" s="2"/>
      <c r="I900" s="2"/>
      <c r="J900" s="2"/>
      <c r="K900" s="2"/>
      <c r="L900" s="2"/>
      <c r="M900" s="2"/>
      <c r="N900" s="2"/>
      <c r="O900" s="2"/>
      <c r="P900" s="2"/>
      <c r="Q900" s="45"/>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row>
    <row r="901">
      <c r="A901" s="2"/>
      <c r="B901" s="2"/>
      <c r="C901" s="2"/>
      <c r="D901" s="2"/>
      <c r="E901" s="2"/>
      <c r="F901" s="2"/>
      <c r="G901" s="2"/>
      <c r="H901" s="2"/>
      <c r="I901" s="2"/>
      <c r="J901" s="2"/>
      <c r="K901" s="2"/>
      <c r="L901" s="2"/>
      <c r="M901" s="2"/>
      <c r="N901" s="2"/>
      <c r="O901" s="2"/>
      <c r="P901" s="2"/>
      <c r="Q901" s="45"/>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row>
    <row r="902">
      <c r="A902" s="2"/>
      <c r="B902" s="2"/>
      <c r="C902" s="2"/>
      <c r="D902" s="2"/>
      <c r="E902" s="2"/>
      <c r="F902" s="2"/>
      <c r="G902" s="2"/>
      <c r="H902" s="2"/>
      <c r="I902" s="2"/>
      <c r="J902" s="2"/>
      <c r="K902" s="2"/>
      <c r="L902" s="2"/>
      <c r="M902" s="2"/>
      <c r="N902" s="2"/>
      <c r="O902" s="2"/>
      <c r="P902" s="2"/>
      <c r="Q902" s="45"/>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row>
    <row r="903">
      <c r="A903" s="2"/>
      <c r="B903" s="2"/>
      <c r="C903" s="2"/>
      <c r="D903" s="2"/>
      <c r="E903" s="2"/>
      <c r="F903" s="2"/>
      <c r="G903" s="2"/>
      <c r="H903" s="2"/>
      <c r="I903" s="2"/>
      <c r="J903" s="2"/>
      <c r="K903" s="2"/>
      <c r="L903" s="2"/>
      <c r="M903" s="2"/>
      <c r="N903" s="2"/>
      <c r="O903" s="2"/>
      <c r="P903" s="2"/>
      <c r="Q903" s="45"/>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row>
    <row r="904">
      <c r="A904" s="2"/>
      <c r="B904" s="2"/>
      <c r="C904" s="2"/>
      <c r="D904" s="2"/>
      <c r="E904" s="2"/>
      <c r="F904" s="2"/>
      <c r="G904" s="2"/>
      <c r="H904" s="2"/>
      <c r="I904" s="2"/>
      <c r="J904" s="2"/>
      <c r="K904" s="2"/>
      <c r="L904" s="2"/>
      <c r="M904" s="2"/>
      <c r="N904" s="2"/>
      <c r="O904" s="2"/>
      <c r="P904" s="2"/>
      <c r="Q904" s="45"/>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row>
    <row r="905">
      <c r="A905" s="2"/>
      <c r="B905" s="2"/>
      <c r="C905" s="2"/>
      <c r="D905" s="2"/>
      <c r="E905" s="2"/>
      <c r="F905" s="2"/>
      <c r="G905" s="2"/>
      <c r="H905" s="2"/>
      <c r="I905" s="2"/>
      <c r="J905" s="2"/>
      <c r="K905" s="2"/>
      <c r="L905" s="2"/>
      <c r="M905" s="2"/>
      <c r="N905" s="2"/>
      <c r="O905" s="2"/>
      <c r="P905" s="2"/>
      <c r="Q905" s="45"/>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row>
    <row r="906">
      <c r="A906" s="2"/>
      <c r="B906" s="2"/>
      <c r="C906" s="2"/>
      <c r="D906" s="2"/>
      <c r="E906" s="2"/>
      <c r="F906" s="2"/>
      <c r="G906" s="2"/>
      <c r="H906" s="2"/>
      <c r="I906" s="2"/>
      <c r="J906" s="2"/>
      <c r="K906" s="2"/>
      <c r="L906" s="2"/>
      <c r="M906" s="2"/>
      <c r="N906" s="2"/>
      <c r="O906" s="2"/>
      <c r="P906" s="2"/>
      <c r="Q906" s="45"/>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row>
    <row r="907">
      <c r="A907" s="2"/>
      <c r="B907" s="2"/>
      <c r="C907" s="2"/>
      <c r="D907" s="2"/>
      <c r="E907" s="2"/>
      <c r="F907" s="2"/>
      <c r="G907" s="2"/>
      <c r="H907" s="2"/>
      <c r="I907" s="2"/>
      <c r="J907" s="2"/>
      <c r="K907" s="2"/>
      <c r="L907" s="2"/>
      <c r="M907" s="2"/>
      <c r="N907" s="2"/>
      <c r="O907" s="2"/>
      <c r="P907" s="2"/>
      <c r="Q907" s="45"/>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row>
    <row r="908">
      <c r="A908" s="2"/>
      <c r="B908" s="2"/>
      <c r="C908" s="2"/>
      <c r="D908" s="2"/>
      <c r="E908" s="2"/>
      <c r="F908" s="2"/>
      <c r="G908" s="2"/>
      <c r="H908" s="2"/>
      <c r="I908" s="2"/>
      <c r="J908" s="2"/>
      <c r="K908" s="2"/>
      <c r="L908" s="2"/>
      <c r="M908" s="2"/>
      <c r="N908" s="2"/>
      <c r="O908" s="2"/>
      <c r="P908" s="2"/>
      <c r="Q908" s="45"/>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row>
    <row r="909">
      <c r="A909" s="2"/>
      <c r="B909" s="2"/>
      <c r="C909" s="2"/>
      <c r="D909" s="2"/>
      <c r="E909" s="2"/>
      <c r="F909" s="2"/>
      <c r="G909" s="2"/>
      <c r="H909" s="2"/>
      <c r="I909" s="2"/>
      <c r="J909" s="2"/>
      <c r="K909" s="2"/>
      <c r="L909" s="2"/>
      <c r="M909" s="2"/>
      <c r="N909" s="2"/>
      <c r="O909" s="2"/>
      <c r="P909" s="2"/>
      <c r="Q909" s="45"/>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row>
    <row r="910">
      <c r="A910" s="2"/>
      <c r="B910" s="2"/>
      <c r="C910" s="2"/>
      <c r="D910" s="2"/>
      <c r="E910" s="2"/>
      <c r="F910" s="2"/>
      <c r="G910" s="2"/>
      <c r="H910" s="2"/>
      <c r="I910" s="2"/>
      <c r="J910" s="2"/>
      <c r="K910" s="2"/>
      <c r="L910" s="2"/>
      <c r="M910" s="2"/>
      <c r="N910" s="2"/>
      <c r="O910" s="2"/>
      <c r="P910" s="2"/>
      <c r="Q910" s="45"/>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row>
    <row r="911">
      <c r="A911" s="2"/>
      <c r="B911" s="2"/>
      <c r="C911" s="2"/>
      <c r="D911" s="2"/>
      <c r="E911" s="2"/>
      <c r="F911" s="2"/>
      <c r="G911" s="2"/>
      <c r="H911" s="2"/>
      <c r="I911" s="2"/>
      <c r="J911" s="2"/>
      <c r="K911" s="2"/>
      <c r="L911" s="2"/>
      <c r="M911" s="2"/>
      <c r="N911" s="2"/>
      <c r="O911" s="2"/>
      <c r="P911" s="2"/>
      <c r="Q911" s="45"/>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row>
    <row r="912">
      <c r="A912" s="2"/>
      <c r="B912" s="2"/>
      <c r="C912" s="2"/>
      <c r="D912" s="2"/>
      <c r="E912" s="2"/>
      <c r="F912" s="2"/>
      <c r="G912" s="2"/>
      <c r="H912" s="2"/>
      <c r="I912" s="2"/>
      <c r="J912" s="2"/>
      <c r="K912" s="2"/>
      <c r="L912" s="2"/>
      <c r="M912" s="2"/>
      <c r="N912" s="2"/>
      <c r="O912" s="2"/>
      <c r="P912" s="2"/>
      <c r="Q912" s="45"/>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row>
    <row r="913">
      <c r="A913" s="2"/>
      <c r="B913" s="2"/>
      <c r="C913" s="2"/>
      <c r="D913" s="2"/>
      <c r="E913" s="2"/>
      <c r="F913" s="2"/>
      <c r="G913" s="2"/>
      <c r="H913" s="2"/>
      <c r="I913" s="2"/>
      <c r="J913" s="2"/>
      <c r="K913" s="2"/>
      <c r="L913" s="2"/>
      <c r="M913" s="2"/>
      <c r="N913" s="2"/>
      <c r="O913" s="2"/>
      <c r="P913" s="2"/>
      <c r="Q913" s="45"/>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row>
    <row r="914">
      <c r="A914" s="2"/>
      <c r="B914" s="2"/>
      <c r="C914" s="2"/>
      <c r="D914" s="2"/>
      <c r="E914" s="2"/>
      <c r="F914" s="2"/>
      <c r="G914" s="2"/>
      <c r="H914" s="2"/>
      <c r="I914" s="2"/>
      <c r="J914" s="2"/>
      <c r="K914" s="2"/>
      <c r="L914" s="2"/>
      <c r="M914" s="2"/>
      <c r="N914" s="2"/>
      <c r="O914" s="2"/>
      <c r="P914" s="2"/>
      <c r="Q914" s="45"/>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row>
    <row r="915">
      <c r="A915" s="2"/>
      <c r="B915" s="2"/>
      <c r="C915" s="2"/>
      <c r="D915" s="2"/>
      <c r="E915" s="2"/>
      <c r="F915" s="2"/>
      <c r="G915" s="2"/>
      <c r="H915" s="2"/>
      <c r="I915" s="2"/>
      <c r="J915" s="2"/>
      <c r="K915" s="2"/>
      <c r="L915" s="2"/>
      <c r="M915" s="2"/>
      <c r="N915" s="2"/>
      <c r="O915" s="2"/>
      <c r="P915" s="2"/>
      <c r="Q915" s="45"/>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row>
    <row r="916">
      <c r="A916" s="2"/>
      <c r="B916" s="2"/>
      <c r="C916" s="2"/>
      <c r="D916" s="2"/>
      <c r="E916" s="2"/>
      <c r="F916" s="2"/>
      <c r="G916" s="2"/>
      <c r="H916" s="2"/>
      <c r="I916" s="2"/>
      <c r="J916" s="2"/>
      <c r="K916" s="2"/>
      <c r="L916" s="2"/>
      <c r="M916" s="2"/>
      <c r="N916" s="2"/>
      <c r="O916" s="2"/>
      <c r="P916" s="2"/>
      <c r="Q916" s="45"/>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row>
    <row r="917">
      <c r="A917" s="2"/>
      <c r="B917" s="2"/>
      <c r="C917" s="2"/>
      <c r="D917" s="2"/>
      <c r="E917" s="2"/>
      <c r="F917" s="2"/>
      <c r="G917" s="2"/>
      <c r="H917" s="2"/>
      <c r="I917" s="2"/>
      <c r="J917" s="2"/>
      <c r="K917" s="2"/>
      <c r="L917" s="2"/>
      <c r="M917" s="2"/>
      <c r="N917" s="2"/>
      <c r="O917" s="2"/>
      <c r="P917" s="2"/>
      <c r="Q917" s="45"/>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row>
    <row r="918">
      <c r="A918" s="2"/>
      <c r="B918" s="2"/>
      <c r="C918" s="2"/>
      <c r="D918" s="2"/>
      <c r="E918" s="2"/>
      <c r="F918" s="2"/>
      <c r="G918" s="2"/>
      <c r="H918" s="2"/>
      <c r="I918" s="2"/>
      <c r="J918" s="2"/>
      <c r="K918" s="2"/>
      <c r="L918" s="2"/>
      <c r="M918" s="2"/>
      <c r="N918" s="2"/>
      <c r="O918" s="2"/>
      <c r="P918" s="2"/>
      <c r="Q918" s="45"/>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row>
    <row r="919">
      <c r="A919" s="2"/>
      <c r="B919" s="2"/>
      <c r="C919" s="2"/>
      <c r="D919" s="2"/>
      <c r="E919" s="2"/>
      <c r="F919" s="2"/>
      <c r="G919" s="2"/>
      <c r="H919" s="2"/>
      <c r="I919" s="2"/>
      <c r="J919" s="2"/>
      <c r="K919" s="2"/>
      <c r="L919" s="2"/>
      <c r="M919" s="2"/>
      <c r="N919" s="2"/>
      <c r="O919" s="2"/>
      <c r="P919" s="2"/>
      <c r="Q919" s="45"/>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row>
    <row r="920">
      <c r="A920" s="2"/>
      <c r="B920" s="2"/>
      <c r="C920" s="2"/>
      <c r="D920" s="2"/>
      <c r="E920" s="2"/>
      <c r="F920" s="2"/>
      <c r="G920" s="2"/>
      <c r="H920" s="2"/>
      <c r="I920" s="2"/>
      <c r="J920" s="2"/>
      <c r="K920" s="2"/>
      <c r="L920" s="2"/>
      <c r="M920" s="2"/>
      <c r="N920" s="2"/>
      <c r="O920" s="2"/>
      <c r="P920" s="2"/>
      <c r="Q920" s="45"/>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row>
    <row r="921">
      <c r="A921" s="2"/>
      <c r="B921" s="2"/>
      <c r="C921" s="2"/>
      <c r="D921" s="2"/>
      <c r="E921" s="2"/>
      <c r="F921" s="2"/>
      <c r="G921" s="2"/>
      <c r="H921" s="2"/>
      <c r="I921" s="2"/>
      <c r="J921" s="2"/>
      <c r="K921" s="2"/>
      <c r="L921" s="2"/>
      <c r="M921" s="2"/>
      <c r="N921" s="2"/>
      <c r="O921" s="2"/>
      <c r="P921" s="2"/>
      <c r="Q921" s="45"/>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row>
    <row r="922">
      <c r="A922" s="2"/>
      <c r="B922" s="2"/>
      <c r="C922" s="2"/>
      <c r="D922" s="2"/>
      <c r="E922" s="2"/>
      <c r="F922" s="2"/>
      <c r="G922" s="2"/>
      <c r="H922" s="2"/>
      <c r="I922" s="2"/>
      <c r="J922" s="2"/>
      <c r="K922" s="2"/>
      <c r="L922" s="2"/>
      <c r="M922" s="2"/>
      <c r="N922" s="2"/>
      <c r="O922" s="2"/>
      <c r="P922" s="2"/>
      <c r="Q922" s="45"/>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row>
    <row r="923">
      <c r="A923" s="2"/>
      <c r="B923" s="2"/>
      <c r="C923" s="2"/>
      <c r="D923" s="2"/>
      <c r="E923" s="2"/>
      <c r="F923" s="2"/>
      <c r="G923" s="2"/>
      <c r="H923" s="2"/>
      <c r="I923" s="2"/>
      <c r="J923" s="2"/>
      <c r="K923" s="2"/>
      <c r="L923" s="2"/>
      <c r="M923" s="2"/>
      <c r="N923" s="2"/>
      <c r="O923" s="2"/>
      <c r="P923" s="2"/>
      <c r="Q923" s="45"/>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row>
    <row r="924">
      <c r="A924" s="2"/>
      <c r="B924" s="2"/>
      <c r="C924" s="2"/>
      <c r="D924" s="2"/>
      <c r="E924" s="2"/>
      <c r="F924" s="2"/>
      <c r="G924" s="2"/>
      <c r="H924" s="2"/>
      <c r="I924" s="2"/>
      <c r="J924" s="2"/>
      <c r="K924" s="2"/>
      <c r="L924" s="2"/>
      <c r="M924" s="2"/>
      <c r="N924" s="2"/>
      <c r="O924" s="2"/>
      <c r="P924" s="2"/>
      <c r="Q924" s="45"/>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row>
    <row r="925">
      <c r="A925" s="2"/>
      <c r="B925" s="2"/>
      <c r="C925" s="2"/>
      <c r="D925" s="2"/>
      <c r="E925" s="2"/>
      <c r="F925" s="2"/>
      <c r="G925" s="2"/>
      <c r="H925" s="2"/>
      <c r="I925" s="2"/>
      <c r="J925" s="2"/>
      <c r="K925" s="2"/>
      <c r="L925" s="2"/>
      <c r="M925" s="2"/>
      <c r="N925" s="2"/>
      <c r="O925" s="2"/>
      <c r="P925" s="2"/>
      <c r="Q925" s="45"/>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row>
    <row r="926">
      <c r="A926" s="2"/>
      <c r="B926" s="2"/>
      <c r="C926" s="2"/>
      <c r="D926" s="2"/>
      <c r="E926" s="2"/>
      <c r="F926" s="2"/>
      <c r="G926" s="2"/>
      <c r="H926" s="2"/>
      <c r="I926" s="2"/>
      <c r="J926" s="2"/>
      <c r="K926" s="2"/>
      <c r="L926" s="2"/>
      <c r="M926" s="2"/>
      <c r="N926" s="2"/>
      <c r="O926" s="2"/>
      <c r="P926" s="2"/>
      <c r="Q926" s="45"/>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row>
    <row r="927">
      <c r="A927" s="2"/>
      <c r="B927" s="2"/>
      <c r="C927" s="2"/>
      <c r="D927" s="2"/>
      <c r="E927" s="2"/>
      <c r="F927" s="2"/>
      <c r="G927" s="2"/>
      <c r="H927" s="2"/>
      <c r="I927" s="2"/>
      <c r="J927" s="2"/>
      <c r="K927" s="2"/>
      <c r="L927" s="2"/>
      <c r="M927" s="2"/>
      <c r="N927" s="2"/>
      <c r="O927" s="2"/>
      <c r="P927" s="2"/>
      <c r="Q927" s="45"/>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row>
    <row r="928">
      <c r="A928" s="2"/>
      <c r="B928" s="2"/>
      <c r="C928" s="2"/>
      <c r="D928" s="2"/>
      <c r="E928" s="2"/>
      <c r="F928" s="2"/>
      <c r="G928" s="2"/>
      <c r="H928" s="2"/>
      <c r="I928" s="2"/>
      <c r="J928" s="2"/>
      <c r="K928" s="2"/>
      <c r="L928" s="2"/>
      <c r="M928" s="2"/>
      <c r="N928" s="2"/>
      <c r="O928" s="2"/>
      <c r="P928" s="2"/>
      <c r="Q928" s="45"/>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row>
    <row r="929">
      <c r="A929" s="2"/>
      <c r="B929" s="2"/>
      <c r="C929" s="2"/>
      <c r="D929" s="2"/>
      <c r="E929" s="2"/>
      <c r="F929" s="2"/>
      <c r="G929" s="2"/>
      <c r="H929" s="2"/>
      <c r="I929" s="2"/>
      <c r="J929" s="2"/>
      <c r="K929" s="2"/>
      <c r="L929" s="2"/>
      <c r="M929" s="2"/>
      <c r="N929" s="2"/>
      <c r="O929" s="2"/>
      <c r="P929" s="2"/>
      <c r="Q929" s="45"/>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row>
    <row r="930">
      <c r="A930" s="2"/>
      <c r="B930" s="2"/>
      <c r="C930" s="2"/>
      <c r="D930" s="2"/>
      <c r="E930" s="2"/>
      <c r="F930" s="2"/>
      <c r="G930" s="2"/>
      <c r="H930" s="2"/>
      <c r="I930" s="2"/>
      <c r="J930" s="2"/>
      <c r="K930" s="2"/>
      <c r="L930" s="2"/>
      <c r="M930" s="2"/>
      <c r="N930" s="2"/>
      <c r="O930" s="2"/>
      <c r="P930" s="2"/>
      <c r="Q930" s="45"/>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row>
    <row r="931">
      <c r="A931" s="2"/>
      <c r="B931" s="2"/>
      <c r="C931" s="2"/>
      <c r="D931" s="2"/>
      <c r="E931" s="2"/>
      <c r="F931" s="2"/>
      <c r="G931" s="2"/>
      <c r="H931" s="2"/>
      <c r="I931" s="2"/>
      <c r="J931" s="2"/>
      <c r="K931" s="2"/>
      <c r="L931" s="2"/>
      <c r="M931" s="2"/>
      <c r="N931" s="2"/>
      <c r="O931" s="2"/>
      <c r="P931" s="2"/>
      <c r="Q931" s="45"/>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row>
    <row r="932">
      <c r="A932" s="2"/>
      <c r="B932" s="2"/>
      <c r="C932" s="2"/>
      <c r="D932" s="2"/>
      <c r="E932" s="2"/>
      <c r="F932" s="2"/>
      <c r="G932" s="2"/>
      <c r="H932" s="2"/>
      <c r="I932" s="2"/>
      <c r="J932" s="2"/>
      <c r="K932" s="2"/>
      <c r="L932" s="2"/>
      <c r="M932" s="2"/>
      <c r="N932" s="2"/>
      <c r="O932" s="2"/>
      <c r="P932" s="2"/>
      <c r="Q932" s="45"/>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row>
    <row r="933">
      <c r="A933" s="2"/>
      <c r="B933" s="2"/>
      <c r="C933" s="2"/>
      <c r="D933" s="2"/>
      <c r="E933" s="2"/>
      <c r="F933" s="2"/>
      <c r="G933" s="2"/>
      <c r="H933" s="2"/>
      <c r="I933" s="2"/>
      <c r="J933" s="2"/>
      <c r="K933" s="2"/>
      <c r="L933" s="2"/>
      <c r="M933" s="2"/>
      <c r="N933" s="2"/>
      <c r="O933" s="2"/>
      <c r="P933" s="2"/>
      <c r="Q933" s="45"/>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row>
    <row r="934">
      <c r="A934" s="2"/>
      <c r="B934" s="2"/>
      <c r="C934" s="2"/>
      <c r="D934" s="2"/>
      <c r="E934" s="2"/>
      <c r="F934" s="2"/>
      <c r="G934" s="2"/>
      <c r="H934" s="2"/>
      <c r="I934" s="2"/>
      <c r="J934" s="2"/>
      <c r="K934" s="2"/>
      <c r="L934" s="2"/>
      <c r="M934" s="2"/>
      <c r="N934" s="2"/>
      <c r="O934" s="2"/>
      <c r="P934" s="2"/>
      <c r="Q934" s="45"/>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row>
    <row r="935">
      <c r="A935" s="2"/>
      <c r="B935" s="2"/>
      <c r="C935" s="2"/>
      <c r="D935" s="2"/>
      <c r="E935" s="2"/>
      <c r="F935" s="2"/>
      <c r="G935" s="2"/>
      <c r="H935" s="2"/>
      <c r="I935" s="2"/>
      <c r="J935" s="2"/>
      <c r="K935" s="2"/>
      <c r="L935" s="2"/>
      <c r="M935" s="2"/>
      <c r="N935" s="2"/>
      <c r="O935" s="2"/>
      <c r="P935" s="2"/>
      <c r="Q935" s="45"/>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row>
    <row r="936">
      <c r="A936" s="2"/>
      <c r="B936" s="2"/>
      <c r="C936" s="2"/>
      <c r="D936" s="2"/>
      <c r="E936" s="2"/>
      <c r="F936" s="2"/>
      <c r="G936" s="2"/>
      <c r="H936" s="2"/>
      <c r="I936" s="2"/>
      <c r="J936" s="2"/>
      <c r="K936" s="2"/>
      <c r="L936" s="2"/>
      <c r="M936" s="2"/>
      <c r="N936" s="2"/>
      <c r="O936" s="2"/>
      <c r="P936" s="2"/>
      <c r="Q936" s="45"/>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row>
    <row r="937">
      <c r="A937" s="2"/>
      <c r="B937" s="2"/>
      <c r="C937" s="2"/>
      <c r="D937" s="2"/>
      <c r="E937" s="2"/>
      <c r="F937" s="2"/>
      <c r="G937" s="2"/>
      <c r="H937" s="2"/>
      <c r="I937" s="2"/>
      <c r="J937" s="2"/>
      <c r="K937" s="2"/>
      <c r="L937" s="2"/>
      <c r="M937" s="2"/>
      <c r="N937" s="2"/>
      <c r="O937" s="2"/>
      <c r="P937" s="2"/>
      <c r="Q937" s="45"/>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row>
    <row r="938">
      <c r="A938" s="2"/>
      <c r="B938" s="2"/>
      <c r="C938" s="2"/>
      <c r="D938" s="2"/>
      <c r="E938" s="2"/>
      <c r="F938" s="2"/>
      <c r="G938" s="2"/>
      <c r="H938" s="2"/>
      <c r="I938" s="2"/>
      <c r="J938" s="2"/>
      <c r="K938" s="2"/>
      <c r="L938" s="2"/>
      <c r="M938" s="2"/>
      <c r="N938" s="2"/>
      <c r="O938" s="2"/>
      <c r="P938" s="2"/>
      <c r="Q938" s="45"/>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row>
    <row r="939">
      <c r="A939" s="2"/>
      <c r="B939" s="2"/>
      <c r="C939" s="2"/>
      <c r="D939" s="2"/>
      <c r="E939" s="2"/>
      <c r="F939" s="2"/>
      <c r="G939" s="2"/>
      <c r="H939" s="2"/>
      <c r="I939" s="2"/>
      <c r="J939" s="2"/>
      <c r="K939" s="2"/>
      <c r="L939" s="2"/>
      <c r="M939" s="2"/>
      <c r="N939" s="2"/>
      <c r="O939" s="2"/>
      <c r="P939" s="2"/>
      <c r="Q939" s="45"/>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row>
    <row r="940">
      <c r="A940" s="2"/>
      <c r="B940" s="2"/>
      <c r="C940" s="2"/>
      <c r="D940" s="2"/>
      <c r="E940" s="2"/>
      <c r="F940" s="2"/>
      <c r="G940" s="2"/>
      <c r="H940" s="2"/>
      <c r="I940" s="2"/>
      <c r="J940" s="2"/>
      <c r="K940" s="2"/>
      <c r="L940" s="2"/>
      <c r="M940" s="2"/>
      <c r="N940" s="2"/>
      <c r="O940" s="2"/>
      <c r="P940" s="2"/>
      <c r="Q940" s="45"/>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row>
    <row r="941">
      <c r="A941" s="2"/>
      <c r="B941" s="2"/>
      <c r="C941" s="2"/>
      <c r="D941" s="2"/>
      <c r="E941" s="2"/>
      <c r="F941" s="2"/>
      <c r="G941" s="2"/>
      <c r="H941" s="2"/>
      <c r="I941" s="2"/>
      <c r="J941" s="2"/>
      <c r="K941" s="2"/>
      <c r="L941" s="2"/>
      <c r="M941" s="2"/>
      <c r="N941" s="2"/>
      <c r="O941" s="2"/>
      <c r="P941" s="2"/>
      <c r="Q941" s="45"/>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row>
    <row r="942">
      <c r="A942" s="2"/>
      <c r="B942" s="2"/>
      <c r="C942" s="2"/>
      <c r="D942" s="2"/>
      <c r="E942" s="2"/>
      <c r="F942" s="2"/>
      <c r="G942" s="2"/>
      <c r="H942" s="2"/>
      <c r="I942" s="2"/>
      <c r="J942" s="2"/>
      <c r="K942" s="2"/>
      <c r="L942" s="2"/>
      <c r="M942" s="2"/>
      <c r="N942" s="2"/>
      <c r="O942" s="2"/>
      <c r="P942" s="2"/>
      <c r="Q942" s="45"/>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row>
    <row r="943">
      <c r="A943" s="2"/>
      <c r="B943" s="2"/>
      <c r="C943" s="2"/>
      <c r="D943" s="2"/>
      <c r="E943" s="2"/>
      <c r="F943" s="2"/>
      <c r="G943" s="2"/>
      <c r="H943" s="2"/>
      <c r="I943" s="2"/>
      <c r="J943" s="2"/>
      <c r="K943" s="2"/>
      <c r="L943" s="2"/>
      <c r="M943" s="2"/>
      <c r="N943" s="2"/>
      <c r="O943" s="2"/>
      <c r="P943" s="2"/>
      <c r="Q943" s="45"/>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row>
    <row r="944">
      <c r="A944" s="2"/>
      <c r="B944" s="2"/>
      <c r="C944" s="2"/>
      <c r="D944" s="2"/>
      <c r="E944" s="2"/>
      <c r="F944" s="2"/>
      <c r="G944" s="2"/>
      <c r="H944" s="2"/>
      <c r="I944" s="2"/>
      <c r="J944" s="2"/>
      <c r="K944" s="2"/>
      <c r="L944" s="2"/>
      <c r="M944" s="2"/>
      <c r="N944" s="2"/>
      <c r="O944" s="2"/>
      <c r="P944" s="2"/>
      <c r="Q944" s="45"/>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row>
    <row r="945">
      <c r="A945" s="2"/>
      <c r="B945" s="2"/>
      <c r="C945" s="2"/>
      <c r="D945" s="2"/>
      <c r="E945" s="2"/>
      <c r="F945" s="2"/>
      <c r="G945" s="2"/>
      <c r="H945" s="2"/>
      <c r="I945" s="2"/>
      <c r="J945" s="2"/>
      <c r="K945" s="2"/>
      <c r="L945" s="2"/>
      <c r="M945" s="2"/>
      <c r="N945" s="2"/>
      <c r="O945" s="2"/>
      <c r="P945" s="2"/>
      <c r="Q945" s="45"/>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row>
    <row r="946">
      <c r="A946" s="2"/>
      <c r="B946" s="2"/>
      <c r="C946" s="2"/>
      <c r="D946" s="2"/>
      <c r="E946" s="2"/>
      <c r="F946" s="2"/>
      <c r="G946" s="2"/>
      <c r="H946" s="2"/>
      <c r="I946" s="2"/>
      <c r="J946" s="2"/>
      <c r="K946" s="2"/>
      <c r="L946" s="2"/>
      <c r="M946" s="2"/>
      <c r="N946" s="2"/>
      <c r="O946" s="2"/>
      <c r="P946" s="2"/>
      <c r="Q946" s="45"/>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row>
    <row r="947">
      <c r="A947" s="2"/>
      <c r="B947" s="2"/>
      <c r="C947" s="2"/>
      <c r="D947" s="2"/>
      <c r="E947" s="2"/>
      <c r="F947" s="2"/>
      <c r="G947" s="2"/>
      <c r="H947" s="2"/>
      <c r="I947" s="2"/>
      <c r="J947" s="2"/>
      <c r="K947" s="2"/>
      <c r="L947" s="2"/>
      <c r="M947" s="2"/>
      <c r="N947" s="2"/>
      <c r="O947" s="2"/>
      <c r="P947" s="2"/>
      <c r="Q947" s="45"/>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row>
    <row r="948">
      <c r="A948" s="2"/>
      <c r="B948" s="2"/>
      <c r="C948" s="2"/>
      <c r="D948" s="2"/>
      <c r="E948" s="2"/>
      <c r="F948" s="2"/>
      <c r="G948" s="2"/>
      <c r="H948" s="2"/>
      <c r="I948" s="2"/>
      <c r="J948" s="2"/>
      <c r="K948" s="2"/>
      <c r="L948" s="2"/>
      <c r="M948" s="2"/>
      <c r="N948" s="2"/>
      <c r="O948" s="2"/>
      <c r="P948" s="2"/>
      <c r="Q948" s="45"/>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row>
    <row r="949">
      <c r="A949" s="2"/>
      <c r="B949" s="2"/>
      <c r="C949" s="2"/>
      <c r="D949" s="2"/>
      <c r="E949" s="2"/>
      <c r="F949" s="2"/>
      <c r="G949" s="2"/>
      <c r="H949" s="2"/>
      <c r="I949" s="2"/>
      <c r="J949" s="2"/>
      <c r="K949" s="2"/>
      <c r="L949" s="2"/>
      <c r="M949" s="2"/>
      <c r="N949" s="2"/>
      <c r="O949" s="2"/>
      <c r="P949" s="2"/>
      <c r="Q949" s="45"/>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row>
    <row r="950">
      <c r="A950" s="2"/>
      <c r="B950" s="2"/>
      <c r="C950" s="2"/>
      <c r="D950" s="2"/>
      <c r="E950" s="2"/>
      <c r="F950" s="2"/>
      <c r="G950" s="2"/>
      <c r="H950" s="2"/>
      <c r="I950" s="2"/>
      <c r="J950" s="2"/>
      <c r="K950" s="2"/>
      <c r="L950" s="2"/>
      <c r="M950" s="2"/>
      <c r="N950" s="2"/>
      <c r="O950" s="2"/>
      <c r="P950" s="2"/>
      <c r="Q950" s="45"/>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row>
    <row r="951">
      <c r="A951" s="2"/>
      <c r="B951" s="2"/>
      <c r="C951" s="2"/>
      <c r="D951" s="2"/>
      <c r="E951" s="2"/>
      <c r="F951" s="2"/>
      <c r="G951" s="2"/>
      <c r="H951" s="2"/>
      <c r="I951" s="2"/>
      <c r="J951" s="2"/>
      <c r="K951" s="2"/>
      <c r="L951" s="2"/>
      <c r="M951" s="2"/>
      <c r="N951" s="2"/>
      <c r="O951" s="2"/>
      <c r="P951" s="2"/>
      <c r="Q951" s="45"/>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row>
    <row r="952">
      <c r="A952" s="2"/>
      <c r="B952" s="2"/>
      <c r="C952" s="2"/>
      <c r="D952" s="2"/>
      <c r="E952" s="2"/>
      <c r="F952" s="2"/>
      <c r="G952" s="2"/>
      <c r="H952" s="2"/>
      <c r="I952" s="2"/>
      <c r="J952" s="2"/>
      <c r="K952" s="2"/>
      <c r="L952" s="2"/>
      <c r="M952" s="2"/>
      <c r="N952" s="2"/>
      <c r="O952" s="2"/>
      <c r="P952" s="2"/>
      <c r="Q952" s="45"/>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row>
    <row r="953">
      <c r="A953" s="2"/>
      <c r="B953" s="2"/>
      <c r="C953" s="2"/>
      <c r="D953" s="2"/>
      <c r="E953" s="2"/>
      <c r="F953" s="2"/>
      <c r="G953" s="2"/>
      <c r="H953" s="2"/>
      <c r="I953" s="2"/>
      <c r="J953" s="2"/>
      <c r="K953" s="2"/>
      <c r="L953" s="2"/>
      <c r="M953" s="2"/>
      <c r="N953" s="2"/>
      <c r="O953" s="2"/>
      <c r="P953" s="2"/>
      <c r="Q953" s="45"/>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row>
    <row r="954">
      <c r="A954" s="2"/>
      <c r="B954" s="2"/>
      <c r="C954" s="2"/>
      <c r="D954" s="2"/>
      <c r="E954" s="2"/>
      <c r="F954" s="2"/>
      <c r="G954" s="2"/>
      <c r="H954" s="2"/>
      <c r="I954" s="2"/>
      <c r="J954" s="2"/>
      <c r="K954" s="2"/>
      <c r="L954" s="2"/>
      <c r="M954" s="2"/>
      <c r="N954" s="2"/>
      <c r="O954" s="2"/>
      <c r="P954" s="2"/>
      <c r="Q954" s="45"/>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row>
    <row r="955">
      <c r="A955" s="2"/>
      <c r="B955" s="2"/>
      <c r="C955" s="2"/>
      <c r="D955" s="2"/>
      <c r="E955" s="2"/>
      <c r="F955" s="2"/>
      <c r="G955" s="2"/>
      <c r="H955" s="2"/>
      <c r="I955" s="2"/>
      <c r="J955" s="2"/>
      <c r="K955" s="2"/>
      <c r="L955" s="2"/>
      <c r="M955" s="2"/>
      <c r="N955" s="2"/>
      <c r="O955" s="2"/>
      <c r="P955" s="2"/>
      <c r="Q955" s="45"/>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row>
    <row r="956">
      <c r="A956" s="2"/>
      <c r="B956" s="2"/>
      <c r="C956" s="2"/>
      <c r="D956" s="2"/>
      <c r="E956" s="2"/>
      <c r="F956" s="2"/>
      <c r="G956" s="2"/>
      <c r="H956" s="2"/>
      <c r="I956" s="2"/>
      <c r="J956" s="2"/>
      <c r="K956" s="2"/>
      <c r="L956" s="2"/>
      <c r="M956" s="2"/>
      <c r="N956" s="2"/>
      <c r="O956" s="2"/>
      <c r="P956" s="2"/>
      <c r="Q956" s="45"/>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row>
    <row r="957">
      <c r="A957" s="2"/>
      <c r="B957" s="2"/>
      <c r="C957" s="2"/>
      <c r="D957" s="2"/>
      <c r="E957" s="2"/>
      <c r="F957" s="2"/>
      <c r="G957" s="2"/>
      <c r="H957" s="2"/>
      <c r="I957" s="2"/>
      <c r="J957" s="2"/>
      <c r="K957" s="2"/>
      <c r="L957" s="2"/>
      <c r="M957" s="2"/>
      <c r="N957" s="2"/>
      <c r="O957" s="2"/>
      <c r="P957" s="2"/>
      <c r="Q957" s="45"/>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row>
    <row r="958">
      <c r="A958" s="2"/>
      <c r="B958" s="2"/>
      <c r="C958" s="2"/>
      <c r="D958" s="2"/>
      <c r="E958" s="2"/>
      <c r="F958" s="2"/>
      <c r="G958" s="2"/>
      <c r="H958" s="2"/>
      <c r="I958" s="2"/>
      <c r="J958" s="2"/>
      <c r="K958" s="2"/>
      <c r="L958" s="2"/>
      <c r="M958" s="2"/>
      <c r="N958" s="2"/>
      <c r="O958" s="2"/>
      <c r="P958" s="2"/>
      <c r="Q958" s="45"/>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row>
    <row r="959">
      <c r="A959" s="2"/>
      <c r="B959" s="2"/>
      <c r="C959" s="2"/>
      <c r="D959" s="2"/>
      <c r="E959" s="2"/>
      <c r="F959" s="2"/>
      <c r="G959" s="2"/>
      <c r="H959" s="2"/>
      <c r="I959" s="2"/>
      <c r="J959" s="2"/>
      <c r="K959" s="2"/>
      <c r="L959" s="2"/>
      <c r="M959" s="2"/>
      <c r="N959" s="2"/>
      <c r="O959" s="2"/>
      <c r="P959" s="2"/>
      <c r="Q959" s="45"/>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row>
    <row r="960">
      <c r="A960" s="2"/>
      <c r="B960" s="2"/>
      <c r="C960" s="2"/>
      <c r="D960" s="2"/>
      <c r="E960" s="2"/>
      <c r="F960" s="2"/>
      <c r="G960" s="2"/>
      <c r="H960" s="2"/>
      <c r="I960" s="2"/>
      <c r="J960" s="2"/>
      <c r="K960" s="2"/>
      <c r="L960" s="2"/>
      <c r="M960" s="2"/>
      <c r="N960" s="2"/>
      <c r="O960" s="2"/>
      <c r="P960" s="2"/>
      <c r="Q960" s="45"/>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row>
    <row r="961">
      <c r="A961" s="2"/>
      <c r="B961" s="2"/>
      <c r="C961" s="2"/>
      <c r="D961" s="2"/>
      <c r="E961" s="2"/>
      <c r="F961" s="2"/>
      <c r="G961" s="2"/>
      <c r="H961" s="2"/>
      <c r="I961" s="2"/>
      <c r="J961" s="2"/>
      <c r="K961" s="2"/>
      <c r="L961" s="2"/>
      <c r="M961" s="2"/>
      <c r="N961" s="2"/>
      <c r="O961" s="2"/>
      <c r="P961" s="2"/>
      <c r="Q961" s="45"/>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row>
    <row r="962">
      <c r="A962" s="2"/>
      <c r="B962" s="2"/>
      <c r="C962" s="2"/>
      <c r="D962" s="2"/>
      <c r="E962" s="2"/>
      <c r="F962" s="2"/>
      <c r="G962" s="2"/>
      <c r="H962" s="2"/>
      <c r="I962" s="2"/>
      <c r="J962" s="2"/>
      <c r="K962" s="2"/>
      <c r="L962" s="2"/>
      <c r="M962" s="2"/>
      <c r="N962" s="2"/>
      <c r="O962" s="2"/>
      <c r="P962" s="2"/>
      <c r="Q962" s="45"/>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row>
    <row r="963">
      <c r="A963" s="2"/>
      <c r="B963" s="2"/>
      <c r="C963" s="2"/>
      <c r="D963" s="2"/>
      <c r="E963" s="2"/>
      <c r="F963" s="2"/>
      <c r="G963" s="2"/>
      <c r="H963" s="2"/>
      <c r="I963" s="2"/>
      <c r="J963" s="2"/>
      <c r="K963" s="2"/>
      <c r="L963" s="2"/>
      <c r="M963" s="2"/>
      <c r="N963" s="2"/>
      <c r="O963" s="2"/>
      <c r="P963" s="2"/>
      <c r="Q963" s="45"/>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row>
    <row r="964">
      <c r="A964" s="2"/>
      <c r="B964" s="2"/>
      <c r="C964" s="2"/>
      <c r="D964" s="2"/>
      <c r="E964" s="2"/>
      <c r="F964" s="2"/>
      <c r="G964" s="2"/>
      <c r="H964" s="2"/>
      <c r="I964" s="2"/>
      <c r="J964" s="2"/>
      <c r="K964" s="2"/>
      <c r="L964" s="2"/>
      <c r="M964" s="2"/>
      <c r="N964" s="2"/>
      <c r="O964" s="2"/>
      <c r="P964" s="2"/>
      <c r="Q964" s="45"/>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row>
    <row r="965">
      <c r="A965" s="2"/>
      <c r="B965" s="2"/>
      <c r="C965" s="2"/>
      <c r="D965" s="2"/>
      <c r="E965" s="2"/>
      <c r="F965" s="2"/>
      <c r="G965" s="2"/>
      <c r="H965" s="2"/>
      <c r="I965" s="2"/>
      <c r="J965" s="2"/>
      <c r="K965" s="2"/>
      <c r="L965" s="2"/>
      <c r="M965" s="2"/>
      <c r="N965" s="2"/>
      <c r="O965" s="2"/>
      <c r="P965" s="2"/>
      <c r="Q965" s="45"/>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row>
    <row r="966">
      <c r="A966" s="2"/>
      <c r="B966" s="2"/>
      <c r="C966" s="2"/>
      <c r="D966" s="2"/>
      <c r="E966" s="2"/>
      <c r="F966" s="2"/>
      <c r="G966" s="2"/>
      <c r="H966" s="2"/>
      <c r="I966" s="2"/>
      <c r="J966" s="2"/>
      <c r="K966" s="2"/>
      <c r="L966" s="2"/>
      <c r="M966" s="2"/>
      <c r="N966" s="2"/>
      <c r="O966" s="2"/>
      <c r="P966" s="2"/>
      <c r="Q966" s="45"/>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row>
    <row r="967">
      <c r="A967" s="2"/>
      <c r="B967" s="2"/>
      <c r="C967" s="2"/>
      <c r="D967" s="2"/>
      <c r="E967" s="2"/>
      <c r="F967" s="2"/>
      <c r="G967" s="2"/>
      <c r="H967" s="2"/>
      <c r="I967" s="2"/>
      <c r="J967" s="2"/>
      <c r="K967" s="2"/>
      <c r="L967" s="2"/>
      <c r="M967" s="2"/>
      <c r="N967" s="2"/>
      <c r="O967" s="2"/>
      <c r="P967" s="2"/>
      <c r="Q967" s="45"/>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row>
    <row r="968">
      <c r="A968" s="2"/>
      <c r="B968" s="2"/>
      <c r="C968" s="2"/>
      <c r="D968" s="2"/>
      <c r="E968" s="2"/>
      <c r="F968" s="2"/>
      <c r="G968" s="2"/>
      <c r="H968" s="2"/>
      <c r="I968" s="2"/>
      <c r="J968" s="2"/>
      <c r="K968" s="2"/>
      <c r="L968" s="2"/>
      <c r="M968" s="2"/>
      <c r="N968" s="2"/>
      <c r="O968" s="2"/>
      <c r="P968" s="2"/>
      <c r="Q968" s="45"/>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row>
    <row r="969">
      <c r="A969" s="2"/>
      <c r="B969" s="2"/>
      <c r="C969" s="2"/>
      <c r="D969" s="2"/>
      <c r="E969" s="2"/>
      <c r="F969" s="2"/>
      <c r="G969" s="2"/>
      <c r="H969" s="2"/>
      <c r="I969" s="2"/>
      <c r="J969" s="2"/>
      <c r="K969" s="2"/>
      <c r="L969" s="2"/>
      <c r="M969" s="2"/>
      <c r="N969" s="2"/>
      <c r="O969" s="2"/>
      <c r="P969" s="2"/>
      <c r="Q969" s="45"/>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row>
    <row r="970">
      <c r="A970" s="2"/>
      <c r="B970" s="2"/>
      <c r="C970" s="2"/>
      <c r="D970" s="2"/>
      <c r="E970" s="2"/>
      <c r="F970" s="2"/>
      <c r="G970" s="2"/>
      <c r="H970" s="2"/>
      <c r="I970" s="2"/>
      <c r="J970" s="2"/>
      <c r="K970" s="2"/>
      <c r="L970" s="2"/>
      <c r="M970" s="2"/>
      <c r="N970" s="2"/>
      <c r="O970" s="2"/>
      <c r="P970" s="2"/>
      <c r="Q970" s="45"/>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row>
    <row r="971">
      <c r="A971" s="2"/>
      <c r="B971" s="2"/>
      <c r="C971" s="2"/>
      <c r="D971" s="2"/>
      <c r="E971" s="2"/>
      <c r="F971" s="2"/>
      <c r="G971" s="2"/>
      <c r="H971" s="2"/>
      <c r="I971" s="2"/>
      <c r="J971" s="2"/>
      <c r="K971" s="2"/>
      <c r="L971" s="2"/>
      <c r="M971" s="2"/>
      <c r="N971" s="2"/>
      <c r="O971" s="2"/>
      <c r="P971" s="2"/>
      <c r="Q971" s="45"/>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row>
    <row r="972">
      <c r="A972" s="2"/>
      <c r="B972" s="2"/>
      <c r="C972" s="2"/>
      <c r="D972" s="2"/>
      <c r="E972" s="2"/>
      <c r="F972" s="2"/>
      <c r="G972" s="2"/>
      <c r="H972" s="2"/>
      <c r="I972" s="2"/>
      <c r="J972" s="2"/>
      <c r="K972" s="2"/>
      <c r="L972" s="2"/>
      <c r="M972" s="2"/>
      <c r="N972" s="2"/>
      <c r="O972" s="2"/>
      <c r="P972" s="2"/>
      <c r="Q972" s="45"/>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row>
    <row r="973">
      <c r="A973" s="2"/>
      <c r="B973" s="2"/>
      <c r="C973" s="2"/>
      <c r="D973" s="2"/>
      <c r="E973" s="2"/>
      <c r="F973" s="2"/>
      <c r="G973" s="2"/>
      <c r="H973" s="2"/>
      <c r="I973" s="2"/>
      <c r="J973" s="2"/>
      <c r="K973" s="2"/>
      <c r="L973" s="2"/>
      <c r="M973" s="2"/>
      <c r="N973" s="2"/>
      <c r="O973" s="2"/>
      <c r="P973" s="2"/>
      <c r="Q973" s="45"/>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row>
    <row r="974">
      <c r="A974" s="2"/>
      <c r="B974" s="2"/>
      <c r="C974" s="2"/>
      <c r="D974" s="2"/>
      <c r="E974" s="2"/>
      <c r="F974" s="2"/>
      <c r="G974" s="2"/>
      <c r="H974" s="2"/>
      <c r="I974" s="2"/>
      <c r="J974" s="2"/>
      <c r="K974" s="2"/>
      <c r="L974" s="2"/>
      <c r="M974" s="2"/>
      <c r="N974" s="2"/>
      <c r="O974" s="2"/>
      <c r="P974" s="2"/>
      <c r="Q974" s="45"/>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row>
    <row r="975">
      <c r="A975" s="2"/>
      <c r="B975" s="2"/>
      <c r="C975" s="2"/>
      <c r="D975" s="2"/>
      <c r="E975" s="2"/>
      <c r="F975" s="2"/>
      <c r="G975" s="2"/>
      <c r="H975" s="2"/>
      <c r="I975" s="2"/>
      <c r="J975" s="2"/>
      <c r="K975" s="2"/>
      <c r="L975" s="2"/>
      <c r="M975" s="2"/>
      <c r="N975" s="2"/>
      <c r="O975" s="2"/>
      <c r="P975" s="2"/>
      <c r="Q975" s="45"/>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row>
    <row r="976">
      <c r="A976" s="2"/>
      <c r="B976" s="2"/>
      <c r="C976" s="2"/>
      <c r="D976" s="2"/>
      <c r="E976" s="2"/>
      <c r="F976" s="2"/>
      <c r="G976" s="2"/>
      <c r="H976" s="2"/>
      <c r="I976" s="2"/>
      <c r="J976" s="2"/>
      <c r="K976" s="2"/>
      <c r="L976" s="2"/>
      <c r="M976" s="2"/>
      <c r="N976" s="2"/>
      <c r="O976" s="2"/>
      <c r="P976" s="2"/>
      <c r="Q976" s="45"/>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row>
    <row r="977">
      <c r="A977" s="2"/>
      <c r="B977" s="2"/>
      <c r="C977" s="2"/>
      <c r="D977" s="2"/>
      <c r="E977" s="2"/>
      <c r="F977" s="2"/>
      <c r="G977" s="2"/>
      <c r="H977" s="2"/>
      <c r="I977" s="2"/>
      <c r="J977" s="2"/>
      <c r="K977" s="2"/>
      <c r="L977" s="2"/>
      <c r="M977" s="2"/>
      <c r="N977" s="2"/>
      <c r="O977" s="2"/>
      <c r="P977" s="2"/>
      <c r="Q977" s="45"/>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row>
    <row r="978">
      <c r="A978" s="2"/>
      <c r="B978" s="2"/>
      <c r="C978" s="2"/>
      <c r="D978" s="2"/>
      <c r="E978" s="2"/>
      <c r="F978" s="2"/>
      <c r="G978" s="2"/>
      <c r="H978" s="2"/>
      <c r="I978" s="2"/>
      <c r="J978" s="2"/>
      <c r="K978" s="2"/>
      <c r="L978" s="2"/>
      <c r="M978" s="2"/>
      <c r="N978" s="2"/>
      <c r="O978" s="2"/>
      <c r="P978" s="2"/>
      <c r="Q978" s="45"/>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row>
    <row r="979">
      <c r="A979" s="2"/>
      <c r="B979" s="2"/>
      <c r="C979" s="2"/>
      <c r="D979" s="2"/>
      <c r="E979" s="2"/>
      <c r="F979" s="2"/>
      <c r="G979" s="2"/>
      <c r="H979" s="2"/>
      <c r="I979" s="2"/>
      <c r="J979" s="2"/>
      <c r="K979" s="2"/>
      <c r="L979" s="2"/>
      <c r="M979" s="2"/>
      <c r="N979" s="2"/>
      <c r="O979" s="2"/>
      <c r="P979" s="2"/>
      <c r="Q979" s="45"/>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row>
    <row r="980">
      <c r="A980" s="2"/>
      <c r="B980" s="2"/>
      <c r="C980" s="2"/>
      <c r="D980" s="2"/>
      <c r="E980" s="2"/>
      <c r="F980" s="2"/>
      <c r="G980" s="2"/>
      <c r="H980" s="2"/>
      <c r="I980" s="2"/>
      <c r="J980" s="2"/>
      <c r="K980" s="2"/>
      <c r="L980" s="2"/>
      <c r="M980" s="2"/>
      <c r="N980" s="2"/>
      <c r="O980" s="2"/>
      <c r="P980" s="2"/>
      <c r="Q980" s="45"/>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row>
    <row r="981">
      <c r="A981" s="2"/>
      <c r="B981" s="2"/>
      <c r="C981" s="2"/>
      <c r="D981" s="2"/>
      <c r="E981" s="2"/>
      <c r="F981" s="2"/>
      <c r="G981" s="2"/>
      <c r="H981" s="2"/>
      <c r="I981" s="2"/>
      <c r="J981" s="2"/>
      <c r="K981" s="2"/>
      <c r="L981" s="2"/>
      <c r="M981" s="2"/>
      <c r="N981" s="2"/>
      <c r="O981" s="2"/>
      <c r="P981" s="2"/>
      <c r="Q981" s="45"/>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row>
    <row r="982">
      <c r="A982" s="2"/>
      <c r="B982" s="2"/>
      <c r="C982" s="2"/>
      <c r="D982" s="2"/>
      <c r="E982" s="2"/>
      <c r="F982" s="2"/>
      <c r="G982" s="2"/>
      <c r="H982" s="2"/>
      <c r="I982" s="2"/>
      <c r="J982" s="2"/>
      <c r="K982" s="2"/>
      <c r="L982" s="2"/>
      <c r="M982" s="2"/>
      <c r="N982" s="2"/>
      <c r="O982" s="2"/>
      <c r="P982" s="2"/>
      <c r="Q982" s="45"/>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row>
    <row r="983">
      <c r="A983" s="2"/>
      <c r="B983" s="2"/>
      <c r="C983" s="2"/>
      <c r="D983" s="2"/>
      <c r="E983" s="2"/>
      <c r="F983" s="2"/>
      <c r="G983" s="2"/>
      <c r="H983" s="2"/>
      <c r="I983" s="2"/>
      <c r="J983" s="2"/>
      <c r="K983" s="2"/>
      <c r="L983" s="2"/>
      <c r="M983" s="2"/>
      <c r="N983" s="2"/>
      <c r="O983" s="2"/>
      <c r="P983" s="2"/>
      <c r="Q983" s="45"/>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row>
    <row r="984">
      <c r="A984" s="2"/>
      <c r="B984" s="2"/>
      <c r="C984" s="2"/>
      <c r="D984" s="2"/>
      <c r="E984" s="2"/>
      <c r="F984" s="2"/>
      <c r="G984" s="2"/>
      <c r="H984" s="2"/>
      <c r="I984" s="2"/>
      <c r="J984" s="2"/>
      <c r="K984" s="2"/>
      <c r="L984" s="2"/>
      <c r="M984" s="2"/>
      <c r="N984" s="2"/>
      <c r="O984" s="2"/>
      <c r="P984" s="2"/>
      <c r="Q984" s="45"/>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row>
    <row r="985">
      <c r="A985" s="2"/>
      <c r="B985" s="2"/>
      <c r="C985" s="2"/>
      <c r="D985" s="2"/>
      <c r="E985" s="2"/>
      <c r="F985" s="2"/>
      <c r="G985" s="2"/>
      <c r="H985" s="2"/>
      <c r="I985" s="2"/>
      <c r="J985" s="2"/>
      <c r="K985" s="2"/>
      <c r="L985" s="2"/>
      <c r="M985" s="2"/>
      <c r="N985" s="2"/>
      <c r="O985" s="2"/>
      <c r="P985" s="2"/>
      <c r="Q985" s="45"/>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row>
    <row r="986">
      <c r="A986" s="2"/>
      <c r="B986" s="2"/>
      <c r="C986" s="2"/>
      <c r="D986" s="2"/>
      <c r="E986" s="2"/>
      <c r="F986" s="2"/>
      <c r="G986" s="2"/>
      <c r="H986" s="2"/>
      <c r="I986" s="2"/>
      <c r="J986" s="2"/>
      <c r="K986" s="2"/>
      <c r="L986" s="2"/>
      <c r="M986" s="2"/>
      <c r="N986" s="2"/>
      <c r="O986" s="2"/>
      <c r="P986" s="2"/>
      <c r="Q986" s="45"/>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row>
    <row r="987">
      <c r="A987" s="2"/>
      <c r="B987" s="2"/>
      <c r="C987" s="2"/>
      <c r="D987" s="2"/>
      <c r="E987" s="2"/>
      <c r="F987" s="2"/>
      <c r="G987" s="2"/>
      <c r="H987" s="2"/>
      <c r="I987" s="2"/>
      <c r="J987" s="2"/>
      <c r="K987" s="2"/>
      <c r="L987" s="2"/>
      <c r="M987" s="2"/>
      <c r="N987" s="2"/>
      <c r="O987" s="2"/>
      <c r="P987" s="2"/>
      <c r="Q987" s="45"/>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row>
    <row r="988">
      <c r="A988" s="2"/>
      <c r="B988" s="2"/>
      <c r="C988" s="2"/>
      <c r="D988" s="2"/>
      <c r="E988" s="2"/>
      <c r="F988" s="2"/>
      <c r="G988" s="2"/>
      <c r="H988" s="2"/>
      <c r="I988" s="2"/>
      <c r="J988" s="2"/>
      <c r="K988" s="2"/>
      <c r="L988" s="2"/>
      <c r="M988" s="2"/>
      <c r="N988" s="2"/>
      <c r="O988" s="2"/>
      <c r="P988" s="2"/>
      <c r="Q988" s="45"/>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row>
    <row r="989">
      <c r="A989" s="2"/>
      <c r="B989" s="2"/>
      <c r="C989" s="2"/>
      <c r="D989" s="2"/>
      <c r="E989" s="2"/>
      <c r="F989" s="2"/>
      <c r="G989" s="2"/>
      <c r="H989" s="2"/>
      <c r="I989" s="2"/>
      <c r="J989" s="2"/>
      <c r="K989" s="2"/>
      <c r="L989" s="2"/>
      <c r="M989" s="2"/>
      <c r="N989" s="2"/>
      <c r="O989" s="2"/>
      <c r="P989" s="2"/>
      <c r="Q989" s="45"/>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row>
    <row r="990">
      <c r="A990" s="2"/>
      <c r="B990" s="2"/>
      <c r="C990" s="2"/>
      <c r="D990" s="2"/>
      <c r="E990" s="2"/>
      <c r="F990" s="2"/>
      <c r="G990" s="2"/>
      <c r="H990" s="2"/>
      <c r="I990" s="2"/>
      <c r="J990" s="2"/>
      <c r="K990" s="2"/>
      <c r="L990" s="2"/>
      <c r="M990" s="2"/>
      <c r="N990" s="2"/>
      <c r="O990" s="2"/>
      <c r="P990" s="2"/>
      <c r="Q990" s="45"/>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row>
    <row r="991">
      <c r="A991" s="2"/>
      <c r="B991" s="2"/>
      <c r="C991" s="2"/>
      <c r="D991" s="2"/>
      <c r="E991" s="2"/>
      <c r="F991" s="2"/>
      <c r="G991" s="2"/>
      <c r="H991" s="2"/>
      <c r="I991" s="2"/>
      <c r="J991" s="2"/>
      <c r="K991" s="2"/>
      <c r="L991" s="2"/>
      <c r="M991" s="2"/>
      <c r="N991" s="2"/>
      <c r="O991" s="2"/>
      <c r="P991" s="2"/>
      <c r="Q991" s="45"/>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row>
    <row r="992">
      <c r="A992" s="2"/>
      <c r="B992" s="2"/>
      <c r="C992" s="2"/>
      <c r="D992" s="2"/>
      <c r="E992" s="2"/>
      <c r="F992" s="2"/>
      <c r="G992" s="2"/>
      <c r="H992" s="2"/>
      <c r="I992" s="2"/>
      <c r="J992" s="2"/>
      <c r="K992" s="2"/>
      <c r="L992" s="2"/>
      <c r="M992" s="2"/>
      <c r="N992" s="2"/>
      <c r="O992" s="2"/>
      <c r="P992" s="2"/>
      <c r="Q992" s="45"/>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row>
    <row r="993">
      <c r="A993" s="2"/>
      <c r="B993" s="2"/>
      <c r="C993" s="2"/>
      <c r="D993" s="2"/>
      <c r="E993" s="2"/>
      <c r="F993" s="2"/>
      <c r="G993" s="2"/>
      <c r="H993" s="2"/>
      <c r="I993" s="2"/>
      <c r="J993" s="2"/>
      <c r="K993" s="2"/>
      <c r="L993" s="2"/>
      <c r="M993" s="2"/>
      <c r="N993" s="2"/>
      <c r="O993" s="2"/>
      <c r="P993" s="2"/>
      <c r="Q993" s="45"/>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row>
    <row r="994">
      <c r="A994" s="2"/>
      <c r="B994" s="2"/>
      <c r="C994" s="2"/>
      <c r="D994" s="2"/>
      <c r="E994" s="2"/>
      <c r="F994" s="2"/>
      <c r="G994" s="2"/>
      <c r="H994" s="2"/>
      <c r="I994" s="2"/>
      <c r="J994" s="2"/>
      <c r="K994" s="2"/>
      <c r="L994" s="2"/>
      <c r="M994" s="2"/>
      <c r="N994" s="2"/>
      <c r="O994" s="2"/>
      <c r="P994" s="2"/>
      <c r="Q994" s="45"/>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row>
    <row r="995">
      <c r="A995" s="2"/>
      <c r="B995" s="2"/>
      <c r="C995" s="2"/>
      <c r="D995" s="2"/>
      <c r="E995" s="2"/>
      <c r="F995" s="2"/>
      <c r="G995" s="2"/>
      <c r="H995" s="2"/>
      <c r="I995" s="2"/>
      <c r="J995" s="2"/>
      <c r="K995" s="2"/>
      <c r="L995" s="2"/>
      <c r="M995" s="2"/>
      <c r="N995" s="2"/>
      <c r="O995" s="2"/>
      <c r="P995" s="2"/>
      <c r="Q995" s="45"/>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row>
    <row r="996">
      <c r="A996" s="2"/>
      <c r="B996" s="2"/>
      <c r="C996" s="2"/>
      <c r="D996" s="2"/>
      <c r="E996" s="2"/>
      <c r="F996" s="2"/>
      <c r="G996" s="2"/>
      <c r="H996" s="2"/>
      <c r="I996" s="2"/>
      <c r="J996" s="2"/>
      <c r="K996" s="2"/>
      <c r="L996" s="2"/>
      <c r="M996" s="2"/>
      <c r="N996" s="2"/>
      <c r="O996" s="2"/>
      <c r="P996" s="2"/>
      <c r="Q996" s="45"/>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row>
    <row r="997">
      <c r="A997" s="2"/>
      <c r="B997" s="2"/>
      <c r="C997" s="2"/>
      <c r="D997" s="2"/>
      <c r="E997" s="2"/>
      <c r="F997" s="2"/>
      <c r="G997" s="2"/>
      <c r="H997" s="2"/>
      <c r="I997" s="2"/>
      <c r="J997" s="2"/>
      <c r="K997" s="2"/>
      <c r="L997" s="2"/>
      <c r="M997" s="2"/>
      <c r="N997" s="2"/>
      <c r="O997" s="2"/>
      <c r="P997" s="2"/>
      <c r="Q997" s="45"/>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row>
    <row r="998">
      <c r="A998" s="2"/>
      <c r="B998" s="2"/>
      <c r="C998" s="2"/>
      <c r="D998" s="2"/>
      <c r="E998" s="2"/>
      <c r="F998" s="2"/>
      <c r="G998" s="2"/>
      <c r="H998" s="2"/>
      <c r="I998" s="2"/>
      <c r="J998" s="2"/>
      <c r="K998" s="2"/>
      <c r="L998" s="2"/>
      <c r="M998" s="2"/>
      <c r="N998" s="2"/>
      <c r="O998" s="2"/>
      <c r="P998" s="2"/>
      <c r="Q998" s="45"/>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row>
    <row r="999">
      <c r="A999" s="2"/>
      <c r="B999" s="2"/>
      <c r="C999" s="2"/>
      <c r="D999" s="2"/>
      <c r="E999" s="2"/>
      <c r="F999" s="2"/>
      <c r="G999" s="2"/>
      <c r="H999" s="2"/>
      <c r="I999" s="2"/>
      <c r="J999" s="2"/>
      <c r="K999" s="2"/>
      <c r="L999" s="2"/>
      <c r="M999" s="2"/>
      <c r="N999" s="2"/>
      <c r="O999" s="2"/>
      <c r="P999" s="2"/>
      <c r="Q999" s="45"/>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row>
    <row r="1000">
      <c r="A1000" s="2"/>
      <c r="B1000" s="2"/>
      <c r="C1000" s="2"/>
      <c r="D1000" s="2"/>
      <c r="E1000" s="2"/>
      <c r="F1000" s="2"/>
      <c r="G1000" s="2"/>
      <c r="H1000" s="2"/>
      <c r="I1000" s="2"/>
      <c r="J1000" s="2"/>
      <c r="K1000" s="2"/>
      <c r="L1000" s="2"/>
      <c r="M1000" s="2"/>
      <c r="N1000" s="2"/>
      <c r="O1000" s="2"/>
      <c r="P1000" s="2"/>
      <c r="Q1000" s="45"/>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row>
    <row r="1001">
      <c r="A1001" s="2"/>
      <c r="B1001" s="2"/>
      <c r="C1001" s="2"/>
      <c r="D1001" s="2"/>
      <c r="E1001" s="2"/>
      <c r="F1001" s="2"/>
      <c r="G1001" s="2"/>
      <c r="H1001" s="2"/>
      <c r="I1001" s="2"/>
      <c r="J1001" s="2"/>
      <c r="K1001" s="2"/>
      <c r="L1001" s="2"/>
      <c r="M1001" s="2"/>
      <c r="N1001" s="2"/>
      <c r="O1001" s="2"/>
      <c r="P1001" s="2"/>
      <c r="Q1001" s="45"/>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row>
    <row r="1002">
      <c r="A1002" s="2"/>
      <c r="B1002" s="2"/>
      <c r="C1002" s="2"/>
      <c r="D1002" s="2"/>
      <c r="E1002" s="2"/>
      <c r="F1002" s="2"/>
      <c r="G1002" s="2"/>
      <c r="H1002" s="2"/>
      <c r="I1002" s="2"/>
      <c r="J1002" s="2"/>
      <c r="K1002" s="2"/>
      <c r="L1002" s="2"/>
      <c r="M1002" s="2"/>
      <c r="N1002" s="2"/>
      <c r="O1002" s="2"/>
      <c r="P1002" s="2"/>
      <c r="Q1002" s="45"/>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row>
    <row r="1003">
      <c r="A1003" s="2"/>
      <c r="B1003" s="2"/>
      <c r="C1003" s="2"/>
      <c r="D1003" s="2"/>
      <c r="E1003" s="2"/>
      <c r="F1003" s="2"/>
      <c r="G1003" s="2"/>
      <c r="H1003" s="2"/>
      <c r="I1003" s="2"/>
      <c r="J1003" s="2"/>
      <c r="K1003" s="2"/>
      <c r="L1003" s="2"/>
      <c r="M1003" s="2"/>
      <c r="N1003" s="2"/>
      <c r="O1003" s="2"/>
      <c r="P1003" s="2"/>
      <c r="Q1003" s="45"/>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row>
    <row r="1004">
      <c r="A1004" s="2"/>
      <c r="B1004" s="2"/>
      <c r="C1004" s="2"/>
      <c r="D1004" s="2"/>
      <c r="E1004" s="2"/>
      <c r="F1004" s="2"/>
      <c r="G1004" s="2"/>
      <c r="H1004" s="2"/>
      <c r="I1004" s="2"/>
      <c r="J1004" s="2"/>
      <c r="K1004" s="2"/>
      <c r="L1004" s="2"/>
      <c r="M1004" s="2"/>
      <c r="N1004" s="2"/>
      <c r="O1004" s="2"/>
      <c r="P1004" s="2"/>
      <c r="Q1004" s="45"/>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row>
    <row r="1005">
      <c r="A1005" s="2"/>
      <c r="B1005" s="2"/>
      <c r="C1005" s="2"/>
      <c r="D1005" s="2"/>
      <c r="E1005" s="2"/>
      <c r="F1005" s="2"/>
      <c r="G1005" s="2"/>
      <c r="H1005" s="2"/>
      <c r="I1005" s="2"/>
      <c r="J1005" s="2"/>
      <c r="K1005" s="2"/>
      <c r="L1005" s="2"/>
      <c r="M1005" s="2"/>
      <c r="N1005" s="2"/>
      <c r="O1005" s="2"/>
      <c r="P1005" s="2"/>
      <c r="Q1005" s="45"/>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row>
    <row r="1006">
      <c r="A1006" s="2"/>
      <c r="B1006" s="2"/>
      <c r="C1006" s="2"/>
      <c r="D1006" s="2"/>
      <c r="E1006" s="2"/>
      <c r="F1006" s="2"/>
      <c r="G1006" s="2"/>
      <c r="H1006" s="2"/>
      <c r="I1006" s="2"/>
      <c r="J1006" s="2"/>
      <c r="K1006" s="2"/>
      <c r="L1006" s="2"/>
      <c r="M1006" s="2"/>
      <c r="N1006" s="2"/>
      <c r="O1006" s="2"/>
      <c r="P1006" s="2"/>
      <c r="Q1006" s="45"/>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row>
    <row r="1007">
      <c r="A1007" s="2"/>
      <c r="B1007" s="2"/>
      <c r="C1007" s="2"/>
      <c r="D1007" s="2"/>
      <c r="E1007" s="2"/>
      <c r="F1007" s="2"/>
      <c r="G1007" s="2"/>
      <c r="H1007" s="2"/>
      <c r="I1007" s="2"/>
      <c r="J1007" s="2"/>
      <c r="K1007" s="2"/>
      <c r="L1007" s="2"/>
      <c r="M1007" s="2"/>
      <c r="N1007" s="2"/>
      <c r="O1007" s="2"/>
      <c r="P1007" s="2"/>
      <c r="Q1007" s="45"/>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row>
    <row r="1008">
      <c r="A1008" s="2"/>
      <c r="B1008" s="2"/>
      <c r="C1008" s="2"/>
      <c r="D1008" s="2"/>
      <c r="E1008" s="2"/>
      <c r="F1008" s="2"/>
      <c r="G1008" s="2"/>
      <c r="H1008" s="2"/>
      <c r="I1008" s="2"/>
      <c r="J1008" s="2"/>
      <c r="K1008" s="2"/>
      <c r="L1008" s="2"/>
      <c r="M1008" s="2"/>
      <c r="N1008" s="2"/>
      <c r="O1008" s="2"/>
      <c r="P1008" s="2"/>
      <c r="Q1008" s="45"/>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row>
    <row r="1009">
      <c r="A1009" s="2"/>
      <c r="B1009" s="2"/>
      <c r="C1009" s="2"/>
      <c r="D1009" s="2"/>
      <c r="E1009" s="2"/>
      <c r="F1009" s="2"/>
      <c r="G1009" s="2"/>
      <c r="H1009" s="2"/>
      <c r="I1009" s="2"/>
      <c r="J1009" s="2"/>
      <c r="K1009" s="2"/>
      <c r="L1009" s="2"/>
      <c r="M1009" s="2"/>
      <c r="N1009" s="2"/>
      <c r="O1009" s="2"/>
      <c r="P1009" s="2"/>
      <c r="Q1009" s="45"/>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row>
    <row r="1010">
      <c r="A1010" s="2"/>
      <c r="B1010" s="2"/>
      <c r="C1010" s="2"/>
      <c r="D1010" s="2"/>
      <c r="E1010" s="2"/>
      <c r="F1010" s="2"/>
      <c r="G1010" s="2"/>
      <c r="H1010" s="2"/>
      <c r="I1010" s="2"/>
      <c r="J1010" s="2"/>
      <c r="K1010" s="2"/>
      <c r="L1010" s="2"/>
      <c r="M1010" s="2"/>
      <c r="N1010" s="2"/>
      <c r="O1010" s="2"/>
      <c r="P1010" s="2"/>
      <c r="Q1010" s="45"/>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row>
    <row r="1011">
      <c r="A1011" s="2"/>
      <c r="B1011" s="2"/>
      <c r="C1011" s="2"/>
      <c r="D1011" s="2"/>
      <c r="E1011" s="2"/>
      <c r="F1011" s="2"/>
      <c r="G1011" s="2"/>
      <c r="H1011" s="2"/>
      <c r="I1011" s="2"/>
      <c r="J1011" s="2"/>
      <c r="K1011" s="2"/>
      <c r="L1011" s="2"/>
      <c r="M1011" s="2"/>
      <c r="N1011" s="2"/>
      <c r="O1011" s="2"/>
      <c r="P1011" s="2"/>
      <c r="Q1011" s="45"/>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row>
    <row r="1012">
      <c r="A1012" s="2"/>
      <c r="B1012" s="2"/>
      <c r="C1012" s="2"/>
      <c r="D1012" s="2"/>
      <c r="E1012" s="2"/>
      <c r="F1012" s="2"/>
      <c r="G1012" s="2"/>
      <c r="H1012" s="2"/>
      <c r="I1012" s="2"/>
      <c r="J1012" s="2"/>
      <c r="K1012" s="2"/>
      <c r="L1012" s="2"/>
      <c r="M1012" s="2"/>
      <c r="N1012" s="2"/>
      <c r="O1012" s="2"/>
      <c r="P1012" s="2"/>
      <c r="Q1012" s="45"/>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row>
    <row r="1013">
      <c r="A1013" s="2"/>
      <c r="B1013" s="2"/>
      <c r="C1013" s="2"/>
      <c r="D1013" s="2"/>
      <c r="E1013" s="2"/>
      <c r="F1013" s="2"/>
      <c r="G1013" s="2"/>
      <c r="H1013" s="2"/>
      <c r="I1013" s="2"/>
      <c r="J1013" s="2"/>
      <c r="K1013" s="2"/>
      <c r="L1013" s="2"/>
      <c r="M1013" s="2"/>
      <c r="N1013" s="2"/>
      <c r="O1013" s="2"/>
      <c r="P1013" s="2"/>
      <c r="Q1013" s="45"/>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row>
    <row r="1014">
      <c r="A1014" s="2"/>
      <c r="B1014" s="2"/>
      <c r="C1014" s="2"/>
      <c r="D1014" s="2"/>
      <c r="E1014" s="2"/>
      <c r="F1014" s="2"/>
      <c r="G1014" s="2"/>
      <c r="H1014" s="2"/>
      <c r="I1014" s="2"/>
      <c r="J1014" s="2"/>
      <c r="K1014" s="2"/>
      <c r="L1014" s="2"/>
      <c r="M1014" s="2"/>
      <c r="N1014" s="2"/>
      <c r="O1014" s="2"/>
      <c r="P1014" s="2"/>
      <c r="Q1014" s="45"/>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row>
    <row r="1015">
      <c r="A1015" s="2"/>
      <c r="B1015" s="2"/>
      <c r="C1015" s="2"/>
      <c r="D1015" s="2"/>
      <c r="E1015" s="2"/>
      <c r="F1015" s="2"/>
      <c r="G1015" s="2"/>
      <c r="H1015" s="2"/>
      <c r="I1015" s="2"/>
      <c r="J1015" s="2"/>
      <c r="K1015" s="2"/>
      <c r="L1015" s="2"/>
      <c r="M1015" s="2"/>
      <c r="N1015" s="2"/>
      <c r="O1015" s="2"/>
      <c r="P1015" s="2"/>
      <c r="Q1015" s="45"/>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row>
    <row r="1016">
      <c r="A1016" s="2"/>
      <c r="B1016" s="2"/>
      <c r="C1016" s="2"/>
      <c r="D1016" s="2"/>
      <c r="E1016" s="2"/>
      <c r="F1016" s="2"/>
      <c r="G1016" s="2"/>
      <c r="H1016" s="2"/>
      <c r="I1016" s="2"/>
      <c r="J1016" s="2"/>
      <c r="K1016" s="2"/>
      <c r="L1016" s="2"/>
      <c r="M1016" s="2"/>
      <c r="N1016" s="2"/>
      <c r="O1016" s="2"/>
      <c r="P1016" s="2"/>
      <c r="Q1016" s="45"/>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row>
    <row r="1017">
      <c r="A1017" s="2"/>
      <c r="B1017" s="2"/>
      <c r="C1017" s="2"/>
      <c r="D1017" s="2"/>
      <c r="E1017" s="2"/>
      <c r="F1017" s="2"/>
      <c r="G1017" s="2"/>
      <c r="H1017" s="2"/>
      <c r="I1017" s="2"/>
      <c r="J1017" s="2"/>
      <c r="K1017" s="2"/>
      <c r="L1017" s="2"/>
      <c r="M1017" s="2"/>
      <c r="N1017" s="2"/>
      <c r="O1017" s="2"/>
      <c r="P1017" s="2"/>
      <c r="Q1017" s="45"/>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row>
    <row r="1018">
      <c r="A1018" s="2"/>
      <c r="B1018" s="2"/>
      <c r="C1018" s="2"/>
      <c r="D1018" s="2"/>
      <c r="E1018" s="2"/>
      <c r="F1018" s="2"/>
      <c r="G1018" s="2"/>
      <c r="H1018" s="2"/>
      <c r="I1018" s="2"/>
      <c r="J1018" s="2"/>
      <c r="K1018" s="2"/>
      <c r="L1018" s="2"/>
      <c r="M1018" s="2"/>
      <c r="N1018" s="2"/>
      <c r="O1018" s="2"/>
      <c r="P1018" s="2"/>
      <c r="Q1018" s="45"/>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row>
    <row r="1019">
      <c r="A1019" s="2"/>
      <c r="B1019" s="2"/>
      <c r="C1019" s="2"/>
      <c r="D1019" s="2"/>
      <c r="E1019" s="2"/>
      <c r="F1019" s="2"/>
      <c r="G1019" s="2"/>
      <c r="H1019" s="2"/>
      <c r="I1019" s="2"/>
      <c r="J1019" s="2"/>
      <c r="K1019" s="2"/>
      <c r="L1019" s="2"/>
      <c r="M1019" s="2"/>
      <c r="N1019" s="2"/>
      <c r="O1019" s="2"/>
      <c r="P1019" s="2"/>
      <c r="Q1019" s="45"/>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row>
    <row r="1020">
      <c r="A1020" s="2"/>
      <c r="B1020" s="2"/>
      <c r="C1020" s="2"/>
      <c r="D1020" s="2"/>
      <c r="E1020" s="2"/>
      <c r="F1020" s="2"/>
      <c r="G1020" s="2"/>
      <c r="H1020" s="2"/>
      <c r="I1020" s="2"/>
      <c r="J1020" s="2"/>
      <c r="K1020" s="2"/>
      <c r="L1020" s="2"/>
      <c r="M1020" s="2"/>
      <c r="N1020" s="2"/>
      <c r="O1020" s="2"/>
      <c r="P1020" s="2"/>
      <c r="Q1020" s="45"/>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row>
    <row r="1021">
      <c r="A1021" s="2"/>
      <c r="B1021" s="2"/>
      <c r="C1021" s="2"/>
      <c r="D1021" s="2"/>
      <c r="E1021" s="2"/>
      <c r="F1021" s="2"/>
      <c r="G1021" s="2"/>
      <c r="H1021" s="2"/>
      <c r="I1021" s="2"/>
      <c r="J1021" s="2"/>
      <c r="K1021" s="2"/>
      <c r="L1021" s="2"/>
      <c r="M1021" s="2"/>
      <c r="N1021" s="2"/>
      <c r="O1021" s="2"/>
      <c r="P1021" s="2"/>
      <c r="Q1021" s="45"/>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row>
    <row r="1022">
      <c r="A1022" s="2"/>
      <c r="B1022" s="2"/>
      <c r="C1022" s="2"/>
      <c r="D1022" s="2"/>
      <c r="E1022" s="2"/>
      <c r="F1022" s="2"/>
      <c r="G1022" s="2"/>
      <c r="H1022" s="2"/>
      <c r="I1022" s="2"/>
      <c r="J1022" s="2"/>
      <c r="K1022" s="2"/>
      <c r="L1022" s="2"/>
      <c r="M1022" s="2"/>
      <c r="N1022" s="2"/>
      <c r="O1022" s="2"/>
      <c r="P1022" s="2"/>
      <c r="Q1022" s="45"/>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row>
    <row r="1023">
      <c r="A1023" s="2"/>
      <c r="B1023" s="2"/>
      <c r="C1023" s="2"/>
      <c r="D1023" s="2"/>
      <c r="E1023" s="2"/>
      <c r="F1023" s="2"/>
      <c r="G1023" s="2"/>
      <c r="H1023" s="2"/>
      <c r="I1023" s="2"/>
      <c r="J1023" s="2"/>
      <c r="K1023" s="2"/>
      <c r="L1023" s="2"/>
      <c r="M1023" s="2"/>
      <c r="N1023" s="2"/>
      <c r="O1023" s="2"/>
      <c r="P1023" s="2"/>
      <c r="Q1023" s="45"/>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row>
    <row r="1024">
      <c r="A1024" s="2"/>
      <c r="B1024" s="2"/>
      <c r="C1024" s="2"/>
      <c r="D1024" s="2"/>
      <c r="E1024" s="2"/>
      <c r="F1024" s="2"/>
      <c r="G1024" s="2"/>
      <c r="H1024" s="2"/>
      <c r="I1024" s="2"/>
      <c r="J1024" s="2"/>
      <c r="K1024" s="2"/>
      <c r="L1024" s="2"/>
      <c r="M1024" s="2"/>
      <c r="N1024" s="2"/>
      <c r="O1024" s="2"/>
      <c r="P1024" s="2"/>
      <c r="Q1024" s="45"/>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row>
    <row r="1025">
      <c r="A1025" s="2"/>
      <c r="B1025" s="2"/>
      <c r="C1025" s="2"/>
      <c r="D1025" s="2"/>
      <c r="E1025" s="2"/>
      <c r="F1025" s="2"/>
      <c r="G1025" s="2"/>
      <c r="H1025" s="2"/>
      <c r="I1025" s="2"/>
      <c r="J1025" s="2"/>
      <c r="K1025" s="2"/>
      <c r="L1025" s="2"/>
      <c r="M1025" s="2"/>
      <c r="N1025" s="2"/>
      <c r="O1025" s="2"/>
      <c r="P1025" s="2"/>
      <c r="Q1025" s="45"/>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row>
    <row r="1026">
      <c r="A1026" s="2"/>
      <c r="B1026" s="2"/>
      <c r="C1026" s="2"/>
      <c r="D1026" s="2"/>
      <c r="E1026" s="2"/>
      <c r="F1026" s="2"/>
      <c r="G1026" s="2"/>
      <c r="H1026" s="2"/>
      <c r="I1026" s="2"/>
      <c r="J1026" s="2"/>
      <c r="K1026" s="2"/>
      <c r="L1026" s="2"/>
      <c r="M1026" s="2"/>
      <c r="N1026" s="2"/>
      <c r="O1026" s="2"/>
      <c r="P1026" s="2"/>
      <c r="Q1026" s="45"/>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row>
    <row r="1027">
      <c r="A1027" s="2"/>
      <c r="B1027" s="2"/>
      <c r="C1027" s="2"/>
      <c r="D1027" s="2"/>
      <c r="E1027" s="2"/>
      <c r="F1027" s="2"/>
      <c r="G1027" s="2"/>
      <c r="H1027" s="2"/>
      <c r="I1027" s="2"/>
      <c r="J1027" s="2"/>
      <c r="K1027" s="2"/>
      <c r="L1027" s="2"/>
      <c r="M1027" s="2"/>
      <c r="N1027" s="2"/>
      <c r="O1027" s="2"/>
      <c r="P1027" s="2"/>
      <c r="Q1027" s="45"/>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row>
    <row r="1028">
      <c r="A1028" s="2"/>
      <c r="B1028" s="2"/>
      <c r="C1028" s="2"/>
      <c r="D1028" s="2"/>
      <c r="E1028" s="2"/>
      <c r="F1028" s="2"/>
      <c r="G1028" s="2"/>
      <c r="H1028" s="2"/>
      <c r="I1028" s="2"/>
      <c r="J1028" s="2"/>
      <c r="K1028" s="2"/>
      <c r="L1028" s="2"/>
      <c r="M1028" s="2"/>
      <c r="N1028" s="2"/>
      <c r="O1028" s="2"/>
      <c r="P1028" s="2"/>
      <c r="Q1028" s="45"/>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row>
    <row r="1029">
      <c r="A1029" s="2"/>
      <c r="B1029" s="2"/>
      <c r="C1029" s="2"/>
      <c r="D1029" s="2"/>
      <c r="E1029" s="2"/>
      <c r="F1029" s="2"/>
      <c r="G1029" s="2"/>
      <c r="H1029" s="2"/>
      <c r="I1029" s="2"/>
      <c r="J1029" s="2"/>
      <c r="K1029" s="2"/>
      <c r="L1029" s="2"/>
      <c r="M1029" s="2"/>
      <c r="N1029" s="2"/>
      <c r="O1029" s="2"/>
      <c r="P1029" s="2"/>
      <c r="Q1029" s="45"/>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row>
    <row r="1030">
      <c r="A1030" s="2"/>
      <c r="B1030" s="2"/>
      <c r="C1030" s="2"/>
      <c r="D1030" s="2"/>
      <c r="E1030" s="2"/>
      <c r="F1030" s="2"/>
      <c r="G1030" s="2"/>
      <c r="H1030" s="2"/>
      <c r="I1030" s="2"/>
      <c r="J1030" s="2"/>
      <c r="K1030" s="2"/>
      <c r="L1030" s="2"/>
      <c r="M1030" s="2"/>
      <c r="N1030" s="2"/>
      <c r="O1030" s="2"/>
      <c r="P1030" s="2"/>
      <c r="Q1030" s="45"/>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row>
    <row r="1031">
      <c r="A1031" s="2"/>
      <c r="B1031" s="2"/>
      <c r="C1031" s="2"/>
      <c r="D1031" s="2"/>
      <c r="E1031" s="2"/>
      <c r="F1031" s="2"/>
      <c r="G1031" s="2"/>
      <c r="H1031" s="2"/>
      <c r="I1031" s="2"/>
      <c r="J1031" s="2"/>
      <c r="K1031" s="2"/>
      <c r="L1031" s="2"/>
      <c r="M1031" s="2"/>
      <c r="N1031" s="2"/>
      <c r="O1031" s="2"/>
      <c r="P1031" s="2"/>
      <c r="Q1031" s="45"/>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row>
    <row r="1032">
      <c r="A1032" s="2"/>
      <c r="B1032" s="2"/>
      <c r="C1032" s="2"/>
      <c r="D1032" s="2"/>
      <c r="E1032" s="2"/>
      <c r="F1032" s="2"/>
      <c r="G1032" s="2"/>
      <c r="H1032" s="2"/>
      <c r="I1032" s="2"/>
      <c r="J1032" s="2"/>
      <c r="K1032" s="2"/>
      <c r="L1032" s="2"/>
      <c r="M1032" s="2"/>
      <c r="N1032" s="2"/>
      <c r="O1032" s="2"/>
      <c r="P1032" s="2"/>
      <c r="Q1032" s="45"/>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row>
    <row r="1033">
      <c r="A1033" s="2"/>
      <c r="B1033" s="2"/>
      <c r="C1033" s="2"/>
      <c r="D1033" s="2"/>
      <c r="E1033" s="2"/>
      <c r="F1033" s="2"/>
      <c r="G1033" s="2"/>
      <c r="H1033" s="2"/>
      <c r="I1033" s="2"/>
      <c r="J1033" s="2"/>
      <c r="K1033" s="2"/>
      <c r="L1033" s="2"/>
      <c r="M1033" s="2"/>
      <c r="N1033" s="2"/>
      <c r="O1033" s="2"/>
      <c r="P1033" s="2"/>
      <c r="Q1033" s="45"/>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row>
    <row r="1034">
      <c r="A1034" s="2"/>
      <c r="B1034" s="2"/>
      <c r="C1034" s="2"/>
      <c r="D1034" s="2"/>
      <c r="E1034" s="2"/>
      <c r="F1034" s="2"/>
      <c r="G1034" s="2"/>
      <c r="H1034" s="2"/>
      <c r="I1034" s="2"/>
      <c r="J1034" s="2"/>
      <c r="K1034" s="2"/>
      <c r="L1034" s="2"/>
      <c r="M1034" s="2"/>
      <c r="N1034" s="2"/>
      <c r="O1034" s="2"/>
      <c r="P1034" s="2"/>
      <c r="Q1034" s="45"/>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row>
    <row r="1035">
      <c r="A1035" s="2"/>
      <c r="B1035" s="2"/>
      <c r="C1035" s="2"/>
      <c r="D1035" s="2"/>
      <c r="E1035" s="2"/>
      <c r="F1035" s="2"/>
      <c r="G1035" s="2"/>
      <c r="H1035" s="2"/>
      <c r="I1035" s="2"/>
      <c r="J1035" s="2"/>
      <c r="K1035" s="2"/>
      <c r="L1035" s="2"/>
      <c r="M1035" s="2"/>
      <c r="N1035" s="2"/>
      <c r="O1035" s="2"/>
      <c r="P1035" s="2"/>
      <c r="Q1035" s="45"/>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row>
    <row r="1036">
      <c r="A1036" s="2"/>
      <c r="B1036" s="2"/>
      <c r="C1036" s="2"/>
      <c r="D1036" s="2"/>
      <c r="E1036" s="2"/>
      <c r="F1036" s="2"/>
      <c r="G1036" s="2"/>
      <c r="H1036" s="2"/>
      <c r="I1036" s="2"/>
      <c r="J1036" s="2"/>
      <c r="K1036" s="2"/>
      <c r="L1036" s="2"/>
      <c r="M1036" s="2"/>
      <c r="N1036" s="2"/>
      <c r="O1036" s="2"/>
      <c r="P1036" s="2"/>
      <c r="Q1036" s="45"/>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row>
    <row r="1037">
      <c r="A1037" s="2"/>
      <c r="B1037" s="2"/>
      <c r="C1037" s="2"/>
      <c r="D1037" s="2"/>
      <c r="E1037" s="2"/>
      <c r="F1037" s="2"/>
      <c r="G1037" s="2"/>
      <c r="H1037" s="2"/>
      <c r="I1037" s="2"/>
      <c r="J1037" s="2"/>
      <c r="K1037" s="2"/>
      <c r="L1037" s="2"/>
      <c r="M1037" s="2"/>
      <c r="N1037" s="2"/>
      <c r="O1037" s="2"/>
      <c r="P1037" s="2"/>
      <c r="Q1037" s="45"/>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row>
    <row r="1038">
      <c r="A1038" s="2"/>
      <c r="B1038" s="2"/>
      <c r="C1038" s="2"/>
      <c r="D1038" s="2"/>
      <c r="E1038" s="2"/>
      <c r="F1038" s="2"/>
      <c r="G1038" s="2"/>
      <c r="H1038" s="2"/>
      <c r="I1038" s="2"/>
      <c r="J1038" s="2"/>
      <c r="K1038" s="2"/>
      <c r="L1038" s="2"/>
      <c r="M1038" s="2"/>
      <c r="N1038" s="2"/>
      <c r="O1038" s="2"/>
      <c r="P1038" s="2"/>
      <c r="Q1038" s="45"/>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row>
    <row r="1039">
      <c r="A1039" s="2"/>
      <c r="B1039" s="2"/>
      <c r="C1039" s="2"/>
      <c r="D1039" s="2"/>
      <c r="E1039" s="2"/>
      <c r="F1039" s="2"/>
      <c r="G1039" s="2"/>
      <c r="H1039" s="2"/>
      <c r="I1039" s="2"/>
      <c r="J1039" s="2"/>
      <c r="K1039" s="2"/>
      <c r="L1039" s="2"/>
      <c r="M1039" s="2"/>
      <c r="N1039" s="2"/>
      <c r="O1039" s="2"/>
      <c r="P1039" s="2"/>
      <c r="Q1039" s="45"/>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row>
    <row r="1040">
      <c r="A1040" s="2"/>
      <c r="B1040" s="2"/>
      <c r="C1040" s="2"/>
      <c r="D1040" s="2"/>
      <c r="E1040" s="2"/>
      <c r="F1040" s="2"/>
      <c r="G1040" s="2"/>
      <c r="H1040" s="2"/>
      <c r="I1040" s="2"/>
      <c r="J1040" s="2"/>
      <c r="K1040" s="2"/>
      <c r="L1040" s="2"/>
      <c r="M1040" s="2"/>
      <c r="N1040" s="2"/>
      <c r="O1040" s="2"/>
      <c r="P1040" s="2"/>
      <c r="Q1040" s="45"/>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row>
    <row r="1041">
      <c r="A1041" s="2"/>
      <c r="B1041" s="2"/>
      <c r="C1041" s="2"/>
      <c r="D1041" s="2"/>
      <c r="E1041" s="2"/>
      <c r="F1041" s="2"/>
      <c r="G1041" s="2"/>
      <c r="H1041" s="2"/>
      <c r="I1041" s="2"/>
      <c r="J1041" s="2"/>
      <c r="K1041" s="2"/>
      <c r="L1041" s="2"/>
      <c r="M1041" s="2"/>
      <c r="N1041" s="2"/>
      <c r="O1041" s="2"/>
      <c r="P1041" s="2"/>
      <c r="Q1041" s="45"/>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row>
    <row r="1042">
      <c r="A1042" s="2"/>
      <c r="B1042" s="2"/>
      <c r="C1042" s="2"/>
      <c r="D1042" s="2"/>
      <c r="E1042" s="2"/>
      <c r="F1042" s="2"/>
      <c r="G1042" s="2"/>
      <c r="H1042" s="2"/>
      <c r="I1042" s="2"/>
      <c r="J1042" s="2"/>
      <c r="K1042" s="2"/>
      <c r="L1042" s="2"/>
      <c r="M1042" s="2"/>
      <c r="N1042" s="2"/>
      <c r="O1042" s="2"/>
      <c r="P1042" s="2"/>
      <c r="Q1042" s="45"/>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row>
    <row r="1043">
      <c r="A1043" s="2"/>
      <c r="B1043" s="2"/>
      <c r="C1043" s="2"/>
      <c r="D1043" s="2"/>
      <c r="E1043" s="2"/>
      <c r="F1043" s="2"/>
      <c r="G1043" s="2"/>
      <c r="H1043" s="2"/>
      <c r="I1043" s="2"/>
      <c r="J1043" s="2"/>
      <c r="K1043" s="2"/>
      <c r="L1043" s="2"/>
      <c r="M1043" s="2"/>
      <c r="N1043" s="2"/>
      <c r="O1043" s="2"/>
      <c r="P1043" s="2"/>
      <c r="Q1043" s="45"/>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row>
    <row r="1044">
      <c r="A1044" s="2"/>
      <c r="B1044" s="2"/>
      <c r="C1044" s="2"/>
      <c r="D1044" s="2"/>
      <c r="E1044" s="2"/>
      <c r="F1044" s="2"/>
      <c r="G1044" s="2"/>
      <c r="H1044" s="2"/>
      <c r="I1044" s="2"/>
      <c r="J1044" s="2"/>
      <c r="K1044" s="2"/>
      <c r="L1044" s="2"/>
      <c r="M1044" s="2"/>
      <c r="N1044" s="2"/>
      <c r="O1044" s="2"/>
      <c r="P1044" s="2"/>
      <c r="Q1044" s="45"/>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row>
    <row r="1045">
      <c r="A1045" s="2"/>
      <c r="B1045" s="2"/>
      <c r="C1045" s="2"/>
      <c r="D1045" s="2"/>
      <c r="E1045" s="2"/>
      <c r="F1045" s="2"/>
      <c r="G1045" s="2"/>
      <c r="H1045" s="2"/>
      <c r="I1045" s="2"/>
      <c r="J1045" s="2"/>
      <c r="K1045" s="2"/>
      <c r="L1045" s="2"/>
      <c r="M1045" s="2"/>
      <c r="N1045" s="2"/>
      <c r="O1045" s="2"/>
      <c r="P1045" s="2"/>
      <c r="Q1045" s="45"/>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row>
    <row r="1046">
      <c r="A1046" s="2"/>
      <c r="B1046" s="2"/>
      <c r="C1046" s="2"/>
      <c r="D1046" s="2"/>
      <c r="E1046" s="2"/>
      <c r="F1046" s="2"/>
      <c r="G1046" s="2"/>
      <c r="H1046" s="2"/>
      <c r="I1046" s="2"/>
      <c r="J1046" s="2"/>
      <c r="K1046" s="2"/>
      <c r="L1046" s="2"/>
      <c r="M1046" s="2"/>
      <c r="N1046" s="2"/>
      <c r="O1046" s="2"/>
      <c r="P1046" s="2"/>
      <c r="Q1046" s="45"/>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row>
    <row r="1047">
      <c r="A1047" s="2"/>
      <c r="B1047" s="2"/>
      <c r="C1047" s="2"/>
      <c r="D1047" s="2"/>
      <c r="E1047" s="2"/>
      <c r="F1047" s="2"/>
      <c r="G1047" s="2"/>
      <c r="H1047" s="2"/>
      <c r="I1047" s="2"/>
      <c r="J1047" s="2"/>
      <c r="K1047" s="2"/>
      <c r="L1047" s="2"/>
      <c r="M1047" s="2"/>
      <c r="N1047" s="2"/>
      <c r="O1047" s="2"/>
      <c r="P1047" s="2"/>
      <c r="Q1047" s="45"/>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row>
    <row r="1048">
      <c r="A1048" s="2"/>
      <c r="B1048" s="2"/>
      <c r="C1048" s="2"/>
      <c r="D1048" s="2"/>
      <c r="E1048" s="2"/>
      <c r="F1048" s="2"/>
      <c r="G1048" s="2"/>
      <c r="H1048" s="2"/>
      <c r="I1048" s="2"/>
      <c r="J1048" s="2"/>
      <c r="K1048" s="2"/>
      <c r="L1048" s="2"/>
      <c r="M1048" s="2"/>
      <c r="N1048" s="2"/>
      <c r="O1048" s="2"/>
      <c r="P1048" s="2"/>
      <c r="Q1048" s="45"/>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row>
    <row r="1049">
      <c r="A1049" s="2"/>
      <c r="B1049" s="2"/>
      <c r="C1049" s="2"/>
      <c r="D1049" s="2"/>
      <c r="E1049" s="2"/>
      <c r="F1049" s="2"/>
      <c r="G1049" s="2"/>
      <c r="H1049" s="2"/>
      <c r="I1049" s="2"/>
      <c r="J1049" s="2"/>
      <c r="K1049" s="2"/>
      <c r="L1049" s="2"/>
      <c r="M1049" s="2"/>
      <c r="N1049" s="2"/>
      <c r="O1049" s="2"/>
      <c r="P1049" s="2"/>
      <c r="Q1049" s="45"/>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row>
    <row r="1050">
      <c r="A1050" s="2"/>
      <c r="B1050" s="2"/>
      <c r="C1050" s="2"/>
      <c r="D1050" s="2"/>
      <c r="E1050" s="2"/>
      <c r="F1050" s="2"/>
      <c r="G1050" s="2"/>
      <c r="H1050" s="2"/>
      <c r="I1050" s="2"/>
      <c r="J1050" s="2"/>
      <c r="K1050" s="2"/>
      <c r="L1050" s="2"/>
      <c r="M1050" s="2"/>
      <c r="N1050" s="2"/>
      <c r="O1050" s="2"/>
      <c r="P1050" s="2"/>
      <c r="Q1050" s="45"/>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row>
    <row r="1051">
      <c r="A1051" s="2"/>
      <c r="B1051" s="2"/>
      <c r="C1051" s="2"/>
      <c r="D1051" s="2"/>
      <c r="E1051" s="2"/>
      <c r="F1051" s="2"/>
      <c r="G1051" s="2"/>
      <c r="H1051" s="2"/>
      <c r="I1051" s="2"/>
      <c r="J1051" s="2"/>
      <c r="K1051" s="2"/>
      <c r="L1051" s="2"/>
      <c r="M1051" s="2"/>
      <c r="N1051" s="2"/>
      <c r="O1051" s="2"/>
      <c r="P1051" s="2"/>
      <c r="Q1051" s="45"/>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row>
    <row r="1052">
      <c r="A1052" s="2"/>
      <c r="B1052" s="2"/>
      <c r="C1052" s="2"/>
      <c r="D1052" s="2"/>
      <c r="E1052" s="2"/>
      <c r="F1052" s="2"/>
      <c r="G1052" s="2"/>
      <c r="H1052" s="2"/>
      <c r="I1052" s="2"/>
      <c r="J1052" s="2"/>
      <c r="K1052" s="2"/>
      <c r="L1052" s="2"/>
      <c r="M1052" s="2"/>
      <c r="N1052" s="2"/>
      <c r="O1052" s="2"/>
      <c r="P1052" s="2"/>
      <c r="Q1052" s="45"/>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row>
    <row r="1053">
      <c r="A1053" s="2"/>
      <c r="B1053" s="2"/>
      <c r="C1053" s="2"/>
      <c r="D1053" s="2"/>
      <c r="E1053" s="2"/>
      <c r="F1053" s="2"/>
      <c r="G1053" s="2"/>
      <c r="H1053" s="2"/>
      <c r="I1053" s="2"/>
      <c r="J1053" s="2"/>
      <c r="K1053" s="2"/>
      <c r="L1053" s="2"/>
      <c r="M1053" s="2"/>
      <c r="N1053" s="2"/>
      <c r="O1053" s="2"/>
      <c r="P1053" s="2"/>
      <c r="Q1053" s="45"/>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row>
    <row r="1054">
      <c r="A1054" s="2"/>
      <c r="B1054" s="2"/>
      <c r="C1054" s="2"/>
      <c r="D1054" s="2"/>
      <c r="E1054" s="2"/>
      <c r="F1054" s="2"/>
      <c r="G1054" s="2"/>
      <c r="H1054" s="2"/>
      <c r="I1054" s="2"/>
      <c r="J1054" s="2"/>
      <c r="K1054" s="2"/>
      <c r="L1054" s="2"/>
      <c r="M1054" s="2"/>
      <c r="N1054" s="2"/>
      <c r="O1054" s="2"/>
      <c r="P1054" s="2"/>
      <c r="Q1054" s="45"/>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row>
    <row r="1055">
      <c r="A1055" s="2"/>
      <c r="B1055" s="2"/>
      <c r="C1055" s="2"/>
      <c r="D1055" s="2"/>
      <c r="E1055" s="2"/>
      <c r="F1055" s="2"/>
      <c r="G1055" s="2"/>
      <c r="H1055" s="2"/>
      <c r="I1055" s="2"/>
      <c r="J1055" s="2"/>
      <c r="K1055" s="2"/>
      <c r="L1055" s="2"/>
      <c r="M1055" s="2"/>
      <c r="N1055" s="2"/>
      <c r="O1055" s="2"/>
      <c r="P1055" s="2"/>
      <c r="Q1055" s="45"/>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row>
    <row r="1056">
      <c r="A1056" s="2"/>
      <c r="B1056" s="2"/>
      <c r="C1056" s="2"/>
      <c r="D1056" s="2"/>
      <c r="E1056" s="2"/>
      <c r="F1056" s="2"/>
      <c r="G1056" s="2"/>
      <c r="H1056" s="2"/>
      <c r="I1056" s="2"/>
      <c r="J1056" s="2"/>
      <c r="K1056" s="2"/>
      <c r="L1056" s="2"/>
      <c r="M1056" s="2"/>
      <c r="N1056" s="2"/>
      <c r="O1056" s="2"/>
      <c r="P1056" s="2"/>
      <c r="Q1056" s="45"/>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row>
    <row r="1057">
      <c r="A1057" s="2"/>
      <c r="B1057" s="2"/>
      <c r="C1057" s="2"/>
      <c r="D1057" s="2"/>
      <c r="E1057" s="2"/>
      <c r="F1057" s="2"/>
      <c r="G1057" s="2"/>
      <c r="H1057" s="2"/>
      <c r="I1057" s="2"/>
      <c r="J1057" s="2"/>
      <c r="K1057" s="2"/>
      <c r="L1057" s="2"/>
      <c r="M1057" s="2"/>
      <c r="N1057" s="2"/>
      <c r="O1057" s="2"/>
      <c r="P1057" s="2"/>
      <c r="Q1057" s="45"/>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row>
    <row r="1058">
      <c r="A1058" s="2"/>
      <c r="B1058" s="2"/>
      <c r="C1058" s="2"/>
      <c r="D1058" s="2"/>
      <c r="E1058" s="2"/>
      <c r="F1058" s="2"/>
      <c r="G1058" s="2"/>
      <c r="H1058" s="2"/>
      <c r="I1058" s="2"/>
      <c r="J1058" s="2"/>
      <c r="K1058" s="2"/>
      <c r="L1058" s="2"/>
      <c r="M1058" s="2"/>
      <c r="N1058" s="2"/>
      <c r="O1058" s="2"/>
      <c r="P1058" s="2"/>
      <c r="Q1058" s="45"/>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row>
    <row r="1059">
      <c r="A1059" s="2"/>
      <c r="B1059" s="2"/>
      <c r="C1059" s="2"/>
      <c r="D1059" s="2"/>
      <c r="E1059" s="2"/>
      <c r="F1059" s="2"/>
      <c r="G1059" s="2"/>
      <c r="H1059" s="2"/>
      <c r="I1059" s="2"/>
      <c r="J1059" s="2"/>
      <c r="K1059" s="2"/>
      <c r="L1059" s="2"/>
      <c r="M1059" s="2"/>
      <c r="N1059" s="2"/>
      <c r="O1059" s="2"/>
      <c r="P1059" s="2"/>
      <c r="Q1059" s="45"/>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row>
    <row r="1060">
      <c r="A1060" s="2"/>
      <c r="B1060" s="2"/>
      <c r="C1060" s="2"/>
      <c r="D1060" s="2"/>
      <c r="E1060" s="2"/>
      <c r="F1060" s="2"/>
      <c r="G1060" s="2"/>
      <c r="H1060" s="2"/>
      <c r="I1060" s="2"/>
      <c r="J1060" s="2"/>
      <c r="K1060" s="2"/>
      <c r="L1060" s="2"/>
      <c r="M1060" s="2"/>
      <c r="N1060" s="2"/>
      <c r="O1060" s="2"/>
      <c r="P1060" s="2"/>
      <c r="Q1060" s="45"/>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row>
    <row r="1061">
      <c r="A1061" s="2"/>
      <c r="B1061" s="2"/>
      <c r="C1061" s="2"/>
      <c r="D1061" s="2"/>
      <c r="E1061" s="2"/>
      <c r="F1061" s="2"/>
      <c r="G1061" s="2"/>
      <c r="H1061" s="2"/>
      <c r="I1061" s="2"/>
      <c r="J1061" s="2"/>
      <c r="K1061" s="2"/>
      <c r="L1061" s="2"/>
      <c r="M1061" s="2"/>
      <c r="N1061" s="2"/>
      <c r="O1061" s="2"/>
      <c r="P1061" s="2"/>
      <c r="Q1061" s="45"/>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row>
    <row r="1062">
      <c r="A1062" s="2"/>
      <c r="B1062" s="2"/>
      <c r="C1062" s="2"/>
      <c r="D1062" s="2"/>
      <c r="E1062" s="2"/>
      <c r="F1062" s="2"/>
      <c r="G1062" s="2"/>
      <c r="H1062" s="2"/>
      <c r="I1062" s="2"/>
      <c r="J1062" s="2"/>
      <c r="K1062" s="2"/>
      <c r="L1062" s="2"/>
      <c r="M1062" s="2"/>
      <c r="N1062" s="2"/>
      <c r="O1062" s="2"/>
      <c r="P1062" s="2"/>
      <c r="Q1062" s="45"/>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row>
    <row r="1063">
      <c r="A1063" s="2"/>
      <c r="B1063" s="2"/>
      <c r="C1063" s="2"/>
      <c r="D1063" s="2"/>
      <c r="E1063" s="2"/>
      <c r="F1063" s="2"/>
      <c r="G1063" s="2"/>
      <c r="H1063" s="2"/>
      <c r="I1063" s="2"/>
      <c r="J1063" s="2"/>
      <c r="K1063" s="2"/>
      <c r="L1063" s="2"/>
      <c r="M1063" s="2"/>
      <c r="N1063" s="2"/>
      <c r="O1063" s="2"/>
      <c r="P1063" s="2"/>
      <c r="Q1063" s="45"/>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row>
    <row r="1064">
      <c r="A1064" s="2"/>
      <c r="B1064" s="2"/>
      <c r="C1064" s="2"/>
      <c r="D1064" s="2"/>
      <c r="E1064" s="2"/>
      <c r="F1064" s="2"/>
      <c r="G1064" s="2"/>
      <c r="H1064" s="2"/>
      <c r="I1064" s="2"/>
      <c r="J1064" s="2"/>
      <c r="K1064" s="2"/>
      <c r="L1064" s="2"/>
      <c r="M1064" s="2"/>
      <c r="N1064" s="2"/>
      <c r="O1064" s="2"/>
      <c r="P1064" s="2"/>
      <c r="Q1064" s="45"/>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row>
    <row r="1065">
      <c r="A1065" s="2"/>
      <c r="B1065" s="2"/>
      <c r="C1065" s="2"/>
      <c r="D1065" s="2"/>
      <c r="E1065" s="2"/>
      <c r="F1065" s="2"/>
      <c r="G1065" s="2"/>
      <c r="H1065" s="2"/>
      <c r="I1065" s="2"/>
      <c r="J1065" s="2"/>
      <c r="K1065" s="2"/>
      <c r="L1065" s="2"/>
      <c r="M1065" s="2"/>
      <c r="N1065" s="2"/>
      <c r="O1065" s="2"/>
      <c r="P1065" s="2"/>
      <c r="Q1065" s="45"/>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row>
    <row r="1066">
      <c r="A1066" s="2"/>
      <c r="B1066" s="2"/>
      <c r="C1066" s="2"/>
      <c r="D1066" s="2"/>
      <c r="E1066" s="2"/>
      <c r="F1066" s="2"/>
      <c r="G1066" s="2"/>
      <c r="H1066" s="2"/>
      <c r="I1066" s="2"/>
      <c r="J1066" s="2"/>
      <c r="K1066" s="2"/>
      <c r="L1066" s="2"/>
      <c r="M1066" s="2"/>
      <c r="N1066" s="2"/>
      <c r="O1066" s="2"/>
      <c r="P1066" s="2"/>
      <c r="Q1066" s="45"/>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row>
    <row r="1067">
      <c r="A1067" s="2"/>
      <c r="B1067" s="2"/>
      <c r="C1067" s="2"/>
      <c r="D1067" s="2"/>
      <c r="E1067" s="2"/>
      <c r="F1067" s="2"/>
      <c r="G1067" s="2"/>
      <c r="H1067" s="2"/>
      <c r="I1067" s="2"/>
      <c r="J1067" s="2"/>
      <c r="K1067" s="2"/>
      <c r="L1067" s="2"/>
      <c r="M1067" s="2"/>
      <c r="N1067" s="2"/>
      <c r="O1067" s="2"/>
      <c r="P1067" s="2"/>
      <c r="Q1067" s="45"/>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row>
    <row r="1068">
      <c r="A1068" s="2"/>
      <c r="B1068" s="2"/>
      <c r="C1068" s="2"/>
      <c r="D1068" s="2"/>
      <c r="E1068" s="2"/>
      <c r="F1068" s="2"/>
      <c r="G1068" s="2"/>
      <c r="H1068" s="2"/>
      <c r="I1068" s="2"/>
      <c r="J1068" s="2"/>
      <c r="K1068" s="2"/>
      <c r="L1068" s="2"/>
      <c r="M1068" s="2"/>
      <c r="N1068" s="2"/>
      <c r="O1068" s="2"/>
      <c r="P1068" s="2"/>
      <c r="Q1068" s="45"/>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row>
    <row r="1069">
      <c r="A1069" s="2"/>
      <c r="B1069" s="2"/>
      <c r="C1069" s="2"/>
      <c r="D1069" s="2"/>
      <c r="E1069" s="2"/>
      <c r="F1069" s="2"/>
      <c r="G1069" s="2"/>
      <c r="H1069" s="2"/>
      <c r="I1069" s="2"/>
      <c r="J1069" s="2"/>
      <c r="K1069" s="2"/>
      <c r="L1069" s="2"/>
      <c r="M1069" s="2"/>
      <c r="N1069" s="2"/>
      <c r="O1069" s="2"/>
      <c r="P1069" s="2"/>
      <c r="Q1069" s="45"/>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row>
    <row r="1070">
      <c r="A1070" s="2"/>
      <c r="B1070" s="2"/>
      <c r="C1070" s="2"/>
      <c r="D1070" s="2"/>
      <c r="E1070" s="2"/>
      <c r="F1070" s="2"/>
      <c r="G1070" s="2"/>
      <c r="H1070" s="2"/>
      <c r="I1070" s="2"/>
      <c r="J1070" s="2"/>
      <c r="K1070" s="2"/>
      <c r="L1070" s="2"/>
      <c r="M1070" s="2"/>
      <c r="N1070" s="2"/>
      <c r="O1070" s="2"/>
      <c r="P1070" s="2"/>
      <c r="Q1070" s="45"/>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row>
    <row r="1071">
      <c r="A1071" s="2"/>
      <c r="B1071" s="2"/>
      <c r="C1071" s="2"/>
      <c r="D1071" s="2"/>
      <c r="E1071" s="2"/>
      <c r="F1071" s="2"/>
      <c r="G1071" s="2"/>
      <c r="H1071" s="2"/>
      <c r="I1071" s="2"/>
      <c r="J1071" s="2"/>
      <c r="K1071" s="2"/>
      <c r="L1071" s="2"/>
      <c r="M1071" s="2"/>
      <c r="N1071" s="2"/>
      <c r="O1071" s="2"/>
      <c r="P1071" s="2"/>
      <c r="Q1071" s="45"/>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row>
    <row r="1072">
      <c r="A1072" s="2"/>
      <c r="B1072" s="2"/>
      <c r="C1072" s="2"/>
      <c r="D1072" s="2"/>
      <c r="E1072" s="2"/>
      <c r="F1072" s="2"/>
      <c r="G1072" s="2"/>
      <c r="H1072" s="2"/>
      <c r="I1072" s="2"/>
      <c r="J1072" s="2"/>
      <c r="K1072" s="2"/>
      <c r="L1072" s="2"/>
      <c r="M1072" s="2"/>
      <c r="N1072" s="2"/>
      <c r="O1072" s="2"/>
      <c r="P1072" s="2"/>
      <c r="Q1072" s="45"/>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row>
    <row r="1073">
      <c r="A1073" s="2"/>
      <c r="B1073" s="2"/>
      <c r="C1073" s="2"/>
      <c r="D1073" s="2"/>
      <c r="E1073" s="2"/>
      <c r="F1073" s="2"/>
      <c r="G1073" s="2"/>
      <c r="H1073" s="2"/>
      <c r="I1073" s="2"/>
      <c r="J1073" s="2"/>
      <c r="K1073" s="2"/>
      <c r="L1073" s="2"/>
      <c r="M1073" s="2"/>
      <c r="N1073" s="2"/>
      <c r="O1073" s="2"/>
      <c r="P1073" s="2"/>
      <c r="Q1073" s="45"/>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row>
    <row r="1074">
      <c r="A1074" s="2"/>
      <c r="B1074" s="2"/>
      <c r="C1074" s="2"/>
      <c r="D1074" s="2"/>
      <c r="E1074" s="2"/>
      <c r="F1074" s="2"/>
      <c r="G1074" s="2"/>
      <c r="H1074" s="2"/>
      <c r="I1074" s="2"/>
      <c r="J1074" s="2"/>
      <c r="K1074" s="2"/>
      <c r="L1074" s="2"/>
      <c r="M1074" s="2"/>
      <c r="N1074" s="2"/>
      <c r="O1074" s="2"/>
      <c r="P1074" s="2"/>
      <c r="Q1074" s="45"/>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row>
    <row r="1075">
      <c r="A1075" s="2"/>
      <c r="B1075" s="2"/>
      <c r="C1075" s="2"/>
      <c r="D1075" s="2"/>
      <c r="E1075" s="2"/>
      <c r="F1075" s="2"/>
      <c r="G1075" s="2"/>
      <c r="H1075" s="2"/>
      <c r="I1075" s="2"/>
      <c r="J1075" s="2"/>
      <c r="K1075" s="2"/>
      <c r="L1075" s="2"/>
      <c r="M1075" s="2"/>
      <c r="N1075" s="2"/>
      <c r="O1075" s="2"/>
      <c r="P1075" s="2"/>
      <c r="Q1075" s="45"/>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row>
    <row r="1076">
      <c r="A1076" s="2"/>
      <c r="B1076" s="2"/>
      <c r="C1076" s="2"/>
      <c r="D1076" s="2"/>
      <c r="E1076" s="2"/>
      <c r="F1076" s="2"/>
      <c r="G1076" s="2"/>
      <c r="H1076" s="2"/>
      <c r="I1076" s="2"/>
      <c r="J1076" s="2"/>
      <c r="K1076" s="2"/>
      <c r="L1076" s="2"/>
      <c r="M1076" s="2"/>
      <c r="N1076" s="2"/>
      <c r="O1076" s="2"/>
      <c r="P1076" s="2"/>
      <c r="Q1076" s="45"/>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row>
    <row r="1077">
      <c r="A1077" s="2"/>
      <c r="B1077" s="2"/>
      <c r="C1077" s="2"/>
      <c r="D1077" s="2"/>
      <c r="E1077" s="2"/>
      <c r="F1077" s="2"/>
      <c r="G1077" s="2"/>
      <c r="H1077" s="2"/>
      <c r="I1077" s="2"/>
      <c r="J1077" s="2"/>
      <c r="K1077" s="2"/>
      <c r="L1077" s="2"/>
      <c r="M1077" s="2"/>
      <c r="N1077" s="2"/>
      <c r="O1077" s="2"/>
      <c r="P1077" s="2"/>
      <c r="Q1077" s="45"/>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row>
    <row r="1078">
      <c r="A1078" s="2"/>
      <c r="B1078" s="2"/>
      <c r="C1078" s="2"/>
      <c r="D1078" s="2"/>
      <c r="E1078" s="2"/>
      <c r="F1078" s="2"/>
      <c r="G1078" s="2"/>
      <c r="H1078" s="2"/>
      <c r="I1078" s="2"/>
      <c r="J1078" s="2"/>
      <c r="K1078" s="2"/>
      <c r="L1078" s="2"/>
      <c r="M1078" s="2"/>
      <c r="N1078" s="2"/>
      <c r="O1078" s="2"/>
      <c r="P1078" s="2"/>
      <c r="Q1078" s="45"/>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row>
    <row r="1079">
      <c r="A1079" s="2"/>
      <c r="B1079" s="2"/>
      <c r="C1079" s="2"/>
      <c r="D1079" s="2"/>
      <c r="E1079" s="2"/>
      <c r="F1079" s="2"/>
      <c r="G1079" s="2"/>
      <c r="H1079" s="2"/>
      <c r="I1079" s="2"/>
      <c r="J1079" s="2"/>
      <c r="K1079" s="2"/>
      <c r="L1079" s="2"/>
      <c r="M1079" s="2"/>
      <c r="N1079" s="2"/>
      <c r="O1079" s="2"/>
      <c r="P1079" s="2"/>
      <c r="Q1079" s="45"/>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row>
    <row r="1080">
      <c r="A1080" s="2"/>
      <c r="B1080" s="2"/>
      <c r="C1080" s="2"/>
      <c r="D1080" s="2"/>
      <c r="E1080" s="2"/>
      <c r="F1080" s="2"/>
      <c r="G1080" s="2"/>
      <c r="H1080" s="2"/>
      <c r="I1080" s="2"/>
      <c r="J1080" s="2"/>
      <c r="K1080" s="2"/>
      <c r="L1080" s="2"/>
      <c r="M1080" s="2"/>
      <c r="N1080" s="2"/>
      <c r="O1080" s="2"/>
      <c r="P1080" s="2"/>
      <c r="Q1080" s="45"/>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row>
    <row r="1081">
      <c r="A1081" s="2"/>
      <c r="B1081" s="2"/>
      <c r="C1081" s="2"/>
      <c r="D1081" s="2"/>
      <c r="E1081" s="2"/>
      <c r="F1081" s="2"/>
      <c r="G1081" s="2"/>
      <c r="H1081" s="2"/>
      <c r="I1081" s="2"/>
      <c r="J1081" s="2"/>
      <c r="K1081" s="2"/>
      <c r="L1081" s="2"/>
      <c r="M1081" s="2"/>
      <c r="N1081" s="2"/>
      <c r="O1081" s="2"/>
      <c r="P1081" s="2"/>
      <c r="Q1081" s="45"/>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row>
    <row r="1082">
      <c r="A1082" s="2"/>
      <c r="B1082" s="2"/>
      <c r="C1082" s="2"/>
      <c r="D1082" s="2"/>
      <c r="E1082" s="2"/>
      <c r="F1082" s="2"/>
      <c r="G1082" s="2"/>
      <c r="H1082" s="2"/>
      <c r="I1082" s="2"/>
      <c r="J1082" s="2"/>
      <c r="K1082" s="2"/>
      <c r="L1082" s="2"/>
      <c r="M1082" s="2"/>
      <c r="N1082" s="2"/>
      <c r="O1082" s="2"/>
      <c r="P1082" s="2"/>
      <c r="Q1082" s="45"/>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row>
    <row r="1083">
      <c r="A1083" s="2"/>
      <c r="B1083" s="2"/>
      <c r="C1083" s="2"/>
      <c r="D1083" s="2"/>
      <c r="E1083" s="2"/>
      <c r="F1083" s="2"/>
      <c r="G1083" s="2"/>
      <c r="H1083" s="2"/>
      <c r="I1083" s="2"/>
      <c r="J1083" s="2"/>
      <c r="K1083" s="2"/>
      <c r="L1083" s="2"/>
      <c r="M1083" s="2"/>
      <c r="N1083" s="2"/>
      <c r="O1083" s="2"/>
      <c r="P1083" s="2"/>
      <c r="Q1083" s="45"/>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row>
    <row r="1084">
      <c r="A1084" s="2"/>
      <c r="B1084" s="2"/>
      <c r="C1084" s="2"/>
      <c r="D1084" s="2"/>
      <c r="E1084" s="2"/>
      <c r="F1084" s="2"/>
      <c r="G1084" s="2"/>
      <c r="H1084" s="2"/>
      <c r="I1084" s="2"/>
      <c r="J1084" s="2"/>
      <c r="K1084" s="2"/>
      <c r="L1084" s="2"/>
      <c r="M1084" s="2"/>
      <c r="N1084" s="2"/>
      <c r="O1084" s="2"/>
      <c r="P1084" s="2"/>
      <c r="Q1084" s="45"/>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row>
    <row r="1085">
      <c r="A1085" s="2"/>
      <c r="B1085" s="2"/>
      <c r="C1085" s="2"/>
      <c r="D1085" s="2"/>
      <c r="E1085" s="2"/>
      <c r="F1085" s="2"/>
      <c r="G1085" s="2"/>
      <c r="H1085" s="2"/>
      <c r="I1085" s="2"/>
      <c r="J1085" s="2"/>
      <c r="K1085" s="2"/>
      <c r="L1085" s="2"/>
      <c r="M1085" s="2"/>
      <c r="N1085" s="2"/>
      <c r="O1085" s="2"/>
      <c r="P1085" s="2"/>
      <c r="Q1085" s="45"/>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row>
    <row r="1086">
      <c r="A1086" s="2"/>
      <c r="B1086" s="2"/>
      <c r="C1086" s="2"/>
      <c r="D1086" s="2"/>
      <c r="E1086" s="2"/>
      <c r="F1086" s="2"/>
      <c r="G1086" s="2"/>
      <c r="H1086" s="2"/>
      <c r="I1086" s="2"/>
      <c r="J1086" s="2"/>
      <c r="K1086" s="2"/>
      <c r="L1086" s="2"/>
      <c r="M1086" s="2"/>
      <c r="N1086" s="2"/>
      <c r="O1086" s="2"/>
      <c r="P1086" s="2"/>
      <c r="Q1086" s="45"/>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row>
    <row r="1087">
      <c r="A1087" s="2"/>
      <c r="B1087" s="2"/>
      <c r="C1087" s="2"/>
      <c r="D1087" s="2"/>
      <c r="E1087" s="2"/>
      <c r="F1087" s="2"/>
      <c r="G1087" s="2"/>
      <c r="H1087" s="2"/>
      <c r="I1087" s="2"/>
      <c r="J1087" s="2"/>
      <c r="K1087" s="2"/>
      <c r="L1087" s="2"/>
      <c r="M1087" s="2"/>
      <c r="N1087" s="2"/>
      <c r="O1087" s="2"/>
      <c r="P1087" s="2"/>
      <c r="Q1087" s="45"/>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row>
    <row r="1088">
      <c r="A1088" s="2"/>
      <c r="B1088" s="2"/>
      <c r="C1088" s="2"/>
      <c r="D1088" s="2"/>
      <c r="E1088" s="2"/>
      <c r="F1088" s="2"/>
      <c r="G1088" s="2"/>
      <c r="H1088" s="2"/>
      <c r="I1088" s="2"/>
      <c r="J1088" s="2"/>
      <c r="K1088" s="2"/>
      <c r="L1088" s="2"/>
      <c r="M1088" s="2"/>
      <c r="N1088" s="2"/>
      <c r="O1088" s="2"/>
      <c r="P1088" s="2"/>
      <c r="Q1088" s="45"/>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row>
    <row r="1089">
      <c r="A1089" s="2"/>
      <c r="B1089" s="2"/>
      <c r="C1089" s="2"/>
      <c r="D1089" s="2"/>
      <c r="E1089" s="2"/>
      <c r="F1089" s="2"/>
      <c r="G1089" s="2"/>
      <c r="H1089" s="2"/>
      <c r="I1089" s="2"/>
      <c r="J1089" s="2"/>
      <c r="K1089" s="2"/>
      <c r="L1089" s="2"/>
      <c r="M1089" s="2"/>
      <c r="N1089" s="2"/>
      <c r="O1089" s="2"/>
      <c r="P1089" s="2"/>
      <c r="Q1089" s="45"/>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row>
    <row r="1090">
      <c r="A1090" s="2"/>
      <c r="B1090" s="2"/>
      <c r="C1090" s="2"/>
      <c r="D1090" s="2"/>
      <c r="E1090" s="2"/>
      <c r="F1090" s="2"/>
      <c r="G1090" s="2"/>
      <c r="H1090" s="2"/>
      <c r="I1090" s="2"/>
      <c r="J1090" s="2"/>
      <c r="K1090" s="2"/>
      <c r="L1090" s="2"/>
      <c r="M1090" s="2"/>
      <c r="N1090" s="2"/>
      <c r="O1090" s="2"/>
      <c r="P1090" s="2"/>
      <c r="Q1090" s="45"/>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row>
    <row r="1091">
      <c r="A1091" s="2"/>
      <c r="B1091" s="2"/>
      <c r="C1091" s="2"/>
      <c r="D1091" s="2"/>
      <c r="E1091" s="2"/>
      <c r="F1091" s="2"/>
      <c r="G1091" s="2"/>
      <c r="H1091" s="2"/>
      <c r="I1091" s="2"/>
      <c r="J1091" s="2"/>
      <c r="K1091" s="2"/>
      <c r="L1091" s="2"/>
      <c r="M1091" s="2"/>
      <c r="N1091" s="2"/>
      <c r="O1091" s="2"/>
      <c r="P1091" s="2"/>
      <c r="Q1091" s="45"/>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row>
    <row r="1092">
      <c r="A1092" s="2"/>
      <c r="B1092" s="2"/>
      <c r="C1092" s="2"/>
      <c r="D1092" s="2"/>
      <c r="E1092" s="2"/>
      <c r="F1092" s="2"/>
      <c r="G1092" s="2"/>
      <c r="H1092" s="2"/>
      <c r="I1092" s="2"/>
      <c r="J1092" s="2"/>
      <c r="K1092" s="2"/>
      <c r="L1092" s="2"/>
      <c r="M1092" s="2"/>
      <c r="N1092" s="2"/>
      <c r="O1092" s="2"/>
      <c r="P1092" s="2"/>
      <c r="Q1092" s="45"/>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row>
    <row r="1093">
      <c r="A1093" s="2"/>
      <c r="B1093" s="2"/>
      <c r="C1093" s="2"/>
      <c r="D1093" s="2"/>
      <c r="E1093" s="2"/>
      <c r="F1093" s="2"/>
      <c r="G1093" s="2"/>
      <c r="H1093" s="2"/>
      <c r="I1093" s="2"/>
      <c r="J1093" s="2"/>
      <c r="K1093" s="2"/>
      <c r="L1093" s="2"/>
      <c r="M1093" s="2"/>
      <c r="N1093" s="2"/>
      <c r="O1093" s="2"/>
      <c r="P1093" s="2"/>
      <c r="Q1093" s="45"/>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row>
    <row r="1094">
      <c r="A1094" s="2"/>
      <c r="B1094" s="2"/>
      <c r="C1094" s="2"/>
      <c r="D1094" s="2"/>
      <c r="E1094" s="2"/>
      <c r="F1094" s="2"/>
      <c r="G1094" s="2"/>
      <c r="H1094" s="2"/>
      <c r="I1094" s="2"/>
      <c r="J1094" s="2"/>
      <c r="K1094" s="2"/>
      <c r="L1094" s="2"/>
      <c r="M1094" s="2"/>
      <c r="N1094" s="2"/>
      <c r="O1094" s="2"/>
      <c r="P1094" s="2"/>
      <c r="Q1094" s="45"/>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row>
    <row r="1095">
      <c r="A1095" s="2"/>
      <c r="B1095" s="2"/>
      <c r="C1095" s="2"/>
      <c r="D1095" s="2"/>
      <c r="E1095" s="2"/>
      <c r="F1095" s="2"/>
      <c r="G1095" s="2"/>
      <c r="H1095" s="2"/>
      <c r="I1095" s="2"/>
      <c r="J1095" s="2"/>
      <c r="K1095" s="2"/>
      <c r="L1095" s="2"/>
      <c r="M1095" s="2"/>
      <c r="N1095" s="2"/>
      <c r="O1095" s="2"/>
      <c r="P1095" s="2"/>
      <c r="Q1095" s="45"/>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row>
    <row r="1096">
      <c r="A1096" s="2"/>
      <c r="B1096" s="2"/>
      <c r="C1096" s="2"/>
      <c r="D1096" s="2"/>
      <c r="E1096" s="2"/>
      <c r="F1096" s="2"/>
      <c r="G1096" s="2"/>
      <c r="H1096" s="2"/>
      <c r="I1096" s="2"/>
      <c r="J1096" s="2"/>
      <c r="K1096" s="2"/>
      <c r="L1096" s="2"/>
      <c r="M1096" s="2"/>
      <c r="N1096" s="2"/>
      <c r="O1096" s="2"/>
      <c r="P1096" s="2"/>
      <c r="Q1096" s="45"/>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row>
    <row r="1097">
      <c r="A1097" s="2"/>
      <c r="B1097" s="2"/>
      <c r="C1097" s="2"/>
      <c r="D1097" s="2"/>
      <c r="E1097" s="2"/>
      <c r="F1097" s="2"/>
      <c r="G1097" s="2"/>
      <c r="H1097" s="2"/>
      <c r="I1097" s="2"/>
      <c r="J1097" s="2"/>
      <c r="K1097" s="2"/>
      <c r="L1097" s="2"/>
      <c r="M1097" s="2"/>
      <c r="N1097" s="2"/>
      <c r="O1097" s="2"/>
      <c r="P1097" s="2"/>
      <c r="Q1097" s="45"/>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row>
    <row r="1098">
      <c r="A1098" s="2"/>
      <c r="B1098" s="2"/>
      <c r="C1098" s="2"/>
      <c r="D1098" s="2"/>
      <c r="E1098" s="2"/>
      <c r="F1098" s="2"/>
      <c r="G1098" s="2"/>
      <c r="H1098" s="2"/>
      <c r="I1098" s="2"/>
      <c r="J1098" s="2"/>
      <c r="K1098" s="2"/>
      <c r="L1098" s="2"/>
      <c r="M1098" s="2"/>
      <c r="N1098" s="2"/>
      <c r="O1098" s="2"/>
      <c r="P1098" s="2"/>
      <c r="Q1098" s="45"/>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row>
    <row r="1099">
      <c r="A1099" s="2"/>
      <c r="B1099" s="2"/>
      <c r="C1099" s="2"/>
      <c r="D1099" s="2"/>
      <c r="E1099" s="2"/>
      <c r="F1099" s="2"/>
      <c r="G1099" s="2"/>
      <c r="H1099" s="2"/>
      <c r="I1099" s="2"/>
      <c r="J1099" s="2"/>
      <c r="K1099" s="2"/>
      <c r="L1099" s="2"/>
      <c r="M1099" s="2"/>
      <c r="N1099" s="2"/>
      <c r="O1099" s="2"/>
      <c r="P1099" s="2"/>
      <c r="Q1099" s="45"/>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row>
    <row r="1100">
      <c r="A1100" s="2"/>
      <c r="B1100" s="2"/>
      <c r="C1100" s="2"/>
      <c r="D1100" s="2"/>
      <c r="E1100" s="2"/>
      <c r="F1100" s="2"/>
      <c r="G1100" s="2"/>
      <c r="H1100" s="2"/>
      <c r="I1100" s="2"/>
      <c r="J1100" s="2"/>
      <c r="K1100" s="2"/>
      <c r="L1100" s="2"/>
      <c r="M1100" s="2"/>
      <c r="N1100" s="2"/>
      <c r="O1100" s="2"/>
      <c r="P1100" s="2"/>
      <c r="Q1100" s="45"/>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row>
    <row r="1101">
      <c r="A1101" s="2"/>
      <c r="B1101" s="2"/>
      <c r="C1101" s="2"/>
      <c r="D1101" s="2"/>
      <c r="E1101" s="2"/>
      <c r="F1101" s="2"/>
      <c r="G1101" s="2"/>
      <c r="H1101" s="2"/>
      <c r="I1101" s="2"/>
      <c r="J1101" s="2"/>
      <c r="K1101" s="2"/>
      <c r="L1101" s="2"/>
      <c r="M1101" s="2"/>
      <c r="N1101" s="2"/>
      <c r="O1101" s="2"/>
      <c r="P1101" s="2"/>
      <c r="Q1101" s="45"/>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row>
    <row r="1102">
      <c r="A1102" s="2"/>
      <c r="B1102" s="2"/>
      <c r="C1102" s="2"/>
      <c r="D1102" s="2"/>
      <c r="E1102" s="2"/>
      <c r="F1102" s="2"/>
      <c r="G1102" s="2"/>
      <c r="H1102" s="2"/>
      <c r="I1102" s="2"/>
      <c r="J1102" s="2"/>
      <c r="K1102" s="2"/>
      <c r="L1102" s="2"/>
      <c r="M1102" s="2"/>
      <c r="N1102" s="2"/>
      <c r="O1102" s="2"/>
      <c r="P1102" s="2"/>
      <c r="Q1102" s="45"/>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row>
    <row r="1103">
      <c r="A1103" s="2"/>
      <c r="B1103" s="2"/>
      <c r="C1103" s="2"/>
      <c r="D1103" s="2"/>
      <c r="E1103" s="2"/>
      <c r="F1103" s="2"/>
      <c r="G1103" s="2"/>
      <c r="H1103" s="2"/>
      <c r="I1103" s="2"/>
      <c r="J1103" s="2"/>
      <c r="K1103" s="2"/>
      <c r="L1103" s="2"/>
      <c r="M1103" s="2"/>
      <c r="N1103" s="2"/>
      <c r="O1103" s="2"/>
      <c r="P1103" s="2"/>
      <c r="Q1103" s="45"/>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row>
    <row r="1104">
      <c r="A1104" s="2"/>
      <c r="B1104" s="2"/>
      <c r="C1104" s="2"/>
      <c r="D1104" s="2"/>
      <c r="E1104" s="2"/>
      <c r="F1104" s="2"/>
      <c r="G1104" s="2"/>
      <c r="H1104" s="2"/>
      <c r="I1104" s="2"/>
      <c r="J1104" s="2"/>
      <c r="K1104" s="2"/>
      <c r="L1104" s="2"/>
      <c r="M1104" s="2"/>
      <c r="N1104" s="2"/>
      <c r="O1104" s="2"/>
      <c r="P1104" s="2"/>
      <c r="Q1104" s="45"/>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row>
    <row r="1105">
      <c r="A1105" s="2"/>
      <c r="B1105" s="2"/>
      <c r="C1105" s="2"/>
      <c r="D1105" s="2"/>
      <c r="E1105" s="2"/>
      <c r="F1105" s="2"/>
      <c r="G1105" s="2"/>
      <c r="H1105" s="2"/>
      <c r="I1105" s="2"/>
      <c r="J1105" s="2"/>
      <c r="K1105" s="2"/>
      <c r="L1105" s="2"/>
      <c r="M1105" s="2"/>
      <c r="N1105" s="2"/>
      <c r="O1105" s="2"/>
      <c r="P1105" s="2"/>
      <c r="Q1105" s="45"/>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row>
    <row r="1106">
      <c r="A1106" s="2"/>
      <c r="B1106" s="2"/>
      <c r="C1106" s="2"/>
      <c r="D1106" s="2"/>
      <c r="E1106" s="2"/>
      <c r="F1106" s="2"/>
      <c r="G1106" s="2"/>
      <c r="H1106" s="2"/>
      <c r="I1106" s="2"/>
      <c r="J1106" s="2"/>
      <c r="K1106" s="2"/>
      <c r="L1106" s="2"/>
      <c r="M1106" s="2"/>
      <c r="N1106" s="2"/>
      <c r="O1106" s="2"/>
      <c r="P1106" s="2"/>
      <c r="Q1106" s="45"/>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row>
    <row r="1107">
      <c r="A1107" s="2"/>
      <c r="B1107" s="2"/>
      <c r="C1107" s="2"/>
      <c r="D1107" s="2"/>
      <c r="E1107" s="2"/>
      <c r="F1107" s="2"/>
      <c r="G1107" s="2"/>
      <c r="H1107" s="2"/>
      <c r="I1107" s="2"/>
      <c r="J1107" s="2"/>
      <c r="K1107" s="2"/>
      <c r="L1107" s="2"/>
      <c r="M1107" s="2"/>
      <c r="N1107" s="2"/>
      <c r="O1107" s="2"/>
      <c r="P1107" s="2"/>
      <c r="Q1107" s="45"/>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row>
    <row r="1108">
      <c r="A1108" s="2"/>
      <c r="B1108" s="2"/>
      <c r="C1108" s="2"/>
      <c r="D1108" s="2"/>
      <c r="E1108" s="2"/>
      <c r="F1108" s="2"/>
      <c r="G1108" s="2"/>
      <c r="H1108" s="2"/>
      <c r="I1108" s="2"/>
      <c r="J1108" s="2"/>
      <c r="K1108" s="2"/>
      <c r="L1108" s="2"/>
      <c r="M1108" s="2"/>
      <c r="N1108" s="2"/>
      <c r="O1108" s="2"/>
      <c r="P1108" s="2"/>
      <c r="Q1108" s="45"/>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row>
    <row r="1109">
      <c r="A1109" s="2"/>
      <c r="B1109" s="2"/>
      <c r="C1109" s="2"/>
      <c r="D1109" s="2"/>
      <c r="E1109" s="2"/>
      <c r="F1109" s="2"/>
      <c r="G1109" s="2"/>
      <c r="H1109" s="2"/>
      <c r="I1109" s="2"/>
      <c r="J1109" s="2"/>
      <c r="K1109" s="2"/>
      <c r="L1109" s="2"/>
      <c r="M1109" s="2"/>
      <c r="N1109" s="2"/>
      <c r="O1109" s="2"/>
      <c r="P1109" s="2"/>
      <c r="Q1109" s="45"/>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row>
    <row r="1110">
      <c r="A1110" s="2"/>
      <c r="B1110" s="2"/>
      <c r="C1110" s="2"/>
      <c r="D1110" s="2"/>
      <c r="E1110" s="2"/>
      <c r="F1110" s="2"/>
      <c r="G1110" s="2"/>
      <c r="H1110" s="2"/>
      <c r="I1110" s="2"/>
      <c r="J1110" s="2"/>
      <c r="K1110" s="2"/>
      <c r="L1110" s="2"/>
      <c r="M1110" s="2"/>
      <c r="N1110" s="2"/>
      <c r="O1110" s="2"/>
      <c r="P1110" s="2"/>
      <c r="Q1110" s="45"/>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row>
    <row r="1111">
      <c r="A1111" s="2"/>
      <c r="B1111" s="2"/>
      <c r="C1111" s="2"/>
      <c r="D1111" s="2"/>
      <c r="E1111" s="2"/>
      <c r="F1111" s="2"/>
      <c r="G1111" s="2"/>
      <c r="H1111" s="2"/>
      <c r="I1111" s="2"/>
      <c r="J1111" s="2"/>
      <c r="K1111" s="2"/>
      <c r="L1111" s="2"/>
      <c r="M1111" s="2"/>
      <c r="N1111" s="2"/>
      <c r="O1111" s="2"/>
      <c r="P1111" s="2"/>
      <c r="Q1111" s="45"/>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row>
    <row r="1112">
      <c r="A1112" s="2"/>
      <c r="B1112" s="2"/>
      <c r="C1112" s="2"/>
      <c r="D1112" s="2"/>
      <c r="E1112" s="2"/>
      <c r="F1112" s="2"/>
      <c r="G1112" s="2"/>
      <c r="H1112" s="2"/>
      <c r="I1112" s="2"/>
      <c r="J1112" s="2"/>
      <c r="K1112" s="2"/>
      <c r="L1112" s="2"/>
      <c r="M1112" s="2"/>
      <c r="N1112" s="2"/>
      <c r="O1112" s="2"/>
      <c r="P1112" s="2"/>
      <c r="Q1112" s="45"/>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row>
    <row r="1113">
      <c r="A1113" s="2"/>
      <c r="B1113" s="2"/>
      <c r="C1113" s="2"/>
      <c r="D1113" s="2"/>
      <c r="E1113" s="2"/>
      <c r="F1113" s="2"/>
      <c r="G1113" s="2"/>
      <c r="H1113" s="2"/>
      <c r="I1113" s="2"/>
      <c r="J1113" s="2"/>
      <c r="K1113" s="2"/>
      <c r="L1113" s="2"/>
      <c r="M1113" s="2"/>
      <c r="N1113" s="2"/>
      <c r="O1113" s="2"/>
      <c r="P1113" s="2"/>
      <c r="Q1113" s="45"/>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row>
    <row r="1114">
      <c r="A1114" s="2"/>
      <c r="B1114" s="2"/>
      <c r="C1114" s="2"/>
      <c r="D1114" s="2"/>
      <c r="E1114" s="2"/>
      <c r="F1114" s="2"/>
      <c r="G1114" s="2"/>
      <c r="H1114" s="2"/>
      <c r="I1114" s="2"/>
      <c r="J1114" s="2"/>
      <c r="K1114" s="2"/>
      <c r="L1114" s="2"/>
      <c r="M1114" s="2"/>
      <c r="N1114" s="2"/>
      <c r="O1114" s="2"/>
      <c r="P1114" s="2"/>
      <c r="Q1114" s="45"/>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row>
    <row r="1115">
      <c r="A1115" s="2"/>
      <c r="B1115" s="2"/>
      <c r="C1115" s="2"/>
      <c r="D1115" s="2"/>
      <c r="E1115" s="2"/>
      <c r="F1115" s="2"/>
      <c r="G1115" s="2"/>
      <c r="H1115" s="2"/>
      <c r="I1115" s="2"/>
      <c r="J1115" s="2"/>
      <c r="K1115" s="2"/>
      <c r="L1115" s="2"/>
      <c r="M1115" s="2"/>
      <c r="N1115" s="2"/>
      <c r="O1115" s="2"/>
      <c r="P1115" s="2"/>
      <c r="Q1115" s="45"/>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row>
    <row r="1116">
      <c r="A1116" s="2"/>
      <c r="B1116" s="2"/>
      <c r="C1116" s="2"/>
      <c r="D1116" s="2"/>
      <c r="E1116" s="2"/>
      <c r="F1116" s="2"/>
      <c r="G1116" s="2"/>
      <c r="H1116" s="2"/>
      <c r="I1116" s="2"/>
      <c r="J1116" s="2"/>
      <c r="K1116" s="2"/>
      <c r="L1116" s="2"/>
      <c r="M1116" s="2"/>
      <c r="N1116" s="2"/>
      <c r="O1116" s="2"/>
      <c r="P1116" s="2"/>
      <c r="Q1116" s="45"/>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row>
    <row r="1117">
      <c r="A1117" s="2"/>
      <c r="B1117" s="2"/>
      <c r="C1117" s="2"/>
      <c r="D1117" s="2"/>
      <c r="E1117" s="2"/>
      <c r="F1117" s="2"/>
      <c r="G1117" s="2"/>
      <c r="H1117" s="2"/>
      <c r="I1117" s="2"/>
      <c r="J1117" s="2"/>
      <c r="K1117" s="2"/>
      <c r="L1117" s="2"/>
      <c r="M1117" s="2"/>
      <c r="N1117" s="2"/>
      <c r="O1117" s="2"/>
      <c r="P1117" s="2"/>
      <c r="Q1117" s="45"/>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row>
    <row r="1118">
      <c r="A1118" s="2"/>
      <c r="B1118" s="2"/>
      <c r="C1118" s="2"/>
      <c r="D1118" s="2"/>
      <c r="E1118" s="2"/>
      <c r="F1118" s="2"/>
      <c r="G1118" s="2"/>
      <c r="H1118" s="2"/>
      <c r="I1118" s="2"/>
      <c r="J1118" s="2"/>
      <c r="K1118" s="2"/>
      <c r="L1118" s="2"/>
      <c r="M1118" s="2"/>
      <c r="N1118" s="2"/>
      <c r="O1118" s="2"/>
      <c r="P1118" s="2"/>
      <c r="Q1118" s="45"/>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row>
    <row r="1119">
      <c r="A1119" s="2"/>
      <c r="B1119" s="2"/>
      <c r="C1119" s="2"/>
      <c r="D1119" s="2"/>
      <c r="E1119" s="2"/>
      <c r="F1119" s="2"/>
      <c r="G1119" s="2"/>
      <c r="H1119" s="2"/>
      <c r="I1119" s="2"/>
      <c r="J1119" s="2"/>
      <c r="K1119" s="2"/>
      <c r="L1119" s="2"/>
      <c r="M1119" s="2"/>
      <c r="N1119" s="2"/>
      <c r="O1119" s="2"/>
      <c r="P1119" s="2"/>
      <c r="Q1119" s="45"/>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row>
    <row r="1120">
      <c r="A1120" s="2"/>
      <c r="B1120" s="2"/>
      <c r="C1120" s="2"/>
      <c r="D1120" s="2"/>
      <c r="E1120" s="2"/>
      <c r="F1120" s="2"/>
      <c r="G1120" s="2"/>
      <c r="H1120" s="2"/>
      <c r="I1120" s="2"/>
      <c r="J1120" s="2"/>
      <c r="K1120" s="2"/>
      <c r="L1120" s="2"/>
      <c r="M1120" s="2"/>
      <c r="N1120" s="2"/>
      <c r="O1120" s="2"/>
      <c r="P1120" s="2"/>
      <c r="Q1120" s="45"/>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row>
    <row r="1121">
      <c r="A1121" s="2"/>
      <c r="B1121" s="2"/>
      <c r="C1121" s="2"/>
      <c r="D1121" s="2"/>
      <c r="E1121" s="2"/>
      <c r="F1121" s="2"/>
      <c r="G1121" s="2"/>
      <c r="H1121" s="2"/>
      <c r="I1121" s="2"/>
      <c r="J1121" s="2"/>
      <c r="K1121" s="2"/>
      <c r="L1121" s="2"/>
      <c r="M1121" s="2"/>
      <c r="N1121" s="2"/>
      <c r="O1121" s="2"/>
      <c r="P1121" s="2"/>
      <c r="Q1121" s="45"/>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row>
    <row r="1122">
      <c r="A1122" s="2"/>
      <c r="B1122" s="2"/>
      <c r="C1122" s="2"/>
      <c r="D1122" s="2"/>
      <c r="E1122" s="2"/>
      <c r="F1122" s="2"/>
      <c r="G1122" s="2"/>
      <c r="H1122" s="2"/>
      <c r="I1122" s="2"/>
      <c r="J1122" s="2"/>
      <c r="K1122" s="2"/>
      <c r="L1122" s="2"/>
      <c r="M1122" s="2"/>
      <c r="N1122" s="2"/>
      <c r="O1122" s="2"/>
      <c r="P1122" s="2"/>
      <c r="Q1122" s="45"/>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row>
    <row r="1123">
      <c r="A1123" s="2"/>
      <c r="B1123" s="2"/>
      <c r="C1123" s="2"/>
      <c r="D1123" s="2"/>
      <c r="E1123" s="2"/>
      <c r="F1123" s="2"/>
      <c r="G1123" s="2"/>
      <c r="H1123" s="2"/>
      <c r="I1123" s="2"/>
      <c r="J1123" s="2"/>
      <c r="K1123" s="2"/>
      <c r="L1123" s="2"/>
      <c r="M1123" s="2"/>
      <c r="N1123" s="2"/>
      <c r="O1123" s="2"/>
      <c r="P1123" s="2"/>
      <c r="Q1123" s="45"/>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row>
    <row r="1124">
      <c r="A1124" s="2"/>
      <c r="B1124" s="2"/>
      <c r="C1124" s="2"/>
      <c r="D1124" s="2"/>
      <c r="E1124" s="2"/>
      <c r="F1124" s="2"/>
      <c r="G1124" s="2"/>
      <c r="H1124" s="2"/>
      <c r="I1124" s="2"/>
      <c r="J1124" s="2"/>
      <c r="K1124" s="2"/>
      <c r="L1124" s="2"/>
      <c r="M1124" s="2"/>
      <c r="N1124" s="2"/>
      <c r="O1124" s="2"/>
      <c r="P1124" s="2"/>
      <c r="Q1124" s="45"/>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row>
    <row r="1125">
      <c r="A1125" s="2"/>
      <c r="B1125" s="2"/>
      <c r="C1125" s="2"/>
      <c r="D1125" s="2"/>
      <c r="E1125" s="2"/>
      <c r="F1125" s="2"/>
      <c r="G1125" s="2"/>
      <c r="H1125" s="2"/>
      <c r="I1125" s="2"/>
      <c r="J1125" s="2"/>
      <c r="K1125" s="2"/>
      <c r="L1125" s="2"/>
      <c r="M1125" s="2"/>
      <c r="N1125" s="2"/>
      <c r="O1125" s="2"/>
      <c r="P1125" s="2"/>
      <c r="Q1125" s="45"/>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row>
    <row r="1126">
      <c r="A1126" s="2"/>
      <c r="B1126" s="2"/>
      <c r="C1126" s="2"/>
      <c r="D1126" s="2"/>
      <c r="E1126" s="2"/>
      <c r="F1126" s="2"/>
      <c r="G1126" s="2"/>
      <c r="H1126" s="2"/>
      <c r="I1126" s="2"/>
      <c r="J1126" s="2"/>
      <c r="K1126" s="2"/>
      <c r="L1126" s="2"/>
      <c r="M1126" s="2"/>
      <c r="N1126" s="2"/>
      <c r="O1126" s="2"/>
      <c r="P1126" s="2"/>
      <c r="Q1126" s="45"/>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row>
    <row r="1127">
      <c r="A1127" s="2"/>
      <c r="B1127" s="2"/>
      <c r="C1127" s="2"/>
      <c r="D1127" s="2"/>
      <c r="E1127" s="2"/>
      <c r="F1127" s="2"/>
      <c r="G1127" s="2"/>
      <c r="H1127" s="2"/>
      <c r="I1127" s="2"/>
      <c r="J1127" s="2"/>
      <c r="K1127" s="2"/>
      <c r="L1127" s="2"/>
      <c r="M1127" s="2"/>
      <c r="N1127" s="2"/>
      <c r="O1127" s="2"/>
      <c r="P1127" s="2"/>
      <c r="Q1127" s="45"/>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row>
    <row r="1128">
      <c r="A1128" s="2"/>
      <c r="B1128" s="2"/>
      <c r="C1128" s="2"/>
      <c r="D1128" s="2"/>
      <c r="E1128" s="2"/>
      <c r="F1128" s="2"/>
      <c r="G1128" s="2"/>
      <c r="H1128" s="2"/>
      <c r="I1128" s="2"/>
      <c r="J1128" s="2"/>
      <c r="K1128" s="2"/>
      <c r="L1128" s="2"/>
      <c r="M1128" s="2"/>
      <c r="N1128" s="2"/>
      <c r="O1128" s="2"/>
      <c r="P1128" s="2"/>
      <c r="Q1128" s="45"/>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row>
    <row r="1129">
      <c r="A1129" s="2"/>
      <c r="B1129" s="2"/>
      <c r="C1129" s="2"/>
      <c r="D1129" s="2"/>
      <c r="E1129" s="2"/>
      <c r="F1129" s="2"/>
      <c r="G1129" s="2"/>
      <c r="H1129" s="2"/>
      <c r="I1129" s="2"/>
      <c r="J1129" s="2"/>
      <c r="K1129" s="2"/>
      <c r="L1129" s="2"/>
      <c r="M1129" s="2"/>
      <c r="N1129" s="2"/>
      <c r="O1129" s="2"/>
      <c r="P1129" s="2"/>
      <c r="Q1129" s="45"/>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row>
    <row r="1130">
      <c r="A1130" s="2"/>
      <c r="B1130" s="2"/>
      <c r="C1130" s="2"/>
      <c r="D1130" s="2"/>
      <c r="E1130" s="2"/>
      <c r="F1130" s="2"/>
      <c r="G1130" s="2"/>
      <c r="H1130" s="2"/>
      <c r="I1130" s="2"/>
      <c r="J1130" s="2"/>
      <c r="K1130" s="2"/>
      <c r="L1130" s="2"/>
      <c r="M1130" s="2"/>
      <c r="N1130" s="2"/>
      <c r="O1130" s="2"/>
      <c r="P1130" s="2"/>
      <c r="Q1130" s="45"/>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row>
    <row r="1131">
      <c r="A1131" s="2"/>
      <c r="B1131" s="2"/>
      <c r="C1131" s="2"/>
      <c r="D1131" s="2"/>
      <c r="E1131" s="2"/>
      <c r="F1131" s="2"/>
      <c r="G1131" s="2"/>
      <c r="H1131" s="2"/>
      <c r="I1131" s="2"/>
      <c r="J1131" s="2"/>
      <c r="K1131" s="2"/>
      <c r="L1131" s="2"/>
      <c r="M1131" s="2"/>
      <c r="N1131" s="2"/>
      <c r="O1131" s="2"/>
      <c r="P1131" s="2"/>
      <c r="Q1131" s="45"/>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row>
    <row r="1132">
      <c r="A1132" s="2"/>
      <c r="B1132" s="2"/>
      <c r="C1132" s="2"/>
      <c r="D1132" s="2"/>
      <c r="E1132" s="2"/>
      <c r="F1132" s="2"/>
      <c r="G1132" s="2"/>
      <c r="H1132" s="2"/>
      <c r="I1132" s="2"/>
      <c r="J1132" s="2"/>
      <c r="K1132" s="2"/>
      <c r="L1132" s="2"/>
      <c r="M1132" s="2"/>
      <c r="N1132" s="2"/>
      <c r="O1132" s="2"/>
      <c r="P1132" s="2"/>
      <c r="Q1132" s="45"/>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row>
    <row r="1133">
      <c r="A1133" s="2"/>
      <c r="B1133" s="2"/>
      <c r="C1133" s="2"/>
      <c r="D1133" s="2"/>
      <c r="E1133" s="2"/>
      <c r="F1133" s="2"/>
      <c r="G1133" s="2"/>
      <c r="H1133" s="2"/>
      <c r="I1133" s="2"/>
      <c r="J1133" s="2"/>
      <c r="K1133" s="2"/>
      <c r="L1133" s="2"/>
      <c r="M1133" s="2"/>
      <c r="N1133" s="2"/>
      <c r="O1133" s="2"/>
      <c r="P1133" s="2"/>
      <c r="Q1133" s="45"/>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row>
    <row r="1134">
      <c r="A1134" s="2"/>
      <c r="B1134" s="2"/>
      <c r="C1134" s="2"/>
      <c r="D1134" s="2"/>
      <c r="E1134" s="2"/>
      <c r="F1134" s="2"/>
      <c r="G1134" s="2"/>
      <c r="H1134" s="2"/>
      <c r="I1134" s="2"/>
      <c r="J1134" s="2"/>
      <c r="K1134" s="2"/>
      <c r="L1134" s="2"/>
      <c r="M1134" s="2"/>
      <c r="N1134" s="2"/>
      <c r="O1134" s="2"/>
      <c r="P1134" s="2"/>
      <c r="Q1134" s="45"/>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row>
    <row r="1135">
      <c r="A1135" s="2"/>
      <c r="B1135" s="2"/>
      <c r="C1135" s="2"/>
      <c r="D1135" s="2"/>
      <c r="E1135" s="2"/>
      <c r="F1135" s="2"/>
      <c r="G1135" s="2"/>
      <c r="H1135" s="2"/>
      <c r="I1135" s="2"/>
      <c r="J1135" s="2"/>
      <c r="K1135" s="2"/>
      <c r="L1135" s="2"/>
      <c r="M1135" s="2"/>
      <c r="N1135" s="2"/>
      <c r="O1135" s="2"/>
      <c r="P1135" s="2"/>
      <c r="Q1135" s="45"/>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row>
    <row r="1136">
      <c r="A1136" s="2"/>
      <c r="B1136" s="2"/>
      <c r="C1136" s="2"/>
      <c r="D1136" s="2"/>
      <c r="E1136" s="2"/>
      <c r="F1136" s="2"/>
      <c r="G1136" s="2"/>
      <c r="H1136" s="2"/>
      <c r="I1136" s="2"/>
      <c r="J1136" s="2"/>
      <c r="K1136" s="2"/>
      <c r="L1136" s="2"/>
      <c r="M1136" s="2"/>
      <c r="N1136" s="2"/>
      <c r="O1136" s="2"/>
      <c r="P1136" s="2"/>
      <c r="Q1136" s="45"/>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row>
    <row r="1137">
      <c r="A1137" s="2"/>
      <c r="B1137" s="2"/>
      <c r="C1137" s="2"/>
      <c r="D1137" s="2"/>
      <c r="E1137" s="2"/>
      <c r="F1137" s="2"/>
      <c r="G1137" s="2"/>
      <c r="H1137" s="2"/>
      <c r="I1137" s="2"/>
      <c r="J1137" s="2"/>
      <c r="K1137" s="2"/>
      <c r="L1137" s="2"/>
      <c r="M1137" s="2"/>
      <c r="N1137" s="2"/>
      <c r="O1137" s="2"/>
      <c r="P1137" s="2"/>
      <c r="Q1137" s="45"/>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row>
    <row r="1138">
      <c r="A1138" s="2"/>
      <c r="B1138" s="2"/>
      <c r="C1138" s="2"/>
      <c r="D1138" s="2"/>
      <c r="E1138" s="2"/>
      <c r="F1138" s="2"/>
      <c r="G1138" s="2"/>
      <c r="H1138" s="2"/>
      <c r="I1138" s="2"/>
      <c r="J1138" s="2"/>
      <c r="K1138" s="2"/>
      <c r="L1138" s="2"/>
      <c r="M1138" s="2"/>
      <c r="N1138" s="2"/>
      <c r="O1138" s="2"/>
      <c r="P1138" s="2"/>
      <c r="Q1138" s="45"/>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row>
    <row r="1139">
      <c r="A1139" s="2"/>
      <c r="B1139" s="2"/>
      <c r="C1139" s="2"/>
      <c r="D1139" s="2"/>
      <c r="E1139" s="2"/>
      <c r="F1139" s="2"/>
      <c r="G1139" s="2"/>
      <c r="H1139" s="2"/>
      <c r="I1139" s="2"/>
      <c r="J1139" s="2"/>
      <c r="K1139" s="2"/>
      <c r="L1139" s="2"/>
      <c r="M1139" s="2"/>
      <c r="N1139" s="2"/>
      <c r="O1139" s="2"/>
      <c r="P1139" s="2"/>
      <c r="Q1139" s="45"/>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row>
    <row r="1140">
      <c r="A1140" s="2"/>
      <c r="B1140" s="2"/>
      <c r="C1140" s="2"/>
      <c r="D1140" s="2"/>
      <c r="E1140" s="2"/>
      <c r="F1140" s="2"/>
      <c r="G1140" s="2"/>
      <c r="H1140" s="2"/>
      <c r="I1140" s="2"/>
      <c r="J1140" s="2"/>
      <c r="K1140" s="2"/>
      <c r="L1140" s="2"/>
      <c r="M1140" s="2"/>
      <c r="N1140" s="2"/>
      <c r="O1140" s="2"/>
      <c r="P1140" s="2"/>
      <c r="Q1140" s="45"/>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row>
    <row r="1141">
      <c r="A1141" s="2"/>
      <c r="B1141" s="2"/>
      <c r="C1141" s="2"/>
      <c r="D1141" s="2"/>
      <c r="E1141" s="2"/>
      <c r="F1141" s="2"/>
      <c r="G1141" s="2"/>
      <c r="H1141" s="2"/>
      <c r="I1141" s="2"/>
      <c r="J1141" s="2"/>
      <c r="K1141" s="2"/>
      <c r="L1141" s="2"/>
      <c r="M1141" s="2"/>
      <c r="N1141" s="2"/>
      <c r="O1141" s="2"/>
      <c r="P1141" s="2"/>
      <c r="Q1141" s="45"/>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row>
    <row r="1142">
      <c r="A1142" s="2"/>
      <c r="B1142" s="2"/>
      <c r="C1142" s="2"/>
      <c r="D1142" s="2"/>
      <c r="E1142" s="2"/>
      <c r="F1142" s="2"/>
      <c r="G1142" s="2"/>
      <c r="H1142" s="2"/>
      <c r="I1142" s="2"/>
      <c r="J1142" s="2"/>
      <c r="K1142" s="2"/>
      <c r="L1142" s="2"/>
      <c r="M1142" s="2"/>
      <c r="N1142" s="2"/>
      <c r="O1142" s="2"/>
      <c r="P1142" s="2"/>
      <c r="Q1142" s="45"/>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row>
    <row r="1143">
      <c r="A1143" s="2"/>
      <c r="B1143" s="2"/>
      <c r="C1143" s="2"/>
      <c r="D1143" s="2"/>
      <c r="E1143" s="2"/>
      <c r="F1143" s="2"/>
      <c r="G1143" s="2"/>
      <c r="H1143" s="2"/>
      <c r="I1143" s="2"/>
      <c r="J1143" s="2"/>
      <c r="K1143" s="2"/>
      <c r="L1143" s="2"/>
      <c r="M1143" s="2"/>
      <c r="N1143" s="2"/>
      <c r="O1143" s="2"/>
      <c r="P1143" s="2"/>
      <c r="Q1143" s="45"/>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row>
    <row r="1144">
      <c r="A1144" s="2"/>
      <c r="B1144" s="2"/>
      <c r="C1144" s="2"/>
      <c r="D1144" s="2"/>
      <c r="E1144" s="2"/>
      <c r="F1144" s="2"/>
      <c r="G1144" s="2"/>
      <c r="H1144" s="2"/>
      <c r="I1144" s="2"/>
      <c r="J1144" s="2"/>
      <c r="K1144" s="2"/>
      <c r="L1144" s="2"/>
      <c r="M1144" s="2"/>
      <c r="N1144" s="2"/>
      <c r="O1144" s="2"/>
      <c r="P1144" s="2"/>
      <c r="Q1144" s="45"/>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row>
    <row r="1145">
      <c r="A1145" s="2"/>
      <c r="B1145" s="2"/>
      <c r="C1145" s="2"/>
      <c r="D1145" s="2"/>
      <c r="E1145" s="2"/>
      <c r="F1145" s="2"/>
      <c r="G1145" s="2"/>
      <c r="H1145" s="2"/>
      <c r="I1145" s="2"/>
      <c r="J1145" s="2"/>
      <c r="K1145" s="2"/>
      <c r="L1145" s="2"/>
      <c r="M1145" s="2"/>
      <c r="N1145" s="2"/>
      <c r="O1145" s="2"/>
      <c r="P1145" s="2"/>
      <c r="Q1145" s="45"/>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row>
    <row r="1146">
      <c r="A1146" s="2"/>
      <c r="B1146" s="2"/>
      <c r="C1146" s="2"/>
      <c r="D1146" s="2"/>
      <c r="E1146" s="2"/>
      <c r="F1146" s="2"/>
      <c r="G1146" s="2"/>
      <c r="H1146" s="2"/>
      <c r="I1146" s="2"/>
      <c r="J1146" s="2"/>
      <c r="K1146" s="2"/>
      <c r="L1146" s="2"/>
      <c r="M1146" s="2"/>
      <c r="N1146" s="2"/>
      <c r="O1146" s="2"/>
      <c r="P1146" s="2"/>
      <c r="Q1146" s="45"/>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row>
    <row r="1147">
      <c r="A1147" s="2"/>
      <c r="B1147" s="2"/>
      <c r="C1147" s="2"/>
      <c r="D1147" s="2"/>
      <c r="E1147" s="2"/>
      <c r="F1147" s="2"/>
      <c r="G1147" s="2"/>
      <c r="H1147" s="2"/>
      <c r="I1147" s="2"/>
      <c r="J1147" s="2"/>
      <c r="K1147" s="2"/>
      <c r="L1147" s="2"/>
      <c r="M1147" s="2"/>
      <c r="N1147" s="2"/>
      <c r="O1147" s="2"/>
      <c r="P1147" s="2"/>
      <c r="Q1147" s="45"/>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row>
    <row r="1148">
      <c r="A1148" s="2"/>
      <c r="B1148" s="2"/>
      <c r="C1148" s="2"/>
      <c r="D1148" s="2"/>
      <c r="E1148" s="2"/>
      <c r="F1148" s="2"/>
      <c r="G1148" s="2"/>
      <c r="H1148" s="2"/>
      <c r="I1148" s="2"/>
      <c r="J1148" s="2"/>
      <c r="K1148" s="2"/>
      <c r="L1148" s="2"/>
      <c r="M1148" s="2"/>
      <c r="N1148" s="2"/>
      <c r="O1148" s="2"/>
      <c r="P1148" s="2"/>
      <c r="Q1148" s="45"/>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row>
    <row r="1149">
      <c r="A1149" s="2"/>
      <c r="B1149" s="2"/>
      <c r="C1149" s="2"/>
      <c r="D1149" s="2"/>
      <c r="E1149" s="2"/>
      <c r="F1149" s="2"/>
      <c r="G1149" s="2"/>
      <c r="H1149" s="2"/>
      <c r="I1149" s="2"/>
      <c r="J1149" s="2"/>
      <c r="K1149" s="2"/>
      <c r="L1149" s="2"/>
      <c r="M1149" s="2"/>
      <c r="N1149" s="2"/>
      <c r="O1149" s="2"/>
      <c r="P1149" s="2"/>
      <c r="Q1149" s="45"/>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row>
    <row r="1150">
      <c r="A1150" s="2"/>
      <c r="B1150" s="2"/>
      <c r="C1150" s="2"/>
      <c r="D1150" s="2"/>
      <c r="E1150" s="2"/>
      <c r="F1150" s="2"/>
      <c r="G1150" s="2"/>
      <c r="H1150" s="2"/>
      <c r="I1150" s="2"/>
      <c r="J1150" s="2"/>
      <c r="K1150" s="2"/>
      <c r="L1150" s="2"/>
      <c r="M1150" s="2"/>
      <c r="N1150" s="2"/>
      <c r="O1150" s="2"/>
      <c r="P1150" s="2"/>
      <c r="Q1150" s="45"/>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row>
    <row r="1151">
      <c r="A1151" s="2"/>
      <c r="B1151" s="2"/>
      <c r="C1151" s="2"/>
      <c r="D1151" s="2"/>
      <c r="E1151" s="2"/>
      <c r="F1151" s="2"/>
      <c r="G1151" s="2"/>
      <c r="H1151" s="2"/>
      <c r="I1151" s="2"/>
      <c r="J1151" s="2"/>
      <c r="K1151" s="2"/>
      <c r="L1151" s="2"/>
      <c r="M1151" s="2"/>
      <c r="N1151" s="2"/>
      <c r="O1151" s="2"/>
      <c r="P1151" s="2"/>
      <c r="Q1151" s="45"/>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row>
    <row r="1152">
      <c r="A1152" s="2"/>
      <c r="B1152" s="2"/>
      <c r="C1152" s="2"/>
      <c r="D1152" s="2"/>
      <c r="E1152" s="2"/>
      <c r="F1152" s="2"/>
      <c r="G1152" s="2"/>
      <c r="H1152" s="2"/>
      <c r="I1152" s="2"/>
      <c r="J1152" s="2"/>
      <c r="K1152" s="2"/>
      <c r="L1152" s="2"/>
      <c r="M1152" s="2"/>
      <c r="N1152" s="2"/>
      <c r="O1152" s="2"/>
      <c r="P1152" s="2"/>
      <c r="Q1152" s="45"/>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row>
    <row r="1153">
      <c r="A1153" s="2"/>
      <c r="B1153" s="2"/>
      <c r="C1153" s="2"/>
      <c r="D1153" s="2"/>
      <c r="E1153" s="2"/>
      <c r="F1153" s="2"/>
      <c r="G1153" s="2"/>
      <c r="H1153" s="2"/>
      <c r="I1153" s="2"/>
      <c r="J1153" s="2"/>
      <c r="K1153" s="2"/>
      <c r="L1153" s="2"/>
      <c r="M1153" s="2"/>
      <c r="N1153" s="2"/>
      <c r="O1153" s="2"/>
      <c r="P1153" s="2"/>
      <c r="Q1153" s="45"/>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row>
    <row r="1154">
      <c r="A1154" s="2"/>
      <c r="B1154" s="2"/>
      <c r="C1154" s="2"/>
      <c r="D1154" s="2"/>
      <c r="E1154" s="2"/>
      <c r="F1154" s="2"/>
      <c r="G1154" s="2"/>
      <c r="H1154" s="2"/>
      <c r="I1154" s="2"/>
      <c r="J1154" s="2"/>
      <c r="K1154" s="2"/>
      <c r="L1154" s="2"/>
      <c r="M1154" s="2"/>
      <c r="N1154" s="2"/>
      <c r="O1154" s="2"/>
      <c r="P1154" s="2"/>
      <c r="Q1154" s="45"/>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row>
    <row r="1155">
      <c r="A1155" s="2"/>
      <c r="B1155" s="2"/>
      <c r="C1155" s="2"/>
      <c r="D1155" s="2"/>
      <c r="E1155" s="2"/>
      <c r="F1155" s="2"/>
      <c r="G1155" s="2"/>
      <c r="H1155" s="2"/>
      <c r="I1155" s="2"/>
      <c r="J1155" s="2"/>
      <c r="K1155" s="2"/>
      <c r="L1155" s="2"/>
      <c r="M1155" s="2"/>
      <c r="N1155" s="2"/>
      <c r="O1155" s="2"/>
      <c r="P1155" s="2"/>
      <c r="Q1155" s="45"/>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row>
    <row r="1156">
      <c r="A1156" s="2"/>
      <c r="B1156" s="2"/>
      <c r="C1156" s="2"/>
      <c r="D1156" s="2"/>
      <c r="E1156" s="2"/>
      <c r="F1156" s="2"/>
      <c r="G1156" s="2"/>
      <c r="H1156" s="2"/>
      <c r="I1156" s="2"/>
      <c r="J1156" s="2"/>
      <c r="K1156" s="2"/>
      <c r="L1156" s="2"/>
      <c r="M1156" s="2"/>
      <c r="N1156" s="2"/>
      <c r="O1156" s="2"/>
      <c r="P1156" s="2"/>
      <c r="Q1156" s="45"/>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row>
    <row r="1157">
      <c r="A1157" s="2"/>
      <c r="B1157" s="2"/>
      <c r="C1157" s="2"/>
      <c r="D1157" s="2"/>
      <c r="E1157" s="2"/>
      <c r="F1157" s="2"/>
      <c r="G1157" s="2"/>
      <c r="H1157" s="2"/>
      <c r="I1157" s="2"/>
      <c r="J1157" s="2"/>
      <c r="K1157" s="2"/>
      <c r="L1157" s="2"/>
      <c r="M1157" s="2"/>
      <c r="N1157" s="2"/>
      <c r="O1157" s="2"/>
      <c r="P1157" s="2"/>
      <c r="Q1157" s="45"/>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row>
    <row r="1158">
      <c r="A1158" s="2"/>
      <c r="B1158" s="2"/>
      <c r="C1158" s="2"/>
      <c r="D1158" s="2"/>
      <c r="E1158" s="2"/>
      <c r="F1158" s="2"/>
      <c r="G1158" s="2"/>
      <c r="H1158" s="2"/>
      <c r="I1158" s="2"/>
      <c r="J1158" s="2"/>
      <c r="K1158" s="2"/>
      <c r="L1158" s="2"/>
      <c r="M1158" s="2"/>
      <c r="N1158" s="2"/>
      <c r="O1158" s="2"/>
      <c r="P1158" s="2"/>
      <c r="Q1158" s="45"/>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row>
    <row r="1159">
      <c r="A1159" s="2"/>
      <c r="B1159" s="2"/>
      <c r="C1159" s="2"/>
      <c r="D1159" s="2"/>
      <c r="E1159" s="2"/>
      <c r="F1159" s="2"/>
      <c r="G1159" s="2"/>
      <c r="H1159" s="2"/>
      <c r="I1159" s="2"/>
      <c r="J1159" s="2"/>
      <c r="K1159" s="2"/>
      <c r="L1159" s="2"/>
      <c r="M1159" s="2"/>
      <c r="N1159" s="2"/>
      <c r="O1159" s="2"/>
      <c r="P1159" s="2"/>
      <c r="Q1159" s="45"/>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row>
    <row r="1160">
      <c r="A1160" s="2"/>
      <c r="B1160" s="2"/>
      <c r="C1160" s="2"/>
      <c r="D1160" s="2"/>
      <c r="E1160" s="2"/>
      <c r="F1160" s="2"/>
      <c r="G1160" s="2"/>
      <c r="H1160" s="2"/>
      <c r="I1160" s="2"/>
      <c r="J1160" s="2"/>
      <c r="K1160" s="2"/>
      <c r="L1160" s="2"/>
      <c r="M1160" s="2"/>
      <c r="N1160" s="2"/>
      <c r="O1160" s="2"/>
      <c r="P1160" s="2"/>
      <c r="Q1160" s="45"/>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row>
    <row r="1161">
      <c r="A1161" s="2"/>
      <c r="B1161" s="2"/>
      <c r="C1161" s="2"/>
      <c r="D1161" s="2"/>
      <c r="E1161" s="2"/>
      <c r="F1161" s="2"/>
      <c r="G1161" s="2"/>
      <c r="H1161" s="2"/>
      <c r="I1161" s="2"/>
      <c r="J1161" s="2"/>
      <c r="K1161" s="2"/>
      <c r="L1161" s="2"/>
      <c r="M1161" s="2"/>
      <c r="N1161" s="2"/>
      <c r="O1161" s="2"/>
      <c r="P1161" s="2"/>
      <c r="Q1161" s="45"/>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row>
    <row r="1162">
      <c r="A1162" s="2"/>
      <c r="B1162" s="2"/>
      <c r="C1162" s="2"/>
      <c r="D1162" s="2"/>
      <c r="E1162" s="2"/>
      <c r="F1162" s="2"/>
      <c r="G1162" s="2"/>
      <c r="H1162" s="2"/>
      <c r="I1162" s="2"/>
      <c r="J1162" s="2"/>
      <c r="K1162" s="2"/>
      <c r="L1162" s="2"/>
      <c r="M1162" s="2"/>
      <c r="N1162" s="2"/>
      <c r="O1162" s="2"/>
      <c r="P1162" s="2"/>
      <c r="Q1162" s="45"/>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row>
    <row r="1163">
      <c r="A1163" s="2"/>
      <c r="B1163" s="2"/>
      <c r="C1163" s="2"/>
      <c r="D1163" s="2"/>
      <c r="E1163" s="2"/>
      <c r="F1163" s="2"/>
      <c r="G1163" s="2"/>
      <c r="H1163" s="2"/>
      <c r="I1163" s="2"/>
      <c r="J1163" s="2"/>
      <c r="K1163" s="2"/>
      <c r="L1163" s="2"/>
      <c r="M1163" s="2"/>
      <c r="N1163" s="2"/>
      <c r="O1163" s="2"/>
      <c r="P1163" s="2"/>
      <c r="Q1163" s="45"/>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row>
    <row r="1164">
      <c r="A1164" s="2"/>
      <c r="B1164" s="2"/>
      <c r="C1164" s="2"/>
      <c r="D1164" s="2"/>
      <c r="E1164" s="2"/>
      <c r="F1164" s="2"/>
      <c r="G1164" s="2"/>
      <c r="H1164" s="2"/>
      <c r="I1164" s="2"/>
      <c r="J1164" s="2"/>
      <c r="K1164" s="2"/>
      <c r="L1164" s="2"/>
      <c r="M1164" s="2"/>
      <c r="N1164" s="2"/>
      <c r="O1164" s="2"/>
      <c r="P1164" s="2"/>
      <c r="Q1164" s="45"/>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row>
    <row r="1165">
      <c r="A1165" s="2"/>
      <c r="B1165" s="2"/>
      <c r="C1165" s="2"/>
      <c r="D1165" s="2"/>
      <c r="E1165" s="2"/>
      <c r="F1165" s="2"/>
      <c r="G1165" s="2"/>
      <c r="H1165" s="2"/>
      <c r="I1165" s="2"/>
      <c r="J1165" s="2"/>
      <c r="K1165" s="2"/>
      <c r="L1165" s="2"/>
      <c r="M1165" s="2"/>
      <c r="N1165" s="2"/>
      <c r="O1165" s="2"/>
      <c r="P1165" s="2"/>
      <c r="Q1165" s="45"/>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row>
    <row r="1166">
      <c r="A1166" s="2"/>
      <c r="B1166" s="2"/>
      <c r="C1166" s="2"/>
      <c r="D1166" s="2"/>
      <c r="E1166" s="2"/>
      <c r="F1166" s="2"/>
      <c r="G1166" s="2"/>
      <c r="H1166" s="2"/>
      <c r="I1166" s="2"/>
      <c r="J1166" s="2"/>
      <c r="K1166" s="2"/>
      <c r="L1166" s="2"/>
      <c r="M1166" s="2"/>
      <c r="N1166" s="2"/>
      <c r="O1166" s="2"/>
      <c r="P1166" s="2"/>
      <c r="Q1166" s="45"/>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row>
    <row r="1167">
      <c r="A1167" s="2"/>
      <c r="B1167" s="2"/>
      <c r="C1167" s="2"/>
      <c r="D1167" s="2"/>
      <c r="E1167" s="2"/>
      <c r="F1167" s="2"/>
      <c r="G1167" s="2"/>
      <c r="H1167" s="2"/>
      <c r="I1167" s="2"/>
      <c r="J1167" s="2"/>
      <c r="K1167" s="2"/>
      <c r="L1167" s="2"/>
      <c r="M1167" s="2"/>
      <c r="N1167" s="2"/>
      <c r="O1167" s="2"/>
      <c r="P1167" s="2"/>
      <c r="Q1167" s="45"/>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row>
    <row r="1168">
      <c r="A1168" s="2"/>
      <c r="B1168" s="2"/>
      <c r="C1168" s="2"/>
      <c r="D1168" s="2"/>
      <c r="E1168" s="2"/>
      <c r="F1168" s="2"/>
      <c r="G1168" s="2"/>
      <c r="H1168" s="2"/>
      <c r="I1168" s="2"/>
      <c r="J1168" s="2"/>
      <c r="K1168" s="2"/>
      <c r="L1168" s="2"/>
      <c r="M1168" s="2"/>
      <c r="N1168" s="2"/>
      <c r="O1168" s="2"/>
      <c r="P1168" s="2"/>
      <c r="Q1168" s="45"/>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row>
    <row r="1169">
      <c r="A1169" s="2"/>
      <c r="B1169" s="2"/>
      <c r="C1169" s="2"/>
      <c r="D1169" s="2"/>
      <c r="E1169" s="2"/>
      <c r="F1169" s="2"/>
      <c r="G1169" s="2"/>
      <c r="H1169" s="2"/>
      <c r="I1169" s="2"/>
      <c r="J1169" s="2"/>
      <c r="K1169" s="2"/>
      <c r="L1169" s="2"/>
      <c r="M1169" s="2"/>
      <c r="N1169" s="2"/>
      <c r="O1169" s="2"/>
      <c r="P1169" s="2"/>
      <c r="Q1169" s="45"/>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row>
    <row r="1170">
      <c r="A1170" s="2"/>
      <c r="B1170" s="2"/>
      <c r="C1170" s="2"/>
      <c r="D1170" s="2"/>
      <c r="E1170" s="2"/>
      <c r="F1170" s="2"/>
      <c r="G1170" s="2"/>
      <c r="H1170" s="2"/>
      <c r="I1170" s="2"/>
      <c r="J1170" s="2"/>
      <c r="K1170" s="2"/>
      <c r="L1170" s="2"/>
      <c r="M1170" s="2"/>
      <c r="N1170" s="2"/>
      <c r="O1170" s="2"/>
      <c r="P1170" s="2"/>
      <c r="Q1170" s="45"/>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row>
    <row r="1171">
      <c r="A1171" s="2"/>
      <c r="B1171" s="2"/>
      <c r="C1171" s="2"/>
      <c r="D1171" s="2"/>
      <c r="E1171" s="2"/>
      <c r="F1171" s="2"/>
      <c r="G1171" s="2"/>
      <c r="H1171" s="2"/>
      <c r="I1171" s="2"/>
      <c r="J1171" s="2"/>
      <c r="K1171" s="2"/>
      <c r="L1171" s="2"/>
      <c r="M1171" s="2"/>
      <c r="N1171" s="2"/>
      <c r="O1171" s="2"/>
      <c r="P1171" s="2"/>
      <c r="Q1171" s="45"/>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row>
    <row r="1172">
      <c r="A1172" s="2"/>
      <c r="B1172" s="2"/>
      <c r="C1172" s="2"/>
      <c r="D1172" s="2"/>
      <c r="E1172" s="2"/>
      <c r="F1172" s="2"/>
      <c r="G1172" s="2"/>
      <c r="H1172" s="2"/>
      <c r="I1172" s="2"/>
      <c r="J1172" s="2"/>
      <c r="K1172" s="2"/>
      <c r="L1172" s="2"/>
      <c r="M1172" s="2"/>
      <c r="N1172" s="2"/>
      <c r="O1172" s="2"/>
      <c r="P1172" s="2"/>
      <c r="Q1172" s="45"/>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row>
    <row r="1173">
      <c r="A1173" s="2"/>
      <c r="B1173" s="2"/>
      <c r="C1173" s="2"/>
      <c r="D1173" s="2"/>
      <c r="E1173" s="2"/>
      <c r="F1173" s="2"/>
      <c r="G1173" s="2"/>
      <c r="H1173" s="2"/>
      <c r="I1173" s="2"/>
      <c r="J1173" s="2"/>
      <c r="K1173" s="2"/>
      <c r="L1173" s="2"/>
      <c r="M1173" s="2"/>
      <c r="N1173" s="2"/>
      <c r="O1173" s="2"/>
      <c r="P1173" s="2"/>
      <c r="Q1173" s="45"/>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row>
    <row r="1174">
      <c r="A1174" s="2"/>
      <c r="B1174" s="2"/>
      <c r="C1174" s="2"/>
      <c r="D1174" s="2"/>
      <c r="E1174" s="2"/>
      <c r="F1174" s="2"/>
      <c r="G1174" s="2"/>
      <c r="H1174" s="2"/>
      <c r="I1174" s="2"/>
      <c r="J1174" s="2"/>
      <c r="K1174" s="2"/>
      <c r="L1174" s="2"/>
      <c r="M1174" s="2"/>
      <c r="N1174" s="2"/>
      <c r="O1174" s="2"/>
      <c r="P1174" s="2"/>
      <c r="Q1174" s="45"/>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row>
    <row r="1175">
      <c r="A1175" s="2"/>
      <c r="B1175" s="2"/>
      <c r="C1175" s="2"/>
      <c r="D1175" s="2"/>
      <c r="E1175" s="2"/>
      <c r="F1175" s="2"/>
      <c r="G1175" s="2"/>
      <c r="H1175" s="2"/>
      <c r="I1175" s="2"/>
      <c r="J1175" s="2"/>
      <c r="K1175" s="2"/>
      <c r="L1175" s="2"/>
      <c r="M1175" s="2"/>
      <c r="N1175" s="2"/>
      <c r="O1175" s="2"/>
      <c r="P1175" s="2"/>
      <c r="Q1175" s="45"/>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row>
    <row r="1176">
      <c r="A1176" s="2"/>
      <c r="B1176" s="2"/>
      <c r="C1176" s="2"/>
      <c r="D1176" s="2"/>
      <c r="E1176" s="2"/>
      <c r="F1176" s="2"/>
      <c r="G1176" s="2"/>
      <c r="H1176" s="2"/>
      <c r="I1176" s="2"/>
      <c r="J1176" s="2"/>
      <c r="K1176" s="2"/>
      <c r="L1176" s="2"/>
      <c r="M1176" s="2"/>
      <c r="N1176" s="2"/>
      <c r="O1176" s="2"/>
      <c r="P1176" s="2"/>
      <c r="Q1176" s="45"/>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row>
    <row r="1177">
      <c r="A1177" s="2"/>
      <c r="B1177" s="2"/>
      <c r="C1177" s="2"/>
      <c r="D1177" s="2"/>
      <c r="E1177" s="2"/>
      <c r="F1177" s="2"/>
      <c r="G1177" s="2"/>
      <c r="H1177" s="2"/>
      <c r="I1177" s="2"/>
      <c r="J1177" s="2"/>
      <c r="K1177" s="2"/>
      <c r="L1177" s="2"/>
      <c r="M1177" s="2"/>
      <c r="N1177" s="2"/>
      <c r="O1177" s="2"/>
      <c r="P1177" s="2"/>
      <c r="Q1177" s="45"/>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row>
    <row r="1178">
      <c r="A1178" s="2"/>
      <c r="B1178" s="2"/>
      <c r="C1178" s="2"/>
      <c r="D1178" s="2"/>
      <c r="E1178" s="2"/>
      <c r="F1178" s="2"/>
      <c r="G1178" s="2"/>
      <c r="H1178" s="2"/>
      <c r="I1178" s="2"/>
      <c r="J1178" s="2"/>
      <c r="K1178" s="2"/>
      <c r="L1178" s="2"/>
      <c r="M1178" s="2"/>
      <c r="N1178" s="2"/>
      <c r="O1178" s="2"/>
      <c r="P1178" s="2"/>
      <c r="Q1178" s="45"/>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row>
    <row r="1179">
      <c r="A1179" s="2"/>
      <c r="B1179" s="2"/>
      <c r="C1179" s="2"/>
      <c r="D1179" s="2"/>
      <c r="E1179" s="2"/>
      <c r="F1179" s="2"/>
      <c r="G1179" s="2"/>
      <c r="H1179" s="2"/>
      <c r="I1179" s="2"/>
      <c r="J1179" s="2"/>
      <c r="K1179" s="2"/>
      <c r="L1179" s="2"/>
      <c r="M1179" s="2"/>
      <c r="N1179" s="2"/>
      <c r="O1179" s="2"/>
      <c r="P1179" s="2"/>
      <c r="Q1179" s="45"/>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row>
    <row r="1180">
      <c r="A1180" s="2"/>
      <c r="B1180" s="2"/>
      <c r="C1180" s="2"/>
      <c r="D1180" s="2"/>
      <c r="E1180" s="2"/>
      <c r="F1180" s="2"/>
      <c r="G1180" s="2"/>
      <c r="H1180" s="2"/>
      <c r="I1180" s="2"/>
      <c r="J1180" s="2"/>
      <c r="K1180" s="2"/>
      <c r="L1180" s="2"/>
      <c r="M1180" s="2"/>
      <c r="N1180" s="2"/>
      <c r="O1180" s="2"/>
      <c r="P1180" s="2"/>
      <c r="Q1180" s="45"/>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row>
    <row r="1181">
      <c r="A1181" s="2"/>
      <c r="B1181" s="2"/>
      <c r="C1181" s="2"/>
      <c r="D1181" s="2"/>
      <c r="E1181" s="2"/>
      <c r="F1181" s="2"/>
      <c r="G1181" s="2"/>
      <c r="H1181" s="2"/>
      <c r="I1181" s="2"/>
      <c r="J1181" s="2"/>
      <c r="K1181" s="2"/>
      <c r="L1181" s="2"/>
      <c r="M1181" s="2"/>
      <c r="N1181" s="2"/>
      <c r="O1181" s="2"/>
      <c r="P1181" s="2"/>
      <c r="Q1181" s="45"/>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row>
    <row r="1182">
      <c r="A1182" s="2"/>
      <c r="B1182" s="2"/>
      <c r="C1182" s="2"/>
      <c r="D1182" s="2"/>
      <c r="E1182" s="2"/>
      <c r="F1182" s="2"/>
      <c r="G1182" s="2"/>
      <c r="H1182" s="2"/>
      <c r="I1182" s="2"/>
      <c r="J1182" s="2"/>
      <c r="K1182" s="2"/>
      <c r="L1182" s="2"/>
      <c r="M1182" s="2"/>
      <c r="N1182" s="2"/>
      <c r="O1182" s="2"/>
      <c r="P1182" s="2"/>
      <c r="Q1182" s="45"/>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row>
    <row r="1183">
      <c r="A1183" s="2"/>
      <c r="B1183" s="2"/>
      <c r="C1183" s="2"/>
      <c r="D1183" s="2"/>
      <c r="E1183" s="2"/>
      <c r="F1183" s="2"/>
      <c r="G1183" s="2"/>
      <c r="H1183" s="2"/>
      <c r="I1183" s="2"/>
      <c r="J1183" s="2"/>
      <c r="K1183" s="2"/>
      <c r="L1183" s="2"/>
      <c r="M1183" s="2"/>
      <c r="N1183" s="2"/>
      <c r="O1183" s="2"/>
      <c r="P1183" s="2"/>
      <c r="Q1183" s="45"/>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c r="BP1183" s="2"/>
      <c r="BQ1183" s="2"/>
    </row>
    <row r="1184">
      <c r="A1184" s="2"/>
      <c r="B1184" s="2"/>
      <c r="C1184" s="2"/>
      <c r="D1184" s="2"/>
      <c r="E1184" s="2"/>
      <c r="F1184" s="2"/>
      <c r="G1184" s="2"/>
      <c r="H1184" s="2"/>
      <c r="I1184" s="2"/>
      <c r="J1184" s="2"/>
      <c r="K1184" s="2"/>
      <c r="L1184" s="2"/>
      <c r="M1184" s="2"/>
      <c r="N1184" s="2"/>
      <c r="O1184" s="2"/>
      <c r="P1184" s="2"/>
      <c r="Q1184" s="45"/>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row>
    <row r="1185">
      <c r="A1185" s="2"/>
      <c r="B1185" s="2"/>
      <c r="C1185" s="2"/>
      <c r="D1185" s="2"/>
      <c r="E1185" s="2"/>
      <c r="F1185" s="2"/>
      <c r="G1185" s="2"/>
      <c r="H1185" s="2"/>
      <c r="I1185" s="2"/>
      <c r="J1185" s="2"/>
      <c r="K1185" s="2"/>
      <c r="L1185" s="2"/>
      <c r="M1185" s="2"/>
      <c r="N1185" s="2"/>
      <c r="O1185" s="2"/>
      <c r="P1185" s="2"/>
      <c r="Q1185" s="45"/>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c r="BP1185" s="2"/>
      <c r="BQ1185" s="2"/>
    </row>
    <row r="1186">
      <c r="A1186" s="2"/>
      <c r="B1186" s="2"/>
      <c r="C1186" s="2"/>
      <c r="D1186" s="2"/>
      <c r="E1186" s="2"/>
      <c r="F1186" s="2"/>
      <c r="G1186" s="2"/>
      <c r="H1186" s="2"/>
      <c r="I1186" s="2"/>
      <c r="J1186" s="2"/>
      <c r="K1186" s="2"/>
      <c r="L1186" s="2"/>
      <c r="M1186" s="2"/>
      <c r="N1186" s="2"/>
      <c r="O1186" s="2"/>
      <c r="P1186" s="2"/>
      <c r="Q1186" s="45"/>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row>
    <row r="1187">
      <c r="A1187" s="2"/>
      <c r="B1187" s="2"/>
      <c r="C1187" s="2"/>
      <c r="D1187" s="2"/>
      <c r="E1187" s="2"/>
      <c r="F1187" s="2"/>
      <c r="G1187" s="2"/>
      <c r="H1187" s="2"/>
      <c r="I1187" s="2"/>
      <c r="J1187" s="2"/>
      <c r="K1187" s="2"/>
      <c r="L1187" s="2"/>
      <c r="M1187" s="2"/>
      <c r="N1187" s="2"/>
      <c r="O1187" s="2"/>
      <c r="P1187" s="2"/>
      <c r="Q1187" s="45"/>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row>
    <row r="1188">
      <c r="A1188" s="2"/>
      <c r="B1188" s="2"/>
      <c r="C1188" s="2"/>
      <c r="D1188" s="2"/>
      <c r="E1188" s="2"/>
      <c r="F1188" s="2"/>
      <c r="G1188" s="2"/>
      <c r="H1188" s="2"/>
      <c r="I1188" s="2"/>
      <c r="J1188" s="2"/>
      <c r="K1188" s="2"/>
      <c r="L1188" s="2"/>
      <c r="M1188" s="2"/>
      <c r="N1188" s="2"/>
      <c r="O1188" s="2"/>
      <c r="P1188" s="2"/>
      <c r="Q1188" s="45"/>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row>
    <row r="1189">
      <c r="A1189" s="2"/>
      <c r="B1189" s="2"/>
      <c r="C1189" s="2"/>
      <c r="D1189" s="2"/>
      <c r="E1189" s="2"/>
      <c r="F1189" s="2"/>
      <c r="G1189" s="2"/>
      <c r="H1189" s="2"/>
      <c r="I1189" s="2"/>
      <c r="J1189" s="2"/>
      <c r="K1189" s="2"/>
      <c r="L1189" s="2"/>
      <c r="M1189" s="2"/>
      <c r="N1189" s="2"/>
      <c r="O1189" s="2"/>
      <c r="P1189" s="2"/>
      <c r="Q1189" s="45"/>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row>
    <row r="1190">
      <c r="A1190" s="2"/>
      <c r="B1190" s="2"/>
      <c r="C1190" s="2"/>
      <c r="D1190" s="2"/>
      <c r="E1190" s="2"/>
      <c r="F1190" s="2"/>
      <c r="G1190" s="2"/>
      <c r="H1190" s="2"/>
      <c r="I1190" s="2"/>
      <c r="J1190" s="2"/>
      <c r="K1190" s="2"/>
      <c r="L1190" s="2"/>
      <c r="M1190" s="2"/>
      <c r="N1190" s="2"/>
      <c r="O1190" s="2"/>
      <c r="P1190" s="2"/>
      <c r="Q1190" s="45"/>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row>
    <row r="1191">
      <c r="A1191" s="2"/>
      <c r="B1191" s="2"/>
      <c r="C1191" s="2"/>
      <c r="D1191" s="2"/>
      <c r="E1191" s="2"/>
      <c r="F1191" s="2"/>
      <c r="G1191" s="2"/>
      <c r="H1191" s="2"/>
      <c r="I1191" s="2"/>
      <c r="J1191" s="2"/>
      <c r="K1191" s="2"/>
      <c r="L1191" s="2"/>
      <c r="M1191" s="2"/>
      <c r="N1191" s="2"/>
      <c r="O1191" s="2"/>
      <c r="P1191" s="2"/>
      <c r="Q1191" s="45"/>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row>
    <row r="1192">
      <c r="A1192" s="2"/>
      <c r="B1192" s="2"/>
      <c r="C1192" s="2"/>
      <c r="D1192" s="2"/>
      <c r="E1192" s="2"/>
      <c r="F1192" s="2"/>
      <c r="G1192" s="2"/>
      <c r="H1192" s="2"/>
      <c r="I1192" s="2"/>
      <c r="J1192" s="2"/>
      <c r="K1192" s="2"/>
      <c r="L1192" s="2"/>
      <c r="M1192" s="2"/>
      <c r="N1192" s="2"/>
      <c r="O1192" s="2"/>
      <c r="P1192" s="2"/>
      <c r="Q1192" s="45"/>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row>
    <row r="1193">
      <c r="A1193" s="2"/>
      <c r="B1193" s="2"/>
      <c r="C1193" s="2"/>
      <c r="D1193" s="2"/>
      <c r="E1193" s="2"/>
      <c r="F1193" s="2"/>
      <c r="G1193" s="2"/>
      <c r="H1193" s="2"/>
      <c r="I1193" s="2"/>
      <c r="J1193" s="2"/>
      <c r="K1193" s="2"/>
      <c r="L1193" s="2"/>
      <c r="M1193" s="2"/>
      <c r="N1193" s="2"/>
      <c r="O1193" s="2"/>
      <c r="P1193" s="2"/>
      <c r="Q1193" s="45"/>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row>
    <row r="1194">
      <c r="A1194" s="2"/>
      <c r="B1194" s="2"/>
      <c r="C1194" s="2"/>
      <c r="D1194" s="2"/>
      <c r="E1194" s="2"/>
      <c r="F1194" s="2"/>
      <c r="G1194" s="2"/>
      <c r="H1194" s="2"/>
      <c r="I1194" s="2"/>
      <c r="J1194" s="2"/>
      <c r="K1194" s="2"/>
      <c r="L1194" s="2"/>
      <c r="M1194" s="2"/>
      <c r="N1194" s="2"/>
      <c r="O1194" s="2"/>
      <c r="P1194" s="2"/>
      <c r="Q1194" s="45"/>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row>
    <row r="1195">
      <c r="A1195" s="2"/>
      <c r="B1195" s="2"/>
      <c r="C1195" s="2"/>
      <c r="D1195" s="2"/>
      <c r="E1195" s="2"/>
      <c r="F1195" s="2"/>
      <c r="G1195" s="2"/>
      <c r="H1195" s="2"/>
      <c r="I1195" s="2"/>
      <c r="J1195" s="2"/>
      <c r="K1195" s="2"/>
      <c r="L1195" s="2"/>
      <c r="M1195" s="2"/>
      <c r="N1195" s="2"/>
      <c r="O1195" s="2"/>
      <c r="P1195" s="2"/>
      <c r="Q1195" s="45"/>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row>
    <row r="1196">
      <c r="A1196" s="2"/>
      <c r="B1196" s="2"/>
      <c r="C1196" s="2"/>
      <c r="D1196" s="2"/>
      <c r="E1196" s="2"/>
      <c r="F1196" s="2"/>
      <c r="G1196" s="2"/>
      <c r="H1196" s="2"/>
      <c r="I1196" s="2"/>
      <c r="J1196" s="2"/>
      <c r="K1196" s="2"/>
      <c r="L1196" s="2"/>
      <c r="M1196" s="2"/>
      <c r="N1196" s="2"/>
      <c r="O1196" s="2"/>
      <c r="P1196" s="2"/>
      <c r="Q1196" s="45"/>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row>
    <row r="1197">
      <c r="A1197" s="2"/>
      <c r="B1197" s="2"/>
      <c r="C1197" s="2"/>
      <c r="D1197" s="2"/>
      <c r="E1197" s="2"/>
      <c r="F1197" s="2"/>
      <c r="G1197" s="2"/>
      <c r="H1197" s="2"/>
      <c r="I1197" s="2"/>
      <c r="J1197" s="2"/>
      <c r="K1197" s="2"/>
      <c r="L1197" s="2"/>
      <c r="M1197" s="2"/>
      <c r="N1197" s="2"/>
      <c r="O1197" s="2"/>
      <c r="P1197" s="2"/>
      <c r="Q1197" s="45"/>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row>
    <row r="1198">
      <c r="A1198" s="2"/>
      <c r="B1198" s="2"/>
      <c r="C1198" s="2"/>
      <c r="D1198" s="2"/>
      <c r="E1198" s="2"/>
      <c r="F1198" s="2"/>
      <c r="G1198" s="2"/>
      <c r="H1198" s="2"/>
      <c r="I1198" s="2"/>
      <c r="J1198" s="2"/>
      <c r="K1198" s="2"/>
      <c r="L1198" s="2"/>
      <c r="M1198" s="2"/>
      <c r="N1198" s="2"/>
      <c r="O1198" s="2"/>
      <c r="P1198" s="2"/>
      <c r="Q1198" s="45"/>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row>
    <row r="1199">
      <c r="A1199" s="2"/>
      <c r="B1199" s="2"/>
      <c r="C1199" s="2"/>
      <c r="D1199" s="2"/>
      <c r="E1199" s="2"/>
      <c r="F1199" s="2"/>
      <c r="G1199" s="2"/>
      <c r="H1199" s="2"/>
      <c r="I1199" s="2"/>
      <c r="J1199" s="2"/>
      <c r="K1199" s="2"/>
      <c r="L1199" s="2"/>
      <c r="M1199" s="2"/>
      <c r="N1199" s="2"/>
      <c r="O1199" s="2"/>
      <c r="P1199" s="2"/>
      <c r="Q1199" s="45"/>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c r="BP1199" s="2"/>
      <c r="BQ1199" s="2"/>
    </row>
    <row r="1200">
      <c r="A1200" s="2"/>
      <c r="B1200" s="2"/>
      <c r="C1200" s="2"/>
      <c r="D1200" s="2"/>
      <c r="E1200" s="2"/>
      <c r="F1200" s="2"/>
      <c r="G1200" s="2"/>
      <c r="H1200" s="2"/>
      <c r="I1200" s="2"/>
      <c r="J1200" s="2"/>
      <c r="K1200" s="2"/>
      <c r="L1200" s="2"/>
      <c r="M1200" s="2"/>
      <c r="N1200" s="2"/>
      <c r="O1200" s="2"/>
      <c r="P1200" s="2"/>
      <c r="Q1200" s="45"/>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row>
    <row r="1201">
      <c r="A1201" s="2"/>
      <c r="B1201" s="2"/>
      <c r="C1201" s="2"/>
      <c r="D1201" s="2"/>
      <c r="E1201" s="2"/>
      <c r="F1201" s="2"/>
      <c r="G1201" s="2"/>
      <c r="H1201" s="2"/>
      <c r="I1201" s="2"/>
      <c r="J1201" s="2"/>
      <c r="K1201" s="2"/>
      <c r="L1201" s="2"/>
      <c r="M1201" s="2"/>
      <c r="N1201" s="2"/>
      <c r="O1201" s="2"/>
      <c r="P1201" s="2"/>
      <c r="Q1201" s="45"/>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row>
    <row r="1202">
      <c r="A1202" s="2"/>
      <c r="B1202" s="2"/>
      <c r="C1202" s="2"/>
      <c r="D1202" s="2"/>
      <c r="E1202" s="2"/>
      <c r="F1202" s="2"/>
      <c r="G1202" s="2"/>
      <c r="H1202" s="2"/>
      <c r="I1202" s="2"/>
      <c r="J1202" s="2"/>
      <c r="K1202" s="2"/>
      <c r="L1202" s="2"/>
      <c r="M1202" s="2"/>
      <c r="N1202" s="2"/>
      <c r="O1202" s="2"/>
      <c r="P1202" s="2"/>
      <c r="Q1202" s="45"/>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row>
    <row r="1203">
      <c r="A1203" s="2"/>
      <c r="B1203" s="2"/>
      <c r="C1203" s="2"/>
      <c r="D1203" s="2"/>
      <c r="E1203" s="2"/>
      <c r="F1203" s="2"/>
      <c r="G1203" s="2"/>
      <c r="H1203" s="2"/>
      <c r="I1203" s="2"/>
      <c r="J1203" s="2"/>
      <c r="K1203" s="2"/>
      <c r="L1203" s="2"/>
      <c r="M1203" s="2"/>
      <c r="N1203" s="2"/>
      <c r="O1203" s="2"/>
      <c r="P1203" s="2"/>
      <c r="Q1203" s="45"/>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row>
    <row r="1204">
      <c r="A1204" s="2"/>
      <c r="B1204" s="2"/>
      <c r="C1204" s="2"/>
      <c r="D1204" s="2"/>
      <c r="E1204" s="2"/>
      <c r="F1204" s="2"/>
      <c r="G1204" s="2"/>
      <c r="H1204" s="2"/>
      <c r="I1204" s="2"/>
      <c r="J1204" s="2"/>
      <c r="K1204" s="2"/>
      <c r="L1204" s="2"/>
      <c r="M1204" s="2"/>
      <c r="N1204" s="2"/>
      <c r="O1204" s="2"/>
      <c r="P1204" s="2"/>
      <c r="Q1204" s="45"/>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c r="BP1204" s="2"/>
      <c r="BQ1204" s="2"/>
    </row>
    <row r="1205">
      <c r="A1205" s="2"/>
      <c r="B1205" s="2"/>
      <c r="C1205" s="2"/>
      <c r="D1205" s="2"/>
      <c r="E1205" s="2"/>
      <c r="F1205" s="2"/>
      <c r="G1205" s="2"/>
      <c r="H1205" s="2"/>
      <c r="I1205" s="2"/>
      <c r="J1205" s="2"/>
      <c r="K1205" s="2"/>
      <c r="L1205" s="2"/>
      <c r="M1205" s="2"/>
      <c r="N1205" s="2"/>
      <c r="O1205" s="2"/>
      <c r="P1205" s="2"/>
      <c r="Q1205" s="45"/>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row>
    <row r="1206">
      <c r="A1206" s="2"/>
      <c r="B1206" s="2"/>
      <c r="C1206" s="2"/>
      <c r="D1206" s="2"/>
      <c r="E1206" s="2"/>
      <c r="F1206" s="2"/>
      <c r="G1206" s="2"/>
      <c r="H1206" s="2"/>
      <c r="I1206" s="2"/>
      <c r="J1206" s="2"/>
      <c r="K1206" s="2"/>
      <c r="L1206" s="2"/>
      <c r="M1206" s="2"/>
      <c r="N1206" s="2"/>
      <c r="O1206" s="2"/>
      <c r="P1206" s="2"/>
      <c r="Q1206" s="45"/>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c r="BP1206" s="2"/>
      <c r="BQ1206" s="2"/>
    </row>
    <row r="1207">
      <c r="A1207" s="2"/>
      <c r="B1207" s="2"/>
      <c r="C1207" s="2"/>
      <c r="D1207" s="2"/>
      <c r="E1207" s="2"/>
      <c r="F1207" s="2"/>
      <c r="G1207" s="2"/>
      <c r="H1207" s="2"/>
      <c r="I1207" s="2"/>
      <c r="J1207" s="2"/>
      <c r="K1207" s="2"/>
      <c r="L1207" s="2"/>
      <c r="M1207" s="2"/>
      <c r="N1207" s="2"/>
      <c r="O1207" s="2"/>
      <c r="P1207" s="2"/>
      <c r="Q1207" s="45"/>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c r="BP1207" s="2"/>
      <c r="BQ1207" s="2"/>
    </row>
    <row r="1208">
      <c r="A1208" s="2"/>
      <c r="B1208" s="2"/>
      <c r="C1208" s="2"/>
      <c r="D1208" s="2"/>
      <c r="E1208" s="2"/>
      <c r="F1208" s="2"/>
      <c r="G1208" s="2"/>
      <c r="H1208" s="2"/>
      <c r="I1208" s="2"/>
      <c r="J1208" s="2"/>
      <c r="K1208" s="2"/>
      <c r="L1208" s="2"/>
      <c r="M1208" s="2"/>
      <c r="N1208" s="2"/>
      <c r="O1208" s="2"/>
      <c r="P1208" s="2"/>
      <c r="Q1208" s="45"/>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row>
    <row r="1209">
      <c r="A1209" s="2"/>
      <c r="B1209" s="2"/>
      <c r="C1209" s="2"/>
      <c r="D1209" s="2"/>
      <c r="E1209" s="2"/>
      <c r="F1209" s="2"/>
      <c r="G1209" s="2"/>
      <c r="H1209" s="2"/>
      <c r="I1209" s="2"/>
      <c r="J1209" s="2"/>
      <c r="K1209" s="2"/>
      <c r="L1209" s="2"/>
      <c r="M1209" s="2"/>
      <c r="N1209" s="2"/>
      <c r="O1209" s="2"/>
      <c r="P1209" s="2"/>
      <c r="Q1209" s="45"/>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c r="BP1209" s="2"/>
      <c r="BQ1209" s="2"/>
    </row>
    <row r="1210">
      <c r="A1210" s="2"/>
      <c r="B1210" s="2"/>
      <c r="C1210" s="2"/>
      <c r="D1210" s="2"/>
      <c r="E1210" s="2"/>
      <c r="F1210" s="2"/>
      <c r="G1210" s="2"/>
      <c r="H1210" s="2"/>
      <c r="I1210" s="2"/>
      <c r="J1210" s="2"/>
      <c r="K1210" s="2"/>
      <c r="L1210" s="2"/>
      <c r="M1210" s="2"/>
      <c r="N1210" s="2"/>
      <c r="O1210" s="2"/>
      <c r="P1210" s="2"/>
      <c r="Q1210" s="45"/>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row>
    <row r="1211">
      <c r="A1211" s="2"/>
      <c r="B1211" s="2"/>
      <c r="C1211" s="2"/>
      <c r="D1211" s="2"/>
      <c r="E1211" s="2"/>
      <c r="F1211" s="2"/>
      <c r="G1211" s="2"/>
      <c r="H1211" s="2"/>
      <c r="I1211" s="2"/>
      <c r="J1211" s="2"/>
      <c r="K1211" s="2"/>
      <c r="L1211" s="2"/>
      <c r="M1211" s="2"/>
      <c r="N1211" s="2"/>
      <c r="O1211" s="2"/>
      <c r="P1211" s="2"/>
      <c r="Q1211" s="45"/>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c r="BP1211" s="2"/>
      <c r="BQ1211" s="2"/>
    </row>
    <row r="1212">
      <c r="A1212" s="2"/>
      <c r="B1212" s="2"/>
      <c r="C1212" s="2"/>
      <c r="D1212" s="2"/>
      <c r="E1212" s="2"/>
      <c r="F1212" s="2"/>
      <c r="G1212" s="2"/>
      <c r="H1212" s="2"/>
      <c r="I1212" s="2"/>
      <c r="J1212" s="2"/>
      <c r="K1212" s="2"/>
      <c r="L1212" s="2"/>
      <c r="M1212" s="2"/>
      <c r="N1212" s="2"/>
      <c r="O1212" s="2"/>
      <c r="P1212" s="2"/>
      <c r="Q1212" s="45"/>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row>
    <row r="1213">
      <c r="A1213" s="2"/>
      <c r="B1213" s="2"/>
      <c r="C1213" s="2"/>
      <c r="D1213" s="2"/>
      <c r="E1213" s="2"/>
      <c r="F1213" s="2"/>
      <c r="G1213" s="2"/>
      <c r="H1213" s="2"/>
      <c r="I1213" s="2"/>
      <c r="J1213" s="2"/>
      <c r="K1213" s="2"/>
      <c r="L1213" s="2"/>
      <c r="M1213" s="2"/>
      <c r="N1213" s="2"/>
      <c r="O1213" s="2"/>
      <c r="P1213" s="2"/>
      <c r="Q1213" s="45"/>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row>
    <row r="1214">
      <c r="A1214" s="2"/>
      <c r="B1214" s="2"/>
      <c r="C1214" s="2"/>
      <c r="D1214" s="2"/>
      <c r="E1214" s="2"/>
      <c r="F1214" s="2"/>
      <c r="G1214" s="2"/>
      <c r="H1214" s="2"/>
      <c r="I1214" s="2"/>
      <c r="J1214" s="2"/>
      <c r="K1214" s="2"/>
      <c r="L1214" s="2"/>
      <c r="M1214" s="2"/>
      <c r="N1214" s="2"/>
      <c r="O1214" s="2"/>
      <c r="P1214" s="2"/>
      <c r="Q1214" s="45"/>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row>
    <row r="1215">
      <c r="A1215" s="2"/>
      <c r="B1215" s="2"/>
      <c r="C1215" s="2"/>
      <c r="D1215" s="2"/>
      <c r="E1215" s="2"/>
      <c r="F1215" s="2"/>
      <c r="G1215" s="2"/>
      <c r="H1215" s="2"/>
      <c r="I1215" s="2"/>
      <c r="J1215" s="2"/>
      <c r="K1215" s="2"/>
      <c r="L1215" s="2"/>
      <c r="M1215" s="2"/>
      <c r="N1215" s="2"/>
      <c r="O1215" s="2"/>
      <c r="P1215" s="2"/>
      <c r="Q1215" s="45"/>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row>
    <row r="1216">
      <c r="A1216" s="2"/>
      <c r="B1216" s="2"/>
      <c r="C1216" s="2"/>
      <c r="D1216" s="2"/>
      <c r="E1216" s="2"/>
      <c r="F1216" s="2"/>
      <c r="G1216" s="2"/>
      <c r="H1216" s="2"/>
      <c r="I1216" s="2"/>
      <c r="J1216" s="2"/>
      <c r="K1216" s="2"/>
      <c r="L1216" s="2"/>
      <c r="M1216" s="2"/>
      <c r="N1216" s="2"/>
      <c r="O1216" s="2"/>
      <c r="P1216" s="2"/>
      <c r="Q1216" s="45"/>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row>
    <row r="1217">
      <c r="A1217" s="2"/>
      <c r="B1217" s="2"/>
      <c r="C1217" s="2"/>
      <c r="D1217" s="2"/>
      <c r="E1217" s="2"/>
      <c r="F1217" s="2"/>
      <c r="G1217" s="2"/>
      <c r="H1217" s="2"/>
      <c r="I1217" s="2"/>
      <c r="J1217" s="2"/>
      <c r="K1217" s="2"/>
      <c r="L1217" s="2"/>
      <c r="M1217" s="2"/>
      <c r="N1217" s="2"/>
      <c r="O1217" s="2"/>
      <c r="P1217" s="2"/>
      <c r="Q1217" s="45"/>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row>
    <row r="1218">
      <c r="A1218" s="2"/>
      <c r="B1218" s="2"/>
      <c r="C1218" s="2"/>
      <c r="D1218" s="2"/>
      <c r="E1218" s="2"/>
      <c r="F1218" s="2"/>
      <c r="G1218" s="2"/>
      <c r="H1218" s="2"/>
      <c r="I1218" s="2"/>
      <c r="J1218" s="2"/>
      <c r="K1218" s="2"/>
      <c r="L1218" s="2"/>
      <c r="M1218" s="2"/>
      <c r="N1218" s="2"/>
      <c r="O1218" s="2"/>
      <c r="P1218" s="2"/>
      <c r="Q1218" s="45"/>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row>
    <row r="1219">
      <c r="A1219" s="2"/>
      <c r="B1219" s="2"/>
      <c r="C1219" s="2"/>
      <c r="D1219" s="2"/>
      <c r="E1219" s="2"/>
      <c r="F1219" s="2"/>
      <c r="G1219" s="2"/>
      <c r="H1219" s="2"/>
      <c r="I1219" s="2"/>
      <c r="J1219" s="2"/>
      <c r="K1219" s="2"/>
      <c r="L1219" s="2"/>
      <c r="M1219" s="2"/>
      <c r="N1219" s="2"/>
      <c r="O1219" s="2"/>
      <c r="P1219" s="2"/>
      <c r="Q1219" s="45"/>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row>
    <row r="1220">
      <c r="A1220" s="2"/>
      <c r="B1220" s="2"/>
      <c r="C1220" s="2"/>
      <c r="D1220" s="2"/>
      <c r="E1220" s="2"/>
      <c r="F1220" s="2"/>
      <c r="G1220" s="2"/>
      <c r="H1220" s="2"/>
      <c r="I1220" s="2"/>
      <c r="J1220" s="2"/>
      <c r="K1220" s="2"/>
      <c r="L1220" s="2"/>
      <c r="M1220" s="2"/>
      <c r="N1220" s="2"/>
      <c r="O1220" s="2"/>
      <c r="P1220" s="2"/>
      <c r="Q1220" s="45"/>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row>
    <row r="1221">
      <c r="A1221" s="2"/>
      <c r="B1221" s="2"/>
      <c r="C1221" s="2"/>
      <c r="D1221" s="2"/>
      <c r="E1221" s="2"/>
      <c r="F1221" s="2"/>
      <c r="G1221" s="2"/>
      <c r="H1221" s="2"/>
      <c r="I1221" s="2"/>
      <c r="J1221" s="2"/>
      <c r="K1221" s="2"/>
      <c r="L1221" s="2"/>
      <c r="M1221" s="2"/>
      <c r="N1221" s="2"/>
      <c r="O1221" s="2"/>
      <c r="P1221" s="2"/>
      <c r="Q1221" s="45"/>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row>
    <row r="1222">
      <c r="A1222" s="2"/>
      <c r="B1222" s="2"/>
      <c r="C1222" s="2"/>
      <c r="D1222" s="2"/>
      <c r="E1222" s="2"/>
      <c r="F1222" s="2"/>
      <c r="G1222" s="2"/>
      <c r="H1222" s="2"/>
      <c r="I1222" s="2"/>
      <c r="J1222" s="2"/>
      <c r="K1222" s="2"/>
      <c r="L1222" s="2"/>
      <c r="M1222" s="2"/>
      <c r="N1222" s="2"/>
      <c r="O1222" s="2"/>
      <c r="P1222" s="2"/>
      <c r="Q1222" s="45"/>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row>
    <row r="1223">
      <c r="A1223" s="2"/>
      <c r="B1223" s="2"/>
      <c r="C1223" s="2"/>
      <c r="D1223" s="2"/>
      <c r="E1223" s="2"/>
      <c r="F1223" s="2"/>
      <c r="G1223" s="2"/>
      <c r="H1223" s="2"/>
      <c r="I1223" s="2"/>
      <c r="J1223" s="2"/>
      <c r="K1223" s="2"/>
      <c r="L1223" s="2"/>
      <c r="M1223" s="2"/>
      <c r="N1223" s="2"/>
      <c r="O1223" s="2"/>
      <c r="P1223" s="2"/>
      <c r="Q1223" s="45"/>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row>
    <row r="1224">
      <c r="A1224" s="2"/>
      <c r="B1224" s="2"/>
      <c r="C1224" s="2"/>
      <c r="D1224" s="2"/>
      <c r="E1224" s="2"/>
      <c r="F1224" s="2"/>
      <c r="G1224" s="2"/>
      <c r="H1224" s="2"/>
      <c r="I1224" s="2"/>
      <c r="J1224" s="2"/>
      <c r="K1224" s="2"/>
      <c r="L1224" s="2"/>
      <c r="M1224" s="2"/>
      <c r="N1224" s="2"/>
      <c r="O1224" s="2"/>
      <c r="P1224" s="2"/>
      <c r="Q1224" s="45"/>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row>
    <row r="1225">
      <c r="A1225" s="2"/>
      <c r="B1225" s="2"/>
      <c r="C1225" s="2"/>
      <c r="D1225" s="2"/>
      <c r="E1225" s="2"/>
      <c r="F1225" s="2"/>
      <c r="G1225" s="2"/>
      <c r="H1225" s="2"/>
      <c r="I1225" s="2"/>
      <c r="J1225" s="2"/>
      <c r="K1225" s="2"/>
      <c r="L1225" s="2"/>
      <c r="M1225" s="2"/>
      <c r="N1225" s="2"/>
      <c r="O1225" s="2"/>
      <c r="P1225" s="2"/>
      <c r="Q1225" s="45"/>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row>
    <row r="1226">
      <c r="A1226" s="2"/>
      <c r="B1226" s="2"/>
      <c r="C1226" s="2"/>
      <c r="D1226" s="2"/>
      <c r="E1226" s="2"/>
      <c r="F1226" s="2"/>
      <c r="G1226" s="2"/>
      <c r="H1226" s="2"/>
      <c r="I1226" s="2"/>
      <c r="J1226" s="2"/>
      <c r="K1226" s="2"/>
      <c r="L1226" s="2"/>
      <c r="M1226" s="2"/>
      <c r="N1226" s="2"/>
      <c r="O1226" s="2"/>
      <c r="P1226" s="2"/>
      <c r="Q1226" s="45"/>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row>
    <row r="1227">
      <c r="A1227" s="2"/>
      <c r="B1227" s="2"/>
      <c r="C1227" s="2"/>
      <c r="D1227" s="2"/>
      <c r="E1227" s="2"/>
      <c r="F1227" s="2"/>
      <c r="G1227" s="2"/>
      <c r="H1227" s="2"/>
      <c r="I1227" s="2"/>
      <c r="J1227" s="2"/>
      <c r="K1227" s="2"/>
      <c r="L1227" s="2"/>
      <c r="M1227" s="2"/>
      <c r="N1227" s="2"/>
      <c r="O1227" s="2"/>
      <c r="P1227" s="2"/>
      <c r="Q1227" s="45"/>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row>
    <row r="1228">
      <c r="A1228" s="2"/>
      <c r="B1228" s="2"/>
      <c r="C1228" s="2"/>
      <c r="D1228" s="2"/>
      <c r="E1228" s="2"/>
      <c r="F1228" s="2"/>
      <c r="G1228" s="2"/>
      <c r="H1228" s="2"/>
      <c r="I1228" s="2"/>
      <c r="J1228" s="2"/>
      <c r="K1228" s="2"/>
      <c r="L1228" s="2"/>
      <c r="M1228" s="2"/>
      <c r="N1228" s="2"/>
      <c r="O1228" s="2"/>
      <c r="P1228" s="2"/>
      <c r="Q1228" s="45"/>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row>
    <row r="1229">
      <c r="A1229" s="2"/>
      <c r="B1229" s="2"/>
      <c r="C1229" s="2"/>
      <c r="D1229" s="2"/>
      <c r="E1229" s="2"/>
      <c r="F1229" s="2"/>
      <c r="G1229" s="2"/>
      <c r="H1229" s="2"/>
      <c r="I1229" s="2"/>
      <c r="J1229" s="2"/>
      <c r="K1229" s="2"/>
      <c r="L1229" s="2"/>
      <c r="M1229" s="2"/>
      <c r="N1229" s="2"/>
      <c r="O1229" s="2"/>
      <c r="P1229" s="2"/>
      <c r="Q1229" s="45"/>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row>
    <row r="1230">
      <c r="A1230" s="2"/>
      <c r="B1230" s="2"/>
      <c r="C1230" s="2"/>
      <c r="D1230" s="2"/>
      <c r="E1230" s="2"/>
      <c r="F1230" s="2"/>
      <c r="G1230" s="2"/>
      <c r="H1230" s="2"/>
      <c r="I1230" s="2"/>
      <c r="J1230" s="2"/>
      <c r="K1230" s="2"/>
      <c r="L1230" s="2"/>
      <c r="M1230" s="2"/>
      <c r="N1230" s="2"/>
      <c r="O1230" s="2"/>
      <c r="P1230" s="2"/>
      <c r="Q1230" s="45"/>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row>
    <row r="1231">
      <c r="A1231" s="2"/>
      <c r="B1231" s="2"/>
      <c r="C1231" s="2"/>
      <c r="D1231" s="2"/>
      <c r="E1231" s="2"/>
      <c r="F1231" s="2"/>
      <c r="G1231" s="2"/>
      <c r="H1231" s="2"/>
      <c r="I1231" s="2"/>
      <c r="J1231" s="2"/>
      <c r="K1231" s="2"/>
      <c r="L1231" s="2"/>
      <c r="M1231" s="2"/>
      <c r="N1231" s="2"/>
      <c r="O1231" s="2"/>
      <c r="P1231" s="2"/>
      <c r="Q1231" s="45"/>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row>
    <row r="1232">
      <c r="A1232" s="2"/>
      <c r="B1232" s="2"/>
      <c r="C1232" s="2"/>
      <c r="D1232" s="2"/>
      <c r="E1232" s="2"/>
      <c r="F1232" s="2"/>
      <c r="G1232" s="2"/>
      <c r="H1232" s="2"/>
      <c r="I1232" s="2"/>
      <c r="J1232" s="2"/>
      <c r="K1232" s="2"/>
      <c r="L1232" s="2"/>
      <c r="M1232" s="2"/>
      <c r="N1232" s="2"/>
      <c r="O1232" s="2"/>
      <c r="P1232" s="2"/>
      <c r="Q1232" s="45"/>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row>
    <row r="1233">
      <c r="A1233" s="2"/>
      <c r="B1233" s="2"/>
      <c r="C1233" s="2"/>
      <c r="D1233" s="2"/>
      <c r="E1233" s="2"/>
      <c r="F1233" s="2"/>
      <c r="G1233" s="2"/>
      <c r="H1233" s="2"/>
      <c r="I1233" s="2"/>
      <c r="J1233" s="2"/>
      <c r="K1233" s="2"/>
      <c r="L1233" s="2"/>
      <c r="M1233" s="2"/>
      <c r="N1233" s="2"/>
      <c r="O1233" s="2"/>
      <c r="P1233" s="2"/>
      <c r="Q1233" s="45"/>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row>
    <row r="1234">
      <c r="A1234" s="2"/>
      <c r="B1234" s="2"/>
      <c r="C1234" s="2"/>
      <c r="D1234" s="2"/>
      <c r="E1234" s="2"/>
      <c r="F1234" s="2"/>
      <c r="G1234" s="2"/>
      <c r="H1234" s="2"/>
      <c r="I1234" s="2"/>
      <c r="J1234" s="2"/>
      <c r="K1234" s="2"/>
      <c r="L1234" s="2"/>
      <c r="M1234" s="2"/>
      <c r="N1234" s="2"/>
      <c r="O1234" s="2"/>
      <c r="P1234" s="2"/>
      <c r="Q1234" s="45"/>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row>
    <row r="1235">
      <c r="A1235" s="2"/>
      <c r="B1235" s="2"/>
      <c r="C1235" s="2"/>
      <c r="D1235" s="2"/>
      <c r="E1235" s="2"/>
      <c r="F1235" s="2"/>
      <c r="G1235" s="2"/>
      <c r="H1235" s="2"/>
      <c r="I1235" s="2"/>
      <c r="J1235" s="2"/>
      <c r="K1235" s="2"/>
      <c r="L1235" s="2"/>
      <c r="M1235" s="2"/>
      <c r="N1235" s="2"/>
      <c r="O1235" s="2"/>
      <c r="P1235" s="2"/>
      <c r="Q1235" s="45"/>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row>
    <row r="1236">
      <c r="A1236" s="2"/>
      <c r="B1236" s="2"/>
      <c r="C1236" s="2"/>
      <c r="D1236" s="2"/>
      <c r="E1236" s="2"/>
      <c r="F1236" s="2"/>
      <c r="G1236" s="2"/>
      <c r="H1236" s="2"/>
      <c r="I1236" s="2"/>
      <c r="J1236" s="2"/>
      <c r="K1236" s="2"/>
      <c r="L1236" s="2"/>
      <c r="M1236" s="2"/>
      <c r="N1236" s="2"/>
      <c r="O1236" s="2"/>
      <c r="P1236" s="2"/>
      <c r="Q1236" s="45"/>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row>
    <row r="1237">
      <c r="A1237" s="2"/>
      <c r="B1237" s="2"/>
      <c r="C1237" s="2"/>
      <c r="D1237" s="2"/>
      <c r="E1237" s="2"/>
      <c r="F1237" s="2"/>
      <c r="G1237" s="2"/>
      <c r="H1237" s="2"/>
      <c r="I1237" s="2"/>
      <c r="J1237" s="2"/>
      <c r="K1237" s="2"/>
      <c r="L1237" s="2"/>
      <c r="M1237" s="2"/>
      <c r="N1237" s="2"/>
      <c r="O1237" s="2"/>
      <c r="P1237" s="2"/>
      <c r="Q1237" s="45"/>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row>
    <row r="1238">
      <c r="A1238" s="2"/>
      <c r="B1238" s="2"/>
      <c r="C1238" s="2"/>
      <c r="D1238" s="2"/>
      <c r="E1238" s="2"/>
      <c r="F1238" s="2"/>
      <c r="G1238" s="2"/>
      <c r="H1238" s="2"/>
      <c r="I1238" s="2"/>
      <c r="J1238" s="2"/>
      <c r="K1238" s="2"/>
      <c r="L1238" s="2"/>
      <c r="M1238" s="2"/>
      <c r="N1238" s="2"/>
      <c r="O1238" s="2"/>
      <c r="P1238" s="2"/>
      <c r="Q1238" s="45"/>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row>
    <row r="1239">
      <c r="A1239" s="2"/>
      <c r="B1239" s="2"/>
      <c r="C1239" s="2"/>
      <c r="D1239" s="2"/>
      <c r="E1239" s="2"/>
      <c r="F1239" s="2"/>
      <c r="G1239" s="2"/>
      <c r="H1239" s="2"/>
      <c r="I1239" s="2"/>
      <c r="J1239" s="2"/>
      <c r="K1239" s="2"/>
      <c r="L1239" s="2"/>
      <c r="M1239" s="2"/>
      <c r="N1239" s="2"/>
      <c r="O1239" s="2"/>
      <c r="P1239" s="2"/>
      <c r="Q1239" s="45"/>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row>
    <row r="1240">
      <c r="A1240" s="2"/>
      <c r="B1240" s="2"/>
      <c r="C1240" s="2"/>
      <c r="D1240" s="2"/>
      <c r="E1240" s="2"/>
      <c r="F1240" s="2"/>
      <c r="G1240" s="2"/>
      <c r="H1240" s="2"/>
      <c r="I1240" s="2"/>
      <c r="J1240" s="2"/>
      <c r="K1240" s="2"/>
      <c r="L1240" s="2"/>
      <c r="M1240" s="2"/>
      <c r="N1240" s="2"/>
      <c r="O1240" s="2"/>
      <c r="P1240" s="2"/>
      <c r="Q1240" s="45"/>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row>
    <row r="1241">
      <c r="A1241" s="2"/>
      <c r="B1241" s="2"/>
      <c r="C1241" s="2"/>
      <c r="D1241" s="2"/>
      <c r="E1241" s="2"/>
      <c r="F1241" s="2"/>
      <c r="G1241" s="2"/>
      <c r="H1241" s="2"/>
      <c r="I1241" s="2"/>
      <c r="J1241" s="2"/>
      <c r="K1241" s="2"/>
      <c r="L1241" s="2"/>
      <c r="M1241" s="2"/>
      <c r="N1241" s="2"/>
      <c r="O1241" s="2"/>
      <c r="P1241" s="2"/>
      <c r="Q1241" s="45"/>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row>
    <row r="1242">
      <c r="A1242" s="2"/>
      <c r="B1242" s="2"/>
      <c r="C1242" s="2"/>
      <c r="D1242" s="2"/>
      <c r="E1242" s="2"/>
      <c r="F1242" s="2"/>
      <c r="G1242" s="2"/>
      <c r="H1242" s="2"/>
      <c r="I1242" s="2"/>
      <c r="J1242" s="2"/>
      <c r="K1242" s="2"/>
      <c r="L1242" s="2"/>
      <c r="M1242" s="2"/>
      <c r="N1242" s="2"/>
      <c r="O1242" s="2"/>
      <c r="P1242" s="2"/>
      <c r="Q1242" s="45"/>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row>
    <row r="1243">
      <c r="A1243" s="2"/>
      <c r="B1243" s="2"/>
      <c r="C1243" s="2"/>
      <c r="D1243" s="2"/>
      <c r="E1243" s="2"/>
      <c r="F1243" s="2"/>
      <c r="G1243" s="2"/>
      <c r="H1243" s="2"/>
      <c r="I1243" s="2"/>
      <c r="J1243" s="2"/>
      <c r="K1243" s="2"/>
      <c r="L1243" s="2"/>
      <c r="M1243" s="2"/>
      <c r="N1243" s="2"/>
      <c r="O1243" s="2"/>
      <c r="P1243" s="2"/>
      <c r="Q1243" s="45"/>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row>
    <row r="1244">
      <c r="A1244" s="2"/>
      <c r="B1244" s="2"/>
      <c r="C1244" s="2"/>
      <c r="D1244" s="2"/>
      <c r="E1244" s="2"/>
      <c r="F1244" s="2"/>
      <c r="G1244" s="2"/>
      <c r="H1244" s="2"/>
      <c r="I1244" s="2"/>
      <c r="J1244" s="2"/>
      <c r="K1244" s="2"/>
      <c r="L1244" s="2"/>
      <c r="M1244" s="2"/>
      <c r="N1244" s="2"/>
      <c r="O1244" s="2"/>
      <c r="P1244" s="2"/>
      <c r="Q1244" s="45"/>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row>
    <row r="1245">
      <c r="A1245" s="2"/>
      <c r="B1245" s="2"/>
      <c r="C1245" s="2"/>
      <c r="D1245" s="2"/>
      <c r="E1245" s="2"/>
      <c r="F1245" s="2"/>
      <c r="G1245" s="2"/>
      <c r="H1245" s="2"/>
      <c r="I1245" s="2"/>
      <c r="J1245" s="2"/>
      <c r="K1245" s="2"/>
      <c r="L1245" s="2"/>
      <c r="M1245" s="2"/>
      <c r="N1245" s="2"/>
      <c r="O1245" s="2"/>
      <c r="P1245" s="2"/>
      <c r="Q1245" s="45"/>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row>
    <row r="1246">
      <c r="A1246" s="2"/>
      <c r="B1246" s="2"/>
      <c r="C1246" s="2"/>
      <c r="D1246" s="2"/>
      <c r="E1246" s="2"/>
      <c r="F1246" s="2"/>
      <c r="G1246" s="2"/>
      <c r="H1246" s="2"/>
      <c r="I1246" s="2"/>
      <c r="J1246" s="2"/>
      <c r="K1246" s="2"/>
      <c r="L1246" s="2"/>
      <c r="M1246" s="2"/>
      <c r="N1246" s="2"/>
      <c r="O1246" s="2"/>
      <c r="P1246" s="2"/>
      <c r="Q1246" s="45"/>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row>
    <row r="1247">
      <c r="A1247" s="2"/>
      <c r="B1247" s="2"/>
      <c r="C1247" s="2"/>
      <c r="D1247" s="2"/>
      <c r="E1247" s="2"/>
      <c r="F1247" s="2"/>
      <c r="G1247" s="2"/>
      <c r="H1247" s="2"/>
      <c r="I1247" s="2"/>
      <c r="J1247" s="2"/>
      <c r="K1247" s="2"/>
      <c r="L1247" s="2"/>
      <c r="M1247" s="2"/>
      <c r="N1247" s="2"/>
      <c r="O1247" s="2"/>
      <c r="P1247" s="2"/>
      <c r="Q1247" s="45"/>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row>
    <row r="1248">
      <c r="A1248" s="2"/>
      <c r="B1248" s="2"/>
      <c r="C1248" s="2"/>
      <c r="D1248" s="2"/>
      <c r="E1248" s="2"/>
      <c r="F1248" s="2"/>
      <c r="G1248" s="2"/>
      <c r="H1248" s="2"/>
      <c r="I1248" s="2"/>
      <c r="J1248" s="2"/>
      <c r="K1248" s="2"/>
      <c r="L1248" s="2"/>
      <c r="M1248" s="2"/>
      <c r="N1248" s="2"/>
      <c r="O1248" s="2"/>
      <c r="P1248" s="2"/>
      <c r="Q1248" s="45"/>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row>
    <row r="1249">
      <c r="A1249" s="2"/>
      <c r="B1249" s="2"/>
      <c r="C1249" s="2"/>
      <c r="D1249" s="2"/>
      <c r="E1249" s="2"/>
      <c r="F1249" s="2"/>
      <c r="G1249" s="2"/>
      <c r="H1249" s="2"/>
      <c r="I1249" s="2"/>
      <c r="J1249" s="2"/>
      <c r="K1249" s="2"/>
      <c r="L1249" s="2"/>
      <c r="M1249" s="2"/>
      <c r="N1249" s="2"/>
      <c r="O1249" s="2"/>
      <c r="P1249" s="2"/>
      <c r="Q1249" s="45"/>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row>
    <row r="1250">
      <c r="A1250" s="2"/>
      <c r="B1250" s="2"/>
      <c r="C1250" s="2"/>
      <c r="D1250" s="2"/>
      <c r="E1250" s="2"/>
      <c r="F1250" s="2"/>
      <c r="G1250" s="2"/>
      <c r="H1250" s="2"/>
      <c r="I1250" s="2"/>
      <c r="J1250" s="2"/>
      <c r="K1250" s="2"/>
      <c r="L1250" s="2"/>
      <c r="M1250" s="2"/>
      <c r="N1250" s="2"/>
      <c r="O1250" s="2"/>
      <c r="P1250" s="2"/>
      <c r="Q1250" s="45"/>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row>
    <row r="1251">
      <c r="A1251" s="2"/>
      <c r="B1251" s="2"/>
      <c r="C1251" s="2"/>
      <c r="D1251" s="2"/>
      <c r="E1251" s="2"/>
      <c r="F1251" s="2"/>
      <c r="G1251" s="2"/>
      <c r="H1251" s="2"/>
      <c r="I1251" s="2"/>
      <c r="J1251" s="2"/>
      <c r="K1251" s="2"/>
      <c r="L1251" s="2"/>
      <c r="M1251" s="2"/>
      <c r="N1251" s="2"/>
      <c r="O1251" s="2"/>
      <c r="P1251" s="2"/>
      <c r="Q1251" s="45"/>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row>
    <row r="1252">
      <c r="A1252" s="2"/>
      <c r="B1252" s="2"/>
      <c r="C1252" s="2"/>
      <c r="D1252" s="2"/>
      <c r="E1252" s="2"/>
      <c r="F1252" s="2"/>
      <c r="G1252" s="2"/>
      <c r="H1252" s="2"/>
      <c r="I1252" s="2"/>
      <c r="J1252" s="2"/>
      <c r="K1252" s="2"/>
      <c r="L1252" s="2"/>
      <c r="M1252" s="2"/>
      <c r="N1252" s="2"/>
      <c r="O1252" s="2"/>
      <c r="P1252" s="2"/>
      <c r="Q1252" s="45"/>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row>
    <row r="1253">
      <c r="A1253" s="2"/>
      <c r="B1253" s="2"/>
      <c r="C1253" s="2"/>
      <c r="D1253" s="2"/>
      <c r="E1253" s="2"/>
      <c r="F1253" s="2"/>
      <c r="G1253" s="2"/>
      <c r="H1253" s="2"/>
      <c r="I1253" s="2"/>
      <c r="J1253" s="2"/>
      <c r="K1253" s="2"/>
      <c r="L1253" s="2"/>
      <c r="M1253" s="2"/>
      <c r="N1253" s="2"/>
      <c r="O1253" s="2"/>
      <c r="P1253" s="2"/>
      <c r="Q1253" s="45"/>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row>
    <row r="1254">
      <c r="A1254" s="2"/>
      <c r="B1254" s="2"/>
      <c r="C1254" s="2"/>
      <c r="D1254" s="2"/>
      <c r="E1254" s="2"/>
      <c r="F1254" s="2"/>
      <c r="G1254" s="2"/>
      <c r="H1254" s="2"/>
      <c r="I1254" s="2"/>
      <c r="J1254" s="2"/>
      <c r="K1254" s="2"/>
      <c r="L1254" s="2"/>
      <c r="M1254" s="2"/>
      <c r="N1254" s="2"/>
      <c r="O1254" s="2"/>
      <c r="P1254" s="2"/>
      <c r="Q1254" s="45"/>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row>
    <row r="1255">
      <c r="A1255" s="2"/>
      <c r="B1255" s="2"/>
      <c r="C1255" s="2"/>
      <c r="D1255" s="2"/>
      <c r="E1255" s="2"/>
      <c r="F1255" s="2"/>
      <c r="G1255" s="2"/>
      <c r="H1255" s="2"/>
      <c r="I1255" s="2"/>
      <c r="J1255" s="2"/>
      <c r="K1255" s="2"/>
      <c r="L1255" s="2"/>
      <c r="M1255" s="2"/>
      <c r="N1255" s="2"/>
      <c r="O1255" s="2"/>
      <c r="P1255" s="2"/>
      <c r="Q1255" s="45"/>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row>
    <row r="1256">
      <c r="A1256" s="2"/>
      <c r="B1256" s="2"/>
      <c r="C1256" s="2"/>
      <c r="D1256" s="2"/>
      <c r="E1256" s="2"/>
      <c r="F1256" s="2"/>
      <c r="G1256" s="2"/>
      <c r="H1256" s="2"/>
      <c r="I1256" s="2"/>
      <c r="J1256" s="2"/>
      <c r="K1256" s="2"/>
      <c r="L1256" s="2"/>
      <c r="M1256" s="2"/>
      <c r="N1256" s="2"/>
      <c r="O1256" s="2"/>
      <c r="P1256" s="2"/>
      <c r="Q1256" s="45"/>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row>
    <row r="1257">
      <c r="A1257" s="2"/>
      <c r="B1257" s="2"/>
      <c r="C1257" s="2"/>
      <c r="D1257" s="2"/>
      <c r="E1257" s="2"/>
      <c r="F1257" s="2"/>
      <c r="G1257" s="2"/>
      <c r="H1257" s="2"/>
      <c r="I1257" s="2"/>
      <c r="J1257" s="2"/>
      <c r="K1257" s="2"/>
      <c r="L1257" s="2"/>
      <c r="M1257" s="2"/>
      <c r="N1257" s="2"/>
      <c r="O1257" s="2"/>
      <c r="P1257" s="2"/>
      <c r="Q1257" s="45"/>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row>
    <row r="1258">
      <c r="A1258" s="2"/>
      <c r="B1258" s="2"/>
      <c r="C1258" s="2"/>
      <c r="D1258" s="2"/>
      <c r="E1258" s="2"/>
      <c r="F1258" s="2"/>
      <c r="G1258" s="2"/>
      <c r="H1258" s="2"/>
      <c r="I1258" s="2"/>
      <c r="J1258" s="2"/>
      <c r="K1258" s="2"/>
      <c r="L1258" s="2"/>
      <c r="M1258" s="2"/>
      <c r="N1258" s="2"/>
      <c r="O1258" s="2"/>
      <c r="P1258" s="2"/>
      <c r="Q1258" s="45"/>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row>
    <row r="1259">
      <c r="A1259" s="2"/>
      <c r="B1259" s="2"/>
      <c r="C1259" s="2"/>
      <c r="D1259" s="2"/>
      <c r="E1259" s="2"/>
      <c r="F1259" s="2"/>
      <c r="G1259" s="2"/>
      <c r="H1259" s="2"/>
      <c r="I1259" s="2"/>
      <c r="J1259" s="2"/>
      <c r="K1259" s="2"/>
      <c r="L1259" s="2"/>
      <c r="M1259" s="2"/>
      <c r="N1259" s="2"/>
      <c r="O1259" s="2"/>
      <c r="P1259" s="2"/>
      <c r="Q1259" s="45"/>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row>
    <row r="1260">
      <c r="A1260" s="2"/>
      <c r="B1260" s="2"/>
      <c r="C1260" s="2"/>
      <c r="D1260" s="2"/>
      <c r="E1260" s="2"/>
      <c r="F1260" s="2"/>
      <c r="G1260" s="2"/>
      <c r="H1260" s="2"/>
      <c r="I1260" s="2"/>
      <c r="J1260" s="2"/>
      <c r="K1260" s="2"/>
      <c r="L1260" s="2"/>
      <c r="M1260" s="2"/>
      <c r="N1260" s="2"/>
      <c r="O1260" s="2"/>
      <c r="P1260" s="2"/>
      <c r="Q1260" s="45"/>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row>
    <row r="1261">
      <c r="A1261" s="2"/>
      <c r="B1261" s="2"/>
      <c r="C1261" s="2"/>
      <c r="D1261" s="2"/>
      <c r="E1261" s="2"/>
      <c r="F1261" s="2"/>
      <c r="G1261" s="2"/>
      <c r="H1261" s="2"/>
      <c r="I1261" s="2"/>
      <c r="J1261" s="2"/>
      <c r="K1261" s="2"/>
      <c r="L1261" s="2"/>
      <c r="M1261" s="2"/>
      <c r="N1261" s="2"/>
      <c r="O1261" s="2"/>
      <c r="P1261" s="2"/>
      <c r="Q1261" s="45"/>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row>
    <row r="1262">
      <c r="A1262" s="2"/>
      <c r="B1262" s="2"/>
      <c r="C1262" s="2"/>
      <c r="D1262" s="2"/>
      <c r="E1262" s="2"/>
      <c r="F1262" s="2"/>
      <c r="G1262" s="2"/>
      <c r="H1262" s="2"/>
      <c r="I1262" s="2"/>
      <c r="J1262" s="2"/>
      <c r="K1262" s="2"/>
      <c r="L1262" s="2"/>
      <c r="M1262" s="2"/>
      <c r="N1262" s="2"/>
      <c r="O1262" s="2"/>
      <c r="P1262" s="2"/>
      <c r="Q1262" s="45"/>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row>
    <row r="1263">
      <c r="A1263" s="2"/>
      <c r="B1263" s="2"/>
      <c r="C1263" s="2"/>
      <c r="D1263" s="2"/>
      <c r="E1263" s="2"/>
      <c r="F1263" s="2"/>
      <c r="G1263" s="2"/>
      <c r="H1263" s="2"/>
      <c r="I1263" s="2"/>
      <c r="J1263" s="2"/>
      <c r="K1263" s="2"/>
      <c r="L1263" s="2"/>
      <c r="M1263" s="2"/>
      <c r="N1263" s="2"/>
      <c r="O1263" s="2"/>
      <c r="P1263" s="2"/>
      <c r="Q1263" s="45"/>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row>
    <row r="1264">
      <c r="A1264" s="2"/>
      <c r="B1264" s="2"/>
      <c r="C1264" s="2"/>
      <c r="D1264" s="2"/>
      <c r="E1264" s="2"/>
      <c r="F1264" s="2"/>
      <c r="G1264" s="2"/>
      <c r="H1264" s="2"/>
      <c r="I1264" s="2"/>
      <c r="J1264" s="2"/>
      <c r="K1264" s="2"/>
      <c r="L1264" s="2"/>
      <c r="M1264" s="2"/>
      <c r="N1264" s="2"/>
      <c r="O1264" s="2"/>
      <c r="P1264" s="2"/>
      <c r="Q1264" s="45"/>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row>
    <row r="1265">
      <c r="A1265" s="2"/>
      <c r="B1265" s="2"/>
      <c r="C1265" s="2"/>
      <c r="D1265" s="2"/>
      <c r="E1265" s="2"/>
      <c r="F1265" s="2"/>
      <c r="G1265" s="2"/>
      <c r="H1265" s="2"/>
      <c r="I1265" s="2"/>
      <c r="J1265" s="2"/>
      <c r="K1265" s="2"/>
      <c r="L1265" s="2"/>
      <c r="M1265" s="2"/>
      <c r="N1265" s="2"/>
      <c r="O1265" s="2"/>
      <c r="P1265" s="2"/>
      <c r="Q1265" s="45"/>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row>
    <row r="1266">
      <c r="A1266" s="2"/>
      <c r="B1266" s="2"/>
      <c r="C1266" s="2"/>
      <c r="D1266" s="2"/>
      <c r="E1266" s="2"/>
      <c r="F1266" s="2"/>
      <c r="G1266" s="2"/>
      <c r="H1266" s="2"/>
      <c r="I1266" s="2"/>
      <c r="J1266" s="2"/>
      <c r="K1266" s="2"/>
      <c r="L1266" s="2"/>
      <c r="M1266" s="2"/>
      <c r="N1266" s="2"/>
      <c r="O1266" s="2"/>
      <c r="P1266" s="2"/>
      <c r="Q1266" s="45"/>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row>
    <row r="1267">
      <c r="A1267" s="2"/>
      <c r="B1267" s="2"/>
      <c r="C1267" s="2"/>
      <c r="D1267" s="2"/>
      <c r="E1267" s="2"/>
      <c r="F1267" s="2"/>
      <c r="G1267" s="2"/>
      <c r="H1267" s="2"/>
      <c r="I1267" s="2"/>
      <c r="J1267" s="2"/>
      <c r="K1267" s="2"/>
      <c r="L1267" s="2"/>
      <c r="M1267" s="2"/>
      <c r="N1267" s="2"/>
      <c r="O1267" s="2"/>
      <c r="P1267" s="2"/>
      <c r="Q1267" s="45"/>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row>
    <row r="1268">
      <c r="A1268" s="2"/>
      <c r="B1268" s="2"/>
      <c r="C1268" s="2"/>
      <c r="D1268" s="2"/>
      <c r="E1268" s="2"/>
      <c r="F1268" s="2"/>
      <c r="G1268" s="2"/>
      <c r="H1268" s="2"/>
      <c r="I1268" s="2"/>
      <c r="J1268" s="2"/>
      <c r="K1268" s="2"/>
      <c r="L1268" s="2"/>
      <c r="M1268" s="2"/>
      <c r="N1268" s="2"/>
      <c r="O1268" s="2"/>
      <c r="P1268" s="2"/>
      <c r="Q1268" s="45"/>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row>
    <row r="1269">
      <c r="A1269" s="2"/>
      <c r="B1269" s="2"/>
      <c r="C1269" s="2"/>
      <c r="D1269" s="2"/>
      <c r="E1269" s="2"/>
      <c r="F1269" s="2"/>
      <c r="G1269" s="2"/>
      <c r="H1269" s="2"/>
      <c r="I1269" s="2"/>
      <c r="J1269" s="2"/>
      <c r="K1269" s="2"/>
      <c r="L1269" s="2"/>
      <c r="M1269" s="2"/>
      <c r="N1269" s="2"/>
      <c r="O1269" s="2"/>
      <c r="P1269" s="2"/>
      <c r="Q1269" s="45"/>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row>
    <row r="1270">
      <c r="A1270" s="2"/>
      <c r="B1270" s="2"/>
      <c r="C1270" s="2"/>
      <c r="D1270" s="2"/>
      <c r="E1270" s="2"/>
      <c r="F1270" s="2"/>
      <c r="G1270" s="2"/>
      <c r="H1270" s="2"/>
      <c r="I1270" s="2"/>
      <c r="J1270" s="2"/>
      <c r="K1270" s="2"/>
      <c r="L1270" s="2"/>
      <c r="M1270" s="2"/>
      <c r="N1270" s="2"/>
      <c r="O1270" s="2"/>
      <c r="P1270" s="2"/>
      <c r="Q1270" s="45"/>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row>
    <row r="1271">
      <c r="A1271" s="2"/>
      <c r="B1271" s="2"/>
      <c r="C1271" s="2"/>
      <c r="D1271" s="2"/>
      <c r="E1271" s="2"/>
      <c r="F1271" s="2"/>
      <c r="G1271" s="2"/>
      <c r="H1271" s="2"/>
      <c r="I1271" s="2"/>
      <c r="J1271" s="2"/>
      <c r="K1271" s="2"/>
      <c r="L1271" s="2"/>
      <c r="M1271" s="2"/>
      <c r="N1271" s="2"/>
      <c r="O1271" s="2"/>
      <c r="P1271" s="2"/>
      <c r="Q1271" s="45"/>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row>
    <row r="1272">
      <c r="A1272" s="2"/>
      <c r="B1272" s="2"/>
      <c r="C1272" s="2"/>
      <c r="D1272" s="2"/>
      <c r="E1272" s="2"/>
      <c r="F1272" s="2"/>
      <c r="G1272" s="2"/>
      <c r="H1272" s="2"/>
      <c r="I1272" s="2"/>
      <c r="J1272" s="2"/>
      <c r="K1272" s="2"/>
      <c r="L1272" s="2"/>
      <c r="M1272" s="2"/>
      <c r="N1272" s="2"/>
      <c r="O1272" s="2"/>
      <c r="P1272" s="2"/>
      <c r="Q1272" s="45"/>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row>
    <row r="1273">
      <c r="A1273" s="2"/>
      <c r="B1273" s="2"/>
      <c r="C1273" s="2"/>
      <c r="D1273" s="2"/>
      <c r="E1273" s="2"/>
      <c r="F1273" s="2"/>
      <c r="G1273" s="2"/>
      <c r="H1273" s="2"/>
      <c r="I1273" s="2"/>
      <c r="J1273" s="2"/>
      <c r="K1273" s="2"/>
      <c r="L1273" s="2"/>
      <c r="M1273" s="2"/>
      <c r="N1273" s="2"/>
      <c r="O1273" s="2"/>
      <c r="P1273" s="2"/>
      <c r="Q1273" s="45"/>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row>
    <row r="1274">
      <c r="A1274" s="2"/>
      <c r="B1274" s="2"/>
      <c r="C1274" s="2"/>
      <c r="D1274" s="2"/>
      <c r="E1274" s="2"/>
      <c r="F1274" s="2"/>
      <c r="G1274" s="2"/>
      <c r="H1274" s="2"/>
      <c r="I1274" s="2"/>
      <c r="J1274" s="2"/>
      <c r="K1274" s="2"/>
      <c r="L1274" s="2"/>
      <c r="M1274" s="2"/>
      <c r="N1274" s="2"/>
      <c r="O1274" s="2"/>
      <c r="P1274" s="2"/>
      <c r="Q1274" s="45"/>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row>
    <row r="1275">
      <c r="A1275" s="2"/>
      <c r="B1275" s="2"/>
      <c r="C1275" s="2"/>
      <c r="D1275" s="2"/>
      <c r="E1275" s="2"/>
      <c r="F1275" s="2"/>
      <c r="G1275" s="2"/>
      <c r="H1275" s="2"/>
      <c r="I1275" s="2"/>
      <c r="J1275" s="2"/>
      <c r="K1275" s="2"/>
      <c r="L1275" s="2"/>
      <c r="M1275" s="2"/>
      <c r="N1275" s="2"/>
      <c r="O1275" s="2"/>
      <c r="P1275" s="2"/>
      <c r="Q1275" s="45"/>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row>
    <row r="1276">
      <c r="A1276" s="2"/>
      <c r="B1276" s="2"/>
      <c r="C1276" s="2"/>
      <c r="D1276" s="2"/>
      <c r="E1276" s="2"/>
      <c r="F1276" s="2"/>
      <c r="G1276" s="2"/>
      <c r="H1276" s="2"/>
      <c r="I1276" s="2"/>
      <c r="J1276" s="2"/>
      <c r="K1276" s="2"/>
      <c r="L1276" s="2"/>
      <c r="M1276" s="2"/>
      <c r="N1276" s="2"/>
      <c r="O1276" s="2"/>
      <c r="P1276" s="2"/>
      <c r="Q1276" s="45"/>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row>
    <row r="1277">
      <c r="A1277" s="2"/>
      <c r="B1277" s="2"/>
      <c r="C1277" s="2"/>
      <c r="D1277" s="2"/>
      <c r="E1277" s="2"/>
      <c r="F1277" s="2"/>
      <c r="G1277" s="2"/>
      <c r="H1277" s="2"/>
      <c r="I1277" s="2"/>
      <c r="J1277" s="2"/>
      <c r="K1277" s="2"/>
      <c r="L1277" s="2"/>
      <c r="M1277" s="2"/>
      <c r="N1277" s="2"/>
      <c r="O1277" s="2"/>
      <c r="P1277" s="2"/>
      <c r="Q1277" s="45"/>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row>
    <row r="1278">
      <c r="A1278" s="2"/>
      <c r="B1278" s="2"/>
      <c r="C1278" s="2"/>
      <c r="D1278" s="2"/>
      <c r="E1278" s="2"/>
      <c r="F1278" s="2"/>
      <c r="G1278" s="2"/>
      <c r="H1278" s="2"/>
      <c r="I1278" s="2"/>
      <c r="J1278" s="2"/>
      <c r="K1278" s="2"/>
      <c r="L1278" s="2"/>
      <c r="M1278" s="2"/>
      <c r="N1278" s="2"/>
      <c r="O1278" s="2"/>
      <c r="P1278" s="2"/>
      <c r="Q1278" s="45"/>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row>
    <row r="1279">
      <c r="A1279" s="2"/>
      <c r="B1279" s="2"/>
      <c r="C1279" s="2"/>
      <c r="D1279" s="2"/>
      <c r="E1279" s="2"/>
      <c r="F1279" s="2"/>
      <c r="G1279" s="2"/>
      <c r="H1279" s="2"/>
      <c r="I1279" s="2"/>
      <c r="J1279" s="2"/>
      <c r="K1279" s="2"/>
      <c r="L1279" s="2"/>
      <c r="M1279" s="2"/>
      <c r="N1279" s="2"/>
      <c r="O1279" s="2"/>
      <c r="P1279" s="2"/>
      <c r="Q1279" s="45"/>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row>
    <row r="1280">
      <c r="A1280" s="2"/>
      <c r="B1280" s="2"/>
      <c r="C1280" s="2"/>
      <c r="D1280" s="2"/>
      <c r="E1280" s="2"/>
      <c r="F1280" s="2"/>
      <c r="G1280" s="2"/>
      <c r="H1280" s="2"/>
      <c r="I1280" s="2"/>
      <c r="J1280" s="2"/>
      <c r="K1280" s="2"/>
      <c r="L1280" s="2"/>
      <c r="M1280" s="2"/>
      <c r="N1280" s="2"/>
      <c r="O1280" s="2"/>
      <c r="P1280" s="2"/>
      <c r="Q1280" s="45"/>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row>
    <row r="1281">
      <c r="A1281" s="2"/>
      <c r="B1281" s="2"/>
      <c r="C1281" s="2"/>
      <c r="D1281" s="2"/>
      <c r="E1281" s="2"/>
      <c r="F1281" s="2"/>
      <c r="G1281" s="2"/>
      <c r="H1281" s="2"/>
      <c r="I1281" s="2"/>
      <c r="J1281" s="2"/>
      <c r="K1281" s="2"/>
      <c r="L1281" s="2"/>
      <c r="M1281" s="2"/>
      <c r="N1281" s="2"/>
      <c r="O1281" s="2"/>
      <c r="P1281" s="2"/>
      <c r="Q1281" s="45"/>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row>
    <row r="1282">
      <c r="A1282" s="2"/>
      <c r="B1282" s="2"/>
      <c r="C1282" s="2"/>
      <c r="D1282" s="2"/>
      <c r="E1282" s="2"/>
      <c r="F1282" s="2"/>
      <c r="G1282" s="2"/>
      <c r="H1282" s="2"/>
      <c r="I1282" s="2"/>
      <c r="J1282" s="2"/>
      <c r="K1282" s="2"/>
      <c r="L1282" s="2"/>
      <c r="M1282" s="2"/>
      <c r="N1282" s="2"/>
      <c r="O1282" s="2"/>
      <c r="P1282" s="2"/>
      <c r="Q1282" s="45"/>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row>
    <row r="1283">
      <c r="A1283" s="2"/>
      <c r="B1283" s="2"/>
      <c r="C1283" s="2"/>
      <c r="D1283" s="2"/>
      <c r="E1283" s="2"/>
      <c r="F1283" s="2"/>
      <c r="G1283" s="2"/>
      <c r="H1283" s="2"/>
      <c r="I1283" s="2"/>
      <c r="J1283" s="2"/>
      <c r="K1283" s="2"/>
      <c r="L1283" s="2"/>
      <c r="M1283" s="2"/>
      <c r="N1283" s="2"/>
      <c r="O1283" s="2"/>
      <c r="P1283" s="2"/>
      <c r="Q1283" s="45"/>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row>
    <row r="1284">
      <c r="A1284" s="2"/>
      <c r="B1284" s="2"/>
      <c r="C1284" s="2"/>
      <c r="D1284" s="2"/>
      <c r="E1284" s="2"/>
      <c r="F1284" s="2"/>
      <c r="G1284" s="2"/>
      <c r="H1284" s="2"/>
      <c r="I1284" s="2"/>
      <c r="J1284" s="2"/>
      <c r="K1284" s="2"/>
      <c r="L1284" s="2"/>
      <c r="M1284" s="2"/>
      <c r="N1284" s="2"/>
      <c r="O1284" s="2"/>
      <c r="P1284" s="2"/>
      <c r="Q1284" s="45"/>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row>
    <row r="1285">
      <c r="A1285" s="2"/>
      <c r="B1285" s="2"/>
      <c r="C1285" s="2"/>
      <c r="D1285" s="2"/>
      <c r="E1285" s="2"/>
      <c r="F1285" s="2"/>
      <c r="G1285" s="2"/>
      <c r="H1285" s="2"/>
      <c r="I1285" s="2"/>
      <c r="J1285" s="2"/>
      <c r="K1285" s="2"/>
      <c r="L1285" s="2"/>
      <c r="M1285" s="2"/>
      <c r="N1285" s="2"/>
      <c r="O1285" s="2"/>
      <c r="P1285" s="2"/>
      <c r="Q1285" s="45"/>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row>
    <row r="1286">
      <c r="A1286" s="2"/>
      <c r="B1286" s="2"/>
      <c r="C1286" s="2"/>
      <c r="D1286" s="2"/>
      <c r="E1286" s="2"/>
      <c r="F1286" s="2"/>
      <c r="G1286" s="2"/>
      <c r="H1286" s="2"/>
      <c r="I1286" s="2"/>
      <c r="J1286" s="2"/>
      <c r="K1286" s="2"/>
      <c r="L1286" s="2"/>
      <c r="M1286" s="2"/>
      <c r="N1286" s="2"/>
      <c r="O1286" s="2"/>
      <c r="P1286" s="2"/>
      <c r="Q1286" s="45"/>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row>
    <row r="1287">
      <c r="A1287" s="2"/>
      <c r="B1287" s="2"/>
      <c r="C1287" s="2"/>
      <c r="D1287" s="2"/>
      <c r="E1287" s="2"/>
      <c r="F1287" s="2"/>
      <c r="G1287" s="2"/>
      <c r="H1287" s="2"/>
      <c r="I1287" s="2"/>
      <c r="J1287" s="2"/>
      <c r="K1287" s="2"/>
      <c r="L1287" s="2"/>
      <c r="M1287" s="2"/>
      <c r="N1287" s="2"/>
      <c r="O1287" s="2"/>
      <c r="P1287" s="2"/>
      <c r="Q1287" s="45"/>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row>
    <row r="1288">
      <c r="A1288" s="2"/>
      <c r="B1288" s="2"/>
      <c r="C1288" s="2"/>
      <c r="D1288" s="2"/>
      <c r="E1288" s="2"/>
      <c r="F1288" s="2"/>
      <c r="G1288" s="2"/>
      <c r="H1288" s="2"/>
      <c r="I1288" s="2"/>
      <c r="J1288" s="2"/>
      <c r="K1288" s="2"/>
      <c r="L1288" s="2"/>
      <c r="M1288" s="2"/>
      <c r="N1288" s="2"/>
      <c r="O1288" s="2"/>
      <c r="P1288" s="2"/>
      <c r="Q1288" s="45"/>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row>
    <row r="1289">
      <c r="A1289" s="2"/>
      <c r="B1289" s="2"/>
      <c r="C1289" s="2"/>
      <c r="D1289" s="2"/>
      <c r="E1289" s="2"/>
      <c r="F1289" s="2"/>
      <c r="G1289" s="2"/>
      <c r="H1289" s="2"/>
      <c r="I1289" s="2"/>
      <c r="J1289" s="2"/>
      <c r="K1289" s="2"/>
      <c r="L1289" s="2"/>
      <c r="M1289" s="2"/>
      <c r="N1289" s="2"/>
      <c r="O1289" s="2"/>
      <c r="P1289" s="2"/>
      <c r="Q1289" s="45"/>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row>
    <row r="1290">
      <c r="A1290" s="2"/>
      <c r="B1290" s="2"/>
      <c r="C1290" s="2"/>
      <c r="D1290" s="2"/>
      <c r="E1290" s="2"/>
      <c r="F1290" s="2"/>
      <c r="G1290" s="2"/>
      <c r="H1290" s="2"/>
      <c r="I1290" s="2"/>
      <c r="J1290" s="2"/>
      <c r="K1290" s="2"/>
      <c r="L1290" s="2"/>
      <c r="M1290" s="2"/>
      <c r="N1290" s="2"/>
      <c r="O1290" s="2"/>
      <c r="P1290" s="2"/>
      <c r="Q1290" s="45"/>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row>
    <row r="1291">
      <c r="A1291" s="2"/>
      <c r="B1291" s="2"/>
      <c r="C1291" s="2"/>
      <c r="D1291" s="2"/>
      <c r="E1291" s="2"/>
      <c r="F1291" s="2"/>
      <c r="G1291" s="2"/>
      <c r="H1291" s="2"/>
      <c r="I1291" s="2"/>
      <c r="J1291" s="2"/>
      <c r="K1291" s="2"/>
      <c r="L1291" s="2"/>
      <c r="M1291" s="2"/>
      <c r="N1291" s="2"/>
      <c r="O1291" s="2"/>
      <c r="P1291" s="2"/>
      <c r="Q1291" s="45"/>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row>
    <row r="1292">
      <c r="A1292" s="2"/>
      <c r="B1292" s="2"/>
      <c r="C1292" s="2"/>
      <c r="D1292" s="2"/>
      <c r="E1292" s="2"/>
      <c r="F1292" s="2"/>
      <c r="G1292" s="2"/>
      <c r="H1292" s="2"/>
      <c r="I1292" s="2"/>
      <c r="J1292" s="2"/>
      <c r="K1292" s="2"/>
      <c r="L1292" s="2"/>
      <c r="M1292" s="2"/>
      <c r="N1292" s="2"/>
      <c r="O1292" s="2"/>
      <c r="P1292" s="2"/>
      <c r="Q1292" s="45"/>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row>
    <row r="1293">
      <c r="A1293" s="2"/>
      <c r="B1293" s="2"/>
      <c r="C1293" s="2"/>
      <c r="D1293" s="2"/>
      <c r="E1293" s="2"/>
      <c r="F1293" s="2"/>
      <c r="G1293" s="2"/>
      <c r="H1293" s="2"/>
      <c r="I1293" s="2"/>
      <c r="J1293" s="2"/>
      <c r="K1293" s="2"/>
      <c r="L1293" s="2"/>
      <c r="M1293" s="2"/>
      <c r="N1293" s="2"/>
      <c r="O1293" s="2"/>
      <c r="P1293" s="2"/>
      <c r="Q1293" s="45"/>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row>
    <row r="1294">
      <c r="A1294" s="2"/>
      <c r="B1294" s="2"/>
      <c r="C1294" s="2"/>
      <c r="D1294" s="2"/>
      <c r="E1294" s="2"/>
      <c r="F1294" s="2"/>
      <c r="G1294" s="2"/>
      <c r="H1294" s="2"/>
      <c r="I1294" s="2"/>
      <c r="J1294" s="2"/>
      <c r="K1294" s="2"/>
      <c r="L1294" s="2"/>
      <c r="M1294" s="2"/>
      <c r="N1294" s="2"/>
      <c r="O1294" s="2"/>
      <c r="P1294" s="2"/>
      <c r="Q1294" s="45"/>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row>
    <row r="1295">
      <c r="A1295" s="2"/>
      <c r="B1295" s="2"/>
      <c r="C1295" s="2"/>
      <c r="D1295" s="2"/>
      <c r="E1295" s="2"/>
      <c r="F1295" s="2"/>
      <c r="G1295" s="2"/>
      <c r="H1295" s="2"/>
      <c r="I1295" s="2"/>
      <c r="J1295" s="2"/>
      <c r="K1295" s="2"/>
      <c r="L1295" s="2"/>
      <c r="M1295" s="2"/>
      <c r="N1295" s="2"/>
      <c r="O1295" s="2"/>
      <c r="P1295" s="2"/>
      <c r="Q1295" s="45"/>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row>
    <row r="1296">
      <c r="A1296" s="2"/>
      <c r="B1296" s="2"/>
      <c r="C1296" s="2"/>
      <c r="D1296" s="2"/>
      <c r="E1296" s="2"/>
      <c r="F1296" s="2"/>
      <c r="G1296" s="2"/>
      <c r="H1296" s="2"/>
      <c r="I1296" s="2"/>
      <c r="J1296" s="2"/>
      <c r="K1296" s="2"/>
      <c r="L1296" s="2"/>
      <c r="M1296" s="2"/>
      <c r="N1296" s="2"/>
      <c r="O1296" s="2"/>
      <c r="P1296" s="2"/>
      <c r="Q1296" s="45"/>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row>
    <row r="1297">
      <c r="A1297" s="2"/>
      <c r="B1297" s="2"/>
      <c r="C1297" s="2"/>
      <c r="D1297" s="2"/>
      <c r="E1297" s="2"/>
      <c r="F1297" s="2"/>
      <c r="G1297" s="2"/>
      <c r="H1297" s="2"/>
      <c r="I1297" s="2"/>
      <c r="J1297" s="2"/>
      <c r="K1297" s="2"/>
      <c r="L1297" s="2"/>
      <c r="M1297" s="2"/>
      <c r="N1297" s="2"/>
      <c r="O1297" s="2"/>
      <c r="P1297" s="2"/>
      <c r="Q1297" s="45"/>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row>
    <row r="1298">
      <c r="A1298" s="2"/>
      <c r="B1298" s="2"/>
      <c r="C1298" s="2"/>
      <c r="D1298" s="2"/>
      <c r="E1298" s="2"/>
      <c r="F1298" s="2"/>
      <c r="G1298" s="2"/>
      <c r="H1298" s="2"/>
      <c r="I1298" s="2"/>
      <c r="J1298" s="2"/>
      <c r="K1298" s="2"/>
      <c r="L1298" s="2"/>
      <c r="M1298" s="2"/>
      <c r="N1298" s="2"/>
      <c r="O1298" s="2"/>
      <c r="P1298" s="2"/>
      <c r="Q1298" s="45"/>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row>
    <row r="1299">
      <c r="A1299" s="2"/>
      <c r="B1299" s="2"/>
      <c r="C1299" s="2"/>
      <c r="D1299" s="2"/>
      <c r="E1299" s="2"/>
      <c r="F1299" s="2"/>
      <c r="G1299" s="2"/>
      <c r="H1299" s="2"/>
      <c r="I1299" s="2"/>
      <c r="J1299" s="2"/>
      <c r="K1299" s="2"/>
      <c r="L1299" s="2"/>
      <c r="M1299" s="2"/>
      <c r="N1299" s="2"/>
      <c r="O1299" s="2"/>
      <c r="P1299" s="2"/>
      <c r="Q1299" s="45"/>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row>
    <row r="1300">
      <c r="A1300" s="2"/>
      <c r="B1300" s="2"/>
      <c r="C1300" s="2"/>
      <c r="D1300" s="2"/>
      <c r="E1300" s="2"/>
      <c r="F1300" s="2"/>
      <c r="G1300" s="2"/>
      <c r="H1300" s="2"/>
      <c r="I1300" s="2"/>
      <c r="J1300" s="2"/>
      <c r="K1300" s="2"/>
      <c r="L1300" s="2"/>
      <c r="M1300" s="2"/>
      <c r="N1300" s="2"/>
      <c r="O1300" s="2"/>
      <c r="P1300" s="2"/>
      <c r="Q1300" s="45"/>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row>
    <row r="1301">
      <c r="A1301" s="2"/>
      <c r="B1301" s="2"/>
      <c r="C1301" s="2"/>
      <c r="D1301" s="2"/>
      <c r="E1301" s="2"/>
      <c r="F1301" s="2"/>
      <c r="G1301" s="2"/>
      <c r="H1301" s="2"/>
      <c r="I1301" s="2"/>
      <c r="J1301" s="2"/>
      <c r="K1301" s="2"/>
      <c r="L1301" s="2"/>
      <c r="M1301" s="2"/>
      <c r="N1301" s="2"/>
      <c r="O1301" s="2"/>
      <c r="P1301" s="2"/>
      <c r="Q1301" s="45"/>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row>
    <row r="1302">
      <c r="A1302" s="2"/>
      <c r="B1302" s="2"/>
      <c r="C1302" s="2"/>
      <c r="D1302" s="2"/>
      <c r="E1302" s="2"/>
      <c r="F1302" s="2"/>
      <c r="G1302" s="2"/>
      <c r="H1302" s="2"/>
      <c r="I1302" s="2"/>
      <c r="J1302" s="2"/>
      <c r="K1302" s="2"/>
      <c r="L1302" s="2"/>
      <c r="M1302" s="2"/>
      <c r="N1302" s="2"/>
      <c r="O1302" s="2"/>
      <c r="P1302" s="2"/>
      <c r="Q1302" s="45"/>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row>
    <row r="1303">
      <c r="A1303" s="2"/>
      <c r="B1303" s="2"/>
      <c r="C1303" s="2"/>
      <c r="D1303" s="2"/>
      <c r="E1303" s="2"/>
      <c r="F1303" s="2"/>
      <c r="G1303" s="2"/>
      <c r="H1303" s="2"/>
      <c r="I1303" s="2"/>
      <c r="J1303" s="2"/>
      <c r="K1303" s="2"/>
      <c r="L1303" s="2"/>
      <c r="M1303" s="2"/>
      <c r="N1303" s="2"/>
      <c r="O1303" s="2"/>
      <c r="P1303" s="2"/>
      <c r="Q1303" s="45"/>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row>
    <row r="1304">
      <c r="A1304" s="2"/>
      <c r="B1304" s="2"/>
      <c r="C1304" s="2"/>
      <c r="D1304" s="2"/>
      <c r="E1304" s="2"/>
      <c r="F1304" s="2"/>
      <c r="G1304" s="2"/>
      <c r="H1304" s="2"/>
      <c r="I1304" s="2"/>
      <c r="J1304" s="2"/>
      <c r="K1304" s="2"/>
      <c r="L1304" s="2"/>
      <c r="M1304" s="2"/>
      <c r="N1304" s="2"/>
      <c r="O1304" s="2"/>
      <c r="P1304" s="2"/>
      <c r="Q1304" s="45"/>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row>
    <row r="1305">
      <c r="A1305" s="2"/>
      <c r="B1305" s="2"/>
      <c r="C1305" s="2"/>
      <c r="D1305" s="2"/>
      <c r="E1305" s="2"/>
      <c r="F1305" s="2"/>
      <c r="G1305" s="2"/>
      <c r="H1305" s="2"/>
      <c r="I1305" s="2"/>
      <c r="J1305" s="2"/>
      <c r="K1305" s="2"/>
      <c r="L1305" s="2"/>
      <c r="M1305" s="2"/>
      <c r="N1305" s="2"/>
      <c r="O1305" s="2"/>
      <c r="P1305" s="2"/>
      <c r="Q1305" s="45"/>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row>
    <row r="1306">
      <c r="A1306" s="2"/>
      <c r="B1306" s="2"/>
      <c r="C1306" s="2"/>
      <c r="D1306" s="2"/>
      <c r="E1306" s="2"/>
      <c r="F1306" s="2"/>
      <c r="G1306" s="2"/>
      <c r="H1306" s="2"/>
      <c r="I1306" s="2"/>
      <c r="J1306" s="2"/>
      <c r="K1306" s="2"/>
      <c r="L1306" s="2"/>
      <c r="M1306" s="2"/>
      <c r="N1306" s="2"/>
      <c r="O1306" s="2"/>
      <c r="P1306" s="2"/>
      <c r="Q1306" s="45"/>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row>
    <row r="1307">
      <c r="A1307" s="2"/>
      <c r="B1307" s="2"/>
      <c r="C1307" s="2"/>
      <c r="D1307" s="2"/>
      <c r="E1307" s="2"/>
      <c r="F1307" s="2"/>
      <c r="G1307" s="2"/>
      <c r="H1307" s="2"/>
      <c r="I1307" s="2"/>
      <c r="J1307" s="2"/>
      <c r="K1307" s="2"/>
      <c r="L1307" s="2"/>
      <c r="M1307" s="2"/>
      <c r="N1307" s="2"/>
      <c r="O1307" s="2"/>
      <c r="P1307" s="2"/>
      <c r="Q1307" s="45"/>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row>
    <row r="1308">
      <c r="A1308" s="2"/>
      <c r="B1308" s="2"/>
      <c r="C1308" s="2"/>
      <c r="D1308" s="2"/>
      <c r="E1308" s="2"/>
      <c r="F1308" s="2"/>
      <c r="G1308" s="2"/>
      <c r="H1308" s="2"/>
      <c r="I1308" s="2"/>
      <c r="J1308" s="2"/>
      <c r="K1308" s="2"/>
      <c r="L1308" s="2"/>
      <c r="M1308" s="2"/>
      <c r="N1308" s="2"/>
      <c r="O1308" s="2"/>
      <c r="P1308" s="2"/>
      <c r="Q1308" s="45"/>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row>
    <row r="1309">
      <c r="A1309" s="2"/>
      <c r="B1309" s="2"/>
      <c r="C1309" s="2"/>
      <c r="D1309" s="2"/>
      <c r="E1309" s="2"/>
      <c r="F1309" s="2"/>
      <c r="G1309" s="2"/>
      <c r="H1309" s="2"/>
      <c r="I1309" s="2"/>
      <c r="J1309" s="2"/>
      <c r="K1309" s="2"/>
      <c r="L1309" s="2"/>
      <c r="M1309" s="2"/>
      <c r="N1309" s="2"/>
      <c r="O1309" s="2"/>
      <c r="P1309" s="2"/>
      <c r="Q1309" s="45"/>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row>
    <row r="1310">
      <c r="A1310" s="2"/>
      <c r="B1310" s="2"/>
      <c r="C1310" s="2"/>
      <c r="D1310" s="2"/>
      <c r="E1310" s="2"/>
      <c r="F1310" s="2"/>
      <c r="G1310" s="2"/>
      <c r="H1310" s="2"/>
      <c r="I1310" s="2"/>
      <c r="J1310" s="2"/>
      <c r="K1310" s="2"/>
      <c r="L1310" s="2"/>
      <c r="M1310" s="2"/>
      <c r="N1310" s="2"/>
      <c r="O1310" s="2"/>
      <c r="P1310" s="2"/>
      <c r="Q1310" s="45"/>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row>
    <row r="1311">
      <c r="A1311" s="2"/>
      <c r="B1311" s="2"/>
      <c r="C1311" s="2"/>
      <c r="D1311" s="2"/>
      <c r="E1311" s="2"/>
      <c r="F1311" s="2"/>
      <c r="G1311" s="2"/>
      <c r="H1311" s="2"/>
      <c r="I1311" s="2"/>
      <c r="J1311" s="2"/>
      <c r="K1311" s="2"/>
      <c r="L1311" s="2"/>
      <c r="M1311" s="2"/>
      <c r="N1311" s="2"/>
      <c r="O1311" s="2"/>
      <c r="P1311" s="2"/>
      <c r="Q1311" s="45"/>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row>
    <row r="1312">
      <c r="A1312" s="2"/>
      <c r="B1312" s="2"/>
      <c r="C1312" s="2"/>
      <c r="D1312" s="2"/>
      <c r="E1312" s="2"/>
      <c r="F1312" s="2"/>
      <c r="G1312" s="2"/>
      <c r="H1312" s="2"/>
      <c r="I1312" s="2"/>
      <c r="J1312" s="2"/>
      <c r="K1312" s="2"/>
      <c r="L1312" s="2"/>
      <c r="M1312" s="2"/>
      <c r="N1312" s="2"/>
      <c r="O1312" s="2"/>
      <c r="P1312" s="2"/>
      <c r="Q1312" s="45"/>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row>
    <row r="1313">
      <c r="A1313" s="2"/>
      <c r="B1313" s="2"/>
      <c r="C1313" s="2"/>
      <c r="D1313" s="2"/>
      <c r="E1313" s="2"/>
      <c r="F1313" s="2"/>
      <c r="G1313" s="2"/>
      <c r="H1313" s="2"/>
      <c r="I1313" s="2"/>
      <c r="J1313" s="2"/>
      <c r="K1313" s="2"/>
      <c r="L1313" s="2"/>
      <c r="M1313" s="2"/>
      <c r="N1313" s="2"/>
      <c r="O1313" s="2"/>
      <c r="P1313" s="2"/>
      <c r="Q1313" s="45"/>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row>
    <row r="1314">
      <c r="A1314" s="2"/>
      <c r="B1314" s="2"/>
      <c r="C1314" s="2"/>
      <c r="D1314" s="2"/>
      <c r="E1314" s="2"/>
      <c r="F1314" s="2"/>
      <c r="G1314" s="2"/>
      <c r="H1314" s="2"/>
      <c r="I1314" s="2"/>
      <c r="J1314" s="2"/>
      <c r="K1314" s="2"/>
      <c r="L1314" s="2"/>
      <c r="M1314" s="2"/>
      <c r="N1314" s="2"/>
      <c r="O1314" s="2"/>
      <c r="P1314" s="2"/>
      <c r="Q1314" s="45"/>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row>
    <row r="1315">
      <c r="A1315" s="2"/>
      <c r="B1315" s="2"/>
      <c r="C1315" s="2"/>
      <c r="D1315" s="2"/>
      <c r="E1315" s="2"/>
      <c r="F1315" s="2"/>
      <c r="G1315" s="2"/>
      <c r="H1315" s="2"/>
      <c r="I1315" s="2"/>
      <c r="J1315" s="2"/>
      <c r="K1315" s="2"/>
      <c r="L1315" s="2"/>
      <c r="M1315" s="2"/>
      <c r="N1315" s="2"/>
      <c r="O1315" s="2"/>
      <c r="P1315" s="2"/>
      <c r="Q1315" s="45"/>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row>
    <row r="1316">
      <c r="A1316" s="2"/>
      <c r="B1316" s="2"/>
      <c r="C1316" s="2"/>
      <c r="D1316" s="2"/>
      <c r="E1316" s="2"/>
      <c r="F1316" s="2"/>
      <c r="G1316" s="2"/>
      <c r="H1316" s="2"/>
      <c r="I1316" s="2"/>
      <c r="J1316" s="2"/>
      <c r="K1316" s="2"/>
      <c r="L1316" s="2"/>
      <c r="M1316" s="2"/>
      <c r="N1316" s="2"/>
      <c r="O1316" s="2"/>
      <c r="P1316" s="2"/>
      <c r="Q1316" s="45"/>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row>
    <row r="1317">
      <c r="A1317" s="2"/>
      <c r="B1317" s="2"/>
      <c r="C1317" s="2"/>
      <c r="D1317" s="2"/>
      <c r="E1317" s="2"/>
      <c r="F1317" s="2"/>
      <c r="G1317" s="2"/>
      <c r="H1317" s="2"/>
      <c r="I1317" s="2"/>
      <c r="J1317" s="2"/>
      <c r="K1317" s="2"/>
      <c r="L1317" s="2"/>
      <c r="M1317" s="2"/>
      <c r="N1317" s="2"/>
      <c r="O1317" s="2"/>
      <c r="P1317" s="2"/>
      <c r="Q1317" s="45"/>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row>
    <row r="1318">
      <c r="A1318" s="2"/>
      <c r="B1318" s="2"/>
      <c r="C1318" s="2"/>
      <c r="D1318" s="2"/>
      <c r="E1318" s="2"/>
      <c r="F1318" s="2"/>
      <c r="G1318" s="2"/>
      <c r="H1318" s="2"/>
      <c r="I1318" s="2"/>
      <c r="J1318" s="2"/>
      <c r="K1318" s="2"/>
      <c r="L1318" s="2"/>
      <c r="M1318" s="2"/>
      <c r="N1318" s="2"/>
      <c r="O1318" s="2"/>
      <c r="P1318" s="2"/>
      <c r="Q1318" s="45"/>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row>
    <row r="1319">
      <c r="A1319" s="2"/>
      <c r="B1319" s="2"/>
      <c r="C1319" s="2"/>
      <c r="D1319" s="2"/>
      <c r="E1319" s="2"/>
      <c r="F1319" s="2"/>
      <c r="G1319" s="2"/>
      <c r="H1319" s="2"/>
      <c r="I1319" s="2"/>
      <c r="J1319" s="2"/>
      <c r="K1319" s="2"/>
      <c r="L1319" s="2"/>
      <c r="M1319" s="2"/>
      <c r="N1319" s="2"/>
      <c r="O1319" s="2"/>
      <c r="P1319" s="2"/>
      <c r="Q1319" s="45"/>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row>
    <row r="1320">
      <c r="A1320" s="2"/>
      <c r="B1320" s="2"/>
      <c r="C1320" s="2"/>
      <c r="D1320" s="2"/>
      <c r="E1320" s="2"/>
      <c r="F1320" s="2"/>
      <c r="G1320" s="2"/>
      <c r="H1320" s="2"/>
      <c r="I1320" s="2"/>
      <c r="J1320" s="2"/>
      <c r="K1320" s="2"/>
      <c r="L1320" s="2"/>
      <c r="M1320" s="2"/>
      <c r="N1320" s="2"/>
      <c r="O1320" s="2"/>
      <c r="P1320" s="2"/>
      <c r="Q1320" s="45"/>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row>
    <row r="1321">
      <c r="A1321" s="2"/>
      <c r="B1321" s="2"/>
      <c r="C1321" s="2"/>
      <c r="D1321" s="2"/>
      <c r="E1321" s="2"/>
      <c r="F1321" s="2"/>
      <c r="G1321" s="2"/>
      <c r="H1321" s="2"/>
      <c r="I1321" s="2"/>
      <c r="J1321" s="2"/>
      <c r="K1321" s="2"/>
      <c r="L1321" s="2"/>
      <c r="M1321" s="2"/>
      <c r="N1321" s="2"/>
      <c r="O1321" s="2"/>
      <c r="P1321" s="2"/>
      <c r="Q1321" s="45"/>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row>
    <row r="1322">
      <c r="A1322" s="2"/>
      <c r="B1322" s="2"/>
      <c r="C1322" s="2"/>
      <c r="D1322" s="2"/>
      <c r="E1322" s="2"/>
      <c r="F1322" s="2"/>
      <c r="G1322" s="2"/>
      <c r="H1322" s="2"/>
      <c r="I1322" s="2"/>
      <c r="J1322" s="2"/>
      <c r="K1322" s="2"/>
      <c r="L1322" s="2"/>
      <c r="M1322" s="2"/>
      <c r="N1322" s="2"/>
      <c r="O1322" s="2"/>
      <c r="P1322" s="2"/>
      <c r="Q1322" s="45"/>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row>
    <row r="1323">
      <c r="A1323" s="2"/>
      <c r="B1323" s="2"/>
      <c r="C1323" s="2"/>
      <c r="D1323" s="2"/>
      <c r="E1323" s="2"/>
      <c r="F1323" s="2"/>
      <c r="G1323" s="2"/>
      <c r="H1323" s="2"/>
      <c r="I1323" s="2"/>
      <c r="J1323" s="2"/>
      <c r="K1323" s="2"/>
      <c r="L1323" s="2"/>
      <c r="M1323" s="2"/>
      <c r="N1323" s="2"/>
      <c r="O1323" s="2"/>
      <c r="P1323" s="2"/>
      <c r="Q1323" s="45"/>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row>
    <row r="1324">
      <c r="A1324" s="2"/>
      <c r="B1324" s="2"/>
      <c r="C1324" s="2"/>
      <c r="D1324" s="2"/>
      <c r="E1324" s="2"/>
      <c r="F1324" s="2"/>
      <c r="G1324" s="2"/>
      <c r="H1324" s="2"/>
      <c r="I1324" s="2"/>
      <c r="J1324" s="2"/>
      <c r="K1324" s="2"/>
      <c r="L1324" s="2"/>
      <c r="M1324" s="2"/>
      <c r="N1324" s="2"/>
      <c r="O1324" s="2"/>
      <c r="P1324" s="2"/>
      <c r="Q1324" s="45"/>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row>
    <row r="1325">
      <c r="A1325" s="2"/>
      <c r="B1325" s="2"/>
      <c r="C1325" s="2"/>
      <c r="D1325" s="2"/>
      <c r="E1325" s="2"/>
      <c r="F1325" s="2"/>
      <c r="G1325" s="2"/>
      <c r="H1325" s="2"/>
      <c r="I1325" s="2"/>
      <c r="J1325" s="2"/>
      <c r="K1325" s="2"/>
      <c r="L1325" s="2"/>
      <c r="M1325" s="2"/>
      <c r="N1325" s="2"/>
      <c r="O1325" s="2"/>
      <c r="P1325" s="2"/>
      <c r="Q1325" s="45"/>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row>
    <row r="1326">
      <c r="A1326" s="2"/>
      <c r="B1326" s="2"/>
      <c r="C1326" s="2"/>
      <c r="D1326" s="2"/>
      <c r="E1326" s="2"/>
      <c r="F1326" s="2"/>
      <c r="G1326" s="2"/>
      <c r="H1326" s="2"/>
      <c r="I1326" s="2"/>
      <c r="J1326" s="2"/>
      <c r="K1326" s="2"/>
      <c r="L1326" s="2"/>
      <c r="M1326" s="2"/>
      <c r="N1326" s="2"/>
      <c r="O1326" s="2"/>
      <c r="P1326" s="2"/>
      <c r="Q1326" s="45"/>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row>
    <row r="1327">
      <c r="A1327" s="2"/>
      <c r="B1327" s="2"/>
      <c r="C1327" s="2"/>
      <c r="D1327" s="2"/>
      <c r="E1327" s="2"/>
      <c r="F1327" s="2"/>
      <c r="G1327" s="2"/>
      <c r="H1327" s="2"/>
      <c r="I1327" s="2"/>
      <c r="J1327" s="2"/>
      <c r="K1327" s="2"/>
      <c r="L1327" s="2"/>
      <c r="M1327" s="2"/>
      <c r="N1327" s="2"/>
      <c r="O1327" s="2"/>
      <c r="P1327" s="2"/>
      <c r="Q1327" s="45"/>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row>
    <row r="1328">
      <c r="A1328" s="2"/>
      <c r="B1328" s="2"/>
      <c r="C1328" s="2"/>
      <c r="D1328" s="2"/>
      <c r="E1328" s="2"/>
      <c r="F1328" s="2"/>
      <c r="G1328" s="2"/>
      <c r="H1328" s="2"/>
      <c r="I1328" s="2"/>
      <c r="J1328" s="2"/>
      <c r="K1328" s="2"/>
      <c r="L1328" s="2"/>
      <c r="M1328" s="2"/>
      <c r="N1328" s="2"/>
      <c r="O1328" s="2"/>
      <c r="P1328" s="2"/>
      <c r="Q1328" s="45"/>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row>
    <row r="1329">
      <c r="A1329" s="2"/>
      <c r="B1329" s="2"/>
      <c r="C1329" s="2"/>
      <c r="D1329" s="2"/>
      <c r="E1329" s="2"/>
      <c r="F1329" s="2"/>
      <c r="G1329" s="2"/>
      <c r="H1329" s="2"/>
      <c r="I1329" s="2"/>
      <c r="J1329" s="2"/>
      <c r="K1329" s="2"/>
      <c r="L1329" s="2"/>
      <c r="M1329" s="2"/>
      <c r="N1329" s="2"/>
      <c r="O1329" s="2"/>
      <c r="P1329" s="2"/>
      <c r="Q1329" s="45"/>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row>
    <row r="1330">
      <c r="A1330" s="2"/>
      <c r="B1330" s="2"/>
      <c r="C1330" s="2"/>
      <c r="D1330" s="2"/>
      <c r="E1330" s="2"/>
      <c r="F1330" s="2"/>
      <c r="G1330" s="2"/>
      <c r="H1330" s="2"/>
      <c r="I1330" s="2"/>
      <c r="J1330" s="2"/>
      <c r="K1330" s="2"/>
      <c r="L1330" s="2"/>
      <c r="M1330" s="2"/>
      <c r="N1330" s="2"/>
      <c r="O1330" s="2"/>
      <c r="P1330" s="2"/>
      <c r="Q1330" s="45"/>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row>
    <row r="1331">
      <c r="A1331" s="2"/>
      <c r="B1331" s="2"/>
      <c r="C1331" s="2"/>
      <c r="D1331" s="2"/>
      <c r="E1331" s="2"/>
      <c r="F1331" s="2"/>
      <c r="G1331" s="2"/>
      <c r="H1331" s="2"/>
      <c r="I1331" s="2"/>
      <c r="J1331" s="2"/>
      <c r="K1331" s="2"/>
      <c r="L1331" s="2"/>
      <c r="M1331" s="2"/>
      <c r="N1331" s="2"/>
      <c r="O1331" s="2"/>
      <c r="P1331" s="2"/>
      <c r="Q1331" s="45"/>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row>
    <row r="1332">
      <c r="A1332" s="2"/>
      <c r="B1332" s="2"/>
      <c r="C1332" s="2"/>
      <c r="D1332" s="2"/>
      <c r="E1332" s="2"/>
      <c r="F1332" s="2"/>
      <c r="G1332" s="2"/>
      <c r="H1332" s="2"/>
      <c r="I1332" s="2"/>
      <c r="J1332" s="2"/>
      <c r="K1332" s="2"/>
      <c r="L1332" s="2"/>
      <c r="M1332" s="2"/>
      <c r="N1332" s="2"/>
      <c r="O1332" s="2"/>
      <c r="P1332" s="2"/>
      <c r="Q1332" s="45"/>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row>
    <row r="1333">
      <c r="A1333" s="2"/>
      <c r="B1333" s="2"/>
      <c r="C1333" s="2"/>
      <c r="D1333" s="2"/>
      <c r="E1333" s="2"/>
      <c r="F1333" s="2"/>
      <c r="G1333" s="2"/>
      <c r="H1333" s="2"/>
      <c r="I1333" s="2"/>
      <c r="J1333" s="2"/>
      <c r="K1333" s="2"/>
      <c r="L1333" s="2"/>
      <c r="M1333" s="2"/>
      <c r="N1333" s="2"/>
      <c r="O1333" s="2"/>
      <c r="P1333" s="2"/>
      <c r="Q1333" s="45"/>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row>
    <row r="1334">
      <c r="A1334" s="2"/>
      <c r="B1334" s="2"/>
      <c r="C1334" s="2"/>
      <c r="D1334" s="2"/>
      <c r="E1334" s="2"/>
      <c r="F1334" s="2"/>
      <c r="G1334" s="2"/>
      <c r="H1334" s="2"/>
      <c r="I1334" s="2"/>
      <c r="J1334" s="2"/>
      <c r="K1334" s="2"/>
      <c r="L1334" s="2"/>
      <c r="M1334" s="2"/>
      <c r="N1334" s="2"/>
      <c r="O1334" s="2"/>
      <c r="P1334" s="2"/>
      <c r="Q1334" s="45"/>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row>
    <row r="1335">
      <c r="A1335" s="2"/>
      <c r="B1335" s="2"/>
      <c r="C1335" s="2"/>
      <c r="D1335" s="2"/>
      <c r="E1335" s="2"/>
      <c r="F1335" s="2"/>
      <c r="G1335" s="2"/>
      <c r="H1335" s="2"/>
      <c r="I1335" s="2"/>
      <c r="J1335" s="2"/>
      <c r="K1335" s="2"/>
      <c r="L1335" s="2"/>
      <c r="M1335" s="2"/>
      <c r="N1335" s="2"/>
      <c r="O1335" s="2"/>
      <c r="P1335" s="2"/>
      <c r="Q1335" s="45"/>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row>
    <row r="1336">
      <c r="A1336" s="2"/>
      <c r="B1336" s="2"/>
      <c r="C1336" s="2"/>
      <c r="D1336" s="2"/>
      <c r="E1336" s="2"/>
      <c r="F1336" s="2"/>
      <c r="G1336" s="2"/>
      <c r="H1336" s="2"/>
      <c r="I1336" s="2"/>
      <c r="J1336" s="2"/>
      <c r="K1336" s="2"/>
      <c r="L1336" s="2"/>
      <c r="M1336" s="2"/>
      <c r="N1336" s="2"/>
      <c r="O1336" s="2"/>
      <c r="P1336" s="2"/>
      <c r="Q1336" s="45"/>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row>
    <row r="1337">
      <c r="A1337" s="2"/>
      <c r="B1337" s="2"/>
      <c r="C1337" s="2"/>
      <c r="D1337" s="2"/>
      <c r="E1337" s="2"/>
      <c r="F1337" s="2"/>
      <c r="G1337" s="2"/>
      <c r="H1337" s="2"/>
      <c r="I1337" s="2"/>
      <c r="J1337" s="2"/>
      <c r="K1337" s="2"/>
      <c r="L1337" s="2"/>
      <c r="M1337" s="2"/>
      <c r="N1337" s="2"/>
      <c r="O1337" s="2"/>
      <c r="P1337" s="2"/>
      <c r="Q1337" s="45"/>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row>
    <row r="1338">
      <c r="A1338" s="2"/>
      <c r="B1338" s="2"/>
      <c r="C1338" s="2"/>
      <c r="D1338" s="2"/>
      <c r="E1338" s="2"/>
      <c r="F1338" s="2"/>
      <c r="G1338" s="2"/>
      <c r="H1338" s="2"/>
      <c r="I1338" s="2"/>
      <c r="J1338" s="2"/>
      <c r="K1338" s="2"/>
      <c r="L1338" s="2"/>
      <c r="M1338" s="2"/>
      <c r="N1338" s="2"/>
      <c r="O1338" s="2"/>
      <c r="P1338" s="2"/>
      <c r="Q1338" s="45"/>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row>
    <row r="1339">
      <c r="A1339" s="2"/>
      <c r="B1339" s="2"/>
      <c r="C1339" s="2"/>
      <c r="D1339" s="2"/>
      <c r="E1339" s="2"/>
      <c r="F1339" s="2"/>
      <c r="G1339" s="2"/>
      <c r="H1339" s="2"/>
      <c r="I1339" s="2"/>
      <c r="J1339" s="2"/>
      <c r="K1339" s="2"/>
      <c r="L1339" s="2"/>
      <c r="M1339" s="2"/>
      <c r="N1339" s="2"/>
      <c r="O1339" s="2"/>
      <c r="P1339" s="2"/>
      <c r="Q1339" s="45"/>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row>
    <row r="1340">
      <c r="A1340" s="2"/>
      <c r="B1340" s="2"/>
      <c r="C1340" s="2"/>
      <c r="D1340" s="2"/>
      <c r="E1340" s="2"/>
      <c r="F1340" s="2"/>
      <c r="G1340" s="2"/>
      <c r="H1340" s="2"/>
      <c r="I1340" s="2"/>
      <c r="J1340" s="2"/>
      <c r="K1340" s="2"/>
      <c r="L1340" s="2"/>
      <c r="M1340" s="2"/>
      <c r="N1340" s="2"/>
      <c r="O1340" s="2"/>
      <c r="P1340" s="2"/>
      <c r="Q1340" s="45"/>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row>
    <row r="1341">
      <c r="A1341" s="2"/>
      <c r="B1341" s="2"/>
      <c r="C1341" s="2"/>
      <c r="D1341" s="2"/>
      <c r="E1341" s="2"/>
      <c r="F1341" s="2"/>
      <c r="G1341" s="2"/>
      <c r="H1341" s="2"/>
      <c r="I1341" s="2"/>
      <c r="J1341" s="2"/>
      <c r="K1341" s="2"/>
      <c r="L1341" s="2"/>
      <c r="M1341" s="2"/>
      <c r="N1341" s="2"/>
      <c r="O1341" s="2"/>
      <c r="P1341" s="2"/>
      <c r="Q1341" s="45"/>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row>
    <row r="1342">
      <c r="A1342" s="2"/>
      <c r="B1342" s="2"/>
      <c r="C1342" s="2"/>
      <c r="D1342" s="2"/>
      <c r="E1342" s="2"/>
      <c r="F1342" s="2"/>
      <c r="G1342" s="2"/>
      <c r="H1342" s="2"/>
      <c r="I1342" s="2"/>
      <c r="J1342" s="2"/>
      <c r="K1342" s="2"/>
      <c r="L1342" s="2"/>
      <c r="M1342" s="2"/>
      <c r="N1342" s="2"/>
      <c r="O1342" s="2"/>
      <c r="P1342" s="2"/>
      <c r="Q1342" s="45"/>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row>
    <row r="1343">
      <c r="A1343" s="2"/>
      <c r="B1343" s="2"/>
      <c r="C1343" s="2"/>
      <c r="D1343" s="2"/>
      <c r="E1343" s="2"/>
      <c r="F1343" s="2"/>
      <c r="G1343" s="2"/>
      <c r="H1343" s="2"/>
      <c r="I1343" s="2"/>
      <c r="J1343" s="2"/>
      <c r="K1343" s="2"/>
      <c r="L1343" s="2"/>
      <c r="M1343" s="2"/>
      <c r="N1343" s="2"/>
      <c r="O1343" s="2"/>
      <c r="P1343" s="2"/>
      <c r="Q1343" s="45"/>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row>
    <row r="1344">
      <c r="A1344" s="2"/>
      <c r="B1344" s="2"/>
      <c r="C1344" s="2"/>
      <c r="D1344" s="2"/>
      <c r="E1344" s="2"/>
      <c r="F1344" s="2"/>
      <c r="G1344" s="2"/>
      <c r="H1344" s="2"/>
      <c r="I1344" s="2"/>
      <c r="J1344" s="2"/>
      <c r="K1344" s="2"/>
      <c r="L1344" s="2"/>
      <c r="M1344" s="2"/>
      <c r="N1344" s="2"/>
      <c r="O1344" s="2"/>
      <c r="P1344" s="2"/>
      <c r="Q1344" s="45"/>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row>
    <row r="1345">
      <c r="A1345" s="2"/>
      <c r="B1345" s="2"/>
      <c r="C1345" s="2"/>
      <c r="D1345" s="2"/>
      <c r="E1345" s="2"/>
      <c r="F1345" s="2"/>
      <c r="G1345" s="2"/>
      <c r="H1345" s="2"/>
      <c r="I1345" s="2"/>
      <c r="J1345" s="2"/>
      <c r="K1345" s="2"/>
      <c r="L1345" s="2"/>
      <c r="M1345" s="2"/>
      <c r="N1345" s="2"/>
      <c r="O1345" s="2"/>
      <c r="P1345" s="2"/>
      <c r="Q1345" s="45"/>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row>
    <row r="1346">
      <c r="A1346" s="2"/>
      <c r="B1346" s="2"/>
      <c r="C1346" s="2"/>
      <c r="D1346" s="2"/>
      <c r="E1346" s="2"/>
      <c r="F1346" s="2"/>
      <c r="G1346" s="2"/>
      <c r="H1346" s="2"/>
      <c r="I1346" s="2"/>
      <c r="J1346" s="2"/>
      <c r="K1346" s="2"/>
      <c r="L1346" s="2"/>
      <c r="M1346" s="2"/>
      <c r="N1346" s="2"/>
      <c r="O1346" s="2"/>
      <c r="P1346" s="2"/>
      <c r="Q1346" s="45"/>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row>
    <row r="1347">
      <c r="A1347" s="2"/>
      <c r="B1347" s="2"/>
      <c r="C1347" s="2"/>
      <c r="D1347" s="2"/>
      <c r="E1347" s="2"/>
      <c r="F1347" s="2"/>
      <c r="G1347" s="2"/>
      <c r="H1347" s="2"/>
      <c r="I1347" s="2"/>
      <c r="J1347" s="2"/>
      <c r="K1347" s="2"/>
      <c r="L1347" s="2"/>
      <c r="M1347" s="2"/>
      <c r="N1347" s="2"/>
      <c r="O1347" s="2"/>
      <c r="P1347" s="2"/>
      <c r="Q1347" s="45"/>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row>
    <row r="1348">
      <c r="A1348" s="2"/>
      <c r="B1348" s="2"/>
      <c r="C1348" s="2"/>
      <c r="D1348" s="2"/>
      <c r="E1348" s="2"/>
      <c r="F1348" s="2"/>
      <c r="G1348" s="2"/>
      <c r="H1348" s="2"/>
      <c r="I1348" s="2"/>
      <c r="J1348" s="2"/>
      <c r="K1348" s="2"/>
      <c r="L1348" s="2"/>
      <c r="M1348" s="2"/>
      <c r="N1348" s="2"/>
      <c r="O1348" s="2"/>
      <c r="P1348" s="2"/>
      <c r="Q1348" s="45"/>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row>
    <row r="1349">
      <c r="A1349" s="2"/>
      <c r="B1349" s="2"/>
      <c r="C1349" s="2"/>
      <c r="D1349" s="2"/>
      <c r="E1349" s="2"/>
      <c r="F1349" s="2"/>
      <c r="G1349" s="2"/>
      <c r="H1349" s="2"/>
      <c r="I1349" s="2"/>
      <c r="J1349" s="2"/>
      <c r="K1349" s="2"/>
      <c r="L1349" s="2"/>
      <c r="M1349" s="2"/>
      <c r="N1349" s="2"/>
      <c r="O1349" s="2"/>
      <c r="P1349" s="2"/>
      <c r="Q1349" s="45"/>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row>
    <row r="1350">
      <c r="A1350" s="2"/>
      <c r="B1350" s="2"/>
      <c r="C1350" s="2"/>
      <c r="D1350" s="2"/>
      <c r="E1350" s="2"/>
      <c r="F1350" s="2"/>
      <c r="G1350" s="2"/>
      <c r="H1350" s="2"/>
      <c r="I1350" s="2"/>
      <c r="J1350" s="2"/>
      <c r="K1350" s="2"/>
      <c r="L1350" s="2"/>
      <c r="M1350" s="2"/>
      <c r="N1350" s="2"/>
      <c r="O1350" s="2"/>
      <c r="P1350" s="2"/>
      <c r="Q1350" s="45"/>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row>
    <row r="1351">
      <c r="A1351" s="2"/>
      <c r="B1351" s="2"/>
      <c r="C1351" s="2"/>
      <c r="D1351" s="2"/>
      <c r="E1351" s="2"/>
      <c r="F1351" s="2"/>
      <c r="G1351" s="2"/>
      <c r="H1351" s="2"/>
      <c r="I1351" s="2"/>
      <c r="J1351" s="2"/>
      <c r="K1351" s="2"/>
      <c r="L1351" s="2"/>
      <c r="M1351" s="2"/>
      <c r="N1351" s="2"/>
      <c r="O1351" s="2"/>
      <c r="P1351" s="2"/>
      <c r="Q1351" s="45"/>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row>
    <row r="1352">
      <c r="A1352" s="2"/>
      <c r="B1352" s="2"/>
      <c r="C1352" s="2"/>
      <c r="D1352" s="2"/>
      <c r="E1352" s="2"/>
      <c r="F1352" s="2"/>
      <c r="G1352" s="2"/>
      <c r="H1352" s="2"/>
      <c r="I1352" s="2"/>
      <c r="J1352" s="2"/>
      <c r="K1352" s="2"/>
      <c r="L1352" s="2"/>
      <c r="M1352" s="2"/>
      <c r="N1352" s="2"/>
      <c r="O1352" s="2"/>
      <c r="P1352" s="2"/>
      <c r="Q1352" s="45"/>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row>
    <row r="1353">
      <c r="A1353" s="2"/>
      <c r="B1353" s="2"/>
      <c r="C1353" s="2"/>
      <c r="D1353" s="2"/>
      <c r="E1353" s="2"/>
      <c r="F1353" s="2"/>
      <c r="G1353" s="2"/>
      <c r="H1353" s="2"/>
      <c r="I1353" s="2"/>
      <c r="J1353" s="2"/>
      <c r="K1353" s="2"/>
      <c r="L1353" s="2"/>
      <c r="M1353" s="2"/>
      <c r="N1353" s="2"/>
      <c r="O1353" s="2"/>
      <c r="P1353" s="2"/>
      <c r="Q1353" s="45"/>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row>
    <row r="1354">
      <c r="A1354" s="2"/>
      <c r="B1354" s="2"/>
      <c r="C1354" s="2"/>
      <c r="D1354" s="2"/>
      <c r="E1354" s="2"/>
      <c r="F1354" s="2"/>
      <c r="G1354" s="2"/>
      <c r="H1354" s="2"/>
      <c r="I1354" s="2"/>
      <c r="J1354" s="2"/>
      <c r="K1354" s="2"/>
      <c r="L1354" s="2"/>
      <c r="M1354" s="2"/>
      <c r="N1354" s="2"/>
      <c r="O1354" s="2"/>
      <c r="P1354" s="2"/>
      <c r="Q1354" s="45"/>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row>
    <row r="1355">
      <c r="A1355" s="2"/>
      <c r="B1355" s="2"/>
      <c r="C1355" s="2"/>
      <c r="D1355" s="2"/>
      <c r="E1355" s="2"/>
      <c r="F1355" s="2"/>
      <c r="G1355" s="2"/>
      <c r="H1355" s="2"/>
      <c r="I1355" s="2"/>
      <c r="J1355" s="2"/>
      <c r="K1355" s="2"/>
      <c r="L1355" s="2"/>
      <c r="M1355" s="2"/>
      <c r="N1355" s="2"/>
      <c r="O1355" s="2"/>
      <c r="P1355" s="2"/>
      <c r="Q1355" s="45"/>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row>
    <row r="1356">
      <c r="A1356" s="2"/>
      <c r="B1356" s="2"/>
      <c r="C1356" s="2"/>
      <c r="D1356" s="2"/>
      <c r="E1356" s="2"/>
      <c r="F1356" s="2"/>
      <c r="G1356" s="2"/>
      <c r="H1356" s="2"/>
      <c r="I1356" s="2"/>
      <c r="J1356" s="2"/>
      <c r="K1356" s="2"/>
      <c r="L1356" s="2"/>
      <c r="M1356" s="2"/>
      <c r="N1356" s="2"/>
      <c r="O1356" s="2"/>
      <c r="P1356" s="2"/>
      <c r="Q1356" s="45"/>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row>
    <row r="1357">
      <c r="A1357" s="2"/>
      <c r="B1357" s="2"/>
      <c r="C1357" s="2"/>
      <c r="D1357" s="2"/>
      <c r="E1357" s="2"/>
      <c r="F1357" s="2"/>
      <c r="G1357" s="2"/>
      <c r="H1357" s="2"/>
      <c r="I1357" s="2"/>
      <c r="J1357" s="2"/>
      <c r="K1357" s="2"/>
      <c r="L1357" s="2"/>
      <c r="M1357" s="2"/>
      <c r="N1357" s="2"/>
      <c r="O1357" s="2"/>
      <c r="P1357" s="2"/>
      <c r="Q1357" s="45"/>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row>
    <row r="1358">
      <c r="A1358" s="2"/>
      <c r="B1358" s="2"/>
      <c r="C1358" s="2"/>
      <c r="D1358" s="2"/>
      <c r="E1358" s="2"/>
      <c r="F1358" s="2"/>
      <c r="G1358" s="2"/>
      <c r="H1358" s="2"/>
      <c r="I1358" s="2"/>
      <c r="J1358" s="2"/>
      <c r="K1358" s="2"/>
      <c r="L1358" s="2"/>
      <c r="M1358" s="2"/>
      <c r="N1358" s="2"/>
      <c r="O1358" s="2"/>
      <c r="P1358" s="2"/>
      <c r="Q1358" s="45"/>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row>
    <row r="1359">
      <c r="A1359" s="2"/>
      <c r="B1359" s="2"/>
      <c r="C1359" s="2"/>
      <c r="D1359" s="2"/>
      <c r="E1359" s="2"/>
      <c r="F1359" s="2"/>
      <c r="G1359" s="2"/>
      <c r="H1359" s="2"/>
      <c r="I1359" s="2"/>
      <c r="J1359" s="2"/>
      <c r="K1359" s="2"/>
      <c r="L1359" s="2"/>
      <c r="M1359" s="2"/>
      <c r="N1359" s="2"/>
      <c r="O1359" s="2"/>
      <c r="P1359" s="2"/>
      <c r="Q1359" s="45"/>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row>
    <row r="1360">
      <c r="A1360" s="2"/>
      <c r="B1360" s="2"/>
      <c r="C1360" s="2"/>
      <c r="D1360" s="2"/>
      <c r="E1360" s="2"/>
      <c r="F1360" s="2"/>
      <c r="G1360" s="2"/>
      <c r="H1360" s="2"/>
      <c r="I1360" s="2"/>
      <c r="J1360" s="2"/>
      <c r="K1360" s="2"/>
      <c r="L1360" s="2"/>
      <c r="M1360" s="2"/>
      <c r="N1360" s="2"/>
      <c r="O1360" s="2"/>
      <c r="P1360" s="2"/>
      <c r="Q1360" s="45"/>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row>
    <row r="1361">
      <c r="A1361" s="2"/>
      <c r="B1361" s="2"/>
      <c r="C1361" s="2"/>
      <c r="D1361" s="2"/>
      <c r="E1361" s="2"/>
      <c r="F1361" s="2"/>
      <c r="G1361" s="2"/>
      <c r="H1361" s="2"/>
      <c r="I1361" s="2"/>
      <c r="J1361" s="2"/>
      <c r="K1361" s="2"/>
      <c r="L1361" s="2"/>
      <c r="M1361" s="2"/>
      <c r="N1361" s="2"/>
      <c r="O1361" s="2"/>
      <c r="P1361" s="2"/>
      <c r="Q1361" s="45"/>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row>
    <row r="1362">
      <c r="A1362" s="2"/>
      <c r="B1362" s="2"/>
      <c r="C1362" s="2"/>
      <c r="D1362" s="2"/>
      <c r="E1362" s="2"/>
      <c r="F1362" s="2"/>
      <c r="G1362" s="2"/>
      <c r="H1362" s="2"/>
      <c r="I1362" s="2"/>
      <c r="J1362" s="2"/>
      <c r="K1362" s="2"/>
      <c r="L1362" s="2"/>
      <c r="M1362" s="2"/>
      <c r="N1362" s="2"/>
      <c r="O1362" s="2"/>
      <c r="P1362" s="2"/>
      <c r="Q1362" s="45"/>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row>
    <row r="1363">
      <c r="A1363" s="2"/>
      <c r="B1363" s="2"/>
      <c r="C1363" s="2"/>
      <c r="D1363" s="2"/>
      <c r="E1363" s="2"/>
      <c r="F1363" s="2"/>
      <c r="G1363" s="2"/>
      <c r="H1363" s="2"/>
      <c r="I1363" s="2"/>
      <c r="J1363" s="2"/>
      <c r="K1363" s="2"/>
      <c r="L1363" s="2"/>
      <c r="M1363" s="2"/>
      <c r="N1363" s="2"/>
      <c r="O1363" s="2"/>
      <c r="P1363" s="2"/>
      <c r="Q1363" s="45"/>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row>
    <row r="1364">
      <c r="A1364" s="2"/>
      <c r="B1364" s="2"/>
      <c r="C1364" s="2"/>
      <c r="D1364" s="2"/>
      <c r="E1364" s="2"/>
      <c r="F1364" s="2"/>
      <c r="G1364" s="2"/>
      <c r="H1364" s="2"/>
      <c r="I1364" s="2"/>
      <c r="J1364" s="2"/>
      <c r="K1364" s="2"/>
      <c r="L1364" s="2"/>
      <c r="M1364" s="2"/>
      <c r="N1364" s="2"/>
      <c r="O1364" s="2"/>
      <c r="P1364" s="2"/>
      <c r="Q1364" s="45"/>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row>
    <row r="1365">
      <c r="A1365" s="2"/>
      <c r="B1365" s="2"/>
      <c r="C1365" s="2"/>
      <c r="D1365" s="2"/>
      <c r="E1365" s="2"/>
      <c r="F1365" s="2"/>
      <c r="G1365" s="2"/>
      <c r="H1365" s="2"/>
      <c r="I1365" s="2"/>
      <c r="J1365" s="2"/>
      <c r="K1365" s="2"/>
      <c r="L1365" s="2"/>
      <c r="M1365" s="2"/>
      <c r="N1365" s="2"/>
      <c r="O1365" s="2"/>
      <c r="P1365" s="2"/>
      <c r="Q1365" s="45"/>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row>
    <row r="1366">
      <c r="A1366" s="2"/>
      <c r="B1366" s="2"/>
      <c r="C1366" s="2"/>
      <c r="D1366" s="2"/>
      <c r="E1366" s="2"/>
      <c r="F1366" s="2"/>
      <c r="G1366" s="2"/>
      <c r="H1366" s="2"/>
      <c r="I1366" s="2"/>
      <c r="J1366" s="2"/>
      <c r="K1366" s="2"/>
      <c r="L1366" s="2"/>
      <c r="M1366" s="2"/>
      <c r="N1366" s="2"/>
      <c r="O1366" s="2"/>
      <c r="P1366" s="2"/>
      <c r="Q1366" s="45"/>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row>
    <row r="1367">
      <c r="A1367" s="2"/>
      <c r="B1367" s="2"/>
      <c r="C1367" s="2"/>
      <c r="D1367" s="2"/>
      <c r="E1367" s="2"/>
      <c r="F1367" s="2"/>
      <c r="G1367" s="2"/>
      <c r="H1367" s="2"/>
      <c r="I1367" s="2"/>
      <c r="J1367" s="2"/>
      <c r="K1367" s="2"/>
      <c r="L1367" s="2"/>
      <c r="M1367" s="2"/>
      <c r="N1367" s="2"/>
      <c r="O1367" s="2"/>
      <c r="P1367" s="2"/>
      <c r="Q1367" s="45"/>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row>
    <row r="1368">
      <c r="A1368" s="2"/>
      <c r="B1368" s="2"/>
      <c r="C1368" s="2"/>
      <c r="D1368" s="2"/>
      <c r="E1368" s="2"/>
      <c r="F1368" s="2"/>
      <c r="G1368" s="2"/>
      <c r="H1368" s="2"/>
      <c r="I1368" s="2"/>
      <c r="J1368" s="2"/>
      <c r="K1368" s="2"/>
      <c r="L1368" s="2"/>
      <c r="M1368" s="2"/>
      <c r="N1368" s="2"/>
      <c r="O1368" s="2"/>
      <c r="P1368" s="2"/>
      <c r="Q1368" s="45"/>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row>
    <row r="1369">
      <c r="A1369" s="2"/>
      <c r="B1369" s="2"/>
      <c r="C1369" s="2"/>
      <c r="D1369" s="2"/>
      <c r="E1369" s="2"/>
      <c r="F1369" s="2"/>
      <c r="G1369" s="2"/>
      <c r="H1369" s="2"/>
      <c r="I1369" s="2"/>
      <c r="J1369" s="2"/>
      <c r="K1369" s="2"/>
      <c r="L1369" s="2"/>
      <c r="M1369" s="2"/>
      <c r="N1369" s="2"/>
      <c r="O1369" s="2"/>
      <c r="P1369" s="2"/>
      <c r="Q1369" s="45"/>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row>
    <row r="1370">
      <c r="A1370" s="2"/>
      <c r="B1370" s="2"/>
      <c r="C1370" s="2"/>
      <c r="D1370" s="2"/>
      <c r="E1370" s="2"/>
      <c r="F1370" s="2"/>
      <c r="G1370" s="2"/>
      <c r="H1370" s="2"/>
      <c r="I1370" s="2"/>
      <c r="J1370" s="2"/>
      <c r="K1370" s="2"/>
      <c r="L1370" s="2"/>
      <c r="M1370" s="2"/>
      <c r="N1370" s="2"/>
      <c r="O1370" s="2"/>
      <c r="P1370" s="2"/>
      <c r="Q1370" s="45"/>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row>
    <row r="1371">
      <c r="A1371" s="2"/>
      <c r="B1371" s="2"/>
      <c r="C1371" s="2"/>
      <c r="D1371" s="2"/>
      <c r="E1371" s="2"/>
      <c r="F1371" s="2"/>
      <c r="G1371" s="2"/>
      <c r="H1371" s="2"/>
      <c r="I1371" s="2"/>
      <c r="J1371" s="2"/>
      <c r="K1371" s="2"/>
      <c r="L1371" s="2"/>
      <c r="M1371" s="2"/>
      <c r="N1371" s="2"/>
      <c r="O1371" s="2"/>
      <c r="P1371" s="2"/>
      <c r="Q1371" s="45"/>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row>
    <row r="1372">
      <c r="A1372" s="2"/>
      <c r="B1372" s="2"/>
      <c r="C1372" s="2"/>
      <c r="D1372" s="2"/>
      <c r="E1372" s="2"/>
      <c r="F1372" s="2"/>
      <c r="G1372" s="2"/>
      <c r="H1372" s="2"/>
      <c r="I1372" s="2"/>
      <c r="J1372" s="2"/>
      <c r="K1372" s="2"/>
      <c r="L1372" s="2"/>
      <c r="M1372" s="2"/>
      <c r="N1372" s="2"/>
      <c r="O1372" s="2"/>
      <c r="P1372" s="2"/>
      <c r="Q1372" s="45"/>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row>
    <row r="1373">
      <c r="A1373" s="2"/>
      <c r="B1373" s="2"/>
      <c r="C1373" s="2"/>
      <c r="D1373" s="2"/>
      <c r="E1373" s="2"/>
      <c r="F1373" s="2"/>
      <c r="G1373" s="2"/>
      <c r="H1373" s="2"/>
      <c r="I1373" s="2"/>
      <c r="J1373" s="2"/>
      <c r="K1373" s="2"/>
      <c r="L1373" s="2"/>
      <c r="M1373" s="2"/>
      <c r="N1373" s="2"/>
      <c r="O1373" s="2"/>
      <c r="P1373" s="2"/>
      <c r="Q1373" s="45"/>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row>
    <row r="1374">
      <c r="A1374" s="2"/>
      <c r="B1374" s="2"/>
      <c r="C1374" s="2"/>
      <c r="D1374" s="2"/>
      <c r="E1374" s="2"/>
      <c r="F1374" s="2"/>
      <c r="G1374" s="2"/>
      <c r="H1374" s="2"/>
      <c r="I1374" s="2"/>
      <c r="J1374" s="2"/>
      <c r="K1374" s="2"/>
      <c r="L1374" s="2"/>
      <c r="M1374" s="2"/>
      <c r="N1374" s="2"/>
      <c r="O1374" s="2"/>
      <c r="P1374" s="2"/>
      <c r="Q1374" s="45"/>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row>
    <row r="1375">
      <c r="A1375" s="2"/>
      <c r="B1375" s="2"/>
      <c r="C1375" s="2"/>
      <c r="D1375" s="2"/>
      <c r="E1375" s="2"/>
      <c r="F1375" s="2"/>
      <c r="G1375" s="2"/>
      <c r="H1375" s="2"/>
      <c r="I1375" s="2"/>
      <c r="J1375" s="2"/>
      <c r="K1375" s="2"/>
      <c r="L1375" s="2"/>
      <c r="M1375" s="2"/>
      <c r="N1375" s="2"/>
      <c r="O1375" s="2"/>
      <c r="P1375" s="2"/>
      <c r="Q1375" s="45"/>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row>
    <row r="1376">
      <c r="A1376" s="2"/>
      <c r="B1376" s="2"/>
      <c r="C1376" s="2"/>
      <c r="D1376" s="2"/>
      <c r="E1376" s="2"/>
      <c r="F1376" s="2"/>
      <c r="G1376" s="2"/>
      <c r="H1376" s="2"/>
      <c r="I1376" s="2"/>
      <c r="J1376" s="2"/>
      <c r="K1376" s="2"/>
      <c r="L1376" s="2"/>
      <c r="M1376" s="2"/>
      <c r="N1376" s="2"/>
      <c r="O1376" s="2"/>
      <c r="P1376" s="2"/>
      <c r="Q1376" s="45"/>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row>
    <row r="1377">
      <c r="A1377" s="2"/>
      <c r="B1377" s="2"/>
      <c r="C1377" s="2"/>
      <c r="D1377" s="2"/>
      <c r="E1377" s="2"/>
      <c r="F1377" s="2"/>
      <c r="G1377" s="2"/>
      <c r="H1377" s="2"/>
      <c r="I1377" s="2"/>
      <c r="J1377" s="2"/>
      <c r="K1377" s="2"/>
      <c r="L1377" s="2"/>
      <c r="M1377" s="2"/>
      <c r="N1377" s="2"/>
      <c r="O1377" s="2"/>
      <c r="P1377" s="2"/>
      <c r="Q1377" s="45"/>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row>
    <row r="1378">
      <c r="A1378" s="2"/>
      <c r="B1378" s="2"/>
      <c r="C1378" s="2"/>
      <c r="D1378" s="2"/>
      <c r="E1378" s="2"/>
      <c r="F1378" s="2"/>
      <c r="G1378" s="2"/>
      <c r="H1378" s="2"/>
      <c r="I1378" s="2"/>
      <c r="J1378" s="2"/>
      <c r="K1378" s="2"/>
      <c r="L1378" s="2"/>
      <c r="M1378" s="2"/>
      <c r="N1378" s="2"/>
      <c r="O1378" s="2"/>
      <c r="P1378" s="2"/>
      <c r="Q1378" s="45"/>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row>
    <row r="1379">
      <c r="A1379" s="2"/>
      <c r="B1379" s="2"/>
      <c r="C1379" s="2"/>
      <c r="D1379" s="2"/>
      <c r="E1379" s="2"/>
      <c r="F1379" s="2"/>
      <c r="G1379" s="2"/>
      <c r="H1379" s="2"/>
      <c r="I1379" s="2"/>
      <c r="J1379" s="2"/>
      <c r="K1379" s="2"/>
      <c r="L1379" s="2"/>
      <c r="M1379" s="2"/>
      <c r="N1379" s="2"/>
      <c r="O1379" s="2"/>
      <c r="P1379" s="2"/>
      <c r="Q1379" s="45"/>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row>
    <row r="1380">
      <c r="A1380" s="2"/>
      <c r="B1380" s="2"/>
      <c r="C1380" s="2"/>
      <c r="D1380" s="2"/>
      <c r="E1380" s="2"/>
      <c r="F1380" s="2"/>
      <c r="G1380" s="2"/>
      <c r="H1380" s="2"/>
      <c r="I1380" s="2"/>
      <c r="J1380" s="2"/>
      <c r="K1380" s="2"/>
      <c r="L1380" s="2"/>
      <c r="M1380" s="2"/>
      <c r="N1380" s="2"/>
      <c r="O1380" s="2"/>
      <c r="P1380" s="2"/>
      <c r="Q1380" s="45"/>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row>
    <row r="1381">
      <c r="A1381" s="2"/>
      <c r="B1381" s="2"/>
      <c r="C1381" s="2"/>
      <c r="D1381" s="2"/>
      <c r="E1381" s="2"/>
      <c r="F1381" s="2"/>
      <c r="G1381" s="2"/>
      <c r="H1381" s="2"/>
      <c r="I1381" s="2"/>
      <c r="J1381" s="2"/>
      <c r="K1381" s="2"/>
      <c r="L1381" s="2"/>
      <c r="M1381" s="2"/>
      <c r="N1381" s="2"/>
      <c r="O1381" s="2"/>
      <c r="P1381" s="2"/>
      <c r="Q1381" s="45"/>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row>
    <row r="1382">
      <c r="A1382" s="2"/>
      <c r="B1382" s="2"/>
      <c r="C1382" s="2"/>
      <c r="D1382" s="2"/>
      <c r="E1382" s="2"/>
      <c r="F1382" s="2"/>
      <c r="G1382" s="2"/>
      <c r="H1382" s="2"/>
      <c r="I1382" s="2"/>
      <c r="J1382" s="2"/>
      <c r="K1382" s="2"/>
      <c r="L1382" s="2"/>
      <c r="M1382" s="2"/>
      <c r="N1382" s="2"/>
      <c r="O1382" s="2"/>
      <c r="P1382" s="2"/>
      <c r="Q1382" s="45"/>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row>
    <row r="1383">
      <c r="A1383" s="2"/>
      <c r="B1383" s="2"/>
      <c r="C1383" s="2"/>
      <c r="D1383" s="2"/>
      <c r="E1383" s="2"/>
      <c r="F1383" s="2"/>
      <c r="G1383" s="2"/>
      <c r="H1383" s="2"/>
      <c r="I1383" s="2"/>
      <c r="J1383" s="2"/>
      <c r="K1383" s="2"/>
      <c r="L1383" s="2"/>
      <c r="M1383" s="2"/>
      <c r="N1383" s="2"/>
      <c r="O1383" s="2"/>
      <c r="P1383" s="2"/>
      <c r="Q1383" s="45"/>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row>
    <row r="1384">
      <c r="A1384" s="2"/>
      <c r="B1384" s="2"/>
      <c r="C1384" s="2"/>
      <c r="D1384" s="2"/>
      <c r="E1384" s="2"/>
      <c r="F1384" s="2"/>
      <c r="G1384" s="2"/>
      <c r="H1384" s="2"/>
      <c r="I1384" s="2"/>
      <c r="J1384" s="2"/>
      <c r="K1384" s="2"/>
      <c r="L1384" s="2"/>
      <c r="M1384" s="2"/>
      <c r="N1384" s="2"/>
      <c r="O1384" s="2"/>
      <c r="P1384" s="2"/>
      <c r="Q1384" s="45"/>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row>
    <row r="1385">
      <c r="A1385" s="2"/>
      <c r="B1385" s="2"/>
      <c r="C1385" s="2"/>
      <c r="D1385" s="2"/>
      <c r="E1385" s="2"/>
      <c r="F1385" s="2"/>
      <c r="G1385" s="2"/>
      <c r="H1385" s="2"/>
      <c r="I1385" s="2"/>
      <c r="J1385" s="2"/>
      <c r="K1385" s="2"/>
      <c r="L1385" s="2"/>
      <c r="M1385" s="2"/>
      <c r="N1385" s="2"/>
      <c r="O1385" s="2"/>
      <c r="P1385" s="2"/>
      <c r="Q1385" s="45"/>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row>
    <row r="1386">
      <c r="A1386" s="2"/>
      <c r="B1386" s="2"/>
      <c r="C1386" s="2"/>
      <c r="D1386" s="2"/>
      <c r="E1386" s="2"/>
      <c r="F1386" s="2"/>
      <c r="G1386" s="2"/>
      <c r="H1386" s="2"/>
      <c r="I1386" s="2"/>
      <c r="J1386" s="2"/>
      <c r="K1386" s="2"/>
      <c r="L1386" s="2"/>
      <c r="M1386" s="2"/>
      <c r="N1386" s="2"/>
      <c r="O1386" s="2"/>
      <c r="P1386" s="2"/>
      <c r="Q1386" s="45"/>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row>
    <row r="1387">
      <c r="A1387" s="2"/>
      <c r="B1387" s="2"/>
      <c r="C1387" s="2"/>
      <c r="D1387" s="2"/>
      <c r="E1387" s="2"/>
      <c r="F1387" s="2"/>
      <c r="G1387" s="2"/>
      <c r="H1387" s="2"/>
      <c r="I1387" s="2"/>
      <c r="J1387" s="2"/>
      <c r="K1387" s="2"/>
      <c r="L1387" s="2"/>
      <c r="M1387" s="2"/>
      <c r="N1387" s="2"/>
      <c r="O1387" s="2"/>
      <c r="P1387" s="2"/>
      <c r="Q1387" s="45"/>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row>
    <row r="1388">
      <c r="A1388" s="2"/>
      <c r="B1388" s="2"/>
      <c r="C1388" s="2"/>
      <c r="D1388" s="2"/>
      <c r="E1388" s="2"/>
      <c r="F1388" s="2"/>
      <c r="G1388" s="2"/>
      <c r="H1388" s="2"/>
      <c r="I1388" s="2"/>
      <c r="J1388" s="2"/>
      <c r="K1388" s="2"/>
      <c r="L1388" s="2"/>
      <c r="M1388" s="2"/>
      <c r="N1388" s="2"/>
      <c r="O1388" s="2"/>
      <c r="P1388" s="2"/>
      <c r="Q1388" s="45"/>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row>
    <row r="1389">
      <c r="A1389" s="2"/>
      <c r="B1389" s="2"/>
      <c r="C1389" s="2"/>
      <c r="D1389" s="2"/>
      <c r="E1389" s="2"/>
      <c r="F1389" s="2"/>
      <c r="G1389" s="2"/>
      <c r="H1389" s="2"/>
      <c r="I1389" s="2"/>
      <c r="J1389" s="2"/>
      <c r="K1389" s="2"/>
      <c r="L1389" s="2"/>
      <c r="M1389" s="2"/>
      <c r="N1389" s="2"/>
      <c r="O1389" s="2"/>
      <c r="P1389" s="2"/>
      <c r="Q1389" s="45"/>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row>
    <row r="1390">
      <c r="A1390" s="2"/>
      <c r="B1390" s="2"/>
      <c r="C1390" s="2"/>
      <c r="D1390" s="2"/>
      <c r="E1390" s="2"/>
      <c r="F1390" s="2"/>
      <c r="G1390" s="2"/>
      <c r="H1390" s="2"/>
      <c r="I1390" s="2"/>
      <c r="J1390" s="2"/>
      <c r="K1390" s="2"/>
      <c r="L1390" s="2"/>
      <c r="M1390" s="2"/>
      <c r="N1390" s="2"/>
      <c r="O1390" s="2"/>
      <c r="P1390" s="2"/>
      <c r="Q1390" s="45"/>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row>
    <row r="1391">
      <c r="A1391" s="2"/>
      <c r="B1391" s="2"/>
      <c r="C1391" s="2"/>
      <c r="D1391" s="2"/>
      <c r="E1391" s="2"/>
      <c r="F1391" s="2"/>
      <c r="G1391" s="2"/>
      <c r="H1391" s="2"/>
      <c r="I1391" s="2"/>
      <c r="J1391" s="2"/>
      <c r="K1391" s="2"/>
      <c r="L1391" s="2"/>
      <c r="M1391" s="2"/>
      <c r="N1391" s="2"/>
      <c r="O1391" s="2"/>
      <c r="P1391" s="2"/>
      <c r="Q1391" s="45"/>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row>
    <row r="1392">
      <c r="A1392" s="2"/>
      <c r="B1392" s="2"/>
      <c r="C1392" s="2"/>
      <c r="D1392" s="2"/>
      <c r="E1392" s="2"/>
      <c r="F1392" s="2"/>
      <c r="G1392" s="2"/>
      <c r="H1392" s="2"/>
      <c r="I1392" s="2"/>
      <c r="J1392" s="2"/>
      <c r="K1392" s="2"/>
      <c r="L1392" s="2"/>
      <c r="M1392" s="2"/>
      <c r="N1392" s="2"/>
      <c r="O1392" s="2"/>
      <c r="P1392" s="2"/>
      <c r="Q1392" s="45"/>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row>
    <row r="1393">
      <c r="A1393" s="2"/>
      <c r="B1393" s="2"/>
      <c r="C1393" s="2"/>
      <c r="D1393" s="2"/>
      <c r="E1393" s="2"/>
      <c r="F1393" s="2"/>
      <c r="G1393" s="2"/>
      <c r="H1393" s="2"/>
      <c r="I1393" s="2"/>
      <c r="J1393" s="2"/>
      <c r="K1393" s="2"/>
      <c r="L1393" s="2"/>
      <c r="M1393" s="2"/>
      <c r="N1393" s="2"/>
      <c r="O1393" s="2"/>
      <c r="P1393" s="2"/>
      <c r="Q1393" s="45"/>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row>
    <row r="1394">
      <c r="A1394" s="2"/>
      <c r="B1394" s="2"/>
      <c r="C1394" s="2"/>
      <c r="D1394" s="2"/>
      <c r="E1394" s="2"/>
      <c r="F1394" s="2"/>
      <c r="G1394" s="2"/>
      <c r="H1394" s="2"/>
      <c r="I1394" s="2"/>
      <c r="J1394" s="2"/>
      <c r="K1394" s="2"/>
      <c r="L1394" s="2"/>
      <c r="M1394" s="2"/>
      <c r="N1394" s="2"/>
      <c r="O1394" s="2"/>
      <c r="P1394" s="2"/>
      <c r="Q1394" s="45"/>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row>
    <row r="1395">
      <c r="A1395" s="2"/>
      <c r="B1395" s="2"/>
      <c r="C1395" s="2"/>
      <c r="D1395" s="2"/>
      <c r="E1395" s="2"/>
      <c r="F1395" s="2"/>
      <c r="G1395" s="2"/>
      <c r="H1395" s="2"/>
      <c r="I1395" s="2"/>
      <c r="J1395" s="2"/>
      <c r="K1395" s="2"/>
      <c r="L1395" s="2"/>
      <c r="M1395" s="2"/>
      <c r="N1395" s="2"/>
      <c r="O1395" s="2"/>
      <c r="P1395" s="2"/>
      <c r="Q1395" s="45"/>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row>
    <row r="1396">
      <c r="A1396" s="2"/>
      <c r="B1396" s="2"/>
      <c r="C1396" s="2"/>
      <c r="D1396" s="2"/>
      <c r="E1396" s="2"/>
      <c r="F1396" s="2"/>
      <c r="G1396" s="2"/>
      <c r="H1396" s="2"/>
      <c r="I1396" s="2"/>
      <c r="J1396" s="2"/>
      <c r="K1396" s="2"/>
      <c r="L1396" s="2"/>
      <c r="M1396" s="2"/>
      <c r="N1396" s="2"/>
      <c r="O1396" s="2"/>
      <c r="P1396" s="2"/>
      <c r="Q1396" s="45"/>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row>
    <row r="1397">
      <c r="A1397" s="2"/>
      <c r="B1397" s="2"/>
      <c r="C1397" s="2"/>
      <c r="D1397" s="2"/>
      <c r="E1397" s="2"/>
      <c r="F1397" s="2"/>
      <c r="G1397" s="2"/>
      <c r="H1397" s="2"/>
      <c r="I1397" s="2"/>
      <c r="J1397" s="2"/>
      <c r="K1397" s="2"/>
      <c r="L1397" s="2"/>
      <c r="M1397" s="2"/>
      <c r="N1397" s="2"/>
      <c r="O1397" s="2"/>
      <c r="P1397" s="2"/>
      <c r="Q1397" s="45"/>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row>
    <row r="1398">
      <c r="A1398" s="2"/>
      <c r="B1398" s="2"/>
      <c r="C1398" s="2"/>
      <c r="D1398" s="2"/>
      <c r="E1398" s="2"/>
      <c r="F1398" s="2"/>
      <c r="G1398" s="2"/>
      <c r="H1398" s="2"/>
      <c r="I1398" s="2"/>
      <c r="J1398" s="2"/>
      <c r="K1398" s="2"/>
      <c r="L1398" s="2"/>
      <c r="M1398" s="2"/>
      <c r="N1398" s="2"/>
      <c r="O1398" s="2"/>
      <c r="P1398" s="2"/>
      <c r="Q1398" s="45"/>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row>
    <row r="1399">
      <c r="A1399" s="2"/>
      <c r="B1399" s="2"/>
      <c r="C1399" s="2"/>
      <c r="D1399" s="2"/>
      <c r="E1399" s="2"/>
      <c r="F1399" s="2"/>
      <c r="G1399" s="2"/>
      <c r="H1399" s="2"/>
      <c r="I1399" s="2"/>
      <c r="J1399" s="2"/>
      <c r="K1399" s="2"/>
      <c r="L1399" s="2"/>
      <c r="M1399" s="2"/>
      <c r="N1399" s="2"/>
      <c r="O1399" s="2"/>
      <c r="P1399" s="2"/>
      <c r="Q1399" s="45"/>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row>
    <row r="1400">
      <c r="A1400" s="2"/>
      <c r="B1400" s="2"/>
      <c r="C1400" s="2"/>
      <c r="D1400" s="2"/>
      <c r="E1400" s="2"/>
      <c r="F1400" s="2"/>
      <c r="G1400" s="2"/>
      <c r="H1400" s="2"/>
      <c r="I1400" s="2"/>
      <c r="J1400" s="2"/>
      <c r="K1400" s="2"/>
      <c r="L1400" s="2"/>
      <c r="M1400" s="2"/>
      <c r="N1400" s="2"/>
      <c r="O1400" s="2"/>
      <c r="P1400" s="2"/>
      <c r="Q1400" s="45"/>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row>
    <row r="1401">
      <c r="A1401" s="2"/>
      <c r="B1401" s="2"/>
      <c r="C1401" s="2"/>
      <c r="D1401" s="2"/>
      <c r="E1401" s="2"/>
      <c r="F1401" s="2"/>
      <c r="G1401" s="2"/>
      <c r="H1401" s="2"/>
      <c r="I1401" s="2"/>
      <c r="J1401" s="2"/>
      <c r="K1401" s="2"/>
      <c r="L1401" s="2"/>
      <c r="M1401" s="2"/>
      <c r="N1401" s="2"/>
      <c r="O1401" s="2"/>
      <c r="P1401" s="2"/>
      <c r="Q1401" s="45"/>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row>
    <row r="1402">
      <c r="A1402" s="2"/>
      <c r="B1402" s="2"/>
      <c r="C1402" s="2"/>
      <c r="D1402" s="2"/>
      <c r="E1402" s="2"/>
      <c r="F1402" s="2"/>
      <c r="G1402" s="2"/>
      <c r="H1402" s="2"/>
      <c r="I1402" s="2"/>
      <c r="J1402" s="2"/>
      <c r="K1402" s="2"/>
      <c r="L1402" s="2"/>
      <c r="M1402" s="2"/>
      <c r="N1402" s="2"/>
      <c r="O1402" s="2"/>
      <c r="P1402" s="2"/>
      <c r="Q1402" s="45"/>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row>
    <row r="1403">
      <c r="A1403" s="2"/>
      <c r="B1403" s="2"/>
      <c r="C1403" s="2"/>
      <c r="D1403" s="2"/>
      <c r="E1403" s="2"/>
      <c r="F1403" s="2"/>
      <c r="G1403" s="2"/>
      <c r="H1403" s="2"/>
      <c r="I1403" s="2"/>
      <c r="J1403" s="2"/>
      <c r="K1403" s="2"/>
      <c r="L1403" s="2"/>
      <c r="M1403" s="2"/>
      <c r="N1403" s="2"/>
      <c r="O1403" s="2"/>
      <c r="P1403" s="2"/>
      <c r="Q1403" s="45"/>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row>
    <row r="1404">
      <c r="A1404" s="2"/>
      <c r="B1404" s="2"/>
      <c r="C1404" s="2"/>
      <c r="D1404" s="2"/>
      <c r="E1404" s="2"/>
      <c r="F1404" s="2"/>
      <c r="G1404" s="2"/>
      <c r="H1404" s="2"/>
      <c r="I1404" s="2"/>
      <c r="J1404" s="2"/>
      <c r="K1404" s="2"/>
      <c r="L1404" s="2"/>
      <c r="M1404" s="2"/>
      <c r="N1404" s="2"/>
      <c r="O1404" s="2"/>
      <c r="P1404" s="2"/>
      <c r="Q1404" s="45"/>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row>
    <row r="1405">
      <c r="A1405" s="2"/>
      <c r="B1405" s="2"/>
      <c r="C1405" s="2"/>
      <c r="D1405" s="2"/>
      <c r="E1405" s="2"/>
      <c r="F1405" s="2"/>
      <c r="G1405" s="2"/>
      <c r="H1405" s="2"/>
      <c r="I1405" s="2"/>
      <c r="J1405" s="2"/>
      <c r="K1405" s="2"/>
      <c r="L1405" s="2"/>
      <c r="M1405" s="2"/>
      <c r="N1405" s="2"/>
      <c r="O1405" s="2"/>
      <c r="P1405" s="2"/>
      <c r="Q1405" s="45"/>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row>
    <row r="1406">
      <c r="A1406" s="2"/>
      <c r="B1406" s="2"/>
      <c r="C1406" s="2"/>
      <c r="D1406" s="2"/>
      <c r="E1406" s="2"/>
      <c r="F1406" s="2"/>
      <c r="G1406" s="2"/>
      <c r="H1406" s="2"/>
      <c r="I1406" s="2"/>
      <c r="J1406" s="2"/>
      <c r="K1406" s="2"/>
      <c r="L1406" s="2"/>
      <c r="M1406" s="2"/>
      <c r="N1406" s="2"/>
      <c r="O1406" s="2"/>
      <c r="P1406" s="2"/>
      <c r="Q1406" s="45"/>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row>
    <row r="1407">
      <c r="A1407" s="2"/>
      <c r="B1407" s="2"/>
      <c r="C1407" s="2"/>
      <c r="D1407" s="2"/>
      <c r="E1407" s="2"/>
      <c r="F1407" s="2"/>
      <c r="G1407" s="2"/>
      <c r="H1407" s="2"/>
      <c r="I1407" s="2"/>
      <c r="J1407" s="2"/>
      <c r="K1407" s="2"/>
      <c r="L1407" s="2"/>
      <c r="M1407" s="2"/>
      <c r="N1407" s="2"/>
      <c r="O1407" s="2"/>
      <c r="P1407" s="2"/>
      <c r="Q1407" s="45"/>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row>
    <row r="1408">
      <c r="A1408" s="2"/>
      <c r="B1408" s="2"/>
      <c r="C1408" s="2"/>
      <c r="D1408" s="2"/>
      <c r="E1408" s="2"/>
      <c r="F1408" s="2"/>
      <c r="G1408" s="2"/>
      <c r="H1408" s="2"/>
      <c r="I1408" s="2"/>
      <c r="J1408" s="2"/>
      <c r="K1408" s="2"/>
      <c r="L1408" s="2"/>
      <c r="M1408" s="2"/>
      <c r="N1408" s="2"/>
      <c r="O1408" s="2"/>
      <c r="P1408" s="2"/>
      <c r="Q1408" s="45"/>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row>
    <row r="1409">
      <c r="A1409" s="2"/>
      <c r="B1409" s="2"/>
      <c r="C1409" s="2"/>
      <c r="D1409" s="2"/>
      <c r="E1409" s="2"/>
      <c r="F1409" s="2"/>
      <c r="G1409" s="2"/>
      <c r="H1409" s="2"/>
      <c r="I1409" s="2"/>
      <c r="J1409" s="2"/>
      <c r="K1409" s="2"/>
      <c r="L1409" s="2"/>
      <c r="M1409" s="2"/>
      <c r="N1409" s="2"/>
      <c r="O1409" s="2"/>
      <c r="P1409" s="2"/>
      <c r="Q1409" s="45"/>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row>
    <row r="1410">
      <c r="A1410" s="2"/>
      <c r="B1410" s="2"/>
      <c r="C1410" s="2"/>
      <c r="D1410" s="2"/>
      <c r="E1410" s="2"/>
      <c r="F1410" s="2"/>
      <c r="G1410" s="2"/>
      <c r="H1410" s="2"/>
      <c r="I1410" s="2"/>
      <c r="J1410" s="2"/>
      <c r="K1410" s="2"/>
      <c r="L1410" s="2"/>
      <c r="M1410" s="2"/>
      <c r="N1410" s="2"/>
      <c r="O1410" s="2"/>
      <c r="P1410" s="2"/>
      <c r="Q1410" s="45"/>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row>
    <row r="1411">
      <c r="A1411" s="2"/>
      <c r="B1411" s="2"/>
      <c r="C1411" s="2"/>
      <c r="D1411" s="2"/>
      <c r="E1411" s="2"/>
      <c r="F1411" s="2"/>
      <c r="G1411" s="2"/>
      <c r="H1411" s="2"/>
      <c r="I1411" s="2"/>
      <c r="J1411" s="2"/>
      <c r="K1411" s="2"/>
      <c r="L1411" s="2"/>
      <c r="M1411" s="2"/>
      <c r="N1411" s="2"/>
      <c r="O1411" s="2"/>
      <c r="P1411" s="2"/>
      <c r="Q1411" s="45"/>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row>
    <row r="1412">
      <c r="A1412" s="2"/>
      <c r="B1412" s="2"/>
      <c r="C1412" s="2"/>
      <c r="D1412" s="2"/>
      <c r="E1412" s="2"/>
      <c r="F1412" s="2"/>
      <c r="G1412" s="2"/>
      <c r="H1412" s="2"/>
      <c r="I1412" s="2"/>
      <c r="J1412" s="2"/>
      <c r="K1412" s="2"/>
      <c r="L1412" s="2"/>
      <c r="M1412" s="2"/>
      <c r="N1412" s="2"/>
      <c r="O1412" s="2"/>
      <c r="P1412" s="2"/>
      <c r="Q1412" s="45"/>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row>
    <row r="1413">
      <c r="A1413" s="2"/>
      <c r="B1413" s="2"/>
      <c r="C1413" s="2"/>
      <c r="D1413" s="2"/>
      <c r="E1413" s="2"/>
      <c r="F1413" s="2"/>
      <c r="G1413" s="2"/>
      <c r="H1413" s="2"/>
      <c r="I1413" s="2"/>
      <c r="J1413" s="2"/>
      <c r="K1413" s="2"/>
      <c r="L1413" s="2"/>
      <c r="M1413" s="2"/>
      <c r="N1413" s="2"/>
      <c r="O1413" s="2"/>
      <c r="P1413" s="2"/>
      <c r="Q1413" s="45"/>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row>
    <row r="1414">
      <c r="A1414" s="2"/>
      <c r="B1414" s="2"/>
      <c r="C1414" s="2"/>
      <c r="D1414" s="2"/>
      <c r="E1414" s="2"/>
      <c r="F1414" s="2"/>
      <c r="G1414" s="2"/>
      <c r="H1414" s="2"/>
      <c r="I1414" s="2"/>
      <c r="J1414" s="2"/>
      <c r="K1414" s="2"/>
      <c r="L1414" s="2"/>
      <c r="M1414" s="2"/>
      <c r="N1414" s="2"/>
      <c r="O1414" s="2"/>
      <c r="P1414" s="2"/>
      <c r="Q1414" s="45"/>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row>
    <row r="1415">
      <c r="A1415" s="2"/>
      <c r="B1415" s="2"/>
      <c r="C1415" s="2"/>
      <c r="D1415" s="2"/>
      <c r="E1415" s="2"/>
      <c r="F1415" s="2"/>
      <c r="G1415" s="2"/>
      <c r="H1415" s="2"/>
      <c r="I1415" s="2"/>
      <c r="J1415" s="2"/>
      <c r="K1415" s="2"/>
      <c r="L1415" s="2"/>
      <c r="M1415" s="2"/>
      <c r="N1415" s="2"/>
      <c r="O1415" s="2"/>
      <c r="P1415" s="2"/>
      <c r="Q1415" s="45"/>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row>
    <row r="1416">
      <c r="A1416" s="2"/>
      <c r="B1416" s="2"/>
      <c r="C1416" s="2"/>
      <c r="D1416" s="2"/>
      <c r="E1416" s="2"/>
      <c r="F1416" s="2"/>
      <c r="G1416" s="2"/>
      <c r="H1416" s="2"/>
      <c r="I1416" s="2"/>
      <c r="J1416" s="2"/>
      <c r="K1416" s="2"/>
      <c r="L1416" s="2"/>
      <c r="M1416" s="2"/>
      <c r="N1416" s="2"/>
      <c r="O1416" s="2"/>
      <c r="P1416" s="2"/>
      <c r="Q1416" s="45"/>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row>
    <row r="1417">
      <c r="A1417" s="2"/>
      <c r="B1417" s="2"/>
      <c r="C1417" s="2"/>
      <c r="D1417" s="2"/>
      <c r="E1417" s="2"/>
      <c r="F1417" s="2"/>
      <c r="G1417" s="2"/>
      <c r="H1417" s="2"/>
      <c r="I1417" s="2"/>
      <c r="J1417" s="2"/>
      <c r="K1417" s="2"/>
      <c r="L1417" s="2"/>
      <c r="M1417" s="2"/>
      <c r="N1417" s="2"/>
      <c r="O1417" s="2"/>
      <c r="P1417" s="2"/>
      <c r="Q1417" s="45"/>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row>
    <row r="1418">
      <c r="A1418" s="2"/>
      <c r="B1418" s="2"/>
      <c r="C1418" s="2"/>
      <c r="D1418" s="2"/>
      <c r="E1418" s="2"/>
      <c r="F1418" s="2"/>
      <c r="G1418" s="2"/>
      <c r="H1418" s="2"/>
      <c r="I1418" s="2"/>
      <c r="J1418" s="2"/>
      <c r="K1418" s="2"/>
      <c r="L1418" s="2"/>
      <c r="M1418" s="2"/>
      <c r="N1418" s="2"/>
      <c r="O1418" s="2"/>
      <c r="P1418" s="2"/>
      <c r="Q1418" s="45"/>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row>
    <row r="1419">
      <c r="A1419" s="2"/>
      <c r="B1419" s="2"/>
      <c r="C1419" s="2"/>
      <c r="D1419" s="2"/>
      <c r="E1419" s="2"/>
      <c r="F1419" s="2"/>
      <c r="G1419" s="2"/>
      <c r="H1419" s="2"/>
      <c r="I1419" s="2"/>
      <c r="J1419" s="2"/>
      <c r="K1419" s="2"/>
      <c r="L1419" s="2"/>
      <c r="M1419" s="2"/>
      <c r="N1419" s="2"/>
      <c r="O1419" s="2"/>
      <c r="P1419" s="2"/>
      <c r="Q1419" s="45"/>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row>
    <row r="1420">
      <c r="A1420" s="2"/>
      <c r="B1420" s="2"/>
      <c r="C1420" s="2"/>
      <c r="D1420" s="2"/>
      <c r="E1420" s="2"/>
      <c r="F1420" s="2"/>
      <c r="G1420" s="2"/>
      <c r="H1420" s="2"/>
      <c r="I1420" s="2"/>
      <c r="J1420" s="2"/>
      <c r="K1420" s="2"/>
      <c r="L1420" s="2"/>
      <c r="M1420" s="2"/>
      <c r="N1420" s="2"/>
      <c r="O1420" s="2"/>
      <c r="P1420" s="2"/>
      <c r="Q1420" s="45"/>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row>
    <row r="1421">
      <c r="A1421" s="2"/>
      <c r="B1421" s="2"/>
      <c r="C1421" s="2"/>
      <c r="D1421" s="2"/>
      <c r="E1421" s="2"/>
      <c r="F1421" s="2"/>
      <c r="G1421" s="2"/>
      <c r="H1421" s="2"/>
      <c r="I1421" s="2"/>
      <c r="J1421" s="2"/>
      <c r="K1421" s="2"/>
      <c r="L1421" s="2"/>
      <c r="M1421" s="2"/>
      <c r="N1421" s="2"/>
      <c r="O1421" s="2"/>
      <c r="P1421" s="2"/>
      <c r="Q1421" s="45"/>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row>
    <row r="1422">
      <c r="A1422" s="2"/>
      <c r="B1422" s="2"/>
      <c r="C1422" s="2"/>
      <c r="D1422" s="2"/>
      <c r="E1422" s="2"/>
      <c r="F1422" s="2"/>
      <c r="G1422" s="2"/>
      <c r="H1422" s="2"/>
      <c r="I1422" s="2"/>
      <c r="J1422" s="2"/>
      <c r="K1422" s="2"/>
      <c r="L1422" s="2"/>
      <c r="M1422" s="2"/>
      <c r="N1422" s="2"/>
      <c r="O1422" s="2"/>
      <c r="P1422" s="2"/>
      <c r="Q1422" s="45"/>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row>
    <row r="1423">
      <c r="A1423" s="2"/>
      <c r="B1423" s="2"/>
      <c r="C1423" s="2"/>
      <c r="D1423" s="2"/>
      <c r="E1423" s="2"/>
      <c r="F1423" s="2"/>
      <c r="G1423" s="2"/>
      <c r="H1423" s="2"/>
      <c r="I1423" s="2"/>
      <c r="J1423" s="2"/>
      <c r="K1423" s="2"/>
      <c r="L1423" s="2"/>
      <c r="M1423" s="2"/>
      <c r="N1423" s="2"/>
      <c r="O1423" s="2"/>
      <c r="P1423" s="2"/>
      <c r="Q1423" s="45"/>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row>
    <row r="1424">
      <c r="A1424" s="2"/>
      <c r="B1424" s="2"/>
      <c r="C1424" s="2"/>
      <c r="D1424" s="2"/>
      <c r="E1424" s="2"/>
      <c r="F1424" s="2"/>
      <c r="G1424" s="2"/>
      <c r="H1424" s="2"/>
      <c r="I1424" s="2"/>
      <c r="J1424" s="2"/>
      <c r="K1424" s="2"/>
      <c r="L1424" s="2"/>
      <c r="M1424" s="2"/>
      <c r="N1424" s="2"/>
      <c r="O1424" s="2"/>
      <c r="P1424" s="2"/>
      <c r="Q1424" s="45"/>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row>
    <row r="1425">
      <c r="A1425" s="2"/>
      <c r="B1425" s="2"/>
      <c r="C1425" s="2"/>
      <c r="D1425" s="2"/>
      <c r="E1425" s="2"/>
      <c r="F1425" s="2"/>
      <c r="G1425" s="2"/>
      <c r="H1425" s="2"/>
      <c r="I1425" s="2"/>
      <c r="J1425" s="2"/>
      <c r="K1425" s="2"/>
      <c r="L1425" s="2"/>
      <c r="M1425" s="2"/>
      <c r="N1425" s="2"/>
      <c r="O1425" s="2"/>
      <c r="P1425" s="2"/>
      <c r="Q1425" s="45"/>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row>
    <row r="1426">
      <c r="A1426" s="2"/>
      <c r="B1426" s="2"/>
      <c r="C1426" s="2"/>
      <c r="D1426" s="2"/>
      <c r="E1426" s="2"/>
      <c r="F1426" s="2"/>
      <c r="G1426" s="2"/>
      <c r="H1426" s="2"/>
      <c r="I1426" s="2"/>
      <c r="J1426" s="2"/>
      <c r="K1426" s="2"/>
      <c r="L1426" s="2"/>
      <c r="M1426" s="2"/>
      <c r="N1426" s="2"/>
      <c r="O1426" s="2"/>
      <c r="P1426" s="2"/>
      <c r="Q1426" s="45"/>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row>
    <row r="1427">
      <c r="A1427" s="2"/>
      <c r="B1427" s="2"/>
      <c r="C1427" s="2"/>
      <c r="D1427" s="2"/>
      <c r="E1427" s="2"/>
      <c r="F1427" s="2"/>
      <c r="G1427" s="2"/>
      <c r="H1427" s="2"/>
      <c r="I1427" s="2"/>
      <c r="J1427" s="2"/>
      <c r="K1427" s="2"/>
      <c r="L1427" s="2"/>
      <c r="M1427" s="2"/>
      <c r="N1427" s="2"/>
      <c r="O1427" s="2"/>
      <c r="P1427" s="2"/>
      <c r="Q1427" s="45"/>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row>
    <row r="1428">
      <c r="A1428" s="2"/>
      <c r="B1428" s="2"/>
      <c r="C1428" s="2"/>
      <c r="D1428" s="2"/>
      <c r="E1428" s="2"/>
      <c r="F1428" s="2"/>
      <c r="G1428" s="2"/>
      <c r="H1428" s="2"/>
      <c r="I1428" s="2"/>
      <c r="J1428" s="2"/>
      <c r="K1428" s="2"/>
      <c r="L1428" s="2"/>
      <c r="M1428" s="2"/>
      <c r="N1428" s="2"/>
      <c r="O1428" s="2"/>
      <c r="P1428" s="2"/>
      <c r="Q1428" s="45"/>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row>
    <row r="1429">
      <c r="A1429" s="2"/>
      <c r="B1429" s="2"/>
      <c r="C1429" s="2"/>
      <c r="D1429" s="2"/>
      <c r="E1429" s="2"/>
      <c r="F1429" s="2"/>
      <c r="G1429" s="2"/>
      <c r="H1429" s="2"/>
      <c r="I1429" s="2"/>
      <c r="J1429" s="2"/>
      <c r="K1429" s="2"/>
      <c r="L1429" s="2"/>
      <c r="M1429" s="2"/>
      <c r="N1429" s="2"/>
      <c r="O1429" s="2"/>
      <c r="P1429" s="2"/>
      <c r="Q1429" s="45"/>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row>
    <row r="1430">
      <c r="A1430" s="2"/>
      <c r="B1430" s="2"/>
      <c r="C1430" s="2"/>
      <c r="D1430" s="2"/>
      <c r="E1430" s="2"/>
      <c r="F1430" s="2"/>
      <c r="G1430" s="2"/>
      <c r="H1430" s="2"/>
      <c r="I1430" s="2"/>
      <c r="J1430" s="2"/>
      <c r="K1430" s="2"/>
      <c r="L1430" s="2"/>
      <c r="M1430" s="2"/>
      <c r="N1430" s="2"/>
      <c r="O1430" s="2"/>
      <c r="P1430" s="2"/>
      <c r="Q1430" s="45"/>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row>
    <row r="1431">
      <c r="A1431" s="2"/>
      <c r="B1431" s="2"/>
      <c r="C1431" s="2"/>
      <c r="D1431" s="2"/>
      <c r="E1431" s="2"/>
      <c r="F1431" s="2"/>
      <c r="G1431" s="2"/>
      <c r="H1431" s="2"/>
      <c r="I1431" s="2"/>
      <c r="J1431" s="2"/>
      <c r="K1431" s="2"/>
      <c r="L1431" s="2"/>
      <c r="M1431" s="2"/>
      <c r="N1431" s="2"/>
      <c r="O1431" s="2"/>
      <c r="P1431" s="2"/>
      <c r="Q1431" s="45"/>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row>
    <row r="1432">
      <c r="A1432" s="2"/>
      <c r="B1432" s="2"/>
      <c r="C1432" s="2"/>
      <c r="D1432" s="2"/>
      <c r="E1432" s="2"/>
      <c r="F1432" s="2"/>
      <c r="G1432" s="2"/>
      <c r="H1432" s="2"/>
      <c r="I1432" s="2"/>
      <c r="J1432" s="2"/>
      <c r="K1432" s="2"/>
      <c r="L1432" s="2"/>
      <c r="M1432" s="2"/>
      <c r="N1432" s="2"/>
      <c r="O1432" s="2"/>
      <c r="P1432" s="2"/>
      <c r="Q1432" s="45"/>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row>
    <row r="1433">
      <c r="A1433" s="2"/>
      <c r="B1433" s="2"/>
      <c r="C1433" s="2"/>
      <c r="D1433" s="2"/>
      <c r="E1433" s="2"/>
      <c r="F1433" s="2"/>
      <c r="G1433" s="2"/>
      <c r="H1433" s="2"/>
      <c r="I1433" s="2"/>
      <c r="J1433" s="2"/>
      <c r="K1433" s="2"/>
      <c r="L1433" s="2"/>
      <c r="M1433" s="2"/>
      <c r="N1433" s="2"/>
      <c r="O1433" s="2"/>
      <c r="P1433" s="2"/>
      <c r="Q1433" s="45"/>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row>
    <row r="1434">
      <c r="A1434" s="2"/>
      <c r="B1434" s="2"/>
      <c r="C1434" s="2"/>
      <c r="D1434" s="2"/>
      <c r="E1434" s="2"/>
      <c r="F1434" s="2"/>
      <c r="G1434" s="2"/>
      <c r="H1434" s="2"/>
      <c r="I1434" s="2"/>
      <c r="J1434" s="2"/>
      <c r="K1434" s="2"/>
      <c r="L1434" s="2"/>
      <c r="M1434" s="2"/>
      <c r="N1434" s="2"/>
      <c r="O1434" s="2"/>
      <c r="P1434" s="2"/>
      <c r="Q1434" s="45"/>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row>
    <row r="1435">
      <c r="A1435" s="2"/>
      <c r="B1435" s="2"/>
      <c r="C1435" s="2"/>
      <c r="D1435" s="2"/>
      <c r="E1435" s="2"/>
      <c r="F1435" s="2"/>
      <c r="G1435" s="2"/>
      <c r="H1435" s="2"/>
      <c r="I1435" s="2"/>
      <c r="J1435" s="2"/>
      <c r="K1435" s="2"/>
      <c r="L1435" s="2"/>
      <c r="M1435" s="2"/>
      <c r="N1435" s="2"/>
      <c r="O1435" s="2"/>
      <c r="P1435" s="2"/>
      <c r="Q1435" s="45"/>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row>
    <row r="1436">
      <c r="A1436" s="2"/>
      <c r="B1436" s="2"/>
      <c r="C1436" s="2"/>
      <c r="D1436" s="2"/>
      <c r="E1436" s="2"/>
      <c r="F1436" s="2"/>
      <c r="G1436" s="2"/>
      <c r="H1436" s="2"/>
      <c r="I1436" s="2"/>
      <c r="J1436" s="2"/>
      <c r="K1436" s="2"/>
      <c r="L1436" s="2"/>
      <c r="M1436" s="2"/>
      <c r="N1436" s="2"/>
      <c r="O1436" s="2"/>
      <c r="P1436" s="2"/>
      <c r="Q1436" s="45"/>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row>
    <row r="1437">
      <c r="A1437" s="2"/>
      <c r="B1437" s="2"/>
      <c r="C1437" s="2"/>
      <c r="D1437" s="2"/>
      <c r="E1437" s="2"/>
      <c r="F1437" s="2"/>
      <c r="G1437" s="2"/>
      <c r="H1437" s="2"/>
      <c r="I1437" s="2"/>
      <c r="J1437" s="2"/>
      <c r="K1437" s="2"/>
      <c r="L1437" s="2"/>
      <c r="M1437" s="2"/>
      <c r="N1437" s="2"/>
      <c r="O1437" s="2"/>
      <c r="P1437" s="2"/>
      <c r="Q1437" s="45"/>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row>
    <row r="1438">
      <c r="A1438" s="2"/>
      <c r="B1438" s="2"/>
      <c r="C1438" s="2"/>
      <c r="D1438" s="2"/>
      <c r="E1438" s="2"/>
      <c r="F1438" s="2"/>
      <c r="G1438" s="2"/>
      <c r="H1438" s="2"/>
      <c r="I1438" s="2"/>
      <c r="J1438" s="2"/>
      <c r="K1438" s="2"/>
      <c r="L1438" s="2"/>
      <c r="M1438" s="2"/>
      <c r="N1438" s="2"/>
      <c r="O1438" s="2"/>
      <c r="P1438" s="2"/>
      <c r="Q1438" s="45"/>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row>
    <row r="1439">
      <c r="A1439" s="2"/>
      <c r="B1439" s="2"/>
      <c r="C1439" s="2"/>
      <c r="D1439" s="2"/>
      <c r="E1439" s="2"/>
      <c r="F1439" s="2"/>
      <c r="G1439" s="2"/>
      <c r="H1439" s="2"/>
      <c r="I1439" s="2"/>
      <c r="J1439" s="2"/>
      <c r="K1439" s="2"/>
      <c r="L1439" s="2"/>
      <c r="M1439" s="2"/>
      <c r="N1439" s="2"/>
      <c r="O1439" s="2"/>
      <c r="P1439" s="2"/>
      <c r="Q1439" s="45"/>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row>
    <row r="1440">
      <c r="A1440" s="2"/>
      <c r="B1440" s="2"/>
      <c r="C1440" s="2"/>
      <c r="D1440" s="2"/>
      <c r="E1440" s="2"/>
      <c r="F1440" s="2"/>
      <c r="G1440" s="2"/>
      <c r="H1440" s="2"/>
      <c r="I1440" s="2"/>
      <c r="J1440" s="2"/>
      <c r="K1440" s="2"/>
      <c r="L1440" s="2"/>
      <c r="M1440" s="2"/>
      <c r="N1440" s="2"/>
      <c r="O1440" s="2"/>
      <c r="P1440" s="2"/>
      <c r="Q1440" s="45"/>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row>
    <row r="1441">
      <c r="A1441" s="2"/>
      <c r="B1441" s="2"/>
      <c r="C1441" s="2"/>
      <c r="D1441" s="2"/>
      <c r="E1441" s="2"/>
      <c r="F1441" s="2"/>
      <c r="G1441" s="2"/>
      <c r="H1441" s="2"/>
      <c r="I1441" s="2"/>
      <c r="J1441" s="2"/>
      <c r="K1441" s="2"/>
      <c r="L1441" s="2"/>
      <c r="M1441" s="2"/>
      <c r="N1441" s="2"/>
      <c r="O1441" s="2"/>
      <c r="P1441" s="2"/>
      <c r="Q1441" s="45"/>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row>
    <row r="1442">
      <c r="A1442" s="2"/>
      <c r="B1442" s="2"/>
      <c r="C1442" s="2"/>
      <c r="D1442" s="2"/>
      <c r="E1442" s="2"/>
      <c r="F1442" s="2"/>
      <c r="G1442" s="2"/>
      <c r="H1442" s="2"/>
      <c r="I1442" s="2"/>
      <c r="J1442" s="2"/>
      <c r="K1442" s="2"/>
      <c r="L1442" s="2"/>
      <c r="M1442" s="2"/>
      <c r="N1442" s="2"/>
      <c r="O1442" s="2"/>
      <c r="P1442" s="2"/>
      <c r="Q1442" s="45"/>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row>
    <row r="1443">
      <c r="A1443" s="2"/>
      <c r="B1443" s="2"/>
      <c r="C1443" s="2"/>
      <c r="D1443" s="2"/>
      <c r="E1443" s="2"/>
      <c r="F1443" s="2"/>
      <c r="G1443" s="2"/>
      <c r="H1443" s="2"/>
      <c r="I1443" s="2"/>
      <c r="J1443" s="2"/>
      <c r="K1443" s="2"/>
      <c r="L1443" s="2"/>
      <c r="M1443" s="2"/>
      <c r="N1443" s="2"/>
      <c r="O1443" s="2"/>
      <c r="P1443" s="2"/>
      <c r="Q1443" s="45"/>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row>
    <row r="1444">
      <c r="A1444" s="2"/>
      <c r="B1444" s="2"/>
      <c r="C1444" s="2"/>
      <c r="D1444" s="2"/>
      <c r="E1444" s="2"/>
      <c r="F1444" s="2"/>
      <c r="G1444" s="2"/>
      <c r="H1444" s="2"/>
      <c r="I1444" s="2"/>
      <c r="J1444" s="2"/>
      <c r="K1444" s="2"/>
      <c r="L1444" s="2"/>
      <c r="M1444" s="2"/>
      <c r="N1444" s="2"/>
      <c r="O1444" s="2"/>
      <c r="P1444" s="2"/>
      <c r="Q1444" s="45"/>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row>
    <row r="1445">
      <c r="A1445" s="2"/>
      <c r="B1445" s="2"/>
      <c r="C1445" s="2"/>
      <c r="D1445" s="2"/>
      <c r="E1445" s="2"/>
      <c r="F1445" s="2"/>
      <c r="G1445" s="2"/>
      <c r="H1445" s="2"/>
      <c r="I1445" s="2"/>
      <c r="J1445" s="2"/>
      <c r="K1445" s="2"/>
      <c r="L1445" s="2"/>
      <c r="M1445" s="2"/>
      <c r="N1445" s="2"/>
      <c r="O1445" s="2"/>
      <c r="P1445" s="2"/>
      <c r="Q1445" s="45"/>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row>
    <row r="1446">
      <c r="A1446" s="2"/>
      <c r="B1446" s="2"/>
      <c r="C1446" s="2"/>
      <c r="D1446" s="2"/>
      <c r="E1446" s="2"/>
      <c r="F1446" s="2"/>
      <c r="G1446" s="2"/>
      <c r="H1446" s="2"/>
      <c r="I1446" s="2"/>
      <c r="J1446" s="2"/>
      <c r="K1446" s="2"/>
      <c r="L1446" s="2"/>
      <c r="M1446" s="2"/>
      <c r="N1446" s="2"/>
      <c r="O1446" s="2"/>
      <c r="P1446" s="2"/>
      <c r="Q1446" s="45"/>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row>
    <row r="1447">
      <c r="A1447" s="2"/>
      <c r="B1447" s="2"/>
      <c r="C1447" s="2"/>
      <c r="D1447" s="2"/>
      <c r="E1447" s="2"/>
      <c r="F1447" s="2"/>
      <c r="G1447" s="2"/>
      <c r="H1447" s="2"/>
      <c r="I1447" s="2"/>
      <c r="J1447" s="2"/>
      <c r="K1447" s="2"/>
      <c r="L1447" s="2"/>
      <c r="M1447" s="2"/>
      <c r="N1447" s="2"/>
      <c r="O1447" s="2"/>
      <c r="P1447" s="2"/>
      <c r="Q1447" s="45"/>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row>
    <row r="1448">
      <c r="A1448" s="2"/>
      <c r="B1448" s="2"/>
      <c r="C1448" s="2"/>
      <c r="D1448" s="2"/>
      <c r="E1448" s="2"/>
      <c r="F1448" s="2"/>
      <c r="G1448" s="2"/>
      <c r="H1448" s="2"/>
      <c r="I1448" s="2"/>
      <c r="J1448" s="2"/>
      <c r="K1448" s="2"/>
      <c r="L1448" s="2"/>
      <c r="M1448" s="2"/>
      <c r="N1448" s="2"/>
      <c r="O1448" s="2"/>
      <c r="P1448" s="2"/>
      <c r="Q1448" s="45"/>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row>
    <row r="1449">
      <c r="A1449" s="2"/>
      <c r="B1449" s="2"/>
      <c r="C1449" s="2"/>
      <c r="D1449" s="2"/>
      <c r="E1449" s="2"/>
      <c r="F1449" s="2"/>
      <c r="G1449" s="2"/>
      <c r="H1449" s="2"/>
      <c r="I1449" s="2"/>
      <c r="J1449" s="2"/>
      <c r="K1449" s="2"/>
      <c r="L1449" s="2"/>
      <c r="M1449" s="2"/>
      <c r="N1449" s="2"/>
      <c r="O1449" s="2"/>
      <c r="P1449" s="2"/>
      <c r="Q1449" s="45"/>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row>
    <row r="1450">
      <c r="A1450" s="2"/>
      <c r="B1450" s="2"/>
      <c r="C1450" s="2"/>
      <c r="D1450" s="2"/>
      <c r="E1450" s="2"/>
      <c r="F1450" s="2"/>
      <c r="G1450" s="2"/>
      <c r="H1450" s="2"/>
      <c r="I1450" s="2"/>
      <c r="J1450" s="2"/>
      <c r="K1450" s="2"/>
      <c r="L1450" s="2"/>
      <c r="M1450" s="2"/>
      <c r="N1450" s="2"/>
      <c r="O1450" s="2"/>
      <c r="P1450" s="2"/>
      <c r="Q1450" s="45"/>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row>
    <row r="1451">
      <c r="A1451" s="2"/>
      <c r="B1451" s="2"/>
      <c r="C1451" s="2"/>
      <c r="D1451" s="2"/>
      <c r="E1451" s="2"/>
      <c r="F1451" s="2"/>
      <c r="G1451" s="2"/>
      <c r="H1451" s="2"/>
      <c r="I1451" s="2"/>
      <c r="J1451" s="2"/>
      <c r="K1451" s="2"/>
      <c r="L1451" s="2"/>
      <c r="M1451" s="2"/>
      <c r="N1451" s="2"/>
      <c r="O1451" s="2"/>
      <c r="P1451" s="2"/>
      <c r="Q1451" s="45"/>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row>
    <row r="1452">
      <c r="A1452" s="2"/>
      <c r="B1452" s="2"/>
      <c r="C1452" s="2"/>
      <c r="D1452" s="2"/>
      <c r="E1452" s="2"/>
      <c r="F1452" s="2"/>
      <c r="G1452" s="2"/>
      <c r="H1452" s="2"/>
      <c r="I1452" s="2"/>
      <c r="J1452" s="2"/>
      <c r="K1452" s="2"/>
      <c r="L1452" s="2"/>
      <c r="M1452" s="2"/>
      <c r="N1452" s="2"/>
      <c r="O1452" s="2"/>
      <c r="P1452" s="2"/>
      <c r="Q1452" s="45"/>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row>
    <row r="1453">
      <c r="A1453" s="2"/>
      <c r="B1453" s="2"/>
      <c r="C1453" s="2"/>
      <c r="D1453" s="2"/>
      <c r="E1453" s="2"/>
      <c r="F1453" s="2"/>
      <c r="G1453" s="2"/>
      <c r="H1453" s="2"/>
      <c r="I1453" s="2"/>
      <c r="J1453" s="2"/>
      <c r="K1453" s="2"/>
      <c r="L1453" s="2"/>
      <c r="M1453" s="2"/>
      <c r="N1453" s="2"/>
      <c r="O1453" s="2"/>
      <c r="P1453" s="2"/>
      <c r="Q1453" s="45"/>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row>
    <row r="1454">
      <c r="A1454" s="2"/>
      <c r="B1454" s="2"/>
      <c r="C1454" s="2"/>
      <c r="D1454" s="2"/>
      <c r="E1454" s="2"/>
      <c r="F1454" s="2"/>
      <c r="G1454" s="2"/>
      <c r="H1454" s="2"/>
      <c r="I1454" s="2"/>
      <c r="J1454" s="2"/>
      <c r="K1454" s="2"/>
      <c r="L1454" s="2"/>
      <c r="M1454" s="2"/>
      <c r="N1454" s="2"/>
      <c r="O1454" s="2"/>
      <c r="P1454" s="2"/>
      <c r="Q1454" s="45"/>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row>
    <row r="1455">
      <c r="A1455" s="2"/>
      <c r="B1455" s="2"/>
      <c r="C1455" s="2"/>
      <c r="D1455" s="2"/>
      <c r="E1455" s="2"/>
      <c r="F1455" s="2"/>
      <c r="G1455" s="2"/>
      <c r="H1455" s="2"/>
      <c r="I1455" s="2"/>
      <c r="J1455" s="2"/>
      <c r="K1455" s="2"/>
      <c r="L1455" s="2"/>
      <c r="M1455" s="2"/>
      <c r="N1455" s="2"/>
      <c r="O1455" s="2"/>
      <c r="P1455" s="2"/>
      <c r="Q1455" s="45"/>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row>
    <row r="1456">
      <c r="A1456" s="2"/>
      <c r="B1456" s="2"/>
      <c r="C1456" s="2"/>
      <c r="D1456" s="2"/>
      <c r="E1456" s="2"/>
      <c r="F1456" s="2"/>
      <c r="G1456" s="2"/>
      <c r="H1456" s="2"/>
      <c r="I1456" s="2"/>
      <c r="J1456" s="2"/>
      <c r="K1456" s="2"/>
      <c r="L1456" s="2"/>
      <c r="M1456" s="2"/>
      <c r="N1456" s="2"/>
      <c r="O1456" s="2"/>
      <c r="P1456" s="2"/>
      <c r="Q1456" s="45"/>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row>
    <row r="1457">
      <c r="A1457" s="2"/>
      <c r="B1457" s="2"/>
      <c r="C1457" s="2"/>
      <c r="D1457" s="2"/>
      <c r="E1457" s="2"/>
      <c r="F1457" s="2"/>
      <c r="G1457" s="2"/>
      <c r="H1457" s="2"/>
      <c r="I1457" s="2"/>
      <c r="J1457" s="2"/>
      <c r="K1457" s="2"/>
      <c r="L1457" s="2"/>
      <c r="M1457" s="2"/>
      <c r="N1457" s="2"/>
      <c r="O1457" s="2"/>
      <c r="P1457" s="2"/>
      <c r="Q1457" s="45"/>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row>
    <row r="1458">
      <c r="A1458" s="2"/>
      <c r="B1458" s="2"/>
      <c r="C1458" s="2"/>
      <c r="D1458" s="2"/>
      <c r="E1458" s="2"/>
      <c r="F1458" s="2"/>
      <c r="G1458" s="2"/>
      <c r="H1458" s="2"/>
      <c r="I1458" s="2"/>
      <c r="J1458" s="2"/>
      <c r="K1458" s="2"/>
      <c r="L1458" s="2"/>
      <c r="M1458" s="2"/>
      <c r="N1458" s="2"/>
      <c r="O1458" s="2"/>
      <c r="P1458" s="2"/>
      <c r="Q1458" s="45"/>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row>
    <row r="1459">
      <c r="A1459" s="2"/>
      <c r="B1459" s="2"/>
      <c r="C1459" s="2"/>
      <c r="D1459" s="2"/>
      <c r="E1459" s="2"/>
      <c r="F1459" s="2"/>
      <c r="G1459" s="2"/>
      <c r="H1459" s="2"/>
      <c r="I1459" s="2"/>
      <c r="J1459" s="2"/>
      <c r="K1459" s="2"/>
      <c r="L1459" s="2"/>
      <c r="M1459" s="2"/>
      <c r="N1459" s="2"/>
      <c r="O1459" s="2"/>
      <c r="P1459" s="2"/>
      <c r="Q1459" s="45"/>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row>
    <row r="1460">
      <c r="A1460" s="2"/>
      <c r="B1460" s="2"/>
      <c r="C1460" s="2"/>
      <c r="D1460" s="2"/>
      <c r="E1460" s="2"/>
      <c r="F1460" s="2"/>
      <c r="G1460" s="2"/>
      <c r="H1460" s="2"/>
      <c r="I1460" s="2"/>
      <c r="J1460" s="2"/>
      <c r="K1460" s="2"/>
      <c r="L1460" s="2"/>
      <c r="M1460" s="2"/>
      <c r="N1460" s="2"/>
      <c r="O1460" s="2"/>
      <c r="P1460" s="2"/>
      <c r="Q1460" s="45"/>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row>
    <row r="1461">
      <c r="A1461" s="2"/>
      <c r="B1461" s="2"/>
      <c r="C1461" s="2"/>
      <c r="D1461" s="2"/>
      <c r="E1461" s="2"/>
      <c r="F1461" s="2"/>
      <c r="G1461" s="2"/>
      <c r="H1461" s="2"/>
      <c r="I1461" s="2"/>
      <c r="J1461" s="2"/>
      <c r="K1461" s="2"/>
      <c r="L1461" s="2"/>
      <c r="M1461" s="2"/>
      <c r="N1461" s="2"/>
      <c r="O1461" s="2"/>
      <c r="P1461" s="2"/>
      <c r="Q1461" s="45"/>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row>
    <row r="1462">
      <c r="A1462" s="2"/>
      <c r="B1462" s="2"/>
      <c r="C1462" s="2"/>
      <c r="D1462" s="2"/>
      <c r="E1462" s="2"/>
      <c r="F1462" s="2"/>
      <c r="G1462" s="2"/>
      <c r="H1462" s="2"/>
      <c r="I1462" s="2"/>
      <c r="J1462" s="2"/>
      <c r="K1462" s="2"/>
      <c r="L1462" s="2"/>
      <c r="M1462" s="2"/>
      <c r="N1462" s="2"/>
      <c r="O1462" s="2"/>
      <c r="P1462" s="2"/>
      <c r="Q1462" s="45"/>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row>
    <row r="1463">
      <c r="A1463" s="2"/>
      <c r="B1463" s="2"/>
      <c r="C1463" s="2"/>
      <c r="D1463" s="2"/>
      <c r="E1463" s="2"/>
      <c r="F1463" s="2"/>
      <c r="G1463" s="2"/>
      <c r="H1463" s="2"/>
      <c r="I1463" s="2"/>
      <c r="J1463" s="2"/>
      <c r="K1463" s="2"/>
      <c r="L1463" s="2"/>
      <c r="M1463" s="2"/>
      <c r="N1463" s="2"/>
      <c r="O1463" s="2"/>
      <c r="P1463" s="2"/>
      <c r="Q1463" s="45"/>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row>
    <row r="1464">
      <c r="A1464" s="2"/>
      <c r="B1464" s="2"/>
      <c r="C1464" s="2"/>
      <c r="D1464" s="2"/>
      <c r="E1464" s="2"/>
      <c r="F1464" s="2"/>
      <c r="G1464" s="2"/>
      <c r="H1464" s="2"/>
      <c r="I1464" s="2"/>
      <c r="J1464" s="2"/>
      <c r="K1464" s="2"/>
      <c r="L1464" s="2"/>
      <c r="M1464" s="2"/>
      <c r="N1464" s="2"/>
      <c r="O1464" s="2"/>
      <c r="P1464" s="2"/>
      <c r="Q1464" s="45"/>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row>
    <row r="1465">
      <c r="A1465" s="2"/>
      <c r="B1465" s="2"/>
      <c r="C1465" s="2"/>
      <c r="D1465" s="2"/>
      <c r="E1465" s="2"/>
      <c r="F1465" s="2"/>
      <c r="G1465" s="2"/>
      <c r="H1465" s="2"/>
      <c r="I1465" s="2"/>
      <c r="J1465" s="2"/>
      <c r="K1465" s="2"/>
      <c r="L1465" s="2"/>
      <c r="M1465" s="2"/>
      <c r="N1465" s="2"/>
      <c r="O1465" s="2"/>
      <c r="P1465" s="2"/>
      <c r="Q1465" s="45"/>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row>
    <row r="1466">
      <c r="A1466" s="2"/>
      <c r="B1466" s="2"/>
      <c r="C1466" s="2"/>
      <c r="D1466" s="2"/>
      <c r="E1466" s="2"/>
      <c r="F1466" s="2"/>
      <c r="G1466" s="2"/>
      <c r="H1466" s="2"/>
      <c r="I1466" s="2"/>
      <c r="J1466" s="2"/>
      <c r="K1466" s="2"/>
      <c r="L1466" s="2"/>
      <c r="M1466" s="2"/>
      <c r="N1466" s="2"/>
      <c r="O1466" s="2"/>
      <c r="P1466" s="2"/>
      <c r="Q1466" s="45"/>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row>
    <row r="1467">
      <c r="A1467" s="2"/>
      <c r="B1467" s="2"/>
      <c r="C1467" s="2"/>
      <c r="D1467" s="2"/>
      <c r="E1467" s="2"/>
      <c r="F1467" s="2"/>
      <c r="G1467" s="2"/>
      <c r="H1467" s="2"/>
      <c r="I1467" s="2"/>
      <c r="J1467" s="2"/>
      <c r="K1467" s="2"/>
      <c r="L1467" s="2"/>
      <c r="M1467" s="2"/>
      <c r="N1467" s="2"/>
      <c r="O1467" s="2"/>
      <c r="P1467" s="2"/>
      <c r="Q1467" s="45"/>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row>
    <row r="1468">
      <c r="A1468" s="2"/>
      <c r="B1468" s="2"/>
      <c r="C1468" s="2"/>
      <c r="D1468" s="2"/>
      <c r="E1468" s="2"/>
      <c r="F1468" s="2"/>
      <c r="G1468" s="2"/>
      <c r="H1468" s="2"/>
      <c r="I1468" s="2"/>
      <c r="J1468" s="2"/>
      <c r="K1468" s="2"/>
      <c r="L1468" s="2"/>
      <c r="M1468" s="2"/>
      <c r="N1468" s="2"/>
      <c r="O1468" s="2"/>
      <c r="P1468" s="2"/>
      <c r="Q1468" s="45"/>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row>
    <row r="1469">
      <c r="A1469" s="2"/>
      <c r="B1469" s="2"/>
      <c r="C1469" s="2"/>
      <c r="D1469" s="2"/>
      <c r="E1469" s="2"/>
      <c r="F1469" s="2"/>
      <c r="G1469" s="2"/>
      <c r="H1469" s="2"/>
      <c r="I1469" s="2"/>
      <c r="J1469" s="2"/>
      <c r="K1469" s="2"/>
      <c r="L1469" s="2"/>
      <c r="M1469" s="2"/>
      <c r="N1469" s="2"/>
      <c r="O1469" s="2"/>
      <c r="P1469" s="2"/>
      <c r="Q1469" s="45"/>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row>
    <row r="1470">
      <c r="A1470" s="2"/>
      <c r="B1470" s="2"/>
      <c r="C1470" s="2"/>
      <c r="D1470" s="2"/>
      <c r="E1470" s="2"/>
      <c r="F1470" s="2"/>
      <c r="G1470" s="2"/>
      <c r="H1470" s="2"/>
      <c r="I1470" s="2"/>
      <c r="J1470" s="2"/>
      <c r="K1470" s="2"/>
      <c r="L1470" s="2"/>
      <c r="M1470" s="2"/>
      <c r="N1470" s="2"/>
      <c r="O1470" s="2"/>
      <c r="P1470" s="2"/>
      <c r="Q1470" s="45"/>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row>
    <row r="1471">
      <c r="A1471" s="2"/>
      <c r="B1471" s="2"/>
      <c r="C1471" s="2"/>
      <c r="D1471" s="2"/>
      <c r="E1471" s="2"/>
      <c r="F1471" s="2"/>
      <c r="G1471" s="2"/>
      <c r="H1471" s="2"/>
      <c r="I1471" s="2"/>
      <c r="J1471" s="2"/>
      <c r="K1471" s="2"/>
      <c r="L1471" s="2"/>
      <c r="M1471" s="2"/>
      <c r="N1471" s="2"/>
      <c r="O1471" s="2"/>
      <c r="P1471" s="2"/>
      <c r="Q1471" s="45"/>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row>
    <row r="1472">
      <c r="A1472" s="2"/>
      <c r="B1472" s="2"/>
      <c r="C1472" s="2"/>
      <c r="D1472" s="2"/>
      <c r="E1472" s="2"/>
      <c r="F1472" s="2"/>
      <c r="G1472" s="2"/>
      <c r="H1472" s="2"/>
      <c r="I1472" s="2"/>
      <c r="J1472" s="2"/>
      <c r="K1472" s="2"/>
      <c r="L1472" s="2"/>
      <c r="M1472" s="2"/>
      <c r="N1472" s="2"/>
      <c r="O1472" s="2"/>
      <c r="P1472" s="2"/>
      <c r="Q1472" s="45"/>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row>
    <row r="1473">
      <c r="A1473" s="2"/>
      <c r="B1473" s="2"/>
      <c r="C1473" s="2"/>
      <c r="D1473" s="2"/>
      <c r="E1473" s="2"/>
      <c r="F1473" s="2"/>
      <c r="G1473" s="2"/>
      <c r="H1473" s="2"/>
      <c r="I1473" s="2"/>
      <c r="J1473" s="2"/>
      <c r="K1473" s="2"/>
      <c r="L1473" s="2"/>
      <c r="M1473" s="2"/>
      <c r="N1473" s="2"/>
      <c r="O1473" s="2"/>
      <c r="P1473" s="2"/>
      <c r="Q1473" s="45"/>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row>
    <row r="1474">
      <c r="A1474" s="2"/>
      <c r="B1474" s="2"/>
      <c r="C1474" s="2"/>
      <c r="D1474" s="2"/>
      <c r="E1474" s="2"/>
      <c r="F1474" s="2"/>
      <c r="G1474" s="2"/>
      <c r="H1474" s="2"/>
      <c r="I1474" s="2"/>
      <c r="J1474" s="2"/>
      <c r="K1474" s="2"/>
      <c r="L1474" s="2"/>
      <c r="M1474" s="2"/>
      <c r="N1474" s="2"/>
      <c r="O1474" s="2"/>
      <c r="P1474" s="2"/>
      <c r="Q1474" s="45"/>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row>
    <row r="1475">
      <c r="A1475" s="2"/>
      <c r="B1475" s="2"/>
      <c r="C1475" s="2"/>
      <c r="D1475" s="2"/>
      <c r="E1475" s="2"/>
      <c r="F1475" s="2"/>
      <c r="G1475" s="2"/>
      <c r="H1475" s="2"/>
      <c r="I1475" s="2"/>
      <c r="J1475" s="2"/>
      <c r="K1475" s="2"/>
      <c r="L1475" s="2"/>
      <c r="M1475" s="2"/>
      <c r="N1475" s="2"/>
      <c r="O1475" s="2"/>
      <c r="P1475" s="2"/>
      <c r="Q1475" s="45"/>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row>
    <row r="1476">
      <c r="A1476" s="2"/>
      <c r="B1476" s="2"/>
      <c r="C1476" s="2"/>
      <c r="D1476" s="2"/>
      <c r="E1476" s="2"/>
      <c r="F1476" s="2"/>
      <c r="G1476" s="2"/>
      <c r="H1476" s="2"/>
      <c r="I1476" s="2"/>
      <c r="J1476" s="2"/>
      <c r="K1476" s="2"/>
      <c r="L1476" s="2"/>
      <c r="M1476" s="2"/>
      <c r="N1476" s="2"/>
      <c r="O1476" s="2"/>
      <c r="P1476" s="2"/>
      <c r="Q1476" s="45"/>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row>
    <row r="1477">
      <c r="A1477" s="2"/>
      <c r="B1477" s="2"/>
      <c r="C1477" s="2"/>
      <c r="D1477" s="2"/>
      <c r="E1477" s="2"/>
      <c r="F1477" s="2"/>
      <c r="G1477" s="2"/>
      <c r="H1477" s="2"/>
      <c r="I1477" s="2"/>
      <c r="J1477" s="2"/>
      <c r="K1477" s="2"/>
      <c r="L1477" s="2"/>
      <c r="M1477" s="2"/>
      <c r="N1477" s="2"/>
      <c r="O1477" s="2"/>
      <c r="P1477" s="2"/>
      <c r="Q1477" s="45"/>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row>
    <row r="1478">
      <c r="A1478" s="2"/>
      <c r="B1478" s="2"/>
      <c r="C1478" s="2"/>
      <c r="D1478" s="2"/>
      <c r="E1478" s="2"/>
      <c r="F1478" s="2"/>
      <c r="G1478" s="2"/>
      <c r="H1478" s="2"/>
      <c r="I1478" s="2"/>
      <c r="J1478" s="2"/>
      <c r="K1478" s="2"/>
      <c r="L1478" s="2"/>
      <c r="M1478" s="2"/>
      <c r="N1478" s="2"/>
      <c r="O1478" s="2"/>
      <c r="P1478" s="2"/>
      <c r="Q1478" s="45"/>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row>
    <row r="1479">
      <c r="A1479" s="2"/>
      <c r="B1479" s="2"/>
      <c r="C1479" s="2"/>
      <c r="D1479" s="2"/>
      <c r="E1479" s="2"/>
      <c r="F1479" s="2"/>
      <c r="G1479" s="2"/>
      <c r="H1479" s="2"/>
      <c r="I1479" s="2"/>
      <c r="J1479" s="2"/>
      <c r="K1479" s="2"/>
      <c r="L1479" s="2"/>
      <c r="M1479" s="2"/>
      <c r="N1479" s="2"/>
      <c r="O1479" s="2"/>
      <c r="P1479" s="2"/>
      <c r="Q1479" s="45"/>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row>
    <row r="1480">
      <c r="A1480" s="2"/>
      <c r="B1480" s="2"/>
      <c r="C1480" s="2"/>
      <c r="D1480" s="2"/>
      <c r="E1480" s="2"/>
      <c r="F1480" s="2"/>
      <c r="G1480" s="2"/>
      <c r="H1480" s="2"/>
      <c r="I1480" s="2"/>
      <c r="J1480" s="2"/>
      <c r="K1480" s="2"/>
      <c r="L1480" s="2"/>
      <c r="M1480" s="2"/>
      <c r="N1480" s="2"/>
      <c r="O1480" s="2"/>
      <c r="P1480" s="2"/>
      <c r="Q1480" s="45"/>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row>
    <row r="1481">
      <c r="A1481" s="2"/>
      <c r="B1481" s="2"/>
      <c r="C1481" s="2"/>
      <c r="D1481" s="2"/>
      <c r="E1481" s="2"/>
      <c r="F1481" s="2"/>
      <c r="G1481" s="2"/>
      <c r="H1481" s="2"/>
      <c r="I1481" s="2"/>
      <c r="J1481" s="2"/>
      <c r="K1481" s="2"/>
      <c r="L1481" s="2"/>
      <c r="M1481" s="2"/>
      <c r="N1481" s="2"/>
      <c r="O1481" s="2"/>
      <c r="P1481" s="2"/>
      <c r="Q1481" s="45"/>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row>
    <row r="1482">
      <c r="A1482" s="2"/>
      <c r="B1482" s="2"/>
      <c r="C1482" s="2"/>
      <c r="D1482" s="2"/>
      <c r="E1482" s="2"/>
      <c r="F1482" s="2"/>
      <c r="G1482" s="2"/>
      <c r="H1482" s="2"/>
      <c r="I1482" s="2"/>
      <c r="J1482" s="2"/>
      <c r="K1482" s="2"/>
      <c r="L1482" s="2"/>
      <c r="M1482" s="2"/>
      <c r="N1482" s="2"/>
      <c r="O1482" s="2"/>
      <c r="P1482" s="2"/>
      <c r="Q1482" s="45"/>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row>
    <row r="1483">
      <c r="A1483" s="2"/>
      <c r="B1483" s="2"/>
      <c r="C1483" s="2"/>
      <c r="D1483" s="2"/>
      <c r="E1483" s="2"/>
      <c r="F1483" s="2"/>
      <c r="G1483" s="2"/>
      <c r="H1483" s="2"/>
      <c r="I1483" s="2"/>
      <c r="J1483" s="2"/>
      <c r="K1483" s="2"/>
      <c r="L1483" s="2"/>
      <c r="M1483" s="2"/>
      <c r="N1483" s="2"/>
      <c r="O1483" s="2"/>
      <c r="P1483" s="2"/>
      <c r="Q1483" s="45"/>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row>
    <row r="1484">
      <c r="A1484" s="2"/>
      <c r="B1484" s="2"/>
      <c r="C1484" s="2"/>
      <c r="D1484" s="2"/>
      <c r="E1484" s="2"/>
      <c r="F1484" s="2"/>
      <c r="G1484" s="2"/>
      <c r="H1484" s="2"/>
      <c r="I1484" s="2"/>
      <c r="J1484" s="2"/>
      <c r="K1484" s="2"/>
      <c r="L1484" s="2"/>
      <c r="M1484" s="2"/>
      <c r="N1484" s="2"/>
      <c r="O1484" s="2"/>
      <c r="P1484" s="2"/>
      <c r="Q1484" s="45"/>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row>
    <row r="1485">
      <c r="A1485" s="2"/>
      <c r="B1485" s="2"/>
      <c r="C1485" s="2"/>
      <c r="D1485" s="2"/>
      <c r="E1485" s="2"/>
      <c r="F1485" s="2"/>
      <c r="G1485" s="2"/>
      <c r="H1485" s="2"/>
      <c r="I1485" s="2"/>
      <c r="J1485" s="2"/>
      <c r="K1485" s="2"/>
      <c r="L1485" s="2"/>
      <c r="M1485" s="2"/>
      <c r="N1485" s="2"/>
      <c r="O1485" s="2"/>
      <c r="P1485" s="2"/>
      <c r="Q1485" s="45"/>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row>
    <row r="1486">
      <c r="A1486" s="2"/>
      <c r="B1486" s="2"/>
      <c r="C1486" s="2"/>
      <c r="D1486" s="2"/>
      <c r="E1486" s="2"/>
      <c r="F1486" s="2"/>
      <c r="G1486" s="2"/>
      <c r="H1486" s="2"/>
      <c r="I1486" s="2"/>
      <c r="J1486" s="2"/>
      <c r="K1486" s="2"/>
      <c r="L1486" s="2"/>
      <c r="M1486" s="2"/>
      <c r="N1486" s="2"/>
      <c r="O1486" s="2"/>
      <c r="P1486" s="2"/>
      <c r="Q1486" s="45"/>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row>
    <row r="1487">
      <c r="A1487" s="2"/>
      <c r="B1487" s="2"/>
      <c r="C1487" s="2"/>
      <c r="D1487" s="2"/>
      <c r="E1487" s="2"/>
      <c r="F1487" s="2"/>
      <c r="G1487" s="2"/>
      <c r="H1487" s="2"/>
      <c r="I1487" s="2"/>
      <c r="J1487" s="2"/>
      <c r="K1487" s="2"/>
      <c r="L1487" s="2"/>
      <c r="M1487" s="2"/>
      <c r="N1487" s="2"/>
      <c r="O1487" s="2"/>
      <c r="P1487" s="2"/>
      <c r="Q1487" s="45"/>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row>
    <row r="1488">
      <c r="A1488" s="2"/>
      <c r="B1488" s="2"/>
      <c r="C1488" s="2"/>
      <c r="D1488" s="2"/>
      <c r="E1488" s="2"/>
      <c r="F1488" s="2"/>
      <c r="G1488" s="2"/>
      <c r="H1488" s="2"/>
      <c r="I1488" s="2"/>
      <c r="J1488" s="2"/>
      <c r="K1488" s="2"/>
      <c r="L1488" s="2"/>
      <c r="M1488" s="2"/>
      <c r="N1488" s="2"/>
      <c r="O1488" s="2"/>
      <c r="P1488" s="2"/>
      <c r="Q1488" s="45"/>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row>
    <row r="1489">
      <c r="A1489" s="2"/>
      <c r="B1489" s="2"/>
      <c r="C1489" s="2"/>
      <c r="D1489" s="2"/>
      <c r="E1489" s="2"/>
      <c r="F1489" s="2"/>
      <c r="G1489" s="2"/>
      <c r="H1489" s="2"/>
      <c r="I1489" s="2"/>
      <c r="J1489" s="2"/>
      <c r="K1489" s="2"/>
      <c r="L1489" s="2"/>
      <c r="M1489" s="2"/>
      <c r="N1489" s="2"/>
      <c r="O1489" s="2"/>
      <c r="P1489" s="2"/>
      <c r="Q1489" s="45"/>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row>
    <row r="1490">
      <c r="A1490" s="2"/>
      <c r="B1490" s="2"/>
      <c r="C1490" s="2"/>
      <c r="D1490" s="2"/>
      <c r="E1490" s="2"/>
      <c r="F1490" s="2"/>
      <c r="G1490" s="2"/>
      <c r="H1490" s="2"/>
      <c r="I1490" s="2"/>
      <c r="J1490" s="2"/>
      <c r="K1490" s="2"/>
      <c r="L1490" s="2"/>
      <c r="M1490" s="2"/>
      <c r="N1490" s="2"/>
      <c r="O1490" s="2"/>
      <c r="P1490" s="2"/>
      <c r="Q1490" s="45"/>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row>
    <row r="1491">
      <c r="A1491" s="2"/>
      <c r="B1491" s="2"/>
      <c r="C1491" s="2"/>
      <c r="D1491" s="2"/>
      <c r="E1491" s="2"/>
      <c r="F1491" s="2"/>
      <c r="G1491" s="2"/>
      <c r="H1491" s="2"/>
      <c r="I1491" s="2"/>
      <c r="J1491" s="2"/>
      <c r="K1491" s="2"/>
      <c r="L1491" s="2"/>
      <c r="M1491" s="2"/>
      <c r="N1491" s="2"/>
      <c r="O1491" s="2"/>
      <c r="P1491" s="2"/>
      <c r="Q1491" s="45"/>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row>
    <row r="1492">
      <c r="A1492" s="2"/>
      <c r="B1492" s="2"/>
      <c r="C1492" s="2"/>
      <c r="D1492" s="2"/>
      <c r="E1492" s="2"/>
      <c r="F1492" s="2"/>
      <c r="G1492" s="2"/>
      <c r="H1492" s="2"/>
      <c r="I1492" s="2"/>
      <c r="J1492" s="2"/>
      <c r="K1492" s="2"/>
      <c r="L1492" s="2"/>
      <c r="M1492" s="2"/>
      <c r="N1492" s="2"/>
      <c r="O1492" s="2"/>
      <c r="P1492" s="2"/>
      <c r="Q1492" s="45"/>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row>
    <row r="1493">
      <c r="A1493" s="2"/>
      <c r="B1493" s="2"/>
      <c r="C1493" s="2"/>
      <c r="D1493" s="2"/>
      <c r="E1493" s="2"/>
      <c r="F1493" s="2"/>
      <c r="G1493" s="2"/>
      <c r="H1493" s="2"/>
      <c r="I1493" s="2"/>
      <c r="J1493" s="2"/>
      <c r="K1493" s="2"/>
      <c r="L1493" s="2"/>
      <c r="M1493" s="2"/>
      <c r="N1493" s="2"/>
      <c r="O1493" s="2"/>
      <c r="P1493" s="2"/>
      <c r="Q1493" s="45"/>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row>
    <row r="1494">
      <c r="A1494" s="2"/>
      <c r="B1494" s="2"/>
      <c r="C1494" s="2"/>
      <c r="D1494" s="2"/>
      <c r="E1494" s="2"/>
      <c r="F1494" s="2"/>
      <c r="G1494" s="2"/>
      <c r="H1494" s="2"/>
      <c r="I1494" s="2"/>
      <c r="J1494" s="2"/>
      <c r="K1494" s="2"/>
      <c r="L1494" s="2"/>
      <c r="M1494" s="2"/>
      <c r="N1494" s="2"/>
      <c r="O1494" s="2"/>
      <c r="P1494" s="2"/>
      <c r="Q1494" s="45"/>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row>
    <row r="1495">
      <c r="A1495" s="2"/>
      <c r="B1495" s="2"/>
      <c r="C1495" s="2"/>
      <c r="D1495" s="2"/>
      <c r="E1495" s="2"/>
      <c r="F1495" s="2"/>
      <c r="G1495" s="2"/>
      <c r="H1495" s="2"/>
      <c r="I1495" s="2"/>
      <c r="J1495" s="2"/>
      <c r="K1495" s="2"/>
      <c r="L1495" s="2"/>
      <c r="M1495" s="2"/>
      <c r="N1495" s="2"/>
      <c r="O1495" s="2"/>
      <c r="P1495" s="2"/>
      <c r="Q1495" s="45"/>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row>
    <row r="1496">
      <c r="A1496" s="2"/>
      <c r="B1496" s="2"/>
      <c r="C1496" s="2"/>
      <c r="D1496" s="2"/>
      <c r="E1496" s="2"/>
      <c r="F1496" s="2"/>
      <c r="G1496" s="2"/>
      <c r="H1496" s="2"/>
      <c r="I1496" s="2"/>
      <c r="J1496" s="2"/>
      <c r="K1496" s="2"/>
      <c r="L1496" s="2"/>
      <c r="M1496" s="2"/>
      <c r="N1496" s="2"/>
      <c r="O1496" s="2"/>
      <c r="P1496" s="2"/>
      <c r="Q1496" s="45"/>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row>
    <row r="1497">
      <c r="A1497" s="2"/>
      <c r="B1497" s="2"/>
      <c r="C1497" s="2"/>
      <c r="D1497" s="2"/>
      <c r="E1497" s="2"/>
      <c r="F1497" s="2"/>
      <c r="G1497" s="2"/>
      <c r="H1497" s="2"/>
      <c r="I1497" s="2"/>
      <c r="J1497" s="2"/>
      <c r="K1497" s="2"/>
      <c r="L1497" s="2"/>
      <c r="M1497" s="2"/>
      <c r="N1497" s="2"/>
      <c r="O1497" s="2"/>
      <c r="P1497" s="2"/>
      <c r="Q1497" s="45"/>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row>
    <row r="1498">
      <c r="A1498" s="2"/>
      <c r="B1498" s="2"/>
      <c r="C1498" s="2"/>
      <c r="D1498" s="2"/>
      <c r="E1498" s="2"/>
      <c r="F1498" s="2"/>
      <c r="G1498" s="2"/>
      <c r="H1498" s="2"/>
      <c r="I1498" s="2"/>
      <c r="J1498" s="2"/>
      <c r="K1498" s="2"/>
      <c r="L1498" s="2"/>
      <c r="M1498" s="2"/>
      <c r="N1498" s="2"/>
      <c r="O1498" s="2"/>
      <c r="P1498" s="2"/>
      <c r="Q1498" s="45"/>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row>
    <row r="1499">
      <c r="A1499" s="2"/>
      <c r="B1499" s="2"/>
      <c r="C1499" s="2"/>
      <c r="D1499" s="2"/>
      <c r="E1499" s="2"/>
      <c r="F1499" s="2"/>
      <c r="G1499" s="2"/>
      <c r="H1499" s="2"/>
      <c r="I1499" s="2"/>
      <c r="J1499" s="2"/>
      <c r="K1499" s="2"/>
      <c r="L1499" s="2"/>
      <c r="M1499" s="2"/>
      <c r="N1499" s="2"/>
      <c r="O1499" s="2"/>
      <c r="P1499" s="2"/>
      <c r="Q1499" s="45"/>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row>
    <row r="1500">
      <c r="A1500" s="2"/>
      <c r="B1500" s="2"/>
      <c r="C1500" s="2"/>
      <c r="D1500" s="2"/>
      <c r="E1500" s="2"/>
      <c r="F1500" s="2"/>
      <c r="G1500" s="2"/>
      <c r="H1500" s="2"/>
      <c r="I1500" s="2"/>
      <c r="J1500" s="2"/>
      <c r="K1500" s="2"/>
      <c r="L1500" s="2"/>
      <c r="M1500" s="2"/>
      <c r="N1500" s="2"/>
      <c r="O1500" s="2"/>
      <c r="P1500" s="2"/>
      <c r="Q1500" s="45"/>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row>
    <row r="1501">
      <c r="A1501" s="2"/>
      <c r="B1501" s="2"/>
      <c r="C1501" s="2"/>
      <c r="D1501" s="2"/>
      <c r="E1501" s="2"/>
      <c r="F1501" s="2"/>
      <c r="G1501" s="2"/>
      <c r="H1501" s="2"/>
      <c r="I1501" s="2"/>
      <c r="J1501" s="2"/>
      <c r="K1501" s="2"/>
      <c r="L1501" s="2"/>
      <c r="M1501" s="2"/>
      <c r="N1501" s="2"/>
      <c r="O1501" s="2"/>
      <c r="P1501" s="2"/>
      <c r="Q1501" s="45"/>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row>
    <row r="1502">
      <c r="A1502" s="2"/>
      <c r="B1502" s="2"/>
      <c r="C1502" s="2"/>
      <c r="D1502" s="2"/>
      <c r="E1502" s="2"/>
      <c r="F1502" s="2"/>
      <c r="G1502" s="2"/>
      <c r="H1502" s="2"/>
      <c r="I1502" s="2"/>
      <c r="J1502" s="2"/>
      <c r="K1502" s="2"/>
      <c r="L1502" s="2"/>
      <c r="M1502" s="2"/>
      <c r="N1502" s="2"/>
      <c r="O1502" s="2"/>
      <c r="P1502" s="2"/>
      <c r="Q1502" s="45"/>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row>
    <row r="1503">
      <c r="A1503" s="2"/>
      <c r="B1503" s="2"/>
      <c r="C1503" s="2"/>
      <c r="D1503" s="2"/>
      <c r="E1503" s="2"/>
      <c r="F1503" s="2"/>
      <c r="G1503" s="2"/>
      <c r="H1503" s="2"/>
      <c r="I1503" s="2"/>
      <c r="J1503" s="2"/>
      <c r="K1503" s="2"/>
      <c r="L1503" s="2"/>
      <c r="M1503" s="2"/>
      <c r="N1503" s="2"/>
      <c r="O1503" s="2"/>
      <c r="P1503" s="2"/>
      <c r="Q1503" s="45"/>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row>
    <row r="1504">
      <c r="A1504" s="2"/>
      <c r="B1504" s="2"/>
      <c r="C1504" s="2"/>
      <c r="D1504" s="2"/>
      <c r="E1504" s="2"/>
      <c r="F1504" s="2"/>
      <c r="G1504" s="2"/>
      <c r="H1504" s="2"/>
      <c r="I1504" s="2"/>
      <c r="J1504" s="2"/>
      <c r="K1504" s="2"/>
      <c r="L1504" s="2"/>
      <c r="M1504" s="2"/>
      <c r="N1504" s="2"/>
      <c r="O1504" s="2"/>
      <c r="P1504" s="2"/>
      <c r="Q1504" s="45"/>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row>
    <row r="1505">
      <c r="A1505" s="2"/>
      <c r="B1505" s="2"/>
      <c r="C1505" s="2"/>
      <c r="D1505" s="2"/>
      <c r="E1505" s="2"/>
      <c r="F1505" s="2"/>
      <c r="G1505" s="2"/>
      <c r="H1505" s="2"/>
      <c r="I1505" s="2"/>
      <c r="J1505" s="2"/>
      <c r="K1505" s="2"/>
      <c r="L1505" s="2"/>
      <c r="M1505" s="2"/>
      <c r="N1505" s="2"/>
      <c r="O1505" s="2"/>
      <c r="P1505" s="2"/>
      <c r="Q1505" s="45"/>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row>
    <row r="1506">
      <c r="A1506" s="2"/>
      <c r="B1506" s="2"/>
      <c r="C1506" s="2"/>
      <c r="D1506" s="2"/>
      <c r="E1506" s="2"/>
      <c r="F1506" s="2"/>
      <c r="G1506" s="2"/>
      <c r="H1506" s="2"/>
      <c r="I1506" s="2"/>
      <c r="J1506" s="2"/>
      <c r="K1506" s="2"/>
      <c r="L1506" s="2"/>
      <c r="M1506" s="2"/>
      <c r="N1506" s="2"/>
      <c r="O1506" s="2"/>
      <c r="P1506" s="2"/>
      <c r="Q1506" s="45"/>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row>
    <row r="1507">
      <c r="A1507" s="2"/>
      <c r="B1507" s="2"/>
      <c r="C1507" s="2"/>
      <c r="D1507" s="2"/>
      <c r="E1507" s="2"/>
      <c r="F1507" s="2"/>
      <c r="G1507" s="2"/>
      <c r="H1507" s="2"/>
      <c r="I1507" s="2"/>
      <c r="J1507" s="2"/>
      <c r="K1507" s="2"/>
      <c r="L1507" s="2"/>
      <c r="M1507" s="2"/>
      <c r="N1507" s="2"/>
      <c r="O1507" s="2"/>
      <c r="P1507" s="2"/>
      <c r="Q1507" s="45"/>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row>
    <row r="1508">
      <c r="A1508" s="2"/>
      <c r="B1508" s="2"/>
      <c r="C1508" s="2"/>
      <c r="D1508" s="2"/>
      <c r="E1508" s="2"/>
      <c r="F1508" s="2"/>
      <c r="G1508" s="2"/>
      <c r="H1508" s="2"/>
      <c r="I1508" s="2"/>
      <c r="J1508" s="2"/>
      <c r="K1508" s="2"/>
      <c r="L1508" s="2"/>
      <c r="M1508" s="2"/>
      <c r="N1508" s="2"/>
      <c r="O1508" s="2"/>
      <c r="P1508" s="2"/>
      <c r="Q1508" s="45"/>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row>
    <row r="1509">
      <c r="A1509" s="2"/>
      <c r="B1509" s="2"/>
      <c r="C1509" s="2"/>
      <c r="D1509" s="2"/>
      <c r="E1509" s="2"/>
      <c r="F1509" s="2"/>
      <c r="G1509" s="2"/>
      <c r="H1509" s="2"/>
      <c r="I1509" s="2"/>
      <c r="J1509" s="2"/>
      <c r="K1509" s="2"/>
      <c r="L1509" s="2"/>
      <c r="M1509" s="2"/>
      <c r="N1509" s="2"/>
      <c r="O1509" s="2"/>
      <c r="P1509" s="2"/>
      <c r="Q1509" s="45"/>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row>
    <row r="1510">
      <c r="A1510" s="2"/>
      <c r="B1510" s="2"/>
      <c r="C1510" s="2"/>
      <c r="D1510" s="2"/>
      <c r="E1510" s="2"/>
      <c r="F1510" s="2"/>
      <c r="G1510" s="2"/>
      <c r="H1510" s="2"/>
      <c r="I1510" s="2"/>
      <c r="J1510" s="2"/>
      <c r="K1510" s="2"/>
      <c r="L1510" s="2"/>
      <c r="M1510" s="2"/>
      <c r="N1510" s="2"/>
      <c r="O1510" s="2"/>
      <c r="P1510" s="2"/>
      <c r="Q1510" s="45"/>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row>
    <row r="1511">
      <c r="A1511" s="2"/>
      <c r="B1511" s="2"/>
      <c r="C1511" s="2"/>
      <c r="D1511" s="2"/>
      <c r="E1511" s="2"/>
      <c r="F1511" s="2"/>
      <c r="G1511" s="2"/>
      <c r="H1511" s="2"/>
      <c r="I1511" s="2"/>
      <c r="J1511" s="2"/>
      <c r="K1511" s="2"/>
      <c r="L1511" s="2"/>
      <c r="M1511" s="2"/>
      <c r="N1511" s="2"/>
      <c r="O1511" s="2"/>
      <c r="P1511" s="2"/>
      <c r="Q1511" s="45"/>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row>
    <row r="1512">
      <c r="A1512" s="2"/>
      <c r="B1512" s="2"/>
      <c r="C1512" s="2"/>
      <c r="D1512" s="2"/>
      <c r="E1512" s="2"/>
      <c r="F1512" s="2"/>
      <c r="G1512" s="2"/>
      <c r="H1512" s="2"/>
      <c r="I1512" s="2"/>
      <c r="J1512" s="2"/>
      <c r="K1512" s="2"/>
      <c r="L1512" s="2"/>
      <c r="M1512" s="2"/>
      <c r="N1512" s="2"/>
      <c r="O1512" s="2"/>
      <c r="P1512" s="2"/>
      <c r="Q1512" s="45"/>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row>
    <row r="1513">
      <c r="A1513" s="2"/>
      <c r="B1513" s="2"/>
      <c r="C1513" s="2"/>
      <c r="D1513" s="2"/>
      <c r="E1513" s="2"/>
      <c r="F1513" s="2"/>
      <c r="G1513" s="2"/>
      <c r="H1513" s="2"/>
      <c r="I1513" s="2"/>
      <c r="J1513" s="2"/>
      <c r="K1513" s="2"/>
      <c r="L1513" s="2"/>
      <c r="M1513" s="2"/>
      <c r="N1513" s="2"/>
      <c r="O1513" s="2"/>
      <c r="P1513" s="2"/>
      <c r="Q1513" s="45"/>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row>
    <row r="1514">
      <c r="A1514" s="2"/>
      <c r="B1514" s="2"/>
      <c r="C1514" s="2"/>
      <c r="D1514" s="2"/>
      <c r="E1514" s="2"/>
      <c r="F1514" s="2"/>
      <c r="G1514" s="2"/>
      <c r="H1514" s="2"/>
      <c r="I1514" s="2"/>
      <c r="J1514" s="2"/>
      <c r="K1514" s="2"/>
      <c r="L1514" s="2"/>
      <c r="M1514" s="2"/>
      <c r="N1514" s="2"/>
      <c r="O1514" s="2"/>
      <c r="P1514" s="2"/>
      <c r="Q1514" s="45"/>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row>
    <row r="1515">
      <c r="A1515" s="2"/>
      <c r="B1515" s="2"/>
      <c r="C1515" s="2"/>
      <c r="D1515" s="2"/>
      <c r="E1515" s="2"/>
      <c r="F1515" s="2"/>
      <c r="G1515" s="2"/>
      <c r="H1515" s="2"/>
      <c r="I1515" s="2"/>
      <c r="J1515" s="2"/>
      <c r="K1515" s="2"/>
      <c r="L1515" s="2"/>
      <c r="M1515" s="2"/>
      <c r="N1515" s="2"/>
      <c r="O1515" s="2"/>
      <c r="P1515" s="2"/>
      <c r="Q1515" s="45"/>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row>
    <row r="1516">
      <c r="A1516" s="2"/>
      <c r="B1516" s="2"/>
      <c r="C1516" s="2"/>
      <c r="D1516" s="2"/>
      <c r="E1516" s="2"/>
      <c r="F1516" s="2"/>
      <c r="G1516" s="2"/>
      <c r="H1516" s="2"/>
      <c r="I1516" s="2"/>
      <c r="J1516" s="2"/>
      <c r="K1516" s="2"/>
      <c r="L1516" s="2"/>
      <c r="M1516" s="2"/>
      <c r="N1516" s="2"/>
      <c r="O1516" s="2"/>
      <c r="P1516" s="2"/>
      <c r="Q1516" s="45"/>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row>
    <row r="1517">
      <c r="A1517" s="2"/>
      <c r="B1517" s="2"/>
      <c r="C1517" s="2"/>
      <c r="D1517" s="2"/>
      <c r="E1517" s="2"/>
      <c r="F1517" s="2"/>
      <c r="G1517" s="2"/>
      <c r="H1517" s="2"/>
      <c r="I1517" s="2"/>
      <c r="J1517" s="2"/>
      <c r="K1517" s="2"/>
      <c r="L1517" s="2"/>
      <c r="M1517" s="2"/>
      <c r="N1517" s="2"/>
      <c r="O1517" s="2"/>
      <c r="P1517" s="2"/>
      <c r="Q1517" s="45"/>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row>
    <row r="1518">
      <c r="A1518" s="2"/>
      <c r="B1518" s="2"/>
      <c r="C1518" s="2"/>
      <c r="D1518" s="2"/>
      <c r="E1518" s="2"/>
      <c r="F1518" s="2"/>
      <c r="G1518" s="2"/>
      <c r="H1518" s="2"/>
      <c r="I1518" s="2"/>
      <c r="J1518" s="2"/>
      <c r="K1518" s="2"/>
      <c r="L1518" s="2"/>
      <c r="M1518" s="2"/>
      <c r="N1518" s="2"/>
      <c r="O1518" s="2"/>
      <c r="P1518" s="2"/>
      <c r="Q1518" s="45"/>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row>
    <row r="1519">
      <c r="A1519" s="2"/>
      <c r="B1519" s="2"/>
      <c r="C1519" s="2"/>
      <c r="D1519" s="2"/>
      <c r="E1519" s="2"/>
      <c r="F1519" s="2"/>
      <c r="G1519" s="2"/>
      <c r="H1519" s="2"/>
      <c r="I1519" s="2"/>
      <c r="J1519" s="2"/>
      <c r="K1519" s="2"/>
      <c r="L1519" s="2"/>
      <c r="M1519" s="2"/>
      <c r="N1519" s="2"/>
      <c r="O1519" s="2"/>
      <c r="P1519" s="2"/>
      <c r="Q1519" s="45"/>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row>
    <row r="1520">
      <c r="A1520" s="2"/>
      <c r="B1520" s="2"/>
      <c r="C1520" s="2"/>
      <c r="D1520" s="2"/>
      <c r="E1520" s="2"/>
      <c r="F1520" s="2"/>
      <c r="G1520" s="2"/>
      <c r="H1520" s="2"/>
      <c r="I1520" s="2"/>
      <c r="J1520" s="2"/>
      <c r="K1520" s="2"/>
      <c r="L1520" s="2"/>
      <c r="M1520" s="2"/>
      <c r="N1520" s="2"/>
      <c r="O1520" s="2"/>
      <c r="P1520" s="2"/>
      <c r="Q1520" s="45"/>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row>
    <row r="1521">
      <c r="A1521" s="2"/>
      <c r="B1521" s="2"/>
      <c r="C1521" s="2"/>
      <c r="D1521" s="2"/>
      <c r="E1521" s="2"/>
      <c r="F1521" s="2"/>
      <c r="G1521" s="2"/>
      <c r="H1521" s="2"/>
      <c r="I1521" s="2"/>
      <c r="J1521" s="2"/>
      <c r="K1521" s="2"/>
      <c r="L1521" s="2"/>
      <c r="M1521" s="2"/>
      <c r="N1521" s="2"/>
      <c r="O1521" s="2"/>
      <c r="P1521" s="2"/>
      <c r="Q1521" s="45"/>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row>
    <row r="1522">
      <c r="A1522" s="2"/>
      <c r="B1522" s="2"/>
      <c r="C1522" s="2"/>
      <c r="D1522" s="2"/>
      <c r="E1522" s="2"/>
      <c r="F1522" s="2"/>
      <c r="G1522" s="2"/>
      <c r="H1522" s="2"/>
      <c r="I1522" s="2"/>
      <c r="J1522" s="2"/>
      <c r="K1522" s="2"/>
      <c r="L1522" s="2"/>
      <c r="M1522" s="2"/>
      <c r="N1522" s="2"/>
      <c r="O1522" s="2"/>
      <c r="P1522" s="2"/>
      <c r="Q1522" s="45"/>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row>
    <row r="1523">
      <c r="A1523" s="2"/>
      <c r="B1523" s="2"/>
      <c r="C1523" s="2"/>
      <c r="D1523" s="2"/>
      <c r="E1523" s="2"/>
      <c r="F1523" s="2"/>
      <c r="G1523" s="2"/>
      <c r="H1523" s="2"/>
      <c r="I1523" s="2"/>
      <c r="J1523" s="2"/>
      <c r="K1523" s="2"/>
      <c r="L1523" s="2"/>
      <c r="M1523" s="2"/>
      <c r="N1523" s="2"/>
      <c r="O1523" s="2"/>
      <c r="P1523" s="2"/>
      <c r="Q1523" s="45"/>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row>
    <row r="1524">
      <c r="A1524" s="2"/>
      <c r="B1524" s="2"/>
      <c r="C1524" s="2"/>
      <c r="D1524" s="2"/>
      <c r="E1524" s="2"/>
      <c r="F1524" s="2"/>
      <c r="G1524" s="2"/>
      <c r="H1524" s="2"/>
      <c r="I1524" s="2"/>
      <c r="J1524" s="2"/>
      <c r="K1524" s="2"/>
      <c r="L1524" s="2"/>
      <c r="M1524" s="2"/>
      <c r="N1524" s="2"/>
      <c r="O1524" s="2"/>
      <c r="P1524" s="2"/>
      <c r="Q1524" s="45"/>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row>
    <row r="1525">
      <c r="A1525" s="2"/>
      <c r="B1525" s="2"/>
      <c r="C1525" s="2"/>
      <c r="D1525" s="2"/>
      <c r="E1525" s="2"/>
      <c r="F1525" s="2"/>
      <c r="G1525" s="2"/>
      <c r="H1525" s="2"/>
      <c r="I1525" s="2"/>
      <c r="J1525" s="2"/>
      <c r="K1525" s="2"/>
      <c r="L1525" s="2"/>
      <c r="M1525" s="2"/>
      <c r="N1525" s="2"/>
      <c r="O1525" s="2"/>
      <c r="P1525" s="2"/>
      <c r="Q1525" s="45"/>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row>
    <row r="1526">
      <c r="A1526" s="2"/>
      <c r="B1526" s="2"/>
      <c r="C1526" s="2"/>
      <c r="D1526" s="2"/>
      <c r="E1526" s="2"/>
      <c r="F1526" s="2"/>
      <c r="G1526" s="2"/>
      <c r="H1526" s="2"/>
      <c r="I1526" s="2"/>
      <c r="J1526" s="2"/>
      <c r="K1526" s="2"/>
      <c r="L1526" s="2"/>
      <c r="M1526" s="2"/>
      <c r="N1526" s="2"/>
      <c r="O1526" s="2"/>
      <c r="P1526" s="2"/>
      <c r="Q1526" s="45"/>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row>
    <row r="1527">
      <c r="A1527" s="2"/>
      <c r="B1527" s="2"/>
      <c r="C1527" s="2"/>
      <c r="D1527" s="2"/>
      <c r="E1527" s="2"/>
      <c r="F1527" s="2"/>
      <c r="G1527" s="2"/>
      <c r="H1527" s="2"/>
      <c r="I1527" s="2"/>
      <c r="J1527" s="2"/>
      <c r="K1527" s="2"/>
      <c r="L1527" s="2"/>
      <c r="M1527" s="2"/>
      <c r="N1527" s="2"/>
      <c r="O1527" s="2"/>
      <c r="P1527" s="2"/>
      <c r="Q1527" s="45"/>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row>
    <row r="1528">
      <c r="A1528" s="2"/>
      <c r="B1528" s="2"/>
      <c r="C1528" s="2"/>
      <c r="D1528" s="2"/>
      <c r="E1528" s="2"/>
      <c r="F1528" s="2"/>
      <c r="G1528" s="2"/>
      <c r="H1528" s="2"/>
      <c r="I1528" s="2"/>
      <c r="J1528" s="2"/>
      <c r="K1528" s="2"/>
      <c r="L1528" s="2"/>
      <c r="M1528" s="2"/>
      <c r="N1528" s="2"/>
      <c r="O1528" s="2"/>
      <c r="P1528" s="2"/>
      <c r="Q1528" s="45"/>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row>
    <row r="1529">
      <c r="A1529" s="2"/>
      <c r="B1529" s="2"/>
      <c r="C1529" s="2"/>
      <c r="D1529" s="2"/>
      <c r="E1529" s="2"/>
      <c r="F1529" s="2"/>
      <c r="G1529" s="2"/>
      <c r="H1529" s="2"/>
      <c r="I1529" s="2"/>
      <c r="J1529" s="2"/>
      <c r="K1529" s="2"/>
      <c r="L1529" s="2"/>
      <c r="M1529" s="2"/>
      <c r="N1529" s="2"/>
      <c r="O1529" s="2"/>
      <c r="P1529" s="2"/>
      <c r="Q1529" s="45"/>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row>
    <row r="1530">
      <c r="A1530" s="2"/>
      <c r="B1530" s="2"/>
      <c r="C1530" s="2"/>
      <c r="D1530" s="2"/>
      <c r="E1530" s="2"/>
      <c r="F1530" s="2"/>
      <c r="G1530" s="2"/>
      <c r="H1530" s="2"/>
      <c r="I1530" s="2"/>
      <c r="J1530" s="2"/>
      <c r="K1530" s="2"/>
      <c r="L1530" s="2"/>
      <c r="M1530" s="2"/>
      <c r="N1530" s="2"/>
      <c r="O1530" s="2"/>
      <c r="P1530" s="2"/>
      <c r="Q1530" s="45"/>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row>
    <row r="1531">
      <c r="A1531" s="2"/>
      <c r="B1531" s="2"/>
      <c r="C1531" s="2"/>
      <c r="D1531" s="2"/>
      <c r="E1531" s="2"/>
      <c r="F1531" s="2"/>
      <c r="G1531" s="2"/>
      <c r="H1531" s="2"/>
      <c r="I1531" s="2"/>
      <c r="J1531" s="2"/>
      <c r="K1531" s="2"/>
      <c r="L1531" s="2"/>
      <c r="M1531" s="2"/>
      <c r="N1531" s="2"/>
      <c r="O1531" s="2"/>
      <c r="P1531" s="2"/>
      <c r="Q1531" s="45"/>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row>
    <row r="1532">
      <c r="A1532" s="2"/>
      <c r="B1532" s="2"/>
      <c r="C1532" s="2"/>
      <c r="D1532" s="2"/>
      <c r="E1532" s="2"/>
      <c r="F1532" s="2"/>
      <c r="G1532" s="2"/>
      <c r="H1532" s="2"/>
      <c r="I1532" s="2"/>
      <c r="J1532" s="2"/>
      <c r="K1532" s="2"/>
      <c r="L1532" s="2"/>
      <c r="M1532" s="2"/>
      <c r="N1532" s="2"/>
      <c r="O1532" s="2"/>
      <c r="P1532" s="2"/>
      <c r="Q1532" s="45"/>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row>
    <row r="1533">
      <c r="A1533" s="2"/>
      <c r="B1533" s="2"/>
      <c r="C1533" s="2"/>
      <c r="D1533" s="2"/>
      <c r="E1533" s="2"/>
      <c r="F1533" s="2"/>
      <c r="G1533" s="2"/>
      <c r="H1533" s="2"/>
      <c r="I1533" s="2"/>
      <c r="J1533" s="2"/>
      <c r="K1533" s="2"/>
      <c r="L1533" s="2"/>
      <c r="M1533" s="2"/>
      <c r="N1533" s="2"/>
      <c r="O1533" s="2"/>
      <c r="P1533" s="2"/>
      <c r="Q1533" s="45"/>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row>
    <row r="1534">
      <c r="A1534" s="2"/>
      <c r="B1534" s="2"/>
      <c r="C1534" s="2"/>
      <c r="D1534" s="2"/>
      <c r="E1534" s="2"/>
      <c r="F1534" s="2"/>
      <c r="G1534" s="2"/>
      <c r="H1534" s="2"/>
      <c r="I1534" s="2"/>
      <c r="J1534" s="2"/>
      <c r="K1534" s="2"/>
      <c r="L1534" s="2"/>
      <c r="M1534" s="2"/>
      <c r="N1534" s="2"/>
      <c r="O1534" s="2"/>
      <c r="P1534" s="2"/>
      <c r="Q1534" s="45"/>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row>
    <row r="1535">
      <c r="A1535" s="2"/>
      <c r="B1535" s="2"/>
      <c r="C1535" s="2"/>
      <c r="D1535" s="2"/>
      <c r="E1535" s="2"/>
      <c r="F1535" s="2"/>
      <c r="G1535" s="2"/>
      <c r="H1535" s="2"/>
      <c r="I1535" s="2"/>
      <c r="J1535" s="2"/>
      <c r="K1535" s="2"/>
      <c r="L1535" s="2"/>
      <c r="M1535" s="2"/>
      <c r="N1535" s="2"/>
      <c r="O1535" s="2"/>
      <c r="P1535" s="2"/>
      <c r="Q1535" s="45"/>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row>
    <row r="1536">
      <c r="A1536" s="2"/>
      <c r="B1536" s="2"/>
      <c r="C1536" s="2"/>
      <c r="D1536" s="2"/>
      <c r="E1536" s="2"/>
      <c r="F1536" s="2"/>
      <c r="G1536" s="2"/>
      <c r="H1536" s="2"/>
      <c r="I1536" s="2"/>
      <c r="J1536" s="2"/>
      <c r="K1536" s="2"/>
      <c r="L1536" s="2"/>
      <c r="M1536" s="2"/>
      <c r="N1536" s="2"/>
      <c r="O1536" s="2"/>
      <c r="P1536" s="2"/>
      <c r="Q1536" s="45"/>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row>
    <row r="1537">
      <c r="A1537" s="2"/>
      <c r="B1537" s="2"/>
      <c r="C1537" s="2"/>
      <c r="D1537" s="2"/>
      <c r="E1537" s="2"/>
      <c r="F1537" s="2"/>
      <c r="G1537" s="2"/>
      <c r="H1537" s="2"/>
      <c r="I1537" s="2"/>
      <c r="J1537" s="2"/>
      <c r="K1537" s="2"/>
      <c r="L1537" s="2"/>
      <c r="M1537" s="2"/>
      <c r="N1537" s="2"/>
      <c r="O1537" s="2"/>
      <c r="P1537" s="2"/>
      <c r="Q1537" s="45"/>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row>
    <row r="1538">
      <c r="A1538" s="2"/>
      <c r="B1538" s="2"/>
      <c r="C1538" s="2"/>
      <c r="D1538" s="2"/>
      <c r="E1538" s="2"/>
      <c r="F1538" s="2"/>
      <c r="G1538" s="2"/>
      <c r="H1538" s="2"/>
      <c r="I1538" s="2"/>
      <c r="J1538" s="2"/>
      <c r="K1538" s="2"/>
      <c r="L1538" s="2"/>
      <c r="M1538" s="2"/>
      <c r="N1538" s="2"/>
      <c r="O1538" s="2"/>
      <c r="P1538" s="2"/>
      <c r="Q1538" s="45"/>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row>
    <row r="1539">
      <c r="A1539" s="2"/>
      <c r="B1539" s="2"/>
      <c r="C1539" s="2"/>
      <c r="D1539" s="2"/>
      <c r="E1539" s="2"/>
      <c r="F1539" s="2"/>
      <c r="G1539" s="2"/>
      <c r="H1539" s="2"/>
      <c r="I1539" s="2"/>
      <c r="J1539" s="2"/>
      <c r="K1539" s="2"/>
      <c r="L1539" s="2"/>
      <c r="M1539" s="2"/>
      <c r="N1539" s="2"/>
      <c r="O1539" s="2"/>
      <c r="P1539" s="2"/>
      <c r="Q1539" s="45"/>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row>
    <row r="1540">
      <c r="A1540" s="2"/>
      <c r="B1540" s="2"/>
      <c r="C1540" s="2"/>
      <c r="D1540" s="2"/>
      <c r="E1540" s="2"/>
      <c r="F1540" s="2"/>
      <c r="G1540" s="2"/>
      <c r="H1540" s="2"/>
      <c r="I1540" s="2"/>
      <c r="J1540" s="2"/>
      <c r="K1540" s="2"/>
      <c r="L1540" s="2"/>
      <c r="M1540" s="2"/>
      <c r="N1540" s="2"/>
      <c r="O1540" s="2"/>
      <c r="P1540" s="2"/>
      <c r="Q1540" s="45"/>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row>
    <row r="1541">
      <c r="A1541" s="2"/>
      <c r="B1541" s="2"/>
      <c r="C1541" s="2"/>
      <c r="D1541" s="2"/>
      <c r="E1541" s="2"/>
      <c r="F1541" s="2"/>
      <c r="G1541" s="2"/>
      <c r="H1541" s="2"/>
      <c r="I1541" s="2"/>
      <c r="J1541" s="2"/>
      <c r="K1541" s="2"/>
      <c r="L1541" s="2"/>
      <c r="M1541" s="2"/>
      <c r="N1541" s="2"/>
      <c r="O1541" s="2"/>
      <c r="P1541" s="2"/>
      <c r="Q1541" s="45"/>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row>
    <row r="1542">
      <c r="A1542" s="2"/>
      <c r="B1542" s="2"/>
      <c r="C1542" s="2"/>
      <c r="D1542" s="2"/>
      <c r="E1542" s="2"/>
      <c r="F1542" s="2"/>
      <c r="G1542" s="2"/>
      <c r="H1542" s="2"/>
      <c r="I1542" s="2"/>
      <c r="J1542" s="2"/>
      <c r="K1542" s="2"/>
      <c r="L1542" s="2"/>
      <c r="M1542" s="2"/>
      <c r="N1542" s="2"/>
      <c r="O1542" s="2"/>
      <c r="P1542" s="2"/>
      <c r="Q1542" s="45"/>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row>
    <row r="1543">
      <c r="A1543" s="2"/>
      <c r="B1543" s="2"/>
      <c r="C1543" s="2"/>
      <c r="D1543" s="2"/>
      <c r="E1543" s="2"/>
      <c r="F1543" s="2"/>
      <c r="G1543" s="2"/>
      <c r="H1543" s="2"/>
      <c r="I1543" s="2"/>
      <c r="J1543" s="2"/>
      <c r="K1543" s="2"/>
      <c r="L1543" s="2"/>
      <c r="M1543" s="2"/>
      <c r="N1543" s="2"/>
      <c r="O1543" s="2"/>
      <c r="P1543" s="2"/>
      <c r="Q1543" s="45"/>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row>
    <row r="1544">
      <c r="A1544" s="2"/>
      <c r="B1544" s="2"/>
      <c r="C1544" s="2"/>
      <c r="D1544" s="2"/>
      <c r="E1544" s="2"/>
      <c r="F1544" s="2"/>
      <c r="G1544" s="2"/>
      <c r="H1544" s="2"/>
      <c r="I1544" s="2"/>
      <c r="J1544" s="2"/>
      <c r="K1544" s="2"/>
      <c r="L1544" s="2"/>
      <c r="M1544" s="2"/>
      <c r="N1544" s="2"/>
      <c r="O1544" s="2"/>
      <c r="P1544" s="2"/>
      <c r="Q1544" s="45"/>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row>
    <row r="1545">
      <c r="A1545" s="2"/>
      <c r="B1545" s="2"/>
      <c r="C1545" s="2"/>
      <c r="D1545" s="2"/>
      <c r="E1545" s="2"/>
      <c r="F1545" s="2"/>
      <c r="G1545" s="2"/>
      <c r="H1545" s="2"/>
      <c r="I1545" s="2"/>
      <c r="J1545" s="2"/>
      <c r="K1545" s="2"/>
      <c r="L1545" s="2"/>
      <c r="M1545" s="2"/>
      <c r="N1545" s="2"/>
      <c r="O1545" s="2"/>
      <c r="P1545" s="2"/>
      <c r="Q1545" s="45"/>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row>
    <row r="1546">
      <c r="A1546" s="2"/>
      <c r="B1546" s="2"/>
      <c r="C1546" s="2"/>
      <c r="D1546" s="2"/>
      <c r="E1546" s="2"/>
      <c r="F1546" s="2"/>
      <c r="G1546" s="2"/>
      <c r="H1546" s="2"/>
      <c r="I1546" s="2"/>
      <c r="J1546" s="2"/>
      <c r="K1546" s="2"/>
      <c r="L1546" s="2"/>
      <c r="M1546" s="2"/>
      <c r="N1546" s="2"/>
      <c r="O1546" s="2"/>
      <c r="P1546" s="2"/>
      <c r="Q1546" s="45"/>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row>
    <row r="1547">
      <c r="A1547" s="2"/>
      <c r="B1547" s="2"/>
      <c r="C1547" s="2"/>
      <c r="D1547" s="2"/>
      <c r="E1547" s="2"/>
      <c r="F1547" s="2"/>
      <c r="G1547" s="2"/>
      <c r="H1547" s="2"/>
      <c r="I1547" s="2"/>
      <c r="J1547" s="2"/>
      <c r="K1547" s="2"/>
      <c r="L1547" s="2"/>
      <c r="M1547" s="2"/>
      <c r="N1547" s="2"/>
      <c r="O1547" s="2"/>
      <c r="P1547" s="2"/>
      <c r="Q1547" s="45"/>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row>
    <row r="1548">
      <c r="A1548" s="2"/>
      <c r="B1548" s="2"/>
      <c r="C1548" s="2"/>
      <c r="D1548" s="2"/>
      <c r="E1548" s="2"/>
      <c r="F1548" s="2"/>
      <c r="G1548" s="2"/>
      <c r="H1548" s="2"/>
      <c r="I1548" s="2"/>
      <c r="J1548" s="2"/>
      <c r="K1548" s="2"/>
      <c r="L1548" s="2"/>
      <c r="M1548" s="2"/>
      <c r="N1548" s="2"/>
      <c r="O1548" s="2"/>
      <c r="P1548" s="2"/>
      <c r="Q1548" s="45"/>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row>
    <row r="1549">
      <c r="A1549" s="2"/>
      <c r="B1549" s="2"/>
      <c r="C1549" s="2"/>
      <c r="D1549" s="2"/>
      <c r="E1549" s="2"/>
      <c r="F1549" s="2"/>
      <c r="G1549" s="2"/>
      <c r="H1549" s="2"/>
      <c r="I1549" s="2"/>
      <c r="J1549" s="2"/>
      <c r="K1549" s="2"/>
      <c r="L1549" s="2"/>
      <c r="M1549" s="2"/>
      <c r="N1549" s="2"/>
      <c r="O1549" s="2"/>
      <c r="P1549" s="2"/>
      <c r="Q1549" s="45"/>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row>
    <row r="1550">
      <c r="A1550" s="2"/>
      <c r="B1550" s="2"/>
      <c r="C1550" s="2"/>
      <c r="D1550" s="2"/>
      <c r="E1550" s="2"/>
      <c r="F1550" s="2"/>
      <c r="G1550" s="2"/>
      <c r="H1550" s="2"/>
      <c r="I1550" s="2"/>
      <c r="J1550" s="2"/>
      <c r="K1550" s="2"/>
      <c r="L1550" s="2"/>
      <c r="M1550" s="2"/>
      <c r="N1550" s="2"/>
      <c r="O1550" s="2"/>
      <c r="P1550" s="2"/>
      <c r="Q1550" s="45"/>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row>
    <row r="1551">
      <c r="A1551" s="2"/>
      <c r="B1551" s="2"/>
      <c r="C1551" s="2"/>
      <c r="D1551" s="2"/>
      <c r="E1551" s="2"/>
      <c r="F1551" s="2"/>
      <c r="G1551" s="2"/>
      <c r="H1551" s="2"/>
      <c r="I1551" s="2"/>
      <c r="J1551" s="2"/>
      <c r="K1551" s="2"/>
      <c r="L1551" s="2"/>
      <c r="M1551" s="2"/>
      <c r="N1551" s="2"/>
      <c r="O1551" s="2"/>
      <c r="P1551" s="2"/>
      <c r="Q1551" s="45"/>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row>
    <row r="1552">
      <c r="A1552" s="2"/>
      <c r="B1552" s="2"/>
      <c r="C1552" s="2"/>
      <c r="D1552" s="2"/>
      <c r="E1552" s="2"/>
      <c r="F1552" s="2"/>
      <c r="G1552" s="2"/>
      <c r="H1552" s="2"/>
      <c r="I1552" s="2"/>
      <c r="J1552" s="2"/>
      <c r="K1552" s="2"/>
      <c r="L1552" s="2"/>
      <c r="M1552" s="2"/>
      <c r="N1552" s="2"/>
      <c r="O1552" s="2"/>
      <c r="P1552" s="2"/>
      <c r="Q1552" s="45"/>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row>
    <row r="1553">
      <c r="A1553" s="2"/>
      <c r="B1553" s="2"/>
      <c r="C1553" s="2"/>
      <c r="D1553" s="2"/>
      <c r="E1553" s="2"/>
      <c r="F1553" s="2"/>
      <c r="G1553" s="2"/>
      <c r="H1553" s="2"/>
      <c r="I1553" s="2"/>
      <c r="J1553" s="2"/>
      <c r="K1553" s="2"/>
      <c r="L1553" s="2"/>
      <c r="M1553" s="2"/>
      <c r="N1553" s="2"/>
      <c r="O1553" s="2"/>
      <c r="P1553" s="2"/>
      <c r="Q1553" s="45"/>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row>
    <row r="1554">
      <c r="A1554" s="2"/>
      <c r="B1554" s="2"/>
      <c r="C1554" s="2"/>
      <c r="D1554" s="2"/>
      <c r="E1554" s="2"/>
      <c r="F1554" s="2"/>
      <c r="G1554" s="2"/>
      <c r="H1554" s="2"/>
      <c r="I1554" s="2"/>
      <c r="J1554" s="2"/>
      <c r="K1554" s="2"/>
      <c r="L1554" s="2"/>
      <c r="M1554" s="2"/>
      <c r="N1554" s="2"/>
      <c r="O1554" s="2"/>
      <c r="P1554" s="2"/>
      <c r="Q1554" s="45"/>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row>
    <row r="1555">
      <c r="A1555" s="2"/>
      <c r="B1555" s="2"/>
      <c r="C1555" s="2"/>
      <c r="D1555" s="2"/>
      <c r="E1555" s="2"/>
      <c r="F1555" s="2"/>
      <c r="G1555" s="2"/>
      <c r="H1555" s="2"/>
      <c r="I1555" s="2"/>
      <c r="J1555" s="2"/>
      <c r="K1555" s="2"/>
      <c r="L1555" s="2"/>
      <c r="M1555" s="2"/>
      <c r="N1555" s="2"/>
      <c r="O1555" s="2"/>
      <c r="P1555" s="2"/>
      <c r="Q1555" s="45"/>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row>
    <row r="1556">
      <c r="A1556" s="2"/>
      <c r="B1556" s="2"/>
      <c r="C1556" s="2"/>
      <c r="D1556" s="2"/>
      <c r="E1556" s="2"/>
      <c r="F1556" s="2"/>
      <c r="G1556" s="2"/>
      <c r="H1556" s="2"/>
      <c r="I1556" s="2"/>
      <c r="J1556" s="2"/>
      <c r="K1556" s="2"/>
      <c r="L1556" s="2"/>
      <c r="M1556" s="2"/>
      <c r="N1556" s="2"/>
      <c r="O1556" s="2"/>
      <c r="P1556" s="2"/>
      <c r="Q1556" s="45"/>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row>
    <row r="1557">
      <c r="A1557" s="2"/>
      <c r="B1557" s="2"/>
      <c r="C1557" s="2"/>
      <c r="D1557" s="2"/>
      <c r="E1557" s="2"/>
      <c r="F1557" s="2"/>
      <c r="G1557" s="2"/>
      <c r="H1557" s="2"/>
      <c r="I1557" s="2"/>
      <c r="J1557" s="2"/>
      <c r="K1557" s="2"/>
      <c r="L1557" s="2"/>
      <c r="M1557" s="2"/>
      <c r="N1557" s="2"/>
      <c r="O1557" s="2"/>
      <c r="P1557" s="2"/>
      <c r="Q1557" s="45"/>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row>
    <row r="1558">
      <c r="A1558" s="2"/>
      <c r="B1558" s="2"/>
      <c r="C1558" s="2"/>
      <c r="D1558" s="2"/>
      <c r="E1558" s="2"/>
      <c r="F1558" s="2"/>
      <c r="G1558" s="2"/>
      <c r="H1558" s="2"/>
      <c r="I1558" s="2"/>
      <c r="J1558" s="2"/>
      <c r="K1558" s="2"/>
      <c r="L1558" s="2"/>
      <c r="M1558" s="2"/>
      <c r="N1558" s="2"/>
      <c r="O1558" s="2"/>
      <c r="P1558" s="2"/>
      <c r="Q1558" s="45"/>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row>
    <row r="1559">
      <c r="A1559" s="2"/>
      <c r="B1559" s="2"/>
      <c r="C1559" s="2"/>
      <c r="D1559" s="2"/>
      <c r="E1559" s="2"/>
      <c r="F1559" s="2"/>
      <c r="G1559" s="2"/>
      <c r="H1559" s="2"/>
      <c r="I1559" s="2"/>
      <c r="J1559" s="2"/>
      <c r="K1559" s="2"/>
      <c r="L1559" s="2"/>
      <c r="M1559" s="2"/>
      <c r="N1559" s="2"/>
      <c r="O1559" s="2"/>
      <c r="P1559" s="2"/>
      <c r="Q1559" s="45"/>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row>
    <row r="1560">
      <c r="A1560" s="2"/>
      <c r="B1560" s="2"/>
      <c r="C1560" s="2"/>
      <c r="D1560" s="2"/>
      <c r="E1560" s="2"/>
      <c r="F1560" s="2"/>
      <c r="G1560" s="2"/>
      <c r="H1560" s="2"/>
      <c r="I1560" s="2"/>
      <c r="J1560" s="2"/>
      <c r="K1560" s="2"/>
      <c r="L1560" s="2"/>
      <c r="M1560" s="2"/>
      <c r="N1560" s="2"/>
      <c r="O1560" s="2"/>
      <c r="P1560" s="2"/>
      <c r="Q1560" s="45"/>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row>
    <row r="1561">
      <c r="A1561" s="2"/>
      <c r="B1561" s="2"/>
      <c r="C1561" s="2"/>
      <c r="D1561" s="2"/>
      <c r="E1561" s="2"/>
      <c r="F1561" s="2"/>
      <c r="G1561" s="2"/>
      <c r="H1561" s="2"/>
      <c r="I1561" s="2"/>
      <c r="J1561" s="2"/>
      <c r="K1561" s="2"/>
      <c r="L1561" s="2"/>
      <c r="M1561" s="2"/>
      <c r="N1561" s="2"/>
      <c r="O1561" s="2"/>
      <c r="P1561" s="2"/>
      <c r="Q1561" s="45"/>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row>
    <row r="1562">
      <c r="A1562" s="2"/>
      <c r="B1562" s="2"/>
      <c r="C1562" s="2"/>
      <c r="D1562" s="2"/>
      <c r="E1562" s="2"/>
      <c r="F1562" s="2"/>
      <c r="G1562" s="2"/>
      <c r="H1562" s="2"/>
      <c r="I1562" s="2"/>
      <c r="J1562" s="2"/>
      <c r="K1562" s="2"/>
      <c r="L1562" s="2"/>
      <c r="M1562" s="2"/>
      <c r="N1562" s="2"/>
      <c r="O1562" s="2"/>
      <c r="P1562" s="2"/>
      <c r="Q1562" s="45"/>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row>
    <row r="1563">
      <c r="A1563" s="2"/>
      <c r="B1563" s="2"/>
      <c r="C1563" s="2"/>
      <c r="D1563" s="2"/>
      <c r="E1563" s="2"/>
      <c r="F1563" s="2"/>
      <c r="G1563" s="2"/>
      <c r="H1563" s="2"/>
      <c r="I1563" s="2"/>
      <c r="J1563" s="2"/>
      <c r="K1563" s="2"/>
      <c r="L1563" s="2"/>
      <c r="M1563" s="2"/>
      <c r="N1563" s="2"/>
      <c r="O1563" s="2"/>
      <c r="P1563" s="2"/>
      <c r="Q1563" s="45"/>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row>
    <row r="1564">
      <c r="A1564" s="2"/>
      <c r="B1564" s="2"/>
      <c r="C1564" s="2"/>
      <c r="D1564" s="2"/>
      <c r="E1564" s="2"/>
      <c r="F1564" s="2"/>
      <c r="G1564" s="2"/>
      <c r="H1564" s="2"/>
      <c r="I1564" s="2"/>
      <c r="J1564" s="2"/>
      <c r="K1564" s="2"/>
      <c r="L1564" s="2"/>
      <c r="M1564" s="2"/>
      <c r="N1564" s="2"/>
      <c r="O1564" s="2"/>
      <c r="P1564" s="2"/>
      <c r="Q1564" s="45"/>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row>
    <row r="1565">
      <c r="A1565" s="2"/>
      <c r="B1565" s="2"/>
      <c r="C1565" s="2"/>
      <c r="D1565" s="2"/>
      <c r="E1565" s="2"/>
      <c r="F1565" s="2"/>
      <c r="G1565" s="2"/>
      <c r="H1565" s="2"/>
      <c r="I1565" s="2"/>
      <c r="J1565" s="2"/>
      <c r="K1565" s="2"/>
      <c r="L1565" s="2"/>
      <c r="M1565" s="2"/>
      <c r="N1565" s="2"/>
      <c r="O1565" s="2"/>
      <c r="P1565" s="2"/>
      <c r="Q1565" s="45"/>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row>
    <row r="1566">
      <c r="A1566" s="2"/>
      <c r="B1566" s="2"/>
      <c r="C1566" s="2"/>
      <c r="D1566" s="2"/>
      <c r="E1566" s="2"/>
      <c r="F1566" s="2"/>
      <c r="G1566" s="2"/>
      <c r="H1566" s="2"/>
      <c r="I1566" s="2"/>
      <c r="J1566" s="2"/>
      <c r="K1566" s="2"/>
      <c r="L1566" s="2"/>
      <c r="M1566" s="2"/>
      <c r="N1566" s="2"/>
      <c r="O1566" s="2"/>
      <c r="P1566" s="2"/>
      <c r="Q1566" s="45"/>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row>
    <row r="1567">
      <c r="A1567" s="2"/>
      <c r="B1567" s="2"/>
      <c r="C1567" s="2"/>
      <c r="D1567" s="2"/>
      <c r="E1567" s="2"/>
      <c r="F1567" s="2"/>
      <c r="G1567" s="2"/>
      <c r="H1567" s="2"/>
      <c r="I1567" s="2"/>
      <c r="J1567" s="2"/>
      <c r="K1567" s="2"/>
      <c r="L1567" s="2"/>
      <c r="M1567" s="2"/>
      <c r="N1567" s="2"/>
      <c r="O1567" s="2"/>
      <c r="P1567" s="2"/>
      <c r="Q1567" s="45"/>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row>
    <row r="1568">
      <c r="A1568" s="2"/>
      <c r="B1568" s="2"/>
      <c r="C1568" s="2"/>
      <c r="D1568" s="2"/>
      <c r="E1568" s="2"/>
      <c r="F1568" s="2"/>
      <c r="G1568" s="2"/>
      <c r="H1568" s="2"/>
      <c r="I1568" s="2"/>
      <c r="J1568" s="2"/>
      <c r="K1568" s="2"/>
      <c r="L1568" s="2"/>
      <c r="M1568" s="2"/>
      <c r="N1568" s="2"/>
      <c r="O1568" s="2"/>
      <c r="P1568" s="2"/>
      <c r="Q1568" s="45"/>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row>
    <row r="1569">
      <c r="A1569" s="2"/>
      <c r="B1569" s="2"/>
      <c r="C1569" s="2"/>
      <c r="D1569" s="2"/>
      <c r="E1569" s="2"/>
      <c r="F1569" s="2"/>
      <c r="G1569" s="2"/>
      <c r="H1569" s="2"/>
      <c r="I1569" s="2"/>
      <c r="J1569" s="2"/>
      <c r="K1569" s="2"/>
      <c r="L1569" s="2"/>
      <c r="M1569" s="2"/>
      <c r="N1569" s="2"/>
      <c r="O1569" s="2"/>
      <c r="P1569" s="2"/>
      <c r="Q1569" s="45"/>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row>
    <row r="1570">
      <c r="A1570" s="2"/>
      <c r="B1570" s="2"/>
      <c r="C1570" s="2"/>
      <c r="D1570" s="2"/>
      <c r="E1570" s="2"/>
      <c r="F1570" s="2"/>
      <c r="G1570" s="2"/>
      <c r="H1570" s="2"/>
      <c r="I1570" s="2"/>
      <c r="J1570" s="2"/>
      <c r="K1570" s="2"/>
      <c r="L1570" s="2"/>
      <c r="M1570" s="2"/>
      <c r="N1570" s="2"/>
      <c r="O1570" s="2"/>
      <c r="P1570" s="2"/>
      <c r="Q1570" s="45"/>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row>
    <row r="1571">
      <c r="A1571" s="2"/>
      <c r="B1571" s="2"/>
      <c r="C1571" s="2"/>
      <c r="D1571" s="2"/>
      <c r="E1571" s="2"/>
      <c r="F1571" s="2"/>
      <c r="G1571" s="2"/>
      <c r="H1571" s="2"/>
      <c r="I1571" s="2"/>
      <c r="J1571" s="2"/>
      <c r="K1571" s="2"/>
      <c r="L1571" s="2"/>
      <c r="M1571" s="2"/>
      <c r="N1571" s="2"/>
      <c r="O1571" s="2"/>
      <c r="P1571" s="2"/>
      <c r="Q1571" s="45"/>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row>
    <row r="1572">
      <c r="A1572" s="2"/>
      <c r="B1572" s="2"/>
      <c r="C1572" s="2"/>
      <c r="D1572" s="2"/>
      <c r="E1572" s="2"/>
      <c r="F1572" s="2"/>
      <c r="G1572" s="2"/>
      <c r="H1572" s="2"/>
      <c r="I1572" s="2"/>
      <c r="J1572" s="2"/>
      <c r="K1572" s="2"/>
      <c r="L1572" s="2"/>
      <c r="M1572" s="2"/>
      <c r="N1572" s="2"/>
      <c r="O1572" s="2"/>
      <c r="P1572" s="2"/>
      <c r="Q1572" s="45"/>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row>
    <row r="1573">
      <c r="A1573" s="2"/>
      <c r="B1573" s="2"/>
      <c r="C1573" s="2"/>
      <c r="D1573" s="2"/>
      <c r="E1573" s="2"/>
      <c r="F1573" s="2"/>
      <c r="G1573" s="2"/>
      <c r="H1573" s="2"/>
      <c r="I1573" s="2"/>
      <c r="J1573" s="2"/>
      <c r="K1573" s="2"/>
      <c r="L1573" s="2"/>
      <c r="M1573" s="2"/>
      <c r="N1573" s="2"/>
      <c r="O1573" s="2"/>
      <c r="P1573" s="2"/>
      <c r="Q1573" s="45"/>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row>
    <row r="1574">
      <c r="A1574" s="2"/>
      <c r="B1574" s="2"/>
      <c r="C1574" s="2"/>
      <c r="D1574" s="2"/>
      <c r="E1574" s="2"/>
      <c r="F1574" s="2"/>
      <c r="G1574" s="2"/>
      <c r="H1574" s="2"/>
      <c r="I1574" s="2"/>
      <c r="J1574" s="2"/>
      <c r="K1574" s="2"/>
      <c r="L1574" s="2"/>
      <c r="M1574" s="2"/>
      <c r="N1574" s="2"/>
      <c r="O1574" s="2"/>
      <c r="P1574" s="2"/>
      <c r="Q1574" s="45"/>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row>
    <row r="1575">
      <c r="A1575" s="2"/>
      <c r="B1575" s="2"/>
      <c r="C1575" s="2"/>
      <c r="D1575" s="2"/>
      <c r="E1575" s="2"/>
      <c r="F1575" s="2"/>
      <c r="G1575" s="2"/>
      <c r="H1575" s="2"/>
      <c r="I1575" s="2"/>
      <c r="J1575" s="2"/>
      <c r="K1575" s="2"/>
      <c r="L1575" s="2"/>
      <c r="M1575" s="2"/>
      <c r="N1575" s="2"/>
      <c r="O1575" s="2"/>
      <c r="P1575" s="2"/>
      <c r="Q1575" s="45"/>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row>
    <row r="1576">
      <c r="A1576" s="2"/>
      <c r="B1576" s="2"/>
      <c r="C1576" s="2"/>
      <c r="D1576" s="2"/>
      <c r="E1576" s="2"/>
      <c r="F1576" s="2"/>
      <c r="G1576" s="2"/>
      <c r="H1576" s="2"/>
      <c r="I1576" s="2"/>
      <c r="J1576" s="2"/>
      <c r="K1576" s="2"/>
      <c r="L1576" s="2"/>
      <c r="M1576" s="2"/>
      <c r="N1576" s="2"/>
      <c r="O1576" s="2"/>
      <c r="P1576" s="2"/>
      <c r="Q1576" s="45"/>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row>
    <row r="1577">
      <c r="A1577" s="2"/>
      <c r="B1577" s="2"/>
      <c r="C1577" s="2"/>
      <c r="D1577" s="2"/>
      <c r="E1577" s="2"/>
      <c r="F1577" s="2"/>
      <c r="G1577" s="2"/>
      <c r="H1577" s="2"/>
      <c r="I1577" s="2"/>
      <c r="J1577" s="2"/>
      <c r="K1577" s="2"/>
      <c r="L1577" s="2"/>
      <c r="M1577" s="2"/>
      <c r="N1577" s="2"/>
      <c r="O1577" s="2"/>
      <c r="P1577" s="2"/>
      <c r="Q1577" s="45"/>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row>
    <row r="1578">
      <c r="A1578" s="2"/>
      <c r="B1578" s="2"/>
      <c r="C1578" s="2"/>
      <c r="D1578" s="2"/>
      <c r="E1578" s="2"/>
      <c r="F1578" s="2"/>
      <c r="G1578" s="2"/>
      <c r="H1578" s="2"/>
      <c r="I1578" s="2"/>
      <c r="J1578" s="2"/>
      <c r="K1578" s="2"/>
      <c r="L1578" s="2"/>
      <c r="M1578" s="2"/>
      <c r="N1578" s="2"/>
      <c r="O1578" s="2"/>
      <c r="P1578" s="2"/>
      <c r="Q1578" s="45"/>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row>
    <row r="1579">
      <c r="A1579" s="2"/>
      <c r="B1579" s="2"/>
      <c r="C1579" s="2"/>
      <c r="D1579" s="2"/>
      <c r="E1579" s="2"/>
      <c r="F1579" s="2"/>
      <c r="G1579" s="2"/>
      <c r="H1579" s="2"/>
      <c r="I1579" s="2"/>
      <c r="J1579" s="2"/>
      <c r="K1579" s="2"/>
      <c r="L1579" s="2"/>
      <c r="M1579" s="2"/>
      <c r="N1579" s="2"/>
      <c r="O1579" s="2"/>
      <c r="P1579" s="2"/>
      <c r="Q1579" s="45"/>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row>
    <row r="1580">
      <c r="A1580" s="2"/>
      <c r="B1580" s="2"/>
      <c r="C1580" s="2"/>
      <c r="D1580" s="2"/>
      <c r="E1580" s="2"/>
      <c r="F1580" s="2"/>
      <c r="G1580" s="2"/>
      <c r="H1580" s="2"/>
      <c r="I1580" s="2"/>
      <c r="J1580" s="2"/>
      <c r="K1580" s="2"/>
      <c r="L1580" s="2"/>
      <c r="M1580" s="2"/>
      <c r="N1580" s="2"/>
      <c r="O1580" s="2"/>
      <c r="P1580" s="2"/>
      <c r="Q1580" s="45"/>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row>
    <row r="1581">
      <c r="A1581" s="2"/>
      <c r="B1581" s="2"/>
      <c r="C1581" s="2"/>
      <c r="D1581" s="2"/>
      <c r="E1581" s="2"/>
      <c r="F1581" s="2"/>
      <c r="G1581" s="2"/>
      <c r="H1581" s="2"/>
      <c r="I1581" s="2"/>
      <c r="J1581" s="2"/>
      <c r="K1581" s="2"/>
      <c r="L1581" s="2"/>
      <c r="M1581" s="2"/>
      <c r="N1581" s="2"/>
      <c r="O1581" s="2"/>
      <c r="P1581" s="2"/>
      <c r="Q1581" s="45"/>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row>
    <row r="1582">
      <c r="A1582" s="2"/>
      <c r="B1582" s="2"/>
      <c r="C1582" s="2"/>
      <c r="D1582" s="2"/>
      <c r="E1582" s="2"/>
      <c r="F1582" s="2"/>
      <c r="G1582" s="2"/>
      <c r="H1582" s="2"/>
      <c r="I1582" s="2"/>
      <c r="J1582" s="2"/>
      <c r="K1582" s="2"/>
      <c r="L1582" s="2"/>
      <c r="M1582" s="2"/>
      <c r="N1582" s="2"/>
      <c r="O1582" s="2"/>
      <c r="P1582" s="2"/>
      <c r="Q1582" s="45"/>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row>
    <row r="1583">
      <c r="A1583" s="2"/>
      <c r="B1583" s="2"/>
      <c r="C1583" s="2"/>
      <c r="D1583" s="2"/>
      <c r="E1583" s="2"/>
      <c r="F1583" s="2"/>
      <c r="G1583" s="2"/>
      <c r="H1583" s="2"/>
      <c r="I1583" s="2"/>
      <c r="J1583" s="2"/>
      <c r="K1583" s="2"/>
      <c r="L1583" s="2"/>
      <c r="M1583" s="2"/>
      <c r="N1583" s="2"/>
      <c r="O1583" s="2"/>
      <c r="P1583" s="2"/>
      <c r="Q1583" s="45"/>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row>
    <row r="1584">
      <c r="A1584" s="2"/>
      <c r="B1584" s="2"/>
      <c r="C1584" s="2"/>
      <c r="D1584" s="2"/>
      <c r="E1584" s="2"/>
      <c r="F1584" s="2"/>
      <c r="G1584" s="2"/>
      <c r="H1584" s="2"/>
      <c r="I1584" s="2"/>
      <c r="J1584" s="2"/>
      <c r="K1584" s="2"/>
      <c r="L1584" s="2"/>
      <c r="M1584" s="2"/>
      <c r="N1584" s="2"/>
      <c r="O1584" s="2"/>
      <c r="P1584" s="2"/>
      <c r="Q1584" s="45"/>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row>
    <row r="1585">
      <c r="A1585" s="2"/>
      <c r="B1585" s="2"/>
      <c r="C1585" s="2"/>
      <c r="D1585" s="2"/>
      <c r="E1585" s="2"/>
      <c r="F1585" s="2"/>
      <c r="G1585" s="2"/>
      <c r="H1585" s="2"/>
      <c r="I1585" s="2"/>
      <c r="J1585" s="2"/>
      <c r="K1585" s="2"/>
      <c r="L1585" s="2"/>
      <c r="M1585" s="2"/>
      <c r="N1585" s="2"/>
      <c r="O1585" s="2"/>
      <c r="P1585" s="2"/>
      <c r="Q1585" s="45"/>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row>
    <row r="1586">
      <c r="A1586" s="2"/>
      <c r="B1586" s="2"/>
      <c r="C1586" s="2"/>
      <c r="D1586" s="2"/>
      <c r="E1586" s="2"/>
      <c r="F1586" s="2"/>
      <c r="G1586" s="2"/>
      <c r="H1586" s="2"/>
      <c r="I1586" s="2"/>
      <c r="J1586" s="2"/>
      <c r="K1586" s="2"/>
      <c r="L1586" s="2"/>
      <c r="M1586" s="2"/>
      <c r="N1586" s="2"/>
      <c r="O1586" s="2"/>
      <c r="P1586" s="2"/>
      <c r="Q1586" s="45"/>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row>
    <row r="1587">
      <c r="A1587" s="2"/>
      <c r="B1587" s="2"/>
      <c r="C1587" s="2"/>
      <c r="D1587" s="2"/>
      <c r="E1587" s="2"/>
      <c r="F1587" s="2"/>
      <c r="G1587" s="2"/>
      <c r="H1587" s="2"/>
      <c r="I1587" s="2"/>
      <c r="J1587" s="2"/>
      <c r="K1587" s="2"/>
      <c r="L1587" s="2"/>
      <c r="M1587" s="2"/>
      <c r="N1587" s="2"/>
      <c r="O1587" s="2"/>
      <c r="P1587" s="2"/>
      <c r="Q1587" s="45"/>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row>
    <row r="1588">
      <c r="A1588" s="2"/>
      <c r="B1588" s="2"/>
      <c r="C1588" s="2"/>
      <c r="D1588" s="2"/>
      <c r="E1588" s="2"/>
      <c r="F1588" s="2"/>
      <c r="G1588" s="2"/>
      <c r="H1588" s="2"/>
      <c r="I1588" s="2"/>
      <c r="J1588" s="2"/>
      <c r="K1588" s="2"/>
      <c r="L1588" s="2"/>
      <c r="M1588" s="2"/>
      <c r="N1588" s="2"/>
      <c r="O1588" s="2"/>
      <c r="P1588" s="2"/>
      <c r="Q1588" s="45"/>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row>
    <row r="1589">
      <c r="A1589" s="2"/>
      <c r="B1589" s="2"/>
      <c r="C1589" s="2"/>
      <c r="D1589" s="2"/>
      <c r="E1589" s="2"/>
      <c r="F1589" s="2"/>
      <c r="G1589" s="2"/>
      <c r="H1589" s="2"/>
      <c r="I1589" s="2"/>
      <c r="J1589" s="2"/>
      <c r="K1589" s="2"/>
      <c r="L1589" s="2"/>
      <c r="M1589" s="2"/>
      <c r="N1589" s="2"/>
      <c r="O1589" s="2"/>
      <c r="P1589" s="2"/>
      <c r="Q1589" s="45"/>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row>
    <row r="1590">
      <c r="A1590" s="2"/>
      <c r="B1590" s="2"/>
      <c r="C1590" s="2"/>
      <c r="D1590" s="2"/>
      <c r="E1590" s="2"/>
      <c r="F1590" s="2"/>
      <c r="G1590" s="2"/>
      <c r="H1590" s="2"/>
      <c r="I1590" s="2"/>
      <c r="J1590" s="2"/>
      <c r="K1590" s="2"/>
      <c r="L1590" s="2"/>
      <c r="M1590" s="2"/>
      <c r="N1590" s="2"/>
      <c r="O1590" s="2"/>
      <c r="P1590" s="2"/>
      <c r="Q1590" s="45"/>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row>
    <row r="1591">
      <c r="A1591" s="2"/>
      <c r="B1591" s="2"/>
      <c r="C1591" s="2"/>
      <c r="D1591" s="2"/>
      <c r="E1591" s="2"/>
      <c r="F1591" s="2"/>
      <c r="G1591" s="2"/>
      <c r="H1591" s="2"/>
      <c r="I1591" s="2"/>
      <c r="J1591" s="2"/>
      <c r="K1591" s="2"/>
      <c r="L1591" s="2"/>
      <c r="M1591" s="2"/>
      <c r="N1591" s="2"/>
      <c r="O1591" s="2"/>
      <c r="P1591" s="2"/>
      <c r="Q1591" s="45"/>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row>
    <row r="1592">
      <c r="A1592" s="2"/>
      <c r="B1592" s="2"/>
      <c r="C1592" s="2"/>
      <c r="D1592" s="2"/>
      <c r="E1592" s="2"/>
      <c r="F1592" s="2"/>
      <c r="G1592" s="2"/>
      <c r="H1592" s="2"/>
      <c r="I1592" s="2"/>
      <c r="J1592" s="2"/>
      <c r="K1592" s="2"/>
      <c r="L1592" s="2"/>
      <c r="M1592" s="2"/>
      <c r="N1592" s="2"/>
      <c r="O1592" s="2"/>
      <c r="P1592" s="2"/>
      <c r="Q1592" s="45"/>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row>
    <row r="1593">
      <c r="A1593" s="2"/>
      <c r="B1593" s="2"/>
      <c r="C1593" s="2"/>
      <c r="D1593" s="2"/>
      <c r="E1593" s="2"/>
      <c r="F1593" s="2"/>
      <c r="G1593" s="2"/>
      <c r="H1593" s="2"/>
      <c r="I1593" s="2"/>
      <c r="J1593" s="2"/>
      <c r="K1593" s="2"/>
      <c r="L1593" s="2"/>
      <c r="M1593" s="2"/>
      <c r="N1593" s="2"/>
      <c r="O1593" s="2"/>
      <c r="P1593" s="2"/>
      <c r="Q1593" s="45"/>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row>
    <row r="1594">
      <c r="A1594" s="2"/>
      <c r="B1594" s="2"/>
      <c r="C1594" s="2"/>
      <c r="D1594" s="2"/>
      <c r="E1594" s="2"/>
      <c r="F1594" s="2"/>
      <c r="G1594" s="2"/>
      <c r="H1594" s="2"/>
      <c r="I1594" s="2"/>
      <c r="J1594" s="2"/>
      <c r="K1594" s="2"/>
      <c r="L1594" s="2"/>
      <c r="M1594" s="2"/>
      <c r="N1594" s="2"/>
      <c r="O1594" s="2"/>
      <c r="P1594" s="2"/>
      <c r="Q1594" s="45"/>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row>
    <row r="1595">
      <c r="A1595" s="2"/>
      <c r="B1595" s="2"/>
      <c r="C1595" s="2"/>
      <c r="D1595" s="2"/>
      <c r="E1595" s="2"/>
      <c r="F1595" s="2"/>
      <c r="G1595" s="2"/>
      <c r="H1595" s="2"/>
      <c r="I1595" s="2"/>
      <c r="J1595" s="2"/>
      <c r="K1595" s="2"/>
      <c r="L1595" s="2"/>
      <c r="M1595" s="2"/>
      <c r="N1595" s="2"/>
      <c r="O1595" s="2"/>
      <c r="P1595" s="2"/>
      <c r="Q1595" s="45"/>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row>
    <row r="1596">
      <c r="A1596" s="2"/>
      <c r="B1596" s="2"/>
      <c r="C1596" s="2"/>
      <c r="D1596" s="2"/>
      <c r="E1596" s="2"/>
      <c r="F1596" s="2"/>
      <c r="G1596" s="2"/>
      <c r="H1596" s="2"/>
      <c r="I1596" s="2"/>
      <c r="J1596" s="2"/>
      <c r="K1596" s="2"/>
      <c r="L1596" s="2"/>
      <c r="M1596" s="2"/>
      <c r="N1596" s="2"/>
      <c r="O1596" s="2"/>
      <c r="P1596" s="2"/>
      <c r="Q1596" s="45"/>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row>
    <row r="1597">
      <c r="A1597" s="2"/>
      <c r="B1597" s="2"/>
      <c r="C1597" s="2"/>
      <c r="D1597" s="2"/>
      <c r="E1597" s="2"/>
      <c r="F1597" s="2"/>
      <c r="G1597" s="2"/>
      <c r="H1597" s="2"/>
      <c r="I1597" s="2"/>
      <c r="J1597" s="2"/>
      <c r="K1597" s="2"/>
      <c r="L1597" s="2"/>
      <c r="M1597" s="2"/>
      <c r="N1597" s="2"/>
      <c r="O1597" s="2"/>
      <c r="P1597" s="2"/>
      <c r="Q1597" s="45"/>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row>
    <row r="1598">
      <c r="A1598" s="2"/>
      <c r="B1598" s="2"/>
      <c r="C1598" s="2"/>
      <c r="D1598" s="2"/>
      <c r="E1598" s="2"/>
      <c r="F1598" s="2"/>
      <c r="G1598" s="2"/>
      <c r="H1598" s="2"/>
      <c r="I1598" s="2"/>
      <c r="J1598" s="2"/>
      <c r="K1598" s="2"/>
      <c r="L1598" s="2"/>
      <c r="M1598" s="2"/>
      <c r="N1598" s="2"/>
      <c r="O1598" s="2"/>
      <c r="P1598" s="2"/>
      <c r="Q1598" s="45"/>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row>
    <row r="1599">
      <c r="A1599" s="2"/>
      <c r="B1599" s="2"/>
      <c r="C1599" s="2"/>
      <c r="D1599" s="2"/>
      <c r="E1599" s="2"/>
      <c r="F1599" s="2"/>
      <c r="G1599" s="2"/>
      <c r="H1599" s="2"/>
      <c r="I1599" s="2"/>
      <c r="J1599" s="2"/>
      <c r="K1599" s="2"/>
      <c r="L1599" s="2"/>
      <c r="M1599" s="2"/>
      <c r="N1599" s="2"/>
      <c r="O1599" s="2"/>
      <c r="P1599" s="2"/>
      <c r="Q1599" s="45"/>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row>
    <row r="1600">
      <c r="A1600" s="2"/>
      <c r="B1600" s="2"/>
      <c r="C1600" s="2"/>
      <c r="D1600" s="2"/>
      <c r="E1600" s="2"/>
      <c r="F1600" s="2"/>
      <c r="G1600" s="2"/>
      <c r="H1600" s="2"/>
      <c r="I1600" s="2"/>
      <c r="J1600" s="2"/>
      <c r="K1600" s="2"/>
      <c r="L1600" s="2"/>
      <c r="M1600" s="2"/>
      <c r="N1600" s="2"/>
      <c r="O1600" s="2"/>
      <c r="P1600" s="2"/>
      <c r="Q1600" s="45"/>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row>
    <row r="1601">
      <c r="A1601" s="2"/>
      <c r="B1601" s="2"/>
      <c r="C1601" s="2"/>
      <c r="D1601" s="2"/>
      <c r="E1601" s="2"/>
      <c r="F1601" s="2"/>
      <c r="G1601" s="2"/>
      <c r="H1601" s="2"/>
      <c r="I1601" s="2"/>
      <c r="J1601" s="2"/>
      <c r="K1601" s="2"/>
      <c r="L1601" s="2"/>
      <c r="M1601" s="2"/>
      <c r="N1601" s="2"/>
      <c r="O1601" s="2"/>
      <c r="P1601" s="2"/>
      <c r="Q1601" s="45"/>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row>
    <row r="1602">
      <c r="A1602" s="2"/>
      <c r="B1602" s="2"/>
      <c r="C1602" s="2"/>
      <c r="D1602" s="2"/>
      <c r="E1602" s="2"/>
      <c r="F1602" s="2"/>
      <c r="G1602" s="2"/>
      <c r="H1602" s="2"/>
      <c r="I1602" s="2"/>
      <c r="J1602" s="2"/>
      <c r="K1602" s="2"/>
      <c r="L1602" s="2"/>
      <c r="M1602" s="2"/>
      <c r="N1602" s="2"/>
      <c r="O1602" s="2"/>
      <c r="P1602" s="2"/>
      <c r="Q1602" s="45"/>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row>
    <row r="1603">
      <c r="A1603" s="2"/>
      <c r="B1603" s="2"/>
      <c r="C1603" s="2"/>
      <c r="D1603" s="2"/>
      <c r="E1603" s="2"/>
      <c r="F1603" s="2"/>
      <c r="G1603" s="2"/>
      <c r="H1603" s="2"/>
      <c r="I1603" s="2"/>
      <c r="J1603" s="2"/>
      <c r="K1603" s="2"/>
      <c r="L1603" s="2"/>
      <c r="M1603" s="2"/>
      <c r="N1603" s="2"/>
      <c r="O1603" s="2"/>
      <c r="P1603" s="2"/>
      <c r="Q1603" s="45"/>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row>
    <row r="1604">
      <c r="A1604" s="2"/>
      <c r="B1604" s="2"/>
      <c r="C1604" s="2"/>
      <c r="D1604" s="2"/>
      <c r="E1604" s="2"/>
      <c r="F1604" s="2"/>
      <c r="G1604" s="2"/>
      <c r="H1604" s="2"/>
      <c r="I1604" s="2"/>
      <c r="J1604" s="2"/>
      <c r="K1604" s="2"/>
      <c r="L1604" s="2"/>
      <c r="M1604" s="2"/>
      <c r="N1604" s="2"/>
      <c r="O1604" s="2"/>
      <c r="P1604" s="2"/>
      <c r="Q1604" s="45"/>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row>
    <row r="1605">
      <c r="A1605" s="2"/>
      <c r="B1605" s="2"/>
      <c r="C1605" s="2"/>
      <c r="D1605" s="2"/>
      <c r="E1605" s="2"/>
      <c r="F1605" s="2"/>
      <c r="G1605" s="2"/>
      <c r="H1605" s="2"/>
      <c r="I1605" s="2"/>
      <c r="J1605" s="2"/>
      <c r="K1605" s="2"/>
      <c r="L1605" s="2"/>
      <c r="M1605" s="2"/>
      <c r="N1605" s="2"/>
      <c r="O1605" s="2"/>
      <c r="P1605" s="2"/>
      <c r="Q1605" s="45"/>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row>
    <row r="1606">
      <c r="A1606" s="2"/>
      <c r="B1606" s="2"/>
      <c r="C1606" s="2"/>
      <c r="D1606" s="2"/>
      <c r="E1606" s="2"/>
      <c r="F1606" s="2"/>
      <c r="G1606" s="2"/>
      <c r="H1606" s="2"/>
      <c r="I1606" s="2"/>
      <c r="J1606" s="2"/>
      <c r="K1606" s="2"/>
      <c r="L1606" s="2"/>
      <c r="M1606" s="2"/>
      <c r="N1606" s="2"/>
      <c r="O1606" s="2"/>
      <c r="P1606" s="2"/>
      <c r="Q1606" s="45"/>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row>
    <row r="1607">
      <c r="A1607" s="2"/>
      <c r="B1607" s="2"/>
      <c r="C1607" s="2"/>
      <c r="D1607" s="2"/>
      <c r="E1607" s="2"/>
      <c r="F1607" s="2"/>
      <c r="G1607" s="2"/>
      <c r="H1607" s="2"/>
      <c r="I1607" s="2"/>
      <c r="J1607" s="2"/>
      <c r="K1607" s="2"/>
      <c r="L1607" s="2"/>
      <c r="M1607" s="2"/>
      <c r="N1607" s="2"/>
      <c r="O1607" s="2"/>
      <c r="P1607" s="2"/>
      <c r="Q1607" s="45"/>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row>
    <row r="1608">
      <c r="A1608" s="2"/>
      <c r="B1608" s="2"/>
      <c r="C1608" s="2"/>
      <c r="D1608" s="2"/>
      <c r="E1608" s="2"/>
      <c r="F1608" s="2"/>
      <c r="G1608" s="2"/>
      <c r="H1608" s="2"/>
      <c r="I1608" s="2"/>
      <c r="J1608" s="2"/>
      <c r="K1608" s="2"/>
      <c r="L1608" s="2"/>
      <c r="M1608" s="2"/>
      <c r="N1608" s="2"/>
      <c r="O1608" s="2"/>
      <c r="P1608" s="2"/>
      <c r="Q1608" s="45"/>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row>
    <row r="1609">
      <c r="A1609" s="2"/>
      <c r="B1609" s="2"/>
      <c r="C1609" s="2"/>
      <c r="D1609" s="2"/>
      <c r="E1609" s="2"/>
      <c r="F1609" s="2"/>
      <c r="G1609" s="2"/>
      <c r="H1609" s="2"/>
      <c r="I1609" s="2"/>
      <c r="J1609" s="2"/>
      <c r="K1609" s="2"/>
      <c r="L1609" s="2"/>
      <c r="M1609" s="2"/>
      <c r="N1609" s="2"/>
      <c r="O1609" s="2"/>
      <c r="P1609" s="2"/>
      <c r="Q1609" s="45"/>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row>
    <row r="1610">
      <c r="A1610" s="2"/>
      <c r="B1610" s="2"/>
      <c r="C1610" s="2"/>
      <c r="D1610" s="2"/>
      <c r="E1610" s="2"/>
      <c r="F1610" s="2"/>
      <c r="G1610" s="2"/>
      <c r="H1610" s="2"/>
      <c r="I1610" s="2"/>
      <c r="J1610" s="2"/>
      <c r="K1610" s="2"/>
      <c r="L1610" s="2"/>
      <c r="M1610" s="2"/>
      <c r="N1610" s="2"/>
      <c r="O1610" s="2"/>
      <c r="P1610" s="2"/>
      <c r="Q1610" s="45"/>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row>
    <row r="1611">
      <c r="A1611" s="2"/>
      <c r="B1611" s="2"/>
      <c r="C1611" s="2"/>
      <c r="D1611" s="2"/>
      <c r="E1611" s="2"/>
      <c r="F1611" s="2"/>
      <c r="G1611" s="2"/>
      <c r="H1611" s="2"/>
      <c r="I1611" s="2"/>
      <c r="J1611" s="2"/>
      <c r="K1611" s="2"/>
      <c r="L1611" s="2"/>
      <c r="M1611" s="2"/>
      <c r="N1611" s="2"/>
      <c r="O1611" s="2"/>
      <c r="P1611" s="2"/>
      <c r="Q1611" s="45"/>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row>
    <row r="1612">
      <c r="A1612" s="2"/>
      <c r="B1612" s="2"/>
      <c r="C1612" s="2"/>
      <c r="D1612" s="2"/>
      <c r="E1612" s="2"/>
      <c r="F1612" s="2"/>
      <c r="G1612" s="2"/>
      <c r="H1612" s="2"/>
      <c r="I1612" s="2"/>
      <c r="J1612" s="2"/>
      <c r="K1612" s="2"/>
      <c r="L1612" s="2"/>
      <c r="M1612" s="2"/>
      <c r="N1612" s="2"/>
      <c r="O1612" s="2"/>
      <c r="P1612" s="2"/>
      <c r="Q1612" s="45"/>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row>
    <row r="1613">
      <c r="A1613" s="2"/>
      <c r="B1613" s="2"/>
      <c r="C1613" s="2"/>
      <c r="D1613" s="2"/>
      <c r="E1613" s="2"/>
      <c r="F1613" s="2"/>
      <c r="G1613" s="2"/>
      <c r="H1613" s="2"/>
      <c r="I1613" s="2"/>
      <c r="J1613" s="2"/>
      <c r="K1613" s="2"/>
      <c r="L1613" s="2"/>
      <c r="M1613" s="2"/>
      <c r="N1613" s="2"/>
      <c r="O1613" s="2"/>
      <c r="P1613" s="2"/>
      <c r="Q1613" s="45"/>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row>
    <row r="1614">
      <c r="A1614" s="2"/>
      <c r="B1614" s="2"/>
      <c r="C1614" s="2"/>
      <c r="D1614" s="2"/>
      <c r="E1614" s="2"/>
      <c r="F1614" s="2"/>
      <c r="G1614" s="2"/>
      <c r="H1614" s="2"/>
      <c r="I1614" s="2"/>
      <c r="J1614" s="2"/>
      <c r="K1614" s="2"/>
      <c r="L1614" s="2"/>
      <c r="M1614" s="2"/>
      <c r="N1614" s="2"/>
      <c r="O1614" s="2"/>
      <c r="P1614" s="2"/>
      <c r="Q1614" s="45"/>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row>
    <row r="1615">
      <c r="A1615" s="2"/>
      <c r="B1615" s="2"/>
      <c r="C1615" s="2"/>
      <c r="D1615" s="2"/>
      <c r="E1615" s="2"/>
      <c r="F1615" s="2"/>
      <c r="G1615" s="2"/>
      <c r="H1615" s="2"/>
      <c r="I1615" s="2"/>
      <c r="J1615" s="2"/>
      <c r="K1615" s="2"/>
      <c r="L1615" s="2"/>
      <c r="M1615" s="2"/>
      <c r="N1615" s="2"/>
      <c r="O1615" s="2"/>
      <c r="P1615" s="2"/>
      <c r="Q1615" s="45"/>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row>
    <row r="1616">
      <c r="A1616" s="2"/>
      <c r="B1616" s="2"/>
      <c r="C1616" s="2"/>
      <c r="D1616" s="2"/>
      <c r="E1616" s="2"/>
      <c r="F1616" s="2"/>
      <c r="G1616" s="2"/>
      <c r="H1616" s="2"/>
      <c r="I1616" s="2"/>
      <c r="J1616" s="2"/>
      <c r="K1616" s="2"/>
      <c r="L1616" s="2"/>
      <c r="M1616" s="2"/>
      <c r="N1616" s="2"/>
      <c r="O1616" s="2"/>
      <c r="P1616" s="2"/>
      <c r="Q1616" s="45"/>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row>
    <row r="1617">
      <c r="A1617" s="2"/>
      <c r="B1617" s="2"/>
      <c r="C1617" s="2"/>
      <c r="D1617" s="2"/>
      <c r="E1617" s="2"/>
      <c r="F1617" s="2"/>
      <c r="G1617" s="2"/>
      <c r="H1617" s="2"/>
      <c r="I1617" s="2"/>
      <c r="J1617" s="2"/>
      <c r="K1617" s="2"/>
      <c r="L1617" s="2"/>
      <c r="M1617" s="2"/>
      <c r="N1617" s="2"/>
      <c r="O1617" s="2"/>
      <c r="P1617" s="2"/>
      <c r="Q1617" s="45"/>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row>
    <row r="1618">
      <c r="A1618" s="2"/>
      <c r="B1618" s="2"/>
      <c r="C1618" s="2"/>
      <c r="D1618" s="2"/>
      <c r="E1618" s="2"/>
      <c r="F1618" s="2"/>
      <c r="G1618" s="2"/>
      <c r="H1618" s="2"/>
      <c r="I1618" s="2"/>
      <c r="J1618" s="2"/>
      <c r="K1618" s="2"/>
      <c r="L1618" s="2"/>
      <c r="M1618" s="2"/>
      <c r="N1618" s="2"/>
      <c r="O1618" s="2"/>
      <c r="P1618" s="2"/>
      <c r="Q1618" s="45"/>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row>
    <row r="1619">
      <c r="A1619" s="2"/>
      <c r="B1619" s="2"/>
      <c r="C1619" s="2"/>
      <c r="D1619" s="2"/>
      <c r="E1619" s="2"/>
      <c r="F1619" s="2"/>
      <c r="G1619" s="2"/>
      <c r="H1619" s="2"/>
      <c r="I1619" s="2"/>
      <c r="J1619" s="2"/>
      <c r="K1619" s="2"/>
      <c r="L1619" s="2"/>
      <c r="M1619" s="2"/>
      <c r="N1619" s="2"/>
      <c r="O1619" s="2"/>
      <c r="P1619" s="2"/>
      <c r="Q1619" s="45"/>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row>
    <row r="1620">
      <c r="A1620" s="2"/>
      <c r="B1620" s="2"/>
      <c r="C1620" s="2"/>
      <c r="D1620" s="2"/>
      <c r="E1620" s="2"/>
      <c r="F1620" s="2"/>
      <c r="G1620" s="2"/>
      <c r="H1620" s="2"/>
      <c r="I1620" s="2"/>
      <c r="J1620" s="2"/>
      <c r="K1620" s="2"/>
      <c r="L1620" s="2"/>
      <c r="M1620" s="2"/>
      <c r="N1620" s="2"/>
      <c r="O1620" s="2"/>
      <c r="P1620" s="2"/>
      <c r="Q1620" s="45"/>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row>
    <row r="1621">
      <c r="A1621" s="2"/>
      <c r="B1621" s="2"/>
      <c r="C1621" s="2"/>
      <c r="D1621" s="2"/>
      <c r="E1621" s="2"/>
      <c r="F1621" s="2"/>
      <c r="G1621" s="2"/>
      <c r="H1621" s="2"/>
      <c r="I1621" s="2"/>
      <c r="J1621" s="2"/>
      <c r="K1621" s="2"/>
      <c r="L1621" s="2"/>
      <c r="M1621" s="2"/>
      <c r="N1621" s="2"/>
      <c r="O1621" s="2"/>
      <c r="P1621" s="2"/>
      <c r="Q1621" s="45"/>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row>
    <row r="1622">
      <c r="A1622" s="2"/>
      <c r="B1622" s="2"/>
      <c r="C1622" s="2"/>
      <c r="D1622" s="2"/>
      <c r="E1622" s="2"/>
      <c r="F1622" s="2"/>
      <c r="G1622" s="2"/>
      <c r="H1622" s="2"/>
      <c r="I1622" s="2"/>
      <c r="J1622" s="2"/>
      <c r="K1622" s="2"/>
      <c r="L1622" s="2"/>
      <c r="M1622" s="2"/>
      <c r="N1622" s="2"/>
      <c r="O1622" s="2"/>
      <c r="P1622" s="2"/>
      <c r="Q1622" s="45"/>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row>
    <row r="1623">
      <c r="A1623" s="2"/>
      <c r="B1623" s="2"/>
      <c r="C1623" s="2"/>
      <c r="D1623" s="2"/>
      <c r="E1623" s="2"/>
      <c r="F1623" s="2"/>
      <c r="G1623" s="2"/>
      <c r="H1623" s="2"/>
      <c r="I1623" s="2"/>
      <c r="J1623" s="2"/>
      <c r="K1623" s="2"/>
      <c r="L1623" s="2"/>
      <c r="M1623" s="2"/>
      <c r="N1623" s="2"/>
      <c r="O1623" s="2"/>
      <c r="P1623" s="2"/>
      <c r="Q1623" s="45"/>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row>
    <row r="1624">
      <c r="A1624" s="2"/>
      <c r="B1624" s="2"/>
      <c r="C1624" s="2"/>
      <c r="D1624" s="2"/>
      <c r="E1624" s="2"/>
      <c r="F1624" s="2"/>
      <c r="G1624" s="2"/>
      <c r="H1624" s="2"/>
      <c r="I1624" s="2"/>
      <c r="J1624" s="2"/>
      <c r="K1624" s="2"/>
      <c r="L1624" s="2"/>
      <c r="M1624" s="2"/>
      <c r="N1624" s="2"/>
      <c r="O1624" s="2"/>
      <c r="P1624" s="2"/>
      <c r="Q1624" s="45"/>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row>
    <row r="1625">
      <c r="A1625" s="2"/>
      <c r="B1625" s="2"/>
      <c r="C1625" s="2"/>
      <c r="D1625" s="2"/>
      <c r="E1625" s="2"/>
      <c r="F1625" s="2"/>
      <c r="G1625" s="2"/>
      <c r="H1625" s="2"/>
      <c r="I1625" s="2"/>
      <c r="J1625" s="2"/>
      <c r="K1625" s="2"/>
      <c r="L1625" s="2"/>
      <c r="M1625" s="2"/>
      <c r="N1625" s="2"/>
      <c r="O1625" s="2"/>
      <c r="P1625" s="2"/>
      <c r="Q1625" s="45"/>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row>
    <row r="1626">
      <c r="A1626" s="2"/>
      <c r="B1626" s="2"/>
      <c r="C1626" s="2"/>
      <c r="D1626" s="2"/>
      <c r="E1626" s="2"/>
      <c r="F1626" s="2"/>
      <c r="G1626" s="2"/>
      <c r="H1626" s="2"/>
      <c r="I1626" s="2"/>
      <c r="J1626" s="2"/>
      <c r="K1626" s="2"/>
      <c r="L1626" s="2"/>
      <c r="M1626" s="2"/>
      <c r="N1626" s="2"/>
      <c r="O1626" s="2"/>
      <c r="P1626" s="2"/>
      <c r="Q1626" s="45"/>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row>
    <row r="1627">
      <c r="A1627" s="2"/>
      <c r="B1627" s="2"/>
      <c r="C1627" s="2"/>
      <c r="D1627" s="2"/>
      <c r="E1627" s="2"/>
      <c r="F1627" s="2"/>
      <c r="G1627" s="2"/>
      <c r="H1627" s="2"/>
      <c r="I1627" s="2"/>
      <c r="J1627" s="2"/>
      <c r="K1627" s="2"/>
      <c r="L1627" s="2"/>
      <c r="M1627" s="2"/>
      <c r="N1627" s="2"/>
      <c r="O1627" s="2"/>
      <c r="P1627" s="2"/>
      <c r="Q1627" s="45"/>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row>
    <row r="1628">
      <c r="A1628" s="2"/>
      <c r="B1628" s="2"/>
      <c r="C1628" s="2"/>
      <c r="D1628" s="2"/>
      <c r="E1628" s="2"/>
      <c r="F1628" s="2"/>
      <c r="G1628" s="2"/>
      <c r="H1628" s="2"/>
      <c r="I1628" s="2"/>
      <c r="J1628" s="2"/>
      <c r="K1628" s="2"/>
      <c r="L1628" s="2"/>
      <c r="M1628" s="2"/>
      <c r="N1628" s="2"/>
      <c r="O1628" s="2"/>
      <c r="P1628" s="2"/>
      <c r="Q1628" s="45"/>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row>
    <row r="1629">
      <c r="A1629" s="2"/>
      <c r="B1629" s="2"/>
      <c r="C1629" s="2"/>
      <c r="D1629" s="2"/>
      <c r="E1629" s="2"/>
      <c r="F1629" s="2"/>
      <c r="G1629" s="2"/>
      <c r="H1629" s="2"/>
      <c r="I1629" s="2"/>
      <c r="J1629" s="2"/>
      <c r="K1629" s="2"/>
      <c r="L1629" s="2"/>
      <c r="M1629" s="2"/>
      <c r="N1629" s="2"/>
      <c r="O1629" s="2"/>
      <c r="P1629" s="2"/>
      <c r="Q1629" s="45"/>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row>
    <row r="1630">
      <c r="A1630" s="2"/>
      <c r="B1630" s="2"/>
      <c r="C1630" s="2"/>
      <c r="D1630" s="2"/>
      <c r="E1630" s="2"/>
      <c r="F1630" s="2"/>
      <c r="G1630" s="2"/>
      <c r="H1630" s="2"/>
      <c r="I1630" s="2"/>
      <c r="J1630" s="2"/>
      <c r="K1630" s="2"/>
      <c r="L1630" s="2"/>
      <c r="M1630" s="2"/>
      <c r="N1630" s="2"/>
      <c r="O1630" s="2"/>
      <c r="P1630" s="2"/>
      <c r="Q1630" s="45"/>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row>
    <row r="1631">
      <c r="A1631" s="2"/>
      <c r="B1631" s="2"/>
      <c r="C1631" s="2"/>
      <c r="D1631" s="2"/>
      <c r="E1631" s="2"/>
      <c r="F1631" s="2"/>
      <c r="G1631" s="2"/>
      <c r="H1631" s="2"/>
      <c r="I1631" s="2"/>
      <c r="J1631" s="2"/>
      <c r="K1631" s="2"/>
      <c r="L1631" s="2"/>
      <c r="M1631" s="2"/>
      <c r="N1631" s="2"/>
      <c r="O1631" s="2"/>
      <c r="P1631" s="2"/>
      <c r="Q1631" s="45"/>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row>
    <row r="1632">
      <c r="A1632" s="2"/>
      <c r="B1632" s="2"/>
      <c r="C1632" s="2"/>
      <c r="D1632" s="2"/>
      <c r="E1632" s="2"/>
      <c r="F1632" s="2"/>
      <c r="G1632" s="2"/>
      <c r="H1632" s="2"/>
      <c r="I1632" s="2"/>
      <c r="J1632" s="2"/>
      <c r="K1632" s="2"/>
      <c r="L1632" s="2"/>
      <c r="M1632" s="2"/>
      <c r="N1632" s="2"/>
      <c r="O1632" s="2"/>
      <c r="P1632" s="2"/>
      <c r="Q1632" s="45"/>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row>
    <row r="1633">
      <c r="A1633" s="2"/>
      <c r="B1633" s="2"/>
      <c r="C1633" s="2"/>
      <c r="D1633" s="2"/>
      <c r="E1633" s="2"/>
      <c r="F1633" s="2"/>
      <c r="G1633" s="2"/>
      <c r="H1633" s="2"/>
      <c r="I1633" s="2"/>
      <c r="J1633" s="2"/>
      <c r="K1633" s="2"/>
      <c r="L1633" s="2"/>
      <c r="M1633" s="2"/>
      <c r="N1633" s="2"/>
      <c r="O1633" s="2"/>
      <c r="P1633" s="2"/>
      <c r="Q1633" s="45"/>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row>
    <row r="1634">
      <c r="A1634" s="2"/>
      <c r="B1634" s="2"/>
      <c r="C1634" s="2"/>
      <c r="D1634" s="2"/>
      <c r="E1634" s="2"/>
      <c r="F1634" s="2"/>
      <c r="G1634" s="2"/>
      <c r="H1634" s="2"/>
      <c r="I1634" s="2"/>
      <c r="J1634" s="2"/>
      <c r="K1634" s="2"/>
      <c r="L1634" s="2"/>
      <c r="M1634" s="2"/>
      <c r="N1634" s="2"/>
      <c r="O1634" s="2"/>
      <c r="P1634" s="2"/>
      <c r="Q1634" s="45"/>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row>
    <row r="1635">
      <c r="A1635" s="2"/>
      <c r="B1635" s="2"/>
      <c r="C1635" s="2"/>
      <c r="D1635" s="2"/>
      <c r="E1635" s="2"/>
      <c r="F1635" s="2"/>
      <c r="G1635" s="2"/>
      <c r="H1635" s="2"/>
      <c r="I1635" s="2"/>
      <c r="J1635" s="2"/>
      <c r="K1635" s="2"/>
      <c r="L1635" s="2"/>
      <c r="M1635" s="2"/>
      <c r="N1635" s="2"/>
      <c r="O1635" s="2"/>
      <c r="P1635" s="2"/>
      <c r="Q1635" s="45"/>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row>
    <row r="1636">
      <c r="A1636" s="2"/>
      <c r="B1636" s="2"/>
      <c r="C1636" s="2"/>
      <c r="D1636" s="2"/>
      <c r="E1636" s="2"/>
      <c r="F1636" s="2"/>
      <c r="G1636" s="2"/>
      <c r="H1636" s="2"/>
      <c r="I1636" s="2"/>
      <c r="J1636" s="2"/>
      <c r="K1636" s="2"/>
      <c r="L1636" s="2"/>
      <c r="M1636" s="2"/>
      <c r="N1636" s="2"/>
      <c r="O1636" s="2"/>
      <c r="P1636" s="2"/>
      <c r="Q1636" s="45"/>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row>
    <row r="1637">
      <c r="A1637" s="2"/>
      <c r="B1637" s="2"/>
      <c r="C1637" s="2"/>
      <c r="D1637" s="2"/>
      <c r="E1637" s="2"/>
      <c r="F1637" s="2"/>
      <c r="G1637" s="2"/>
      <c r="H1637" s="2"/>
      <c r="I1637" s="2"/>
      <c r="J1637" s="2"/>
      <c r="K1637" s="2"/>
      <c r="L1637" s="2"/>
      <c r="M1637" s="2"/>
      <c r="N1637" s="2"/>
      <c r="O1637" s="2"/>
      <c r="P1637" s="2"/>
      <c r="Q1637" s="45"/>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row>
    <row r="1638">
      <c r="A1638" s="2"/>
      <c r="B1638" s="2"/>
      <c r="C1638" s="2"/>
      <c r="D1638" s="2"/>
      <c r="E1638" s="2"/>
      <c r="F1638" s="2"/>
      <c r="G1638" s="2"/>
      <c r="H1638" s="2"/>
      <c r="I1638" s="2"/>
      <c r="J1638" s="2"/>
      <c r="K1638" s="2"/>
      <c r="L1638" s="2"/>
      <c r="M1638" s="2"/>
      <c r="N1638" s="2"/>
      <c r="O1638" s="2"/>
      <c r="P1638" s="2"/>
      <c r="Q1638" s="45"/>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row>
    <row r="1639">
      <c r="A1639" s="2"/>
      <c r="B1639" s="2"/>
      <c r="C1639" s="2"/>
      <c r="D1639" s="2"/>
      <c r="E1639" s="2"/>
      <c r="F1639" s="2"/>
      <c r="G1639" s="2"/>
      <c r="H1639" s="2"/>
      <c r="I1639" s="2"/>
      <c r="J1639" s="2"/>
      <c r="K1639" s="2"/>
      <c r="L1639" s="2"/>
      <c r="M1639" s="2"/>
      <c r="N1639" s="2"/>
      <c r="O1639" s="2"/>
      <c r="P1639" s="2"/>
      <c r="Q1639" s="45"/>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row>
    <row r="1640">
      <c r="A1640" s="2"/>
      <c r="B1640" s="2"/>
      <c r="C1640" s="2"/>
      <c r="D1640" s="2"/>
      <c r="E1640" s="2"/>
      <c r="F1640" s="2"/>
      <c r="G1640" s="2"/>
      <c r="H1640" s="2"/>
      <c r="I1640" s="2"/>
      <c r="J1640" s="2"/>
      <c r="K1640" s="2"/>
      <c r="L1640" s="2"/>
      <c r="M1640" s="2"/>
      <c r="N1640" s="2"/>
      <c r="O1640" s="2"/>
      <c r="P1640" s="2"/>
      <c r="Q1640" s="45"/>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row>
    <row r="1641">
      <c r="A1641" s="2"/>
      <c r="B1641" s="2"/>
      <c r="C1641" s="2"/>
      <c r="D1641" s="2"/>
      <c r="E1641" s="2"/>
      <c r="F1641" s="2"/>
      <c r="G1641" s="2"/>
      <c r="H1641" s="2"/>
      <c r="I1641" s="2"/>
      <c r="J1641" s="2"/>
      <c r="K1641" s="2"/>
      <c r="L1641" s="2"/>
      <c r="M1641" s="2"/>
      <c r="N1641" s="2"/>
      <c r="O1641" s="2"/>
      <c r="P1641" s="2"/>
      <c r="Q1641" s="45"/>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row>
    <row r="1642">
      <c r="A1642" s="2"/>
      <c r="B1642" s="2"/>
      <c r="C1642" s="2"/>
      <c r="D1642" s="2"/>
      <c r="E1642" s="2"/>
      <c r="F1642" s="2"/>
      <c r="G1642" s="2"/>
      <c r="H1642" s="2"/>
      <c r="I1642" s="2"/>
      <c r="J1642" s="2"/>
      <c r="K1642" s="2"/>
      <c r="L1642" s="2"/>
      <c r="M1642" s="2"/>
      <c r="N1642" s="2"/>
      <c r="O1642" s="2"/>
      <c r="P1642" s="2"/>
      <c r="Q1642" s="45"/>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row>
    <row r="1643">
      <c r="A1643" s="2"/>
      <c r="B1643" s="2"/>
      <c r="C1643" s="2"/>
      <c r="D1643" s="2"/>
      <c r="E1643" s="2"/>
      <c r="F1643" s="2"/>
      <c r="G1643" s="2"/>
      <c r="H1643" s="2"/>
      <c r="I1643" s="2"/>
      <c r="J1643" s="2"/>
      <c r="K1643" s="2"/>
      <c r="L1643" s="2"/>
      <c r="M1643" s="2"/>
      <c r="N1643" s="2"/>
      <c r="O1643" s="2"/>
      <c r="P1643" s="2"/>
      <c r="Q1643" s="45"/>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row>
    <row r="1644">
      <c r="A1644" s="2"/>
      <c r="B1644" s="2"/>
      <c r="C1644" s="2"/>
      <c r="D1644" s="2"/>
      <c r="E1644" s="2"/>
      <c r="F1644" s="2"/>
      <c r="G1644" s="2"/>
      <c r="H1644" s="2"/>
      <c r="I1644" s="2"/>
      <c r="J1644" s="2"/>
      <c r="K1644" s="2"/>
      <c r="L1644" s="2"/>
      <c r="M1644" s="2"/>
      <c r="N1644" s="2"/>
      <c r="O1644" s="2"/>
      <c r="P1644" s="2"/>
      <c r="Q1644" s="45"/>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row>
    <row r="1645">
      <c r="A1645" s="2"/>
      <c r="B1645" s="2"/>
      <c r="C1645" s="2"/>
      <c r="D1645" s="2"/>
      <c r="E1645" s="2"/>
      <c r="F1645" s="2"/>
      <c r="G1645" s="2"/>
      <c r="H1645" s="2"/>
      <c r="I1645" s="2"/>
      <c r="J1645" s="2"/>
      <c r="K1645" s="2"/>
      <c r="L1645" s="2"/>
      <c r="M1645" s="2"/>
      <c r="N1645" s="2"/>
      <c r="O1645" s="2"/>
      <c r="P1645" s="2"/>
      <c r="Q1645" s="45"/>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row>
    <row r="1646">
      <c r="A1646" s="2"/>
      <c r="B1646" s="2"/>
      <c r="C1646" s="2"/>
      <c r="D1646" s="2"/>
      <c r="E1646" s="2"/>
      <c r="F1646" s="2"/>
      <c r="G1646" s="2"/>
      <c r="H1646" s="2"/>
      <c r="I1646" s="2"/>
      <c r="J1646" s="2"/>
      <c r="K1646" s="2"/>
      <c r="L1646" s="2"/>
      <c r="M1646" s="2"/>
      <c r="N1646" s="2"/>
      <c r="O1646" s="2"/>
      <c r="P1646" s="2"/>
      <c r="Q1646" s="45"/>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row>
    <row r="1647">
      <c r="A1647" s="2"/>
      <c r="B1647" s="2"/>
      <c r="C1647" s="2"/>
      <c r="D1647" s="2"/>
      <c r="E1647" s="2"/>
      <c r="F1647" s="2"/>
      <c r="G1647" s="2"/>
      <c r="H1647" s="2"/>
      <c r="I1647" s="2"/>
      <c r="J1647" s="2"/>
      <c r="K1647" s="2"/>
      <c r="L1647" s="2"/>
      <c r="M1647" s="2"/>
      <c r="N1647" s="2"/>
      <c r="O1647" s="2"/>
      <c r="P1647" s="2"/>
      <c r="Q1647" s="45"/>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row>
    <row r="1648">
      <c r="A1648" s="2"/>
      <c r="B1648" s="2"/>
      <c r="C1648" s="2"/>
      <c r="D1648" s="2"/>
      <c r="E1648" s="2"/>
      <c r="F1648" s="2"/>
      <c r="G1648" s="2"/>
      <c r="H1648" s="2"/>
      <c r="I1648" s="2"/>
      <c r="J1648" s="2"/>
      <c r="K1648" s="2"/>
      <c r="L1648" s="2"/>
      <c r="M1648" s="2"/>
      <c r="N1648" s="2"/>
      <c r="O1648" s="2"/>
      <c r="P1648" s="2"/>
      <c r="Q1648" s="45"/>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row>
    <row r="1649">
      <c r="A1649" s="2"/>
      <c r="B1649" s="2"/>
      <c r="C1649" s="2"/>
      <c r="D1649" s="2"/>
      <c r="E1649" s="2"/>
      <c r="F1649" s="2"/>
      <c r="G1649" s="2"/>
      <c r="H1649" s="2"/>
      <c r="I1649" s="2"/>
      <c r="J1649" s="2"/>
      <c r="K1649" s="2"/>
      <c r="L1649" s="2"/>
      <c r="M1649" s="2"/>
      <c r="N1649" s="2"/>
      <c r="O1649" s="2"/>
      <c r="P1649" s="2"/>
      <c r="Q1649" s="45"/>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row>
    <row r="1650">
      <c r="A1650" s="2"/>
      <c r="B1650" s="2"/>
      <c r="C1650" s="2"/>
      <c r="D1650" s="2"/>
      <c r="E1650" s="2"/>
      <c r="F1650" s="2"/>
      <c r="G1650" s="2"/>
      <c r="H1650" s="2"/>
      <c r="I1650" s="2"/>
      <c r="J1650" s="2"/>
      <c r="K1650" s="2"/>
      <c r="L1650" s="2"/>
      <c r="M1650" s="2"/>
      <c r="N1650" s="2"/>
      <c r="O1650" s="2"/>
      <c r="P1650" s="2"/>
      <c r="Q1650" s="45"/>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row>
    <row r="1651">
      <c r="A1651" s="2"/>
      <c r="B1651" s="2"/>
      <c r="C1651" s="2"/>
      <c r="D1651" s="2"/>
      <c r="E1651" s="2"/>
      <c r="F1651" s="2"/>
      <c r="G1651" s="2"/>
      <c r="H1651" s="2"/>
      <c r="I1651" s="2"/>
      <c r="J1651" s="2"/>
      <c r="K1651" s="2"/>
      <c r="L1651" s="2"/>
      <c r="M1651" s="2"/>
      <c r="N1651" s="2"/>
      <c r="O1651" s="2"/>
      <c r="P1651" s="2"/>
      <c r="Q1651" s="45"/>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row>
    <row r="1652">
      <c r="A1652" s="2"/>
      <c r="B1652" s="2"/>
      <c r="C1652" s="2"/>
      <c r="D1652" s="2"/>
      <c r="E1652" s="2"/>
      <c r="F1652" s="2"/>
      <c r="G1652" s="2"/>
      <c r="H1652" s="2"/>
      <c r="I1652" s="2"/>
      <c r="J1652" s="2"/>
      <c r="K1652" s="2"/>
      <c r="L1652" s="2"/>
      <c r="M1652" s="2"/>
      <c r="N1652" s="2"/>
      <c r="O1652" s="2"/>
      <c r="P1652" s="2"/>
      <c r="Q1652" s="45"/>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row>
    <row r="1653">
      <c r="A1653" s="2"/>
      <c r="B1653" s="2"/>
      <c r="C1653" s="2"/>
      <c r="D1653" s="2"/>
      <c r="E1653" s="2"/>
      <c r="F1653" s="2"/>
      <c r="G1653" s="2"/>
      <c r="H1653" s="2"/>
      <c r="I1653" s="2"/>
      <c r="J1653" s="2"/>
      <c r="K1653" s="2"/>
      <c r="L1653" s="2"/>
      <c r="M1653" s="2"/>
      <c r="N1653" s="2"/>
      <c r="O1653" s="2"/>
      <c r="P1653" s="2"/>
      <c r="Q1653" s="45"/>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row>
    <row r="1654">
      <c r="A1654" s="2"/>
      <c r="B1654" s="2"/>
      <c r="C1654" s="2"/>
      <c r="D1654" s="2"/>
      <c r="E1654" s="2"/>
      <c r="F1654" s="2"/>
      <c r="G1654" s="2"/>
      <c r="H1654" s="2"/>
      <c r="I1654" s="2"/>
      <c r="J1654" s="2"/>
      <c r="K1654" s="2"/>
      <c r="L1654" s="2"/>
      <c r="M1654" s="2"/>
      <c r="N1654" s="2"/>
      <c r="O1654" s="2"/>
      <c r="P1654" s="2"/>
      <c r="Q1654" s="45"/>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row>
    <row r="1655">
      <c r="A1655" s="2"/>
      <c r="B1655" s="2"/>
      <c r="C1655" s="2"/>
      <c r="D1655" s="2"/>
      <c r="E1655" s="2"/>
      <c r="F1655" s="2"/>
      <c r="G1655" s="2"/>
      <c r="H1655" s="2"/>
      <c r="I1655" s="2"/>
      <c r="J1655" s="2"/>
      <c r="K1655" s="2"/>
      <c r="L1655" s="2"/>
      <c r="M1655" s="2"/>
      <c r="N1655" s="2"/>
      <c r="O1655" s="2"/>
      <c r="P1655" s="2"/>
      <c r="Q1655" s="45"/>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row>
    <row r="1656">
      <c r="A1656" s="2"/>
      <c r="B1656" s="2"/>
      <c r="C1656" s="2"/>
      <c r="D1656" s="2"/>
      <c r="E1656" s="2"/>
      <c r="F1656" s="2"/>
      <c r="G1656" s="2"/>
      <c r="H1656" s="2"/>
      <c r="I1656" s="2"/>
      <c r="J1656" s="2"/>
      <c r="K1656" s="2"/>
      <c r="L1656" s="2"/>
      <c r="M1656" s="2"/>
      <c r="N1656" s="2"/>
      <c r="O1656" s="2"/>
      <c r="P1656" s="2"/>
      <c r="Q1656" s="45"/>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row>
    <row r="1657">
      <c r="A1657" s="2"/>
      <c r="B1657" s="2"/>
      <c r="C1657" s="2"/>
      <c r="D1657" s="2"/>
      <c r="E1657" s="2"/>
      <c r="F1657" s="2"/>
      <c r="G1657" s="2"/>
      <c r="H1657" s="2"/>
      <c r="I1657" s="2"/>
      <c r="J1657" s="2"/>
      <c r="K1657" s="2"/>
      <c r="L1657" s="2"/>
      <c r="M1657" s="2"/>
      <c r="N1657" s="2"/>
      <c r="O1657" s="2"/>
      <c r="P1657" s="2"/>
      <c r="Q1657" s="45"/>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row>
    <row r="1658">
      <c r="A1658" s="2"/>
      <c r="B1658" s="2"/>
      <c r="C1658" s="2"/>
      <c r="D1658" s="2"/>
      <c r="E1658" s="2"/>
      <c r="F1658" s="2"/>
      <c r="G1658" s="2"/>
      <c r="H1658" s="2"/>
      <c r="I1658" s="2"/>
      <c r="J1658" s="2"/>
      <c r="K1658" s="2"/>
      <c r="L1658" s="2"/>
      <c r="M1658" s="2"/>
      <c r="N1658" s="2"/>
      <c r="O1658" s="2"/>
      <c r="P1658" s="2"/>
      <c r="Q1658" s="45"/>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row>
    <row r="1659">
      <c r="A1659" s="2"/>
      <c r="B1659" s="2"/>
      <c r="C1659" s="2"/>
      <c r="D1659" s="2"/>
      <c r="E1659" s="2"/>
      <c r="F1659" s="2"/>
      <c r="G1659" s="2"/>
      <c r="H1659" s="2"/>
      <c r="I1659" s="2"/>
      <c r="J1659" s="2"/>
      <c r="K1659" s="2"/>
      <c r="L1659" s="2"/>
      <c r="M1659" s="2"/>
      <c r="N1659" s="2"/>
      <c r="O1659" s="2"/>
      <c r="P1659" s="2"/>
      <c r="Q1659" s="45"/>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row>
    <row r="1660">
      <c r="A1660" s="2"/>
      <c r="B1660" s="2"/>
      <c r="C1660" s="2"/>
      <c r="D1660" s="2"/>
      <c r="E1660" s="2"/>
      <c r="F1660" s="2"/>
      <c r="G1660" s="2"/>
      <c r="H1660" s="2"/>
      <c r="I1660" s="2"/>
      <c r="J1660" s="2"/>
      <c r="K1660" s="2"/>
      <c r="L1660" s="2"/>
      <c r="M1660" s="2"/>
      <c r="N1660" s="2"/>
      <c r="O1660" s="2"/>
      <c r="P1660" s="2"/>
      <c r="Q1660" s="45"/>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row>
    <row r="1661">
      <c r="A1661" s="2"/>
      <c r="B1661" s="2"/>
      <c r="C1661" s="2"/>
      <c r="D1661" s="2"/>
      <c r="E1661" s="2"/>
      <c r="F1661" s="2"/>
      <c r="G1661" s="2"/>
      <c r="H1661" s="2"/>
      <c r="I1661" s="2"/>
      <c r="J1661" s="2"/>
      <c r="K1661" s="2"/>
      <c r="L1661" s="2"/>
      <c r="M1661" s="2"/>
      <c r="N1661" s="2"/>
      <c r="O1661" s="2"/>
      <c r="P1661" s="2"/>
      <c r="Q1661" s="45"/>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row>
    <row r="1662">
      <c r="A1662" s="2"/>
      <c r="B1662" s="2"/>
      <c r="C1662" s="2"/>
      <c r="D1662" s="2"/>
      <c r="E1662" s="2"/>
      <c r="F1662" s="2"/>
      <c r="G1662" s="2"/>
      <c r="H1662" s="2"/>
      <c r="I1662" s="2"/>
      <c r="J1662" s="2"/>
      <c r="K1662" s="2"/>
      <c r="L1662" s="2"/>
      <c r="M1662" s="2"/>
      <c r="N1662" s="2"/>
      <c r="O1662" s="2"/>
      <c r="P1662" s="2"/>
      <c r="Q1662" s="45"/>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row>
    <row r="1663">
      <c r="A1663" s="2"/>
      <c r="B1663" s="2"/>
      <c r="C1663" s="2"/>
      <c r="D1663" s="2"/>
      <c r="E1663" s="2"/>
      <c r="F1663" s="2"/>
      <c r="G1663" s="2"/>
      <c r="H1663" s="2"/>
      <c r="I1663" s="2"/>
      <c r="J1663" s="2"/>
      <c r="K1663" s="2"/>
      <c r="L1663" s="2"/>
      <c r="M1663" s="2"/>
      <c r="N1663" s="2"/>
      <c r="O1663" s="2"/>
      <c r="P1663" s="2"/>
      <c r="Q1663" s="45"/>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row>
    <row r="1664">
      <c r="A1664" s="2"/>
      <c r="B1664" s="2"/>
      <c r="C1664" s="2"/>
      <c r="D1664" s="2"/>
      <c r="E1664" s="2"/>
      <c r="F1664" s="2"/>
      <c r="G1664" s="2"/>
      <c r="H1664" s="2"/>
      <c r="I1664" s="2"/>
      <c r="J1664" s="2"/>
      <c r="K1664" s="2"/>
      <c r="L1664" s="2"/>
      <c r="M1664" s="2"/>
      <c r="N1664" s="2"/>
      <c r="O1664" s="2"/>
      <c r="P1664" s="2"/>
      <c r="Q1664" s="45"/>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row>
    <row r="1665">
      <c r="A1665" s="2"/>
      <c r="B1665" s="2"/>
      <c r="C1665" s="2"/>
      <c r="D1665" s="2"/>
      <c r="E1665" s="2"/>
      <c r="F1665" s="2"/>
      <c r="G1665" s="2"/>
      <c r="H1665" s="2"/>
      <c r="I1665" s="2"/>
      <c r="J1665" s="2"/>
      <c r="K1665" s="2"/>
      <c r="L1665" s="2"/>
      <c r="M1665" s="2"/>
      <c r="N1665" s="2"/>
      <c r="O1665" s="2"/>
      <c r="P1665" s="2"/>
      <c r="Q1665" s="45"/>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row>
    <row r="1666">
      <c r="A1666" s="2"/>
      <c r="B1666" s="2"/>
      <c r="C1666" s="2"/>
      <c r="D1666" s="2"/>
      <c r="E1666" s="2"/>
      <c r="F1666" s="2"/>
      <c r="G1666" s="2"/>
      <c r="H1666" s="2"/>
      <c r="I1666" s="2"/>
      <c r="J1666" s="2"/>
      <c r="K1666" s="2"/>
      <c r="L1666" s="2"/>
      <c r="M1666" s="2"/>
      <c r="N1666" s="2"/>
      <c r="O1666" s="2"/>
      <c r="P1666" s="2"/>
      <c r="Q1666" s="45"/>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row>
    <row r="1667">
      <c r="A1667" s="2"/>
      <c r="B1667" s="2"/>
      <c r="C1667" s="2"/>
      <c r="D1667" s="2"/>
      <c r="E1667" s="2"/>
      <c r="F1667" s="2"/>
      <c r="G1667" s="2"/>
      <c r="H1667" s="2"/>
      <c r="I1667" s="2"/>
      <c r="J1667" s="2"/>
      <c r="K1667" s="2"/>
      <c r="L1667" s="2"/>
      <c r="M1667" s="2"/>
      <c r="N1667" s="2"/>
      <c r="O1667" s="2"/>
      <c r="P1667" s="2"/>
      <c r="Q1667" s="45"/>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row>
    <row r="1668">
      <c r="A1668" s="2"/>
      <c r="B1668" s="2"/>
      <c r="C1668" s="2"/>
      <c r="D1668" s="2"/>
      <c r="E1668" s="2"/>
      <c r="F1668" s="2"/>
      <c r="G1668" s="2"/>
      <c r="H1668" s="2"/>
      <c r="I1668" s="2"/>
      <c r="J1668" s="2"/>
      <c r="K1668" s="2"/>
      <c r="L1668" s="2"/>
      <c r="M1668" s="2"/>
      <c r="N1668" s="2"/>
      <c r="O1668" s="2"/>
      <c r="P1668" s="2"/>
      <c r="Q1668" s="45"/>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row>
    <row r="1669">
      <c r="A1669" s="2"/>
      <c r="B1669" s="2"/>
      <c r="C1669" s="2"/>
      <c r="D1669" s="2"/>
      <c r="E1669" s="2"/>
      <c r="F1669" s="2"/>
      <c r="G1669" s="2"/>
      <c r="H1669" s="2"/>
      <c r="I1669" s="2"/>
      <c r="J1669" s="2"/>
      <c r="K1669" s="2"/>
      <c r="L1669" s="2"/>
      <c r="M1669" s="2"/>
      <c r="N1669" s="2"/>
      <c r="O1669" s="2"/>
      <c r="P1669" s="2"/>
      <c r="Q1669" s="45"/>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row>
    <row r="1670">
      <c r="A1670" s="2"/>
      <c r="B1670" s="2"/>
      <c r="C1670" s="2"/>
      <c r="D1670" s="2"/>
      <c r="E1670" s="2"/>
      <c r="F1670" s="2"/>
      <c r="G1670" s="2"/>
      <c r="H1670" s="2"/>
      <c r="I1670" s="2"/>
      <c r="J1670" s="2"/>
      <c r="K1670" s="2"/>
      <c r="L1670" s="2"/>
      <c r="M1670" s="2"/>
      <c r="N1670" s="2"/>
      <c r="O1670" s="2"/>
      <c r="P1670" s="2"/>
      <c r="Q1670" s="45"/>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row>
    <row r="1671">
      <c r="A1671" s="2"/>
      <c r="B1671" s="2"/>
      <c r="C1671" s="2"/>
      <c r="D1671" s="2"/>
      <c r="E1671" s="2"/>
      <c r="F1671" s="2"/>
      <c r="G1671" s="2"/>
      <c r="H1671" s="2"/>
      <c r="I1671" s="2"/>
      <c r="J1671" s="2"/>
      <c r="K1671" s="2"/>
      <c r="L1671" s="2"/>
      <c r="M1671" s="2"/>
      <c r="N1671" s="2"/>
      <c r="O1671" s="2"/>
      <c r="P1671" s="2"/>
      <c r="Q1671" s="45"/>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row>
    <row r="1672">
      <c r="A1672" s="2"/>
      <c r="B1672" s="2"/>
      <c r="C1672" s="2"/>
      <c r="D1672" s="2"/>
      <c r="E1672" s="2"/>
      <c r="F1672" s="2"/>
      <c r="G1672" s="2"/>
      <c r="H1672" s="2"/>
      <c r="I1672" s="2"/>
      <c r="J1672" s="2"/>
      <c r="K1672" s="2"/>
      <c r="L1672" s="2"/>
      <c r="M1672" s="2"/>
      <c r="N1672" s="2"/>
      <c r="O1672" s="2"/>
      <c r="P1672" s="2"/>
      <c r="Q1672" s="45"/>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row>
    <row r="1673">
      <c r="A1673" s="2"/>
      <c r="B1673" s="2"/>
      <c r="C1673" s="2"/>
      <c r="D1673" s="2"/>
      <c r="E1673" s="2"/>
      <c r="F1673" s="2"/>
      <c r="G1673" s="2"/>
      <c r="H1673" s="2"/>
      <c r="I1673" s="2"/>
      <c r="J1673" s="2"/>
      <c r="K1673" s="2"/>
      <c r="L1673" s="2"/>
      <c r="M1673" s="2"/>
      <c r="N1673" s="2"/>
      <c r="O1673" s="2"/>
      <c r="P1673" s="2"/>
      <c r="Q1673" s="45"/>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row>
    <row r="1674">
      <c r="A1674" s="2"/>
      <c r="B1674" s="2"/>
      <c r="C1674" s="2"/>
      <c r="D1674" s="2"/>
      <c r="E1674" s="2"/>
      <c r="F1674" s="2"/>
      <c r="G1674" s="2"/>
      <c r="H1674" s="2"/>
      <c r="I1674" s="2"/>
      <c r="J1674" s="2"/>
      <c r="K1674" s="2"/>
      <c r="L1674" s="2"/>
      <c r="M1674" s="2"/>
      <c r="N1674" s="2"/>
      <c r="O1674" s="2"/>
      <c r="P1674" s="2"/>
      <c r="Q1674" s="45"/>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row>
    <row r="1675">
      <c r="A1675" s="2"/>
      <c r="B1675" s="2"/>
      <c r="C1675" s="2"/>
      <c r="D1675" s="2"/>
      <c r="E1675" s="2"/>
      <c r="F1675" s="2"/>
      <c r="G1675" s="2"/>
      <c r="H1675" s="2"/>
      <c r="I1675" s="2"/>
      <c r="J1675" s="2"/>
      <c r="K1675" s="2"/>
      <c r="L1675" s="2"/>
      <c r="M1675" s="2"/>
      <c r="N1675" s="2"/>
      <c r="O1675" s="2"/>
      <c r="P1675" s="2"/>
      <c r="Q1675" s="45"/>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row>
    <row r="1676">
      <c r="A1676" s="2"/>
      <c r="B1676" s="2"/>
      <c r="C1676" s="2"/>
      <c r="D1676" s="2"/>
      <c r="E1676" s="2"/>
      <c r="F1676" s="2"/>
      <c r="G1676" s="2"/>
      <c r="H1676" s="2"/>
      <c r="I1676" s="2"/>
      <c r="J1676" s="2"/>
      <c r="K1676" s="2"/>
      <c r="L1676" s="2"/>
      <c r="M1676" s="2"/>
      <c r="N1676" s="2"/>
      <c r="O1676" s="2"/>
      <c r="P1676" s="2"/>
      <c r="Q1676" s="45"/>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row>
    <row r="1677">
      <c r="A1677" s="2"/>
      <c r="B1677" s="2"/>
      <c r="C1677" s="2"/>
      <c r="D1677" s="2"/>
      <c r="E1677" s="2"/>
      <c r="F1677" s="2"/>
      <c r="G1677" s="2"/>
      <c r="H1677" s="2"/>
      <c r="I1677" s="2"/>
      <c r="J1677" s="2"/>
      <c r="K1677" s="2"/>
      <c r="L1677" s="2"/>
      <c r="M1677" s="2"/>
      <c r="N1677" s="2"/>
      <c r="O1677" s="2"/>
      <c r="P1677" s="2"/>
      <c r="Q1677" s="45"/>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row>
    <row r="1678">
      <c r="A1678" s="2"/>
      <c r="B1678" s="2"/>
      <c r="C1678" s="2"/>
      <c r="D1678" s="2"/>
      <c r="E1678" s="2"/>
      <c r="F1678" s="2"/>
      <c r="G1678" s="2"/>
      <c r="H1678" s="2"/>
      <c r="I1678" s="2"/>
      <c r="J1678" s="2"/>
      <c r="K1678" s="2"/>
      <c r="L1678" s="2"/>
      <c r="M1678" s="2"/>
      <c r="N1678" s="2"/>
      <c r="O1678" s="2"/>
      <c r="P1678" s="2"/>
      <c r="Q1678" s="45"/>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row>
    <row r="1679">
      <c r="A1679" s="2"/>
      <c r="B1679" s="2"/>
      <c r="C1679" s="2"/>
      <c r="D1679" s="2"/>
      <c r="E1679" s="2"/>
      <c r="F1679" s="2"/>
      <c r="G1679" s="2"/>
      <c r="H1679" s="2"/>
      <c r="I1679" s="2"/>
      <c r="J1679" s="2"/>
      <c r="K1679" s="2"/>
      <c r="L1679" s="2"/>
      <c r="M1679" s="2"/>
      <c r="N1679" s="2"/>
      <c r="O1679" s="2"/>
      <c r="P1679" s="2"/>
      <c r="Q1679" s="45"/>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row>
    <row r="1680">
      <c r="A1680" s="2"/>
      <c r="B1680" s="2"/>
      <c r="C1680" s="2"/>
      <c r="D1680" s="2"/>
      <c r="E1680" s="2"/>
      <c r="F1680" s="2"/>
      <c r="G1680" s="2"/>
      <c r="H1680" s="2"/>
      <c r="I1680" s="2"/>
      <c r="J1680" s="2"/>
      <c r="K1680" s="2"/>
      <c r="L1680" s="2"/>
      <c r="M1680" s="2"/>
      <c r="N1680" s="2"/>
      <c r="O1680" s="2"/>
      <c r="P1680" s="2"/>
      <c r="Q1680" s="45"/>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row>
    <row r="1681">
      <c r="A1681" s="2"/>
      <c r="B1681" s="2"/>
      <c r="C1681" s="2"/>
      <c r="D1681" s="2"/>
      <c r="E1681" s="2"/>
      <c r="F1681" s="2"/>
      <c r="G1681" s="2"/>
      <c r="H1681" s="2"/>
      <c r="I1681" s="2"/>
      <c r="J1681" s="2"/>
      <c r="K1681" s="2"/>
      <c r="L1681" s="2"/>
      <c r="M1681" s="2"/>
      <c r="N1681" s="2"/>
      <c r="O1681" s="2"/>
      <c r="P1681" s="2"/>
      <c r="Q1681" s="45"/>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row>
    <row r="1682">
      <c r="A1682" s="2"/>
      <c r="B1682" s="2"/>
      <c r="C1682" s="2"/>
      <c r="D1682" s="2"/>
      <c r="E1682" s="2"/>
      <c r="F1682" s="2"/>
      <c r="G1682" s="2"/>
      <c r="H1682" s="2"/>
      <c r="I1682" s="2"/>
      <c r="J1682" s="2"/>
      <c r="K1682" s="2"/>
      <c r="L1682" s="2"/>
      <c r="M1682" s="2"/>
      <c r="N1682" s="2"/>
      <c r="O1682" s="2"/>
      <c r="P1682" s="2"/>
      <c r="Q1682" s="45"/>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row>
    <row r="1683">
      <c r="A1683" s="2"/>
      <c r="B1683" s="2"/>
      <c r="C1683" s="2"/>
      <c r="D1683" s="2"/>
      <c r="E1683" s="2"/>
      <c r="F1683" s="2"/>
      <c r="G1683" s="2"/>
      <c r="H1683" s="2"/>
      <c r="I1683" s="2"/>
      <c r="J1683" s="2"/>
      <c r="K1683" s="2"/>
      <c r="L1683" s="2"/>
      <c r="M1683" s="2"/>
      <c r="N1683" s="2"/>
      <c r="O1683" s="2"/>
      <c r="P1683" s="2"/>
      <c r="Q1683" s="45"/>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row>
    <row r="1684">
      <c r="A1684" s="2"/>
      <c r="B1684" s="2"/>
      <c r="C1684" s="2"/>
      <c r="D1684" s="2"/>
      <c r="E1684" s="2"/>
      <c r="F1684" s="2"/>
      <c r="G1684" s="2"/>
      <c r="H1684" s="2"/>
      <c r="I1684" s="2"/>
      <c r="J1684" s="2"/>
      <c r="K1684" s="2"/>
      <c r="L1684" s="2"/>
      <c r="M1684" s="2"/>
      <c r="N1684" s="2"/>
      <c r="O1684" s="2"/>
      <c r="P1684" s="2"/>
      <c r="Q1684" s="45"/>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row>
    <row r="1685">
      <c r="A1685" s="2"/>
      <c r="B1685" s="2"/>
      <c r="C1685" s="2"/>
      <c r="D1685" s="2"/>
      <c r="E1685" s="2"/>
      <c r="F1685" s="2"/>
      <c r="G1685" s="2"/>
      <c r="H1685" s="2"/>
      <c r="I1685" s="2"/>
      <c r="J1685" s="2"/>
      <c r="K1685" s="2"/>
      <c r="L1685" s="2"/>
      <c r="M1685" s="2"/>
      <c r="N1685" s="2"/>
      <c r="O1685" s="2"/>
      <c r="P1685" s="2"/>
      <c r="Q1685" s="45"/>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row>
    <row r="1686">
      <c r="A1686" s="2"/>
      <c r="B1686" s="2"/>
      <c r="C1686" s="2"/>
      <c r="D1686" s="2"/>
      <c r="E1686" s="2"/>
      <c r="F1686" s="2"/>
      <c r="G1686" s="2"/>
      <c r="H1686" s="2"/>
      <c r="I1686" s="2"/>
      <c r="J1686" s="2"/>
      <c r="K1686" s="2"/>
      <c r="L1686" s="2"/>
      <c r="M1686" s="2"/>
      <c r="N1686" s="2"/>
      <c r="O1686" s="2"/>
      <c r="P1686" s="2"/>
      <c r="Q1686" s="45"/>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row>
    <row r="1687">
      <c r="A1687" s="2"/>
      <c r="B1687" s="2"/>
      <c r="C1687" s="2"/>
      <c r="D1687" s="2"/>
      <c r="E1687" s="2"/>
      <c r="F1687" s="2"/>
      <c r="G1687" s="2"/>
      <c r="H1687" s="2"/>
      <c r="I1687" s="2"/>
      <c r="J1687" s="2"/>
      <c r="K1687" s="2"/>
      <c r="L1687" s="2"/>
      <c r="M1687" s="2"/>
      <c r="N1687" s="2"/>
      <c r="O1687" s="2"/>
      <c r="P1687" s="2"/>
      <c r="Q1687" s="45"/>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row>
    <row r="1688">
      <c r="A1688" s="2"/>
      <c r="B1688" s="2"/>
      <c r="C1688" s="2"/>
      <c r="D1688" s="2"/>
      <c r="E1688" s="2"/>
      <c r="F1688" s="2"/>
      <c r="G1688" s="2"/>
      <c r="H1688" s="2"/>
      <c r="I1688" s="2"/>
      <c r="J1688" s="2"/>
      <c r="K1688" s="2"/>
      <c r="L1688" s="2"/>
      <c r="M1688" s="2"/>
      <c r="N1688" s="2"/>
      <c r="O1688" s="2"/>
      <c r="P1688" s="2"/>
      <c r="Q1688" s="45"/>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row>
    <row r="1689">
      <c r="A1689" s="2"/>
      <c r="B1689" s="2"/>
      <c r="C1689" s="2"/>
      <c r="D1689" s="2"/>
      <c r="E1689" s="2"/>
      <c r="F1689" s="2"/>
      <c r="G1689" s="2"/>
      <c r="H1689" s="2"/>
      <c r="I1689" s="2"/>
      <c r="J1689" s="2"/>
      <c r="K1689" s="2"/>
      <c r="L1689" s="2"/>
      <c r="M1689" s="2"/>
      <c r="N1689" s="2"/>
      <c r="O1689" s="2"/>
      <c r="P1689" s="2"/>
      <c r="Q1689" s="45"/>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row>
    <row r="1690">
      <c r="A1690" s="2"/>
      <c r="B1690" s="2"/>
      <c r="C1690" s="2"/>
      <c r="D1690" s="2"/>
      <c r="E1690" s="2"/>
      <c r="F1690" s="2"/>
      <c r="G1690" s="2"/>
      <c r="H1690" s="2"/>
      <c r="I1690" s="2"/>
      <c r="J1690" s="2"/>
      <c r="K1690" s="2"/>
      <c r="L1690" s="2"/>
      <c r="M1690" s="2"/>
      <c r="N1690" s="2"/>
      <c r="O1690" s="2"/>
      <c r="P1690" s="2"/>
      <c r="Q1690" s="45"/>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row>
    <row r="1691">
      <c r="A1691" s="2"/>
      <c r="B1691" s="2"/>
      <c r="C1691" s="2"/>
      <c r="D1691" s="2"/>
      <c r="E1691" s="2"/>
      <c r="F1691" s="2"/>
      <c r="G1691" s="2"/>
      <c r="H1691" s="2"/>
      <c r="I1691" s="2"/>
      <c r="J1691" s="2"/>
      <c r="K1691" s="2"/>
      <c r="L1691" s="2"/>
      <c r="M1691" s="2"/>
      <c r="N1691" s="2"/>
      <c r="O1691" s="2"/>
      <c r="P1691" s="2"/>
      <c r="Q1691" s="45"/>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row>
    <row r="1692">
      <c r="A1692" s="2"/>
      <c r="B1692" s="2"/>
      <c r="C1692" s="2"/>
      <c r="D1692" s="2"/>
      <c r="E1692" s="2"/>
      <c r="F1692" s="2"/>
      <c r="G1692" s="2"/>
      <c r="H1692" s="2"/>
      <c r="I1692" s="2"/>
      <c r="J1692" s="2"/>
      <c r="K1692" s="2"/>
      <c r="L1692" s="2"/>
      <c r="M1692" s="2"/>
      <c r="N1692" s="2"/>
      <c r="O1692" s="2"/>
      <c r="P1692" s="2"/>
      <c r="Q1692" s="45"/>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row>
    <row r="1693">
      <c r="A1693" s="2"/>
      <c r="B1693" s="2"/>
      <c r="C1693" s="2"/>
      <c r="D1693" s="2"/>
      <c r="E1693" s="2"/>
      <c r="F1693" s="2"/>
      <c r="G1693" s="2"/>
      <c r="H1693" s="2"/>
      <c r="I1693" s="2"/>
      <c r="J1693" s="2"/>
      <c r="K1693" s="2"/>
      <c r="L1693" s="2"/>
      <c r="M1693" s="2"/>
      <c r="N1693" s="2"/>
      <c r="O1693" s="2"/>
      <c r="P1693" s="2"/>
      <c r="Q1693" s="45"/>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row>
    <row r="1694">
      <c r="A1694" s="2"/>
      <c r="B1694" s="2"/>
      <c r="C1694" s="2"/>
      <c r="D1694" s="2"/>
      <c r="E1694" s="2"/>
      <c r="F1694" s="2"/>
      <c r="G1694" s="2"/>
      <c r="H1694" s="2"/>
      <c r="I1694" s="2"/>
      <c r="J1694" s="2"/>
      <c r="K1694" s="2"/>
      <c r="L1694" s="2"/>
      <c r="M1694" s="2"/>
      <c r="N1694" s="2"/>
      <c r="O1694" s="2"/>
      <c r="P1694" s="2"/>
      <c r="Q1694" s="45"/>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row>
    <row r="1695">
      <c r="A1695" s="2"/>
      <c r="B1695" s="2"/>
      <c r="C1695" s="2"/>
      <c r="D1695" s="2"/>
      <c r="E1695" s="2"/>
      <c r="F1695" s="2"/>
      <c r="G1695" s="2"/>
      <c r="H1695" s="2"/>
      <c r="I1695" s="2"/>
      <c r="J1695" s="2"/>
      <c r="K1695" s="2"/>
      <c r="L1695" s="2"/>
      <c r="M1695" s="2"/>
      <c r="N1695" s="2"/>
      <c r="O1695" s="2"/>
      <c r="P1695" s="2"/>
      <c r="Q1695" s="45"/>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row>
    <row r="1696">
      <c r="A1696" s="2"/>
      <c r="B1696" s="2"/>
      <c r="C1696" s="2"/>
      <c r="D1696" s="2"/>
      <c r="E1696" s="2"/>
      <c r="F1696" s="2"/>
      <c r="G1696" s="2"/>
      <c r="H1696" s="2"/>
      <c r="I1696" s="2"/>
      <c r="J1696" s="2"/>
      <c r="K1696" s="2"/>
      <c r="L1696" s="2"/>
      <c r="M1696" s="2"/>
      <c r="N1696" s="2"/>
      <c r="O1696" s="2"/>
      <c r="P1696" s="2"/>
      <c r="Q1696" s="45"/>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row>
    <row r="1697">
      <c r="A1697" s="2"/>
      <c r="B1697" s="2"/>
      <c r="C1697" s="2"/>
      <c r="D1697" s="2"/>
      <c r="E1697" s="2"/>
      <c r="F1697" s="2"/>
      <c r="G1697" s="2"/>
      <c r="H1697" s="2"/>
      <c r="I1697" s="2"/>
      <c r="J1697" s="2"/>
      <c r="K1697" s="2"/>
      <c r="L1697" s="2"/>
      <c r="M1697" s="2"/>
      <c r="N1697" s="2"/>
      <c r="O1697" s="2"/>
      <c r="P1697" s="2"/>
      <c r="Q1697" s="45"/>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row>
    <row r="1698">
      <c r="A1698" s="2"/>
      <c r="B1698" s="2"/>
      <c r="C1698" s="2"/>
      <c r="D1698" s="2"/>
      <c r="E1698" s="2"/>
      <c r="F1698" s="2"/>
      <c r="G1698" s="2"/>
      <c r="H1698" s="2"/>
      <c r="I1698" s="2"/>
      <c r="J1698" s="2"/>
      <c r="K1698" s="2"/>
      <c r="L1698" s="2"/>
      <c r="M1698" s="2"/>
      <c r="N1698" s="2"/>
      <c r="O1698" s="2"/>
      <c r="P1698" s="2"/>
      <c r="Q1698" s="45"/>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row>
    <row r="1699">
      <c r="A1699" s="2"/>
      <c r="B1699" s="2"/>
      <c r="C1699" s="2"/>
      <c r="D1699" s="2"/>
      <c r="E1699" s="2"/>
      <c r="F1699" s="2"/>
      <c r="G1699" s="2"/>
      <c r="H1699" s="2"/>
      <c r="I1699" s="2"/>
      <c r="J1699" s="2"/>
      <c r="K1699" s="2"/>
      <c r="L1699" s="2"/>
      <c r="M1699" s="2"/>
      <c r="N1699" s="2"/>
      <c r="O1699" s="2"/>
      <c r="P1699" s="2"/>
      <c r="Q1699" s="45"/>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row>
    <row r="1700">
      <c r="A1700" s="2"/>
      <c r="B1700" s="2"/>
      <c r="C1700" s="2"/>
      <c r="D1700" s="2"/>
      <c r="E1700" s="2"/>
      <c r="F1700" s="2"/>
      <c r="G1700" s="2"/>
      <c r="H1700" s="2"/>
      <c r="I1700" s="2"/>
      <c r="J1700" s="2"/>
      <c r="K1700" s="2"/>
      <c r="L1700" s="2"/>
      <c r="M1700" s="2"/>
      <c r="N1700" s="2"/>
      <c r="O1700" s="2"/>
      <c r="P1700" s="2"/>
      <c r="Q1700" s="45"/>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row>
    <row r="1701">
      <c r="A1701" s="2"/>
      <c r="B1701" s="2"/>
      <c r="C1701" s="2"/>
      <c r="D1701" s="2"/>
      <c r="E1701" s="2"/>
      <c r="F1701" s="2"/>
      <c r="G1701" s="2"/>
      <c r="H1701" s="2"/>
      <c r="I1701" s="2"/>
      <c r="J1701" s="2"/>
      <c r="K1701" s="2"/>
      <c r="L1701" s="2"/>
      <c r="M1701" s="2"/>
      <c r="N1701" s="2"/>
      <c r="O1701" s="2"/>
      <c r="P1701" s="2"/>
      <c r="Q1701" s="45"/>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row>
    <row r="1702">
      <c r="A1702" s="2"/>
      <c r="B1702" s="2"/>
      <c r="C1702" s="2"/>
      <c r="D1702" s="2"/>
      <c r="E1702" s="2"/>
      <c r="F1702" s="2"/>
      <c r="G1702" s="2"/>
      <c r="H1702" s="2"/>
      <c r="I1702" s="2"/>
      <c r="J1702" s="2"/>
      <c r="K1702" s="2"/>
      <c r="L1702" s="2"/>
      <c r="M1702" s="2"/>
      <c r="N1702" s="2"/>
      <c r="O1702" s="2"/>
      <c r="P1702" s="2"/>
      <c r="Q1702" s="45"/>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row>
    <row r="1703">
      <c r="A1703" s="2"/>
      <c r="B1703" s="2"/>
      <c r="C1703" s="2"/>
      <c r="D1703" s="2"/>
      <c r="E1703" s="2"/>
      <c r="F1703" s="2"/>
      <c r="G1703" s="2"/>
      <c r="H1703" s="2"/>
      <c r="I1703" s="2"/>
      <c r="J1703" s="2"/>
      <c r="K1703" s="2"/>
      <c r="L1703" s="2"/>
      <c r="M1703" s="2"/>
      <c r="N1703" s="2"/>
      <c r="O1703" s="2"/>
      <c r="P1703" s="2"/>
      <c r="Q1703" s="45"/>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row>
    <row r="1704">
      <c r="A1704" s="2"/>
      <c r="B1704" s="2"/>
      <c r="C1704" s="2"/>
      <c r="D1704" s="2"/>
      <c r="E1704" s="2"/>
      <c r="F1704" s="2"/>
      <c r="G1704" s="2"/>
      <c r="H1704" s="2"/>
      <c r="I1704" s="2"/>
      <c r="J1704" s="2"/>
      <c r="K1704" s="2"/>
      <c r="L1704" s="2"/>
      <c r="M1704" s="2"/>
      <c r="N1704" s="2"/>
      <c r="O1704" s="2"/>
      <c r="P1704" s="2"/>
      <c r="Q1704" s="45"/>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row>
    <row r="1705">
      <c r="A1705" s="2"/>
      <c r="B1705" s="2"/>
      <c r="C1705" s="2"/>
      <c r="D1705" s="2"/>
      <c r="E1705" s="2"/>
      <c r="F1705" s="2"/>
      <c r="G1705" s="2"/>
      <c r="H1705" s="2"/>
      <c r="I1705" s="2"/>
      <c r="J1705" s="2"/>
      <c r="K1705" s="2"/>
      <c r="L1705" s="2"/>
      <c r="M1705" s="2"/>
      <c r="N1705" s="2"/>
      <c r="O1705" s="2"/>
      <c r="P1705" s="2"/>
      <c r="Q1705" s="45"/>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row>
    <row r="1706">
      <c r="A1706" s="2"/>
      <c r="B1706" s="2"/>
      <c r="C1706" s="2"/>
      <c r="D1706" s="2"/>
      <c r="E1706" s="2"/>
      <c r="F1706" s="2"/>
      <c r="G1706" s="2"/>
      <c r="H1706" s="2"/>
      <c r="I1706" s="2"/>
      <c r="J1706" s="2"/>
      <c r="K1706" s="2"/>
      <c r="L1706" s="2"/>
      <c r="M1706" s="2"/>
      <c r="N1706" s="2"/>
      <c r="O1706" s="2"/>
      <c r="P1706" s="2"/>
      <c r="Q1706" s="45"/>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row>
    <row r="1707">
      <c r="A1707" s="2"/>
      <c r="B1707" s="2"/>
      <c r="C1707" s="2"/>
      <c r="D1707" s="2"/>
      <c r="E1707" s="2"/>
      <c r="F1707" s="2"/>
      <c r="G1707" s="2"/>
      <c r="H1707" s="2"/>
      <c r="I1707" s="2"/>
      <c r="J1707" s="2"/>
      <c r="K1707" s="2"/>
      <c r="L1707" s="2"/>
      <c r="M1707" s="2"/>
      <c r="N1707" s="2"/>
      <c r="O1707" s="2"/>
      <c r="P1707" s="2"/>
      <c r="Q1707" s="45"/>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row>
    <row r="1708">
      <c r="A1708" s="2"/>
      <c r="B1708" s="2"/>
      <c r="C1708" s="2"/>
      <c r="D1708" s="2"/>
      <c r="E1708" s="2"/>
      <c r="F1708" s="2"/>
      <c r="G1708" s="2"/>
      <c r="H1708" s="2"/>
      <c r="I1708" s="2"/>
      <c r="J1708" s="2"/>
      <c r="K1708" s="2"/>
      <c r="L1708" s="2"/>
      <c r="M1708" s="2"/>
      <c r="N1708" s="2"/>
      <c r="O1708" s="2"/>
      <c r="P1708" s="2"/>
      <c r="Q1708" s="45"/>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row>
    <row r="1709">
      <c r="A1709" s="2"/>
      <c r="B1709" s="2"/>
      <c r="C1709" s="2"/>
      <c r="D1709" s="2"/>
      <c r="E1709" s="2"/>
      <c r="F1709" s="2"/>
      <c r="G1709" s="2"/>
      <c r="H1709" s="2"/>
      <c r="I1709" s="2"/>
      <c r="J1709" s="2"/>
      <c r="K1709" s="2"/>
      <c r="L1709" s="2"/>
      <c r="M1709" s="2"/>
      <c r="N1709" s="2"/>
      <c r="O1709" s="2"/>
      <c r="P1709" s="2"/>
      <c r="Q1709" s="45"/>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row>
    <row r="1710">
      <c r="A1710" s="2"/>
      <c r="B1710" s="2"/>
      <c r="C1710" s="2"/>
      <c r="D1710" s="2"/>
      <c r="E1710" s="2"/>
      <c r="F1710" s="2"/>
      <c r="G1710" s="2"/>
      <c r="H1710" s="2"/>
      <c r="I1710" s="2"/>
      <c r="J1710" s="2"/>
      <c r="K1710" s="2"/>
      <c r="L1710" s="2"/>
      <c r="M1710" s="2"/>
      <c r="N1710" s="2"/>
      <c r="O1710" s="2"/>
      <c r="P1710" s="2"/>
      <c r="Q1710" s="45"/>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row>
    <row r="1711">
      <c r="A1711" s="2"/>
      <c r="B1711" s="2"/>
      <c r="C1711" s="2"/>
      <c r="D1711" s="2"/>
      <c r="E1711" s="2"/>
      <c r="F1711" s="2"/>
      <c r="G1711" s="2"/>
      <c r="H1711" s="2"/>
      <c r="I1711" s="2"/>
      <c r="J1711" s="2"/>
      <c r="K1711" s="2"/>
      <c r="L1711" s="2"/>
      <c r="M1711" s="2"/>
      <c r="N1711" s="2"/>
      <c r="O1711" s="2"/>
      <c r="P1711" s="2"/>
      <c r="Q1711" s="45"/>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row>
    <row r="1712">
      <c r="A1712" s="2"/>
      <c r="B1712" s="2"/>
      <c r="C1712" s="2"/>
      <c r="D1712" s="2"/>
      <c r="E1712" s="2"/>
      <c r="F1712" s="2"/>
      <c r="G1712" s="2"/>
      <c r="H1712" s="2"/>
      <c r="I1712" s="2"/>
      <c r="J1712" s="2"/>
      <c r="K1712" s="2"/>
      <c r="L1712" s="2"/>
      <c r="M1712" s="2"/>
      <c r="N1712" s="2"/>
      <c r="O1712" s="2"/>
      <c r="P1712" s="2"/>
      <c r="Q1712" s="45"/>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row>
    <row r="1713">
      <c r="A1713" s="2"/>
      <c r="B1713" s="2"/>
      <c r="C1713" s="2"/>
      <c r="D1713" s="2"/>
      <c r="E1713" s="2"/>
      <c r="F1713" s="2"/>
      <c r="G1713" s="2"/>
      <c r="H1713" s="2"/>
      <c r="I1713" s="2"/>
      <c r="J1713" s="2"/>
      <c r="K1713" s="2"/>
      <c r="L1713" s="2"/>
      <c r="M1713" s="2"/>
      <c r="N1713" s="2"/>
      <c r="O1713" s="2"/>
      <c r="P1713" s="2"/>
      <c r="Q1713" s="45"/>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row>
    <row r="1714">
      <c r="A1714" s="2"/>
      <c r="B1714" s="2"/>
      <c r="C1714" s="2"/>
      <c r="D1714" s="2"/>
      <c r="E1714" s="2"/>
      <c r="F1714" s="2"/>
      <c r="G1714" s="2"/>
      <c r="H1714" s="2"/>
      <c r="I1714" s="2"/>
      <c r="J1714" s="2"/>
      <c r="K1714" s="2"/>
      <c r="L1714" s="2"/>
      <c r="M1714" s="2"/>
      <c r="N1714" s="2"/>
      <c r="O1714" s="2"/>
      <c r="P1714" s="2"/>
      <c r="Q1714" s="45"/>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row>
    <row r="1715">
      <c r="A1715" s="2"/>
      <c r="B1715" s="2"/>
      <c r="C1715" s="2"/>
      <c r="D1715" s="2"/>
      <c r="E1715" s="2"/>
      <c r="F1715" s="2"/>
      <c r="G1715" s="2"/>
      <c r="H1715" s="2"/>
      <c r="I1715" s="2"/>
      <c r="J1715" s="2"/>
      <c r="K1715" s="2"/>
      <c r="L1715" s="2"/>
      <c r="M1715" s="2"/>
      <c r="N1715" s="2"/>
      <c r="O1715" s="2"/>
      <c r="P1715" s="2"/>
      <c r="Q1715" s="45"/>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row>
    <row r="1716">
      <c r="A1716" s="2"/>
      <c r="B1716" s="2"/>
      <c r="C1716" s="2"/>
      <c r="D1716" s="2"/>
      <c r="E1716" s="2"/>
      <c r="F1716" s="2"/>
      <c r="G1716" s="2"/>
      <c r="H1716" s="2"/>
      <c r="I1716" s="2"/>
      <c r="J1716" s="2"/>
      <c r="K1716" s="2"/>
      <c r="L1716" s="2"/>
      <c r="M1716" s="2"/>
      <c r="N1716" s="2"/>
      <c r="O1716" s="2"/>
      <c r="P1716" s="2"/>
      <c r="Q1716" s="45"/>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row>
    <row r="1717">
      <c r="A1717" s="2"/>
      <c r="B1717" s="2"/>
      <c r="C1717" s="2"/>
      <c r="D1717" s="2"/>
      <c r="E1717" s="2"/>
      <c r="F1717" s="2"/>
      <c r="G1717" s="2"/>
      <c r="H1717" s="2"/>
      <c r="I1717" s="2"/>
      <c r="J1717" s="2"/>
      <c r="K1717" s="2"/>
      <c r="L1717" s="2"/>
      <c r="M1717" s="2"/>
      <c r="N1717" s="2"/>
      <c r="O1717" s="2"/>
      <c r="P1717" s="2"/>
      <c r="Q1717" s="45"/>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row>
    <row r="1718">
      <c r="A1718" s="2"/>
      <c r="B1718" s="2"/>
      <c r="C1718" s="2"/>
      <c r="D1718" s="2"/>
      <c r="E1718" s="2"/>
      <c r="F1718" s="2"/>
      <c r="G1718" s="2"/>
      <c r="H1718" s="2"/>
      <c r="I1718" s="2"/>
      <c r="J1718" s="2"/>
      <c r="K1718" s="2"/>
      <c r="L1718" s="2"/>
      <c r="M1718" s="2"/>
      <c r="N1718" s="2"/>
      <c r="O1718" s="2"/>
      <c r="P1718" s="2"/>
      <c r="Q1718" s="45"/>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row>
    <row r="1719">
      <c r="A1719" s="2"/>
      <c r="B1719" s="2"/>
      <c r="C1719" s="2"/>
      <c r="D1719" s="2"/>
      <c r="E1719" s="2"/>
      <c r="F1719" s="2"/>
      <c r="G1719" s="2"/>
      <c r="H1719" s="2"/>
      <c r="I1719" s="2"/>
      <c r="J1719" s="2"/>
      <c r="K1719" s="2"/>
      <c r="L1719" s="2"/>
      <c r="M1719" s="2"/>
      <c r="N1719" s="2"/>
      <c r="O1719" s="2"/>
      <c r="P1719" s="2"/>
      <c r="Q1719" s="45"/>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row>
    <row r="1720">
      <c r="A1720" s="2"/>
      <c r="B1720" s="2"/>
      <c r="C1720" s="2"/>
      <c r="D1720" s="2"/>
      <c r="E1720" s="2"/>
      <c r="F1720" s="2"/>
      <c r="G1720" s="2"/>
      <c r="H1720" s="2"/>
      <c r="I1720" s="2"/>
      <c r="J1720" s="2"/>
      <c r="K1720" s="2"/>
      <c r="L1720" s="2"/>
      <c r="M1720" s="2"/>
      <c r="N1720" s="2"/>
      <c r="O1720" s="2"/>
      <c r="P1720" s="2"/>
      <c r="Q1720" s="45"/>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row>
    <row r="1721">
      <c r="A1721" s="2"/>
      <c r="B1721" s="2"/>
      <c r="C1721" s="2"/>
      <c r="D1721" s="2"/>
      <c r="E1721" s="2"/>
      <c r="F1721" s="2"/>
      <c r="G1721" s="2"/>
      <c r="H1721" s="2"/>
      <c r="I1721" s="2"/>
      <c r="J1721" s="2"/>
      <c r="K1721" s="2"/>
      <c r="L1721" s="2"/>
      <c r="M1721" s="2"/>
      <c r="N1721" s="2"/>
      <c r="O1721" s="2"/>
      <c r="P1721" s="2"/>
      <c r="Q1721" s="45"/>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row>
    <row r="1722">
      <c r="A1722" s="2"/>
      <c r="B1722" s="2"/>
      <c r="C1722" s="2"/>
      <c r="D1722" s="2"/>
      <c r="E1722" s="2"/>
      <c r="F1722" s="2"/>
      <c r="G1722" s="2"/>
      <c r="H1722" s="2"/>
      <c r="I1722" s="2"/>
      <c r="J1722" s="2"/>
      <c r="K1722" s="2"/>
      <c r="L1722" s="2"/>
      <c r="M1722" s="2"/>
      <c r="N1722" s="2"/>
      <c r="O1722" s="2"/>
      <c r="P1722" s="2"/>
      <c r="Q1722" s="45"/>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row>
    <row r="1723">
      <c r="A1723" s="2"/>
      <c r="B1723" s="2"/>
      <c r="C1723" s="2"/>
      <c r="D1723" s="2"/>
      <c r="E1723" s="2"/>
      <c r="F1723" s="2"/>
      <c r="G1723" s="2"/>
      <c r="H1723" s="2"/>
      <c r="I1723" s="2"/>
      <c r="J1723" s="2"/>
      <c r="K1723" s="2"/>
      <c r="L1723" s="2"/>
      <c r="M1723" s="2"/>
      <c r="N1723" s="2"/>
      <c r="O1723" s="2"/>
      <c r="P1723" s="2"/>
      <c r="Q1723" s="45"/>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row>
    <row r="1724">
      <c r="A1724" s="2"/>
      <c r="B1724" s="2"/>
      <c r="C1724" s="2"/>
      <c r="D1724" s="2"/>
      <c r="E1724" s="2"/>
      <c r="F1724" s="2"/>
      <c r="G1724" s="2"/>
      <c r="H1724" s="2"/>
      <c r="I1724" s="2"/>
      <c r="J1724" s="2"/>
      <c r="K1724" s="2"/>
      <c r="L1724" s="2"/>
      <c r="M1724" s="2"/>
      <c r="N1724" s="2"/>
      <c r="O1724" s="2"/>
      <c r="P1724" s="2"/>
      <c r="Q1724" s="45"/>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row>
    <row r="1725">
      <c r="A1725" s="2"/>
      <c r="B1725" s="2"/>
      <c r="C1725" s="2"/>
      <c r="D1725" s="2"/>
      <c r="E1725" s="2"/>
      <c r="F1725" s="2"/>
      <c r="G1725" s="2"/>
      <c r="H1725" s="2"/>
      <c r="I1725" s="2"/>
      <c r="J1725" s="2"/>
      <c r="K1725" s="2"/>
      <c r="L1725" s="2"/>
      <c r="M1725" s="2"/>
      <c r="N1725" s="2"/>
      <c r="O1725" s="2"/>
      <c r="P1725" s="2"/>
      <c r="Q1725" s="45"/>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row>
    <row r="1726">
      <c r="A1726" s="2"/>
      <c r="B1726" s="2"/>
      <c r="C1726" s="2"/>
      <c r="D1726" s="2"/>
      <c r="E1726" s="2"/>
      <c r="F1726" s="2"/>
      <c r="G1726" s="2"/>
      <c r="H1726" s="2"/>
      <c r="I1726" s="2"/>
      <c r="J1726" s="2"/>
      <c r="K1726" s="2"/>
      <c r="L1726" s="2"/>
      <c r="M1726" s="2"/>
      <c r="N1726" s="2"/>
      <c r="O1726" s="2"/>
      <c r="P1726" s="2"/>
      <c r="Q1726" s="45"/>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row>
    <row r="1727">
      <c r="A1727" s="2"/>
      <c r="B1727" s="2"/>
      <c r="C1727" s="2"/>
      <c r="D1727" s="2"/>
      <c r="E1727" s="2"/>
      <c r="F1727" s="2"/>
      <c r="G1727" s="2"/>
      <c r="H1727" s="2"/>
      <c r="I1727" s="2"/>
      <c r="J1727" s="2"/>
      <c r="K1727" s="2"/>
      <c r="L1727" s="2"/>
      <c r="M1727" s="2"/>
      <c r="N1727" s="2"/>
      <c r="O1727" s="2"/>
      <c r="P1727" s="2"/>
      <c r="Q1727" s="45"/>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row>
    <row r="1728">
      <c r="A1728" s="2"/>
      <c r="B1728" s="2"/>
      <c r="C1728" s="2"/>
      <c r="D1728" s="2"/>
      <c r="E1728" s="2"/>
      <c r="F1728" s="2"/>
      <c r="G1728" s="2"/>
      <c r="H1728" s="2"/>
      <c r="I1728" s="2"/>
      <c r="J1728" s="2"/>
      <c r="K1728" s="2"/>
      <c r="L1728" s="2"/>
      <c r="M1728" s="2"/>
      <c r="N1728" s="2"/>
      <c r="O1728" s="2"/>
      <c r="P1728" s="2"/>
      <c r="Q1728" s="45"/>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row>
    <row r="1729">
      <c r="A1729" s="2"/>
      <c r="B1729" s="2"/>
      <c r="C1729" s="2"/>
      <c r="D1729" s="2"/>
      <c r="E1729" s="2"/>
      <c r="F1729" s="2"/>
      <c r="G1729" s="2"/>
      <c r="H1729" s="2"/>
      <c r="I1729" s="2"/>
      <c r="J1729" s="2"/>
      <c r="K1729" s="2"/>
      <c r="L1729" s="2"/>
      <c r="M1729" s="2"/>
      <c r="N1729" s="2"/>
      <c r="O1729" s="2"/>
      <c r="P1729" s="2"/>
      <c r="Q1729" s="45"/>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row>
    <row r="1730">
      <c r="A1730" s="2"/>
      <c r="B1730" s="2"/>
      <c r="C1730" s="2"/>
      <c r="D1730" s="2"/>
      <c r="E1730" s="2"/>
      <c r="F1730" s="2"/>
      <c r="G1730" s="2"/>
      <c r="H1730" s="2"/>
      <c r="I1730" s="2"/>
      <c r="J1730" s="2"/>
      <c r="K1730" s="2"/>
      <c r="L1730" s="2"/>
      <c r="M1730" s="2"/>
      <c r="N1730" s="2"/>
      <c r="O1730" s="2"/>
      <c r="P1730" s="2"/>
      <c r="Q1730" s="45"/>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row>
    <row r="1731">
      <c r="A1731" s="2"/>
      <c r="B1731" s="2"/>
      <c r="C1731" s="2"/>
      <c r="D1731" s="2"/>
      <c r="E1731" s="2"/>
      <c r="F1731" s="2"/>
      <c r="G1731" s="2"/>
      <c r="H1731" s="2"/>
      <c r="I1731" s="2"/>
      <c r="J1731" s="2"/>
      <c r="K1731" s="2"/>
      <c r="L1731" s="2"/>
      <c r="M1731" s="2"/>
      <c r="N1731" s="2"/>
      <c r="O1731" s="2"/>
      <c r="P1731" s="2"/>
      <c r="Q1731" s="45"/>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row>
    <row r="1732">
      <c r="A1732" s="2"/>
      <c r="B1732" s="2"/>
      <c r="C1732" s="2"/>
      <c r="D1732" s="2"/>
      <c r="E1732" s="2"/>
      <c r="F1732" s="2"/>
      <c r="G1732" s="2"/>
      <c r="H1732" s="2"/>
      <c r="I1732" s="2"/>
      <c r="J1732" s="2"/>
      <c r="K1732" s="2"/>
      <c r="L1732" s="2"/>
      <c r="M1732" s="2"/>
      <c r="N1732" s="2"/>
      <c r="O1732" s="2"/>
      <c r="P1732" s="2"/>
      <c r="Q1732" s="45"/>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row>
    <row r="1733">
      <c r="A1733" s="2"/>
      <c r="B1733" s="2"/>
      <c r="C1733" s="2"/>
      <c r="D1733" s="2"/>
      <c r="E1733" s="2"/>
      <c r="F1733" s="2"/>
      <c r="G1733" s="2"/>
      <c r="H1733" s="2"/>
      <c r="I1733" s="2"/>
      <c r="J1733" s="2"/>
      <c r="K1733" s="2"/>
      <c r="L1733" s="2"/>
      <c r="M1733" s="2"/>
      <c r="N1733" s="2"/>
      <c r="O1733" s="2"/>
      <c r="P1733" s="2"/>
      <c r="Q1733" s="45"/>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row>
    <row r="1734">
      <c r="A1734" s="2"/>
      <c r="B1734" s="2"/>
      <c r="C1734" s="2"/>
      <c r="D1734" s="2"/>
      <c r="E1734" s="2"/>
      <c r="F1734" s="2"/>
      <c r="G1734" s="2"/>
      <c r="H1734" s="2"/>
      <c r="I1734" s="2"/>
      <c r="J1734" s="2"/>
      <c r="K1734" s="2"/>
      <c r="L1734" s="2"/>
      <c r="M1734" s="2"/>
      <c r="N1734" s="2"/>
      <c r="O1734" s="2"/>
      <c r="P1734" s="2"/>
      <c r="Q1734" s="45"/>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row>
    <row r="1735">
      <c r="A1735" s="2"/>
      <c r="B1735" s="2"/>
      <c r="C1735" s="2"/>
      <c r="D1735" s="2"/>
      <c r="E1735" s="2"/>
      <c r="F1735" s="2"/>
      <c r="G1735" s="2"/>
      <c r="H1735" s="2"/>
      <c r="I1735" s="2"/>
      <c r="J1735" s="2"/>
      <c r="K1735" s="2"/>
      <c r="L1735" s="2"/>
      <c r="M1735" s="2"/>
      <c r="N1735" s="2"/>
      <c r="O1735" s="2"/>
      <c r="P1735" s="2"/>
      <c r="Q1735" s="45"/>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row>
    <row r="1736">
      <c r="A1736" s="2"/>
      <c r="B1736" s="2"/>
      <c r="C1736" s="2"/>
      <c r="D1736" s="2"/>
      <c r="E1736" s="2"/>
      <c r="F1736" s="2"/>
      <c r="G1736" s="2"/>
      <c r="H1736" s="2"/>
      <c r="I1736" s="2"/>
      <c r="J1736" s="2"/>
      <c r="K1736" s="2"/>
      <c r="L1736" s="2"/>
      <c r="M1736" s="2"/>
      <c r="N1736" s="2"/>
      <c r="O1736" s="2"/>
      <c r="P1736" s="2"/>
      <c r="Q1736" s="45"/>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row>
    <row r="1737">
      <c r="A1737" s="2"/>
      <c r="B1737" s="2"/>
      <c r="C1737" s="2"/>
      <c r="D1737" s="2"/>
      <c r="E1737" s="2"/>
      <c r="F1737" s="2"/>
      <c r="G1737" s="2"/>
      <c r="H1737" s="2"/>
      <c r="I1737" s="2"/>
      <c r="J1737" s="2"/>
      <c r="K1737" s="2"/>
      <c r="L1737" s="2"/>
      <c r="M1737" s="2"/>
      <c r="N1737" s="2"/>
      <c r="O1737" s="2"/>
      <c r="P1737" s="2"/>
      <c r="Q1737" s="45"/>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row>
    <row r="1738">
      <c r="A1738" s="2"/>
      <c r="B1738" s="2"/>
      <c r="C1738" s="2"/>
      <c r="D1738" s="2"/>
      <c r="E1738" s="2"/>
      <c r="F1738" s="2"/>
      <c r="G1738" s="2"/>
      <c r="H1738" s="2"/>
      <c r="I1738" s="2"/>
      <c r="J1738" s="2"/>
      <c r="K1738" s="2"/>
      <c r="L1738" s="2"/>
      <c r="M1738" s="2"/>
      <c r="N1738" s="2"/>
      <c r="O1738" s="2"/>
      <c r="P1738" s="2"/>
      <c r="Q1738" s="45"/>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row>
    <row r="1739">
      <c r="A1739" s="2"/>
      <c r="B1739" s="2"/>
      <c r="C1739" s="2"/>
      <c r="D1739" s="2"/>
      <c r="E1739" s="2"/>
      <c r="F1739" s="2"/>
      <c r="G1739" s="2"/>
      <c r="H1739" s="2"/>
      <c r="I1739" s="2"/>
      <c r="J1739" s="2"/>
      <c r="K1739" s="2"/>
      <c r="L1739" s="2"/>
      <c r="M1739" s="2"/>
      <c r="N1739" s="2"/>
      <c r="O1739" s="2"/>
      <c r="P1739" s="2"/>
      <c r="Q1739" s="45"/>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row>
    <row r="1740">
      <c r="A1740" s="2"/>
      <c r="B1740" s="2"/>
      <c r="C1740" s="2"/>
      <c r="D1740" s="2"/>
      <c r="E1740" s="2"/>
      <c r="F1740" s="2"/>
      <c r="G1740" s="2"/>
      <c r="H1740" s="2"/>
      <c r="I1740" s="2"/>
      <c r="J1740" s="2"/>
      <c r="K1740" s="2"/>
      <c r="L1740" s="2"/>
      <c r="M1740" s="2"/>
      <c r="N1740" s="2"/>
      <c r="O1740" s="2"/>
      <c r="P1740" s="2"/>
      <c r="Q1740" s="45"/>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row>
    <row r="1741">
      <c r="A1741" s="2"/>
      <c r="B1741" s="2"/>
      <c r="C1741" s="2"/>
      <c r="D1741" s="2"/>
      <c r="E1741" s="2"/>
      <c r="F1741" s="2"/>
      <c r="G1741" s="2"/>
      <c r="H1741" s="2"/>
      <c r="I1741" s="2"/>
      <c r="J1741" s="2"/>
      <c r="K1741" s="2"/>
      <c r="L1741" s="2"/>
      <c r="M1741" s="2"/>
      <c r="N1741" s="2"/>
      <c r="O1741" s="2"/>
      <c r="P1741" s="2"/>
      <c r="Q1741" s="45"/>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row>
    <row r="1742">
      <c r="A1742" s="2"/>
      <c r="B1742" s="2"/>
      <c r="C1742" s="2"/>
      <c r="D1742" s="2"/>
      <c r="E1742" s="2"/>
      <c r="F1742" s="2"/>
      <c r="G1742" s="2"/>
      <c r="H1742" s="2"/>
      <c r="I1742" s="2"/>
      <c r="J1742" s="2"/>
      <c r="K1742" s="2"/>
      <c r="L1742" s="2"/>
      <c r="M1742" s="2"/>
      <c r="N1742" s="2"/>
      <c r="O1742" s="2"/>
      <c r="P1742" s="2"/>
      <c r="Q1742" s="45"/>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row>
    <row r="1743">
      <c r="A1743" s="2"/>
      <c r="B1743" s="2"/>
      <c r="C1743" s="2"/>
      <c r="D1743" s="2"/>
      <c r="E1743" s="2"/>
      <c r="F1743" s="2"/>
      <c r="G1743" s="2"/>
      <c r="H1743" s="2"/>
      <c r="I1743" s="2"/>
      <c r="J1743" s="2"/>
      <c r="K1743" s="2"/>
      <c r="L1743" s="2"/>
      <c r="M1743" s="2"/>
      <c r="N1743" s="2"/>
      <c r="O1743" s="2"/>
      <c r="P1743" s="2"/>
      <c r="Q1743" s="45"/>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row>
    <row r="1744">
      <c r="A1744" s="2"/>
      <c r="B1744" s="2"/>
      <c r="C1744" s="2"/>
      <c r="D1744" s="2"/>
      <c r="E1744" s="2"/>
      <c r="F1744" s="2"/>
      <c r="G1744" s="2"/>
      <c r="H1744" s="2"/>
      <c r="I1744" s="2"/>
      <c r="J1744" s="2"/>
      <c r="K1744" s="2"/>
      <c r="L1744" s="2"/>
      <c r="M1744" s="2"/>
      <c r="N1744" s="2"/>
      <c r="O1744" s="2"/>
      <c r="P1744" s="2"/>
      <c r="Q1744" s="45"/>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row>
    <row r="1745">
      <c r="A1745" s="2"/>
      <c r="B1745" s="2"/>
      <c r="C1745" s="2"/>
      <c r="D1745" s="2"/>
      <c r="E1745" s="2"/>
      <c r="F1745" s="2"/>
      <c r="G1745" s="2"/>
      <c r="H1745" s="2"/>
      <c r="I1745" s="2"/>
      <c r="J1745" s="2"/>
      <c r="K1745" s="2"/>
      <c r="L1745" s="2"/>
      <c r="M1745" s="2"/>
      <c r="N1745" s="2"/>
      <c r="O1745" s="2"/>
      <c r="P1745" s="2"/>
      <c r="Q1745" s="45"/>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row>
    <row r="1746">
      <c r="A1746" s="2"/>
      <c r="B1746" s="2"/>
      <c r="C1746" s="2"/>
      <c r="D1746" s="2"/>
      <c r="E1746" s="2"/>
      <c r="F1746" s="2"/>
      <c r="G1746" s="2"/>
      <c r="H1746" s="2"/>
      <c r="I1746" s="2"/>
      <c r="J1746" s="2"/>
      <c r="K1746" s="2"/>
      <c r="L1746" s="2"/>
      <c r="M1746" s="2"/>
      <c r="N1746" s="2"/>
      <c r="O1746" s="2"/>
      <c r="P1746" s="2"/>
      <c r="Q1746" s="45"/>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row>
    <row r="1747">
      <c r="A1747" s="2"/>
      <c r="B1747" s="2"/>
      <c r="C1747" s="2"/>
      <c r="D1747" s="2"/>
      <c r="E1747" s="2"/>
      <c r="F1747" s="2"/>
      <c r="G1747" s="2"/>
      <c r="H1747" s="2"/>
      <c r="I1747" s="2"/>
      <c r="J1747" s="2"/>
      <c r="K1747" s="2"/>
      <c r="L1747" s="2"/>
      <c r="M1747" s="2"/>
      <c r="N1747" s="2"/>
      <c r="O1747" s="2"/>
      <c r="P1747" s="2"/>
      <c r="Q1747" s="45"/>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row>
    <row r="1748">
      <c r="A1748" s="2"/>
      <c r="B1748" s="2"/>
      <c r="C1748" s="2"/>
      <c r="D1748" s="2"/>
      <c r="E1748" s="2"/>
      <c r="F1748" s="2"/>
      <c r="G1748" s="2"/>
      <c r="H1748" s="2"/>
      <c r="I1748" s="2"/>
      <c r="J1748" s="2"/>
      <c r="K1748" s="2"/>
      <c r="L1748" s="2"/>
      <c r="M1748" s="2"/>
      <c r="N1748" s="2"/>
      <c r="O1748" s="2"/>
      <c r="P1748" s="2"/>
      <c r="Q1748" s="45"/>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row>
    <row r="1749">
      <c r="A1749" s="2"/>
      <c r="B1749" s="2"/>
      <c r="C1749" s="2"/>
      <c r="D1749" s="2"/>
      <c r="E1749" s="2"/>
      <c r="F1749" s="2"/>
      <c r="G1749" s="2"/>
      <c r="H1749" s="2"/>
      <c r="I1749" s="2"/>
      <c r="J1749" s="2"/>
      <c r="K1749" s="2"/>
      <c r="L1749" s="2"/>
      <c r="M1749" s="2"/>
      <c r="N1749" s="2"/>
      <c r="O1749" s="2"/>
      <c r="P1749" s="2"/>
      <c r="Q1749" s="45"/>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row>
    <row r="1750">
      <c r="A1750" s="2"/>
      <c r="B1750" s="2"/>
      <c r="C1750" s="2"/>
      <c r="D1750" s="2"/>
      <c r="E1750" s="2"/>
      <c r="F1750" s="2"/>
      <c r="G1750" s="2"/>
      <c r="H1750" s="2"/>
      <c r="I1750" s="2"/>
      <c r="J1750" s="2"/>
      <c r="K1750" s="2"/>
      <c r="L1750" s="2"/>
      <c r="M1750" s="2"/>
      <c r="N1750" s="2"/>
      <c r="O1750" s="2"/>
      <c r="P1750" s="2"/>
      <c r="Q1750" s="45"/>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row>
    <row r="1751">
      <c r="A1751" s="2"/>
      <c r="B1751" s="2"/>
      <c r="C1751" s="2"/>
      <c r="D1751" s="2"/>
      <c r="E1751" s="2"/>
      <c r="F1751" s="2"/>
      <c r="G1751" s="2"/>
      <c r="H1751" s="2"/>
      <c r="I1751" s="2"/>
      <c r="J1751" s="2"/>
      <c r="K1751" s="2"/>
      <c r="L1751" s="2"/>
      <c r="M1751" s="2"/>
      <c r="N1751" s="2"/>
      <c r="O1751" s="2"/>
      <c r="P1751" s="2"/>
      <c r="Q1751" s="45"/>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row>
    <row r="1752">
      <c r="A1752" s="2"/>
      <c r="B1752" s="2"/>
      <c r="C1752" s="2"/>
      <c r="D1752" s="2"/>
      <c r="E1752" s="2"/>
      <c r="F1752" s="2"/>
      <c r="G1752" s="2"/>
      <c r="H1752" s="2"/>
      <c r="I1752" s="2"/>
      <c r="J1752" s="2"/>
      <c r="K1752" s="2"/>
      <c r="L1752" s="2"/>
      <c r="M1752" s="2"/>
      <c r="N1752" s="2"/>
      <c r="O1752" s="2"/>
      <c r="P1752" s="2"/>
      <c r="Q1752" s="45"/>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row>
    <row r="1753">
      <c r="A1753" s="2"/>
      <c r="B1753" s="2"/>
      <c r="C1753" s="2"/>
      <c r="D1753" s="2"/>
      <c r="E1753" s="2"/>
      <c r="F1753" s="2"/>
      <c r="G1753" s="2"/>
      <c r="H1753" s="2"/>
      <c r="I1753" s="2"/>
      <c r="J1753" s="2"/>
      <c r="K1753" s="2"/>
      <c r="L1753" s="2"/>
      <c r="M1753" s="2"/>
      <c r="N1753" s="2"/>
      <c r="O1753" s="2"/>
      <c r="P1753" s="2"/>
      <c r="Q1753" s="45"/>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row>
    <row r="1754">
      <c r="A1754" s="2"/>
      <c r="B1754" s="2"/>
      <c r="C1754" s="2"/>
      <c r="D1754" s="2"/>
      <c r="E1754" s="2"/>
      <c r="F1754" s="2"/>
      <c r="G1754" s="2"/>
      <c r="H1754" s="2"/>
      <c r="I1754" s="2"/>
      <c r="J1754" s="2"/>
      <c r="K1754" s="2"/>
      <c r="L1754" s="2"/>
      <c r="M1754" s="2"/>
      <c r="N1754" s="2"/>
      <c r="O1754" s="2"/>
      <c r="P1754" s="2"/>
      <c r="Q1754" s="45"/>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row>
    <row r="1755">
      <c r="A1755" s="2"/>
      <c r="B1755" s="2"/>
      <c r="C1755" s="2"/>
      <c r="D1755" s="2"/>
      <c r="E1755" s="2"/>
      <c r="F1755" s="2"/>
      <c r="G1755" s="2"/>
      <c r="H1755" s="2"/>
      <c r="I1755" s="2"/>
      <c r="J1755" s="2"/>
      <c r="K1755" s="2"/>
      <c r="L1755" s="2"/>
      <c r="M1755" s="2"/>
      <c r="N1755" s="2"/>
      <c r="O1755" s="2"/>
      <c r="P1755" s="2"/>
      <c r="Q1755" s="45"/>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row>
    <row r="1756">
      <c r="A1756" s="2"/>
      <c r="B1756" s="2"/>
      <c r="C1756" s="2"/>
      <c r="D1756" s="2"/>
      <c r="E1756" s="2"/>
      <c r="F1756" s="2"/>
      <c r="G1756" s="2"/>
      <c r="H1756" s="2"/>
      <c r="I1756" s="2"/>
      <c r="J1756" s="2"/>
      <c r="K1756" s="2"/>
      <c r="L1756" s="2"/>
      <c r="M1756" s="2"/>
      <c r="N1756" s="2"/>
      <c r="O1756" s="2"/>
      <c r="P1756" s="2"/>
      <c r="Q1756" s="45"/>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row>
    <row r="1757">
      <c r="A1757" s="2"/>
      <c r="B1757" s="2"/>
      <c r="C1757" s="2"/>
      <c r="D1757" s="2"/>
      <c r="E1757" s="2"/>
      <c r="F1757" s="2"/>
      <c r="G1757" s="2"/>
      <c r="H1757" s="2"/>
      <c r="I1757" s="2"/>
      <c r="J1757" s="2"/>
      <c r="K1757" s="2"/>
      <c r="L1757" s="2"/>
      <c r="M1757" s="2"/>
      <c r="N1757" s="2"/>
      <c r="O1757" s="2"/>
      <c r="P1757" s="2"/>
      <c r="Q1757" s="45"/>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row>
    <row r="1758">
      <c r="A1758" s="2"/>
      <c r="B1758" s="2"/>
      <c r="C1758" s="2"/>
      <c r="D1758" s="2"/>
      <c r="E1758" s="2"/>
      <c r="F1758" s="2"/>
      <c r="G1758" s="2"/>
      <c r="H1758" s="2"/>
      <c r="I1758" s="2"/>
      <c r="J1758" s="2"/>
      <c r="K1758" s="2"/>
      <c r="L1758" s="2"/>
      <c r="M1758" s="2"/>
      <c r="N1758" s="2"/>
      <c r="O1758" s="2"/>
      <c r="P1758" s="2"/>
      <c r="Q1758" s="45"/>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row>
    <row r="1759">
      <c r="A1759" s="2"/>
      <c r="B1759" s="2"/>
      <c r="C1759" s="2"/>
      <c r="D1759" s="2"/>
      <c r="E1759" s="2"/>
      <c r="F1759" s="2"/>
      <c r="G1759" s="2"/>
      <c r="H1759" s="2"/>
      <c r="I1759" s="2"/>
      <c r="J1759" s="2"/>
      <c r="K1759" s="2"/>
      <c r="L1759" s="2"/>
      <c r="M1759" s="2"/>
      <c r="N1759" s="2"/>
      <c r="O1759" s="2"/>
      <c r="P1759" s="2"/>
      <c r="Q1759" s="45"/>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row>
    <row r="1760">
      <c r="A1760" s="2"/>
      <c r="B1760" s="2"/>
      <c r="C1760" s="2"/>
      <c r="D1760" s="2"/>
      <c r="E1760" s="2"/>
      <c r="F1760" s="2"/>
      <c r="G1760" s="2"/>
      <c r="H1760" s="2"/>
      <c r="I1760" s="2"/>
      <c r="J1760" s="2"/>
      <c r="K1760" s="2"/>
      <c r="L1760" s="2"/>
      <c r="M1760" s="2"/>
      <c r="N1760" s="2"/>
      <c r="O1760" s="2"/>
      <c r="P1760" s="2"/>
      <c r="Q1760" s="45"/>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row>
    <row r="1761">
      <c r="A1761" s="2"/>
      <c r="B1761" s="2"/>
      <c r="C1761" s="2"/>
      <c r="D1761" s="2"/>
      <c r="E1761" s="2"/>
      <c r="F1761" s="2"/>
      <c r="G1761" s="2"/>
      <c r="H1761" s="2"/>
      <c r="I1761" s="2"/>
      <c r="J1761" s="2"/>
      <c r="K1761" s="2"/>
      <c r="L1761" s="2"/>
      <c r="M1761" s="2"/>
      <c r="N1761" s="2"/>
      <c r="O1761" s="2"/>
      <c r="P1761" s="2"/>
      <c r="Q1761" s="45"/>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row>
    <row r="1762">
      <c r="A1762" s="2"/>
      <c r="B1762" s="2"/>
      <c r="C1762" s="2"/>
      <c r="D1762" s="2"/>
      <c r="E1762" s="2"/>
      <c r="F1762" s="2"/>
      <c r="G1762" s="2"/>
      <c r="H1762" s="2"/>
      <c r="I1762" s="2"/>
      <c r="J1762" s="2"/>
      <c r="K1762" s="2"/>
      <c r="L1762" s="2"/>
      <c r="M1762" s="2"/>
      <c r="N1762" s="2"/>
      <c r="O1762" s="2"/>
      <c r="P1762" s="2"/>
      <c r="Q1762" s="45"/>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row>
    <row r="1763">
      <c r="A1763" s="2"/>
      <c r="B1763" s="2"/>
      <c r="C1763" s="2"/>
      <c r="D1763" s="2"/>
      <c r="E1763" s="2"/>
      <c r="F1763" s="2"/>
      <c r="G1763" s="2"/>
      <c r="H1763" s="2"/>
      <c r="I1763" s="2"/>
      <c r="J1763" s="2"/>
      <c r="K1763" s="2"/>
      <c r="L1763" s="2"/>
      <c r="M1763" s="2"/>
      <c r="N1763" s="2"/>
      <c r="O1763" s="2"/>
      <c r="P1763" s="2"/>
      <c r="Q1763" s="45"/>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row>
    <row r="1764">
      <c r="A1764" s="2"/>
      <c r="B1764" s="2"/>
      <c r="C1764" s="2"/>
      <c r="D1764" s="2"/>
      <c r="E1764" s="2"/>
      <c r="F1764" s="2"/>
      <c r="G1764" s="2"/>
      <c r="H1764" s="2"/>
      <c r="I1764" s="2"/>
      <c r="J1764" s="2"/>
      <c r="K1764" s="2"/>
      <c r="L1764" s="2"/>
      <c r="M1764" s="2"/>
      <c r="N1764" s="2"/>
      <c r="O1764" s="2"/>
      <c r="P1764" s="2"/>
      <c r="Q1764" s="45"/>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row>
    <row r="1765">
      <c r="A1765" s="2"/>
      <c r="B1765" s="2"/>
      <c r="C1765" s="2"/>
      <c r="D1765" s="2"/>
      <c r="E1765" s="2"/>
      <c r="F1765" s="2"/>
      <c r="G1765" s="2"/>
      <c r="H1765" s="2"/>
      <c r="I1765" s="2"/>
      <c r="J1765" s="2"/>
      <c r="K1765" s="2"/>
      <c r="L1765" s="2"/>
      <c r="M1765" s="2"/>
      <c r="N1765" s="2"/>
      <c r="O1765" s="2"/>
      <c r="P1765" s="2"/>
      <c r="Q1765" s="45"/>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row>
    <row r="1766">
      <c r="A1766" s="2"/>
      <c r="B1766" s="2"/>
      <c r="C1766" s="2"/>
      <c r="D1766" s="2"/>
      <c r="E1766" s="2"/>
      <c r="F1766" s="2"/>
      <c r="G1766" s="2"/>
      <c r="H1766" s="2"/>
      <c r="I1766" s="2"/>
      <c r="J1766" s="2"/>
      <c r="K1766" s="2"/>
      <c r="L1766" s="2"/>
      <c r="M1766" s="2"/>
      <c r="N1766" s="2"/>
      <c r="O1766" s="2"/>
      <c r="P1766" s="2"/>
      <c r="Q1766" s="45"/>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row>
    <row r="1767">
      <c r="A1767" s="2"/>
      <c r="B1767" s="2"/>
      <c r="C1767" s="2"/>
      <c r="D1767" s="2"/>
      <c r="E1767" s="2"/>
      <c r="F1767" s="2"/>
      <c r="G1767" s="2"/>
      <c r="H1767" s="2"/>
      <c r="I1767" s="2"/>
      <c r="J1767" s="2"/>
      <c r="K1767" s="2"/>
      <c r="L1767" s="2"/>
      <c r="M1767" s="2"/>
      <c r="N1767" s="2"/>
      <c r="O1767" s="2"/>
      <c r="P1767" s="2"/>
      <c r="Q1767" s="45"/>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row>
    <row r="1768">
      <c r="A1768" s="2"/>
      <c r="B1768" s="2"/>
      <c r="C1768" s="2"/>
      <c r="D1768" s="2"/>
      <c r="E1768" s="2"/>
      <c r="F1768" s="2"/>
      <c r="G1768" s="2"/>
      <c r="H1768" s="2"/>
      <c r="I1768" s="2"/>
      <c r="J1768" s="2"/>
      <c r="K1768" s="2"/>
      <c r="L1768" s="2"/>
      <c r="M1768" s="2"/>
      <c r="N1768" s="2"/>
      <c r="O1768" s="2"/>
      <c r="P1768" s="2"/>
      <c r="Q1768" s="45"/>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row>
    <row r="1769">
      <c r="A1769" s="2"/>
      <c r="B1769" s="2"/>
      <c r="C1769" s="2"/>
      <c r="D1769" s="2"/>
      <c r="E1769" s="2"/>
      <c r="F1769" s="2"/>
      <c r="G1769" s="2"/>
      <c r="H1769" s="2"/>
      <c r="I1769" s="2"/>
      <c r="J1769" s="2"/>
      <c r="K1769" s="2"/>
      <c r="L1769" s="2"/>
      <c r="M1769" s="2"/>
      <c r="N1769" s="2"/>
      <c r="O1769" s="2"/>
      <c r="P1769" s="2"/>
      <c r="Q1769" s="45"/>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row>
    <row r="1770">
      <c r="A1770" s="2"/>
      <c r="B1770" s="2"/>
      <c r="C1770" s="2"/>
      <c r="D1770" s="2"/>
      <c r="E1770" s="2"/>
      <c r="F1770" s="2"/>
      <c r="G1770" s="2"/>
      <c r="H1770" s="2"/>
      <c r="I1770" s="2"/>
      <c r="J1770" s="2"/>
      <c r="K1770" s="2"/>
      <c r="L1770" s="2"/>
      <c r="M1770" s="2"/>
      <c r="N1770" s="2"/>
      <c r="O1770" s="2"/>
      <c r="P1770" s="2"/>
      <c r="Q1770" s="45"/>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row>
    <row r="1771">
      <c r="A1771" s="2"/>
      <c r="B1771" s="2"/>
      <c r="C1771" s="2"/>
      <c r="D1771" s="2"/>
      <c r="E1771" s="2"/>
      <c r="F1771" s="2"/>
      <c r="G1771" s="2"/>
      <c r="H1771" s="2"/>
      <c r="I1771" s="2"/>
      <c r="J1771" s="2"/>
      <c r="K1771" s="2"/>
      <c r="L1771" s="2"/>
      <c r="M1771" s="2"/>
      <c r="N1771" s="2"/>
      <c r="O1771" s="2"/>
      <c r="P1771" s="2"/>
      <c r="Q1771" s="45"/>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row>
    <row r="1772">
      <c r="A1772" s="2"/>
      <c r="B1772" s="2"/>
      <c r="C1772" s="2"/>
      <c r="D1772" s="2"/>
      <c r="E1772" s="2"/>
      <c r="F1772" s="2"/>
      <c r="G1772" s="2"/>
      <c r="H1772" s="2"/>
      <c r="I1772" s="2"/>
      <c r="J1772" s="2"/>
      <c r="K1772" s="2"/>
      <c r="L1772" s="2"/>
      <c r="M1772" s="2"/>
      <c r="N1772" s="2"/>
      <c r="O1772" s="2"/>
      <c r="P1772" s="2"/>
      <c r="Q1772" s="45"/>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row>
    <row r="1773">
      <c r="A1773" s="2"/>
      <c r="B1773" s="2"/>
      <c r="C1773" s="2"/>
      <c r="D1773" s="2"/>
      <c r="E1773" s="2"/>
      <c r="F1773" s="2"/>
      <c r="G1773" s="2"/>
      <c r="H1773" s="2"/>
      <c r="I1773" s="2"/>
      <c r="J1773" s="2"/>
      <c r="K1773" s="2"/>
      <c r="L1773" s="2"/>
      <c r="M1773" s="2"/>
      <c r="N1773" s="2"/>
      <c r="O1773" s="2"/>
      <c r="P1773" s="2"/>
      <c r="Q1773" s="45"/>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row>
    <row r="1774">
      <c r="A1774" s="2"/>
      <c r="B1774" s="2"/>
      <c r="C1774" s="2"/>
      <c r="D1774" s="2"/>
      <c r="E1774" s="2"/>
      <c r="F1774" s="2"/>
      <c r="G1774" s="2"/>
      <c r="H1774" s="2"/>
      <c r="I1774" s="2"/>
      <c r="J1774" s="2"/>
      <c r="K1774" s="2"/>
      <c r="L1774" s="2"/>
      <c r="M1774" s="2"/>
      <c r="N1774" s="2"/>
      <c r="O1774" s="2"/>
      <c r="P1774" s="2"/>
      <c r="Q1774" s="45"/>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row>
    <row r="1775">
      <c r="A1775" s="2"/>
      <c r="B1775" s="2"/>
      <c r="C1775" s="2"/>
      <c r="D1775" s="2"/>
      <c r="E1775" s="2"/>
      <c r="F1775" s="2"/>
      <c r="G1775" s="2"/>
      <c r="H1775" s="2"/>
      <c r="I1775" s="2"/>
      <c r="J1775" s="2"/>
      <c r="K1775" s="2"/>
      <c r="L1775" s="2"/>
      <c r="M1775" s="2"/>
      <c r="N1775" s="2"/>
      <c r="O1775" s="2"/>
      <c r="P1775" s="2"/>
      <c r="Q1775" s="45"/>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row>
    <row r="1776">
      <c r="A1776" s="2"/>
      <c r="B1776" s="2"/>
      <c r="C1776" s="2"/>
      <c r="D1776" s="2"/>
      <c r="E1776" s="2"/>
      <c r="F1776" s="2"/>
      <c r="G1776" s="2"/>
      <c r="H1776" s="2"/>
      <c r="I1776" s="2"/>
      <c r="J1776" s="2"/>
      <c r="K1776" s="2"/>
      <c r="L1776" s="2"/>
      <c r="M1776" s="2"/>
      <c r="N1776" s="2"/>
      <c r="O1776" s="2"/>
      <c r="P1776" s="2"/>
      <c r="Q1776" s="45"/>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row>
    <row r="1777">
      <c r="A1777" s="2"/>
      <c r="B1777" s="2"/>
      <c r="C1777" s="2"/>
      <c r="D1777" s="2"/>
      <c r="E1777" s="2"/>
      <c r="F1777" s="2"/>
      <c r="G1777" s="2"/>
      <c r="H1777" s="2"/>
      <c r="I1777" s="2"/>
      <c r="J1777" s="2"/>
      <c r="K1777" s="2"/>
      <c r="L1777" s="2"/>
      <c r="M1777" s="2"/>
      <c r="N1777" s="2"/>
      <c r="O1777" s="2"/>
      <c r="P1777" s="2"/>
      <c r="Q1777" s="45"/>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row>
    <row r="1778">
      <c r="A1778" s="2"/>
      <c r="B1778" s="2"/>
      <c r="C1778" s="2"/>
      <c r="D1778" s="2"/>
      <c r="E1778" s="2"/>
      <c r="F1778" s="2"/>
      <c r="G1778" s="2"/>
      <c r="H1778" s="2"/>
      <c r="I1778" s="2"/>
      <c r="J1778" s="2"/>
      <c r="K1778" s="2"/>
      <c r="L1778" s="2"/>
      <c r="M1778" s="2"/>
      <c r="N1778" s="2"/>
      <c r="O1778" s="2"/>
      <c r="P1778" s="2"/>
      <c r="Q1778" s="45"/>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row>
    <row r="1779">
      <c r="A1779" s="2"/>
      <c r="B1779" s="2"/>
      <c r="C1779" s="2"/>
      <c r="D1779" s="2"/>
      <c r="E1779" s="2"/>
      <c r="F1779" s="2"/>
      <c r="G1779" s="2"/>
      <c r="H1779" s="2"/>
      <c r="I1779" s="2"/>
      <c r="J1779" s="2"/>
      <c r="K1779" s="2"/>
      <c r="L1779" s="2"/>
      <c r="M1779" s="2"/>
      <c r="N1779" s="2"/>
      <c r="O1779" s="2"/>
      <c r="P1779" s="2"/>
      <c r="Q1779" s="45"/>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row>
    <row r="1780">
      <c r="A1780" s="2"/>
      <c r="B1780" s="2"/>
      <c r="C1780" s="2"/>
      <c r="D1780" s="2"/>
      <c r="E1780" s="2"/>
      <c r="F1780" s="2"/>
      <c r="G1780" s="2"/>
      <c r="H1780" s="2"/>
      <c r="I1780" s="2"/>
      <c r="J1780" s="2"/>
      <c r="K1780" s="2"/>
      <c r="L1780" s="2"/>
      <c r="M1780" s="2"/>
      <c r="N1780" s="2"/>
      <c r="O1780" s="2"/>
      <c r="P1780" s="2"/>
      <c r="Q1780" s="45"/>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row>
    <row r="1781">
      <c r="A1781" s="2"/>
      <c r="B1781" s="2"/>
      <c r="C1781" s="2"/>
      <c r="D1781" s="2"/>
      <c r="E1781" s="2"/>
      <c r="F1781" s="2"/>
      <c r="G1781" s="2"/>
      <c r="H1781" s="2"/>
      <c r="I1781" s="2"/>
      <c r="J1781" s="2"/>
      <c r="K1781" s="2"/>
      <c r="L1781" s="2"/>
      <c r="M1781" s="2"/>
      <c r="N1781" s="2"/>
      <c r="O1781" s="2"/>
      <c r="P1781" s="2"/>
      <c r="Q1781" s="45"/>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row>
    <row r="1782">
      <c r="A1782" s="2"/>
      <c r="B1782" s="2"/>
      <c r="C1782" s="2"/>
      <c r="D1782" s="2"/>
      <c r="E1782" s="2"/>
      <c r="F1782" s="2"/>
      <c r="G1782" s="2"/>
      <c r="H1782" s="2"/>
      <c r="I1782" s="2"/>
      <c r="J1782" s="2"/>
      <c r="K1782" s="2"/>
      <c r="L1782" s="2"/>
      <c r="M1782" s="2"/>
      <c r="N1782" s="2"/>
      <c r="O1782" s="2"/>
      <c r="P1782" s="2"/>
      <c r="Q1782" s="45"/>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row>
    <row r="1783">
      <c r="A1783" s="2"/>
      <c r="B1783" s="2"/>
      <c r="C1783" s="2"/>
      <c r="D1783" s="2"/>
      <c r="E1783" s="2"/>
      <c r="F1783" s="2"/>
      <c r="G1783" s="2"/>
      <c r="H1783" s="2"/>
      <c r="I1783" s="2"/>
      <c r="J1783" s="2"/>
      <c r="K1783" s="2"/>
      <c r="L1783" s="2"/>
      <c r="M1783" s="2"/>
      <c r="N1783" s="2"/>
      <c r="O1783" s="2"/>
      <c r="P1783" s="2"/>
      <c r="Q1783" s="45"/>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row>
    <row r="1784">
      <c r="A1784" s="2"/>
      <c r="B1784" s="2"/>
      <c r="C1784" s="2"/>
      <c r="D1784" s="2"/>
      <c r="E1784" s="2"/>
      <c r="F1784" s="2"/>
      <c r="G1784" s="2"/>
      <c r="H1784" s="2"/>
      <c r="I1784" s="2"/>
      <c r="J1784" s="2"/>
      <c r="K1784" s="2"/>
      <c r="L1784" s="2"/>
      <c r="M1784" s="2"/>
      <c r="N1784" s="2"/>
      <c r="O1784" s="2"/>
      <c r="P1784" s="2"/>
      <c r="Q1784" s="45"/>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row>
    <row r="1785">
      <c r="A1785" s="2"/>
      <c r="B1785" s="2"/>
      <c r="C1785" s="2"/>
      <c r="D1785" s="2"/>
      <c r="E1785" s="2"/>
      <c r="F1785" s="2"/>
      <c r="G1785" s="2"/>
      <c r="H1785" s="2"/>
      <c r="I1785" s="2"/>
      <c r="J1785" s="2"/>
      <c r="K1785" s="2"/>
      <c r="L1785" s="2"/>
      <c r="M1785" s="2"/>
      <c r="N1785" s="2"/>
      <c r="O1785" s="2"/>
      <c r="P1785" s="2"/>
      <c r="Q1785" s="45"/>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row>
    <row r="1786">
      <c r="A1786" s="2"/>
      <c r="B1786" s="2"/>
      <c r="C1786" s="2"/>
      <c r="D1786" s="2"/>
      <c r="E1786" s="2"/>
      <c r="F1786" s="2"/>
      <c r="G1786" s="2"/>
      <c r="H1786" s="2"/>
      <c r="I1786" s="2"/>
      <c r="J1786" s="2"/>
      <c r="K1786" s="2"/>
      <c r="L1786" s="2"/>
      <c r="M1786" s="2"/>
      <c r="N1786" s="2"/>
      <c r="O1786" s="2"/>
      <c r="P1786" s="2"/>
      <c r="Q1786" s="45"/>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row>
    <row r="1787">
      <c r="A1787" s="2"/>
      <c r="B1787" s="2"/>
      <c r="C1787" s="2"/>
      <c r="D1787" s="2"/>
      <c r="E1787" s="2"/>
      <c r="F1787" s="2"/>
      <c r="G1787" s="2"/>
      <c r="H1787" s="2"/>
      <c r="I1787" s="2"/>
      <c r="J1787" s="2"/>
      <c r="K1787" s="2"/>
      <c r="L1787" s="2"/>
      <c r="M1787" s="2"/>
      <c r="N1787" s="2"/>
      <c r="O1787" s="2"/>
      <c r="P1787" s="2"/>
      <c r="Q1787" s="45"/>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row>
    <row r="1788">
      <c r="A1788" s="2"/>
      <c r="B1788" s="2"/>
      <c r="C1788" s="2"/>
      <c r="D1788" s="2"/>
      <c r="E1788" s="2"/>
      <c r="F1788" s="2"/>
      <c r="G1788" s="2"/>
      <c r="H1788" s="2"/>
      <c r="I1788" s="2"/>
      <c r="J1788" s="2"/>
      <c r="K1788" s="2"/>
      <c r="L1788" s="2"/>
      <c r="M1788" s="2"/>
      <c r="N1788" s="2"/>
      <c r="O1788" s="2"/>
      <c r="P1788" s="2"/>
      <c r="Q1788" s="45"/>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row>
    <row r="1789">
      <c r="A1789" s="2"/>
      <c r="B1789" s="2"/>
      <c r="C1789" s="2"/>
      <c r="D1789" s="2"/>
      <c r="E1789" s="2"/>
      <c r="F1789" s="2"/>
      <c r="G1789" s="2"/>
      <c r="H1789" s="2"/>
      <c r="I1789" s="2"/>
      <c r="J1789" s="2"/>
      <c r="K1789" s="2"/>
      <c r="L1789" s="2"/>
      <c r="M1789" s="2"/>
      <c r="N1789" s="2"/>
      <c r="O1789" s="2"/>
      <c r="P1789" s="2"/>
      <c r="Q1789" s="45"/>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row>
    <row r="1790">
      <c r="A1790" s="2"/>
      <c r="B1790" s="2"/>
      <c r="C1790" s="2"/>
      <c r="D1790" s="2"/>
      <c r="E1790" s="2"/>
      <c r="F1790" s="2"/>
      <c r="G1790" s="2"/>
      <c r="H1790" s="2"/>
      <c r="I1790" s="2"/>
      <c r="J1790" s="2"/>
      <c r="K1790" s="2"/>
      <c r="L1790" s="2"/>
      <c r="M1790" s="2"/>
      <c r="N1790" s="2"/>
      <c r="O1790" s="2"/>
      <c r="P1790" s="2"/>
      <c r="Q1790" s="45"/>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row>
    <row r="1791">
      <c r="A1791" s="2"/>
      <c r="B1791" s="2"/>
      <c r="C1791" s="2"/>
      <c r="D1791" s="2"/>
      <c r="E1791" s="2"/>
      <c r="F1791" s="2"/>
      <c r="G1791" s="2"/>
      <c r="H1791" s="2"/>
      <c r="I1791" s="2"/>
      <c r="J1791" s="2"/>
      <c r="K1791" s="2"/>
      <c r="L1791" s="2"/>
      <c r="M1791" s="2"/>
      <c r="N1791" s="2"/>
      <c r="O1791" s="2"/>
      <c r="P1791" s="2"/>
      <c r="Q1791" s="45"/>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row>
    <row r="1792">
      <c r="A1792" s="2"/>
      <c r="B1792" s="2"/>
      <c r="C1792" s="2"/>
      <c r="D1792" s="2"/>
      <c r="E1792" s="2"/>
      <c r="F1792" s="2"/>
      <c r="G1792" s="2"/>
      <c r="H1792" s="2"/>
      <c r="I1792" s="2"/>
      <c r="J1792" s="2"/>
      <c r="K1792" s="2"/>
      <c r="L1792" s="2"/>
      <c r="M1792" s="2"/>
      <c r="N1792" s="2"/>
      <c r="O1792" s="2"/>
      <c r="P1792" s="2"/>
      <c r="Q1792" s="45"/>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row>
    <row r="1793">
      <c r="A1793" s="2"/>
      <c r="B1793" s="2"/>
      <c r="C1793" s="2"/>
      <c r="D1793" s="2"/>
      <c r="E1793" s="2"/>
      <c r="F1793" s="2"/>
      <c r="G1793" s="2"/>
      <c r="H1793" s="2"/>
      <c r="I1793" s="2"/>
      <c r="J1793" s="2"/>
      <c r="K1793" s="2"/>
      <c r="L1793" s="2"/>
      <c r="M1793" s="2"/>
      <c r="N1793" s="2"/>
      <c r="O1793" s="2"/>
      <c r="P1793" s="2"/>
      <c r="Q1793" s="45"/>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row>
    <row r="1794">
      <c r="A1794" s="2"/>
      <c r="B1794" s="2"/>
      <c r="C1794" s="2"/>
      <c r="D1794" s="2"/>
      <c r="E1794" s="2"/>
      <c r="F1794" s="2"/>
      <c r="G1794" s="2"/>
      <c r="H1794" s="2"/>
      <c r="I1794" s="2"/>
      <c r="J1794" s="2"/>
      <c r="K1794" s="2"/>
      <c r="L1794" s="2"/>
      <c r="M1794" s="2"/>
      <c r="N1794" s="2"/>
      <c r="O1794" s="2"/>
      <c r="P1794" s="2"/>
      <c r="Q1794" s="45"/>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row>
    <row r="1795">
      <c r="A1795" s="2"/>
      <c r="B1795" s="2"/>
      <c r="C1795" s="2"/>
      <c r="D1795" s="2"/>
      <c r="E1795" s="2"/>
      <c r="F1795" s="2"/>
      <c r="G1795" s="2"/>
      <c r="H1795" s="2"/>
      <c r="I1795" s="2"/>
      <c r="J1795" s="2"/>
      <c r="K1795" s="2"/>
      <c r="L1795" s="2"/>
      <c r="M1795" s="2"/>
      <c r="N1795" s="2"/>
      <c r="O1795" s="2"/>
      <c r="P1795" s="2"/>
      <c r="Q1795" s="45"/>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row>
    <row r="1796">
      <c r="A1796" s="2"/>
      <c r="B1796" s="2"/>
      <c r="C1796" s="2"/>
      <c r="D1796" s="2"/>
      <c r="E1796" s="2"/>
      <c r="F1796" s="2"/>
      <c r="G1796" s="2"/>
      <c r="H1796" s="2"/>
      <c r="I1796" s="2"/>
      <c r="J1796" s="2"/>
      <c r="K1796" s="2"/>
      <c r="L1796" s="2"/>
      <c r="M1796" s="2"/>
      <c r="N1796" s="2"/>
      <c r="O1796" s="2"/>
      <c r="P1796" s="2"/>
      <c r="Q1796" s="45"/>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row>
    <row r="1797">
      <c r="A1797" s="2"/>
      <c r="B1797" s="2"/>
      <c r="C1797" s="2"/>
      <c r="D1797" s="2"/>
      <c r="E1797" s="2"/>
      <c r="F1797" s="2"/>
      <c r="G1797" s="2"/>
      <c r="H1797" s="2"/>
      <c r="I1797" s="2"/>
      <c r="J1797" s="2"/>
      <c r="K1797" s="2"/>
      <c r="L1797" s="2"/>
      <c r="M1797" s="2"/>
      <c r="N1797" s="2"/>
      <c r="O1797" s="2"/>
      <c r="P1797" s="2"/>
      <c r="Q1797" s="45"/>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row>
    <row r="1798">
      <c r="A1798" s="2"/>
      <c r="B1798" s="2"/>
      <c r="C1798" s="2"/>
      <c r="D1798" s="2"/>
      <c r="E1798" s="2"/>
      <c r="F1798" s="2"/>
      <c r="G1798" s="2"/>
      <c r="H1798" s="2"/>
      <c r="I1798" s="2"/>
      <c r="J1798" s="2"/>
      <c r="K1798" s="2"/>
      <c r="L1798" s="2"/>
      <c r="M1798" s="2"/>
      <c r="N1798" s="2"/>
      <c r="O1798" s="2"/>
      <c r="P1798" s="2"/>
      <c r="Q1798" s="45"/>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row>
    <row r="1799">
      <c r="A1799" s="2"/>
      <c r="B1799" s="2"/>
      <c r="C1799" s="2"/>
      <c r="D1799" s="2"/>
      <c r="E1799" s="2"/>
      <c r="F1799" s="2"/>
      <c r="G1799" s="2"/>
      <c r="H1799" s="2"/>
      <c r="I1799" s="2"/>
      <c r="J1799" s="2"/>
      <c r="K1799" s="2"/>
      <c r="L1799" s="2"/>
      <c r="M1799" s="2"/>
      <c r="N1799" s="2"/>
      <c r="O1799" s="2"/>
      <c r="P1799" s="2"/>
      <c r="Q1799" s="45"/>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row>
    <row r="1800">
      <c r="A1800" s="2"/>
      <c r="B1800" s="2"/>
      <c r="C1800" s="2"/>
      <c r="D1800" s="2"/>
      <c r="E1800" s="2"/>
      <c r="F1800" s="2"/>
      <c r="G1800" s="2"/>
      <c r="H1800" s="2"/>
      <c r="I1800" s="2"/>
      <c r="J1800" s="2"/>
      <c r="K1800" s="2"/>
      <c r="L1800" s="2"/>
      <c r="M1800" s="2"/>
      <c r="N1800" s="2"/>
      <c r="O1800" s="2"/>
      <c r="P1800" s="2"/>
      <c r="Q1800" s="45"/>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row>
  </sheetData>
  <autoFilter ref="$A$2:$BQ$334"/>
  <drawing r:id="rId1"/>
</worksheet>
</file>